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339\OneDrive - csulb\Data Dell DT H Now\Finance\2019-2020\Monthly Reports\12 June 2020\Pre-Audit\"/>
    </mc:Choice>
  </mc:AlternateContent>
  <bookViews>
    <workbookView xWindow="0" yWindow="0" windowWidth="20490" windowHeight="58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207" sheetId="62" r:id="rId48"/>
    <sheet name="Div 3" sheetId="12" r:id="rId49"/>
    <sheet name="300" sheetId="15" r:id="rId50"/>
    <sheet name="300 &amp; 317" sheetId="18" r:id="rId51"/>
    <sheet name="301" sheetId="63" r:id="rId52"/>
    <sheet name="306" sheetId="67" r:id="rId53"/>
    <sheet name="330" sheetId="24" r:id="rId54"/>
    <sheet name="307" sheetId="68" r:id="rId55"/>
    <sheet name="314" sheetId="73" r:id="rId56"/>
    <sheet name="308" sheetId="27" r:id="rId57"/>
    <sheet name="311" sheetId="70" r:id="rId58"/>
    <sheet name="324" sheetId="82" r:id="rId59"/>
    <sheet name="331" sheetId="30" r:id="rId60"/>
    <sheet name="315" sheetId="74" r:id="rId61"/>
    <sheet name="326" sheetId="84" r:id="rId62"/>
    <sheet name="332" sheetId="33" r:id="rId63"/>
    <sheet name="316" sheetId="75" r:id="rId64"/>
    <sheet name="320" sheetId="78" r:id="rId65"/>
    <sheet name="Div 6" sheetId="51" r:id="rId66"/>
    <sheet name="317" sheetId="76" r:id="rId67"/>
    <sheet name="310" sheetId="21" r:id="rId68"/>
    <sheet name="309" sheetId="69" r:id="rId69"/>
    <sheet name="313" sheetId="72" r:id="rId70"/>
    <sheet name="321" sheetId="79" r:id="rId71"/>
    <sheet name="322" sheetId="80" r:id="rId72"/>
    <sheet name="325" sheetId="83" r:id="rId73"/>
    <sheet name="327" sheetId="85" r:id="rId74"/>
    <sheet name="Div 4" sheetId="36" r:id="rId75"/>
    <sheet name="310 &amp; 491" sheetId="39" r:id="rId76"/>
    <sheet name="491" sheetId="42" r:id="rId77"/>
    <sheet name="405" sheetId="87" r:id="rId78"/>
    <sheet name="406" sheetId="88" r:id="rId79"/>
    <sheet name="411" sheetId="91" r:id="rId80"/>
    <sheet name="412" sheetId="92" r:id="rId81"/>
    <sheet name="420" sheetId="98" r:id="rId82"/>
    <sheet name="413" sheetId="93" r:id="rId83"/>
    <sheet name="414" sheetId="94" r:id="rId84"/>
    <sheet name="415" sheetId="95" r:id="rId85"/>
    <sheet name="418" sheetId="97" r:id="rId86"/>
    <sheet name="423" sheetId="99" r:id="rId87"/>
    <sheet name="424" sheetId="100" r:id="rId88"/>
    <sheet name="425" sheetId="101" r:id="rId89"/>
    <sheet name="455" sheetId="108" r:id="rId90"/>
    <sheet name="492" sheetId="45" r:id="rId91"/>
    <sheet name="430" sheetId="102" r:id="rId92"/>
    <sheet name="433" sheetId="103" r:id="rId93"/>
    <sheet name="435" sheetId="104" r:id="rId94"/>
    <sheet name="444" sheetId="105" r:id="rId95"/>
    <sheet name="445" sheetId="106" r:id="rId96"/>
    <sheet name="450" sheetId="107" r:id="rId97"/>
    <sheet name="Div 5" sheetId="48" r:id="rId98"/>
    <sheet name="501" sheetId="109" r:id="rId99"/>
    <sheet name="Dept" sheetId="110" state="hidden" r:id="rId100"/>
    <sheet name="OSR_Dept_Y0WUKY" sheetId="111" state="hidden" r:id="rId101"/>
    <sheet name="OSR_Summary (...56e5d78f_5JEYZH" sheetId="112" state="hidden" r:id="rId102"/>
  </sheets>
  <definedNames>
    <definedName name="OSRRefD13x_0" localSheetId="49">'300'!$D$13:$D$115</definedName>
    <definedName name="OSRRefD13x_0" localSheetId="50">'300 &amp; 317'!$D$13:$D$133</definedName>
    <definedName name="OSRRefD13x_0" localSheetId="54">'307'!$D$13:$D$51</definedName>
    <definedName name="OSRRefD13x_0" localSheetId="56">'308'!$D$13:$D$44</definedName>
    <definedName name="OSRRefD13x_0" localSheetId="68">'309'!$D$13:$D$14</definedName>
    <definedName name="OSRRefD13x_0" localSheetId="67">'310'!$D$13:$D$24</definedName>
    <definedName name="OSRRefD13x_0" localSheetId="75">'310 &amp; 491'!$D$13:$D$33</definedName>
    <definedName name="OSRRefD13x_0" localSheetId="57">'311'!$D$13:$D$42</definedName>
    <definedName name="OSRRefD13x_0" localSheetId="69">'313'!$D$13:$D$21</definedName>
    <definedName name="OSRRefD13x_0" localSheetId="55">'314'!$D$13:$D$33</definedName>
    <definedName name="OSRRefD13x_0" localSheetId="60">'315'!$D$13:$D$33</definedName>
    <definedName name="OSRRefD13x_0" localSheetId="63">'316'!$D$13:$D$27</definedName>
    <definedName name="OSRRefD13x_0" localSheetId="66">'317'!$D$13:$D$36</definedName>
    <definedName name="OSRRefD13x_0" localSheetId="64">'320'!$D$13:$D$18</definedName>
    <definedName name="OSRRefD13x_0" localSheetId="70">'321'!$D$13:$D$14</definedName>
    <definedName name="OSRRefD13x_0" localSheetId="71">'322'!$D$13:$D$14</definedName>
    <definedName name="OSRRefD13x_0" localSheetId="58">'324'!$D$13:$D$16</definedName>
    <definedName name="OSRRefD13x_0" localSheetId="72">'325'!$D$13:$D$14</definedName>
    <definedName name="OSRRefD13x_0" localSheetId="61">'326'!$D$13:$D$36</definedName>
    <definedName name="OSRRefD13x_0" localSheetId="73">'327'!$D$13</definedName>
    <definedName name="OSRRefD13x_0" localSheetId="53">'330'!$D$13:$D$55</definedName>
    <definedName name="OSRRefD13x_0" localSheetId="59">'331'!$D$13:$D$44</definedName>
    <definedName name="OSRRefD13x_0" localSheetId="62">'332'!$D$13:$D$33</definedName>
    <definedName name="OSRRefD13x_0" localSheetId="77">'405'!$D$13:$D$14</definedName>
    <definedName name="OSRRefD13x_0" localSheetId="78">'406'!$D$13:$D$14</definedName>
    <definedName name="OSRRefD13x_0" localSheetId="80">'412'!$D$13:$D$15</definedName>
    <definedName name="OSRRefD13x_0" localSheetId="82">'413'!$D$13:$D$14</definedName>
    <definedName name="OSRRefD13x_0" localSheetId="83">'414'!$D$13:$D$14</definedName>
    <definedName name="OSRRefD13x_0" localSheetId="84">'415'!$D$13:$D$14</definedName>
    <definedName name="OSRRefD13x_0" localSheetId="85">'418'!$D$13:$D$14</definedName>
    <definedName name="OSRRefD13x_0" localSheetId="81">'420'!$D$13:$D$14</definedName>
    <definedName name="OSRRefD13x_0" localSheetId="87">'424'!$D$13:$D$16</definedName>
    <definedName name="OSRRefD13x_0" localSheetId="88">'425'!$D$13:$D$17</definedName>
    <definedName name="OSRRefD13x_0" localSheetId="92">'433'!$D$13:$D$16</definedName>
    <definedName name="OSRRefD13x_0" localSheetId="93">'435'!$D$13:$D$15</definedName>
    <definedName name="OSRRefD13x_0" localSheetId="94">'444'!$D$13:$D$15</definedName>
    <definedName name="OSRRefD13x_0" localSheetId="96">'450'!$D$13:$D$15</definedName>
    <definedName name="OSRRefD13x_0" localSheetId="76">'491'!$D$13:$D$24</definedName>
    <definedName name="OSRRefD13x_0" localSheetId="90">'492'!$D$13:$D$18</definedName>
    <definedName name="OSRRefD13x_0" localSheetId="98">'501'!$D$13</definedName>
    <definedName name="OSRRefD13x_0" localSheetId="48">'Div 3'!$D$13:$D$118</definedName>
    <definedName name="OSRRefD13x_0" localSheetId="74">'Div 4'!$D$13:$D$25</definedName>
    <definedName name="OSRRefD13x_0" localSheetId="97">'Div 5'!$D$13</definedName>
    <definedName name="OSRRefD13x_0" localSheetId="65">'Div 6'!$D$13:$D$36</definedName>
    <definedName name="OSRRefD13x_0" localSheetId="2">Summary!$D$13:$D$146</definedName>
    <definedName name="OSRRefD16x_0" localSheetId="49">'300'!$D$118:$D$168</definedName>
    <definedName name="OSRRefD16x_0" localSheetId="50">'300 &amp; 317'!$D$136:$D$194</definedName>
    <definedName name="OSRRefD16x_0" localSheetId="51">'301'!$D$15</definedName>
    <definedName name="OSRRefD16x_0" localSheetId="54">'307'!$D$54:$D$74</definedName>
    <definedName name="OSRRefD16x_0" localSheetId="56">'308'!$D$47:$D$62</definedName>
    <definedName name="OSRRefD16x_0" localSheetId="68">'309'!$D$17:$D$18</definedName>
    <definedName name="OSRRefD16x_0" localSheetId="67">'310'!$D$27:$D$28</definedName>
    <definedName name="OSRRefD16x_0" localSheetId="75">'310 &amp; 491'!$D$36:$D$37</definedName>
    <definedName name="OSRRefD16x_0" localSheetId="57">'311'!$D$45:$D$60</definedName>
    <definedName name="OSRRefD16x_0" localSheetId="69">'313'!$D$24:$D$25</definedName>
    <definedName name="OSRRefD16x_0" localSheetId="55">'314'!$D$36:$D$50</definedName>
    <definedName name="OSRRefD16x_0" localSheetId="60">'315'!$D$36:$D$51</definedName>
    <definedName name="OSRRefD16x_0" localSheetId="66">'317'!$D$39:$D$53</definedName>
    <definedName name="OSRRefD16x_0" localSheetId="64">'320'!$D$21:$D$25</definedName>
    <definedName name="OSRRefD16x_0" localSheetId="70">'321'!$D$17:$D$18</definedName>
    <definedName name="OSRRefD16x_0" localSheetId="71">'322'!$D$17:$D$18</definedName>
    <definedName name="OSRRefD16x_0" localSheetId="58">'324'!$D$19:$D$20</definedName>
    <definedName name="OSRRefD16x_0" localSheetId="72">'325'!$D$17:$D$18</definedName>
    <definedName name="OSRRefD16x_0" localSheetId="61">'326'!$D$39:$D$56</definedName>
    <definedName name="OSRRefD16x_0" localSheetId="73">'327'!$D$16</definedName>
    <definedName name="OSRRefD16x_0" localSheetId="53">'330'!$D$58:$D$81</definedName>
    <definedName name="OSRRefD16x_0" localSheetId="59">'331'!$D$47:$D$70</definedName>
    <definedName name="OSRRefD16x_0" localSheetId="62">'332'!$D$36:$D$40</definedName>
    <definedName name="OSRRefD16x_0" localSheetId="77">'405'!$D$17:$D$18</definedName>
    <definedName name="OSRRefD16x_0" localSheetId="78">'406'!$D$17:$D$18</definedName>
    <definedName name="OSRRefD16x_0" localSheetId="80">'412'!$D$18:$D$19</definedName>
    <definedName name="OSRRefD16x_0" localSheetId="82">'413'!$D$17:$D$18</definedName>
    <definedName name="OSRRefD16x_0" localSheetId="83">'414'!$D$17:$D$18</definedName>
    <definedName name="OSRRefD16x_0" localSheetId="84">'415'!$D$17:$D$18</definedName>
    <definedName name="OSRRefD16x_0" localSheetId="85">'418'!$D$17:$D$18</definedName>
    <definedName name="OSRRefD16x_0" localSheetId="81">'420'!$D$17:$D$18</definedName>
    <definedName name="OSRRefD16x_0" localSheetId="86">'423'!$D$15</definedName>
    <definedName name="OSRRefD16x_0" localSheetId="87">'424'!$D$19:$D$20</definedName>
    <definedName name="OSRRefD16x_0" localSheetId="88">'425'!$D$20:$D$21</definedName>
    <definedName name="OSRRefD16x_0" localSheetId="92">'433'!$D$19:$D$20</definedName>
    <definedName name="OSRRefD16x_0" localSheetId="93">'435'!$D$18:$D$19</definedName>
    <definedName name="OSRRefD16x_0" localSheetId="94">'444'!$D$18:$D$19</definedName>
    <definedName name="OSRRefD16x_0" localSheetId="95">'445'!$D$15</definedName>
    <definedName name="OSRRefD16x_0" localSheetId="96">'450'!$D$18:$D$19</definedName>
    <definedName name="OSRRefD16x_0" localSheetId="76">'491'!$D$27:$D$28</definedName>
    <definedName name="OSRRefD16x_0" localSheetId="90">'492'!$D$21:$D$22</definedName>
    <definedName name="OSRRefD16x_0" localSheetId="48">'Div 3'!$D$121:$D$173</definedName>
    <definedName name="OSRRefD16x_0" localSheetId="74">'Div 4'!$D$28:$D$29</definedName>
    <definedName name="OSRRefD16x_0" localSheetId="65">'Div 6'!$D$39:$D$53</definedName>
    <definedName name="OSRRefD16x_0" localSheetId="2">Summary!$D$149:$D$209</definedName>
    <definedName name="OSRRefD22_0x_0" localSheetId="40">'200'!$D$20:$D$21</definedName>
    <definedName name="OSRRefD22_0x_0" localSheetId="41">'201'!$D$20:$D$28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9">'300'!$D$174:$D$182</definedName>
    <definedName name="OSRRefD22_0x_0" localSheetId="50">'300 &amp; 317'!$D$200:$D$208</definedName>
    <definedName name="OSRRefD22_0x_0" localSheetId="51">'301'!$D$21:$D$28</definedName>
    <definedName name="OSRRefD22_0x_0" localSheetId="52">'306'!$D$20:$D$28</definedName>
    <definedName name="OSRRefD22_0x_0" localSheetId="54">'307'!$D$80:$D$87</definedName>
    <definedName name="OSRRefD22_0x_0" localSheetId="56">'308'!$D$68:$D$76</definedName>
    <definedName name="OSRRefD22_0x_0" localSheetId="68">'309'!$D$24:$D$31</definedName>
    <definedName name="OSRRefD22_0x_0" localSheetId="67">'310'!$D$34:$D$41</definedName>
    <definedName name="OSRRefD22_0x_0" localSheetId="75">'310 &amp; 491'!$D$43:$D$51</definedName>
    <definedName name="OSRRefD22_0x_0" localSheetId="57">'311'!$D$66:$D$74</definedName>
    <definedName name="OSRRefD22_0x_0" localSheetId="69">'313'!$D$31:$D$38</definedName>
    <definedName name="OSRRefD22_0x_0" localSheetId="55">'314'!$D$56:$D$64</definedName>
    <definedName name="OSRRefD22_0x_0" localSheetId="60">'315'!$D$57:$D$64</definedName>
    <definedName name="OSRRefD22_0x_0" localSheetId="63">'316'!$D$35:$D$42</definedName>
    <definedName name="OSRRefD22_0x_0" localSheetId="66">'317'!$D$59:$D$67</definedName>
    <definedName name="OSRRefD22_0x_0" localSheetId="64">'320'!$D$31:$D$38</definedName>
    <definedName name="OSRRefD22_0x_0" localSheetId="70">'321'!$D$24:$D$30</definedName>
    <definedName name="OSRRefD22_0x_0" localSheetId="71">'322'!$D$24:$D$31</definedName>
    <definedName name="OSRRefD22_0x_0" localSheetId="58">'324'!$D$26</definedName>
    <definedName name="OSRRefD22_0x_0" localSheetId="72">'325'!$D$24:$D$31</definedName>
    <definedName name="OSRRefD22_0x_0" localSheetId="61">'326'!$D$62:$D$69</definedName>
    <definedName name="OSRRefD22_0x_0" localSheetId="73">'327'!$D$22</definedName>
    <definedName name="OSRRefD22_0x_0" localSheetId="53">'330'!$D$87:$D$95</definedName>
    <definedName name="OSRRefD22_0x_0" localSheetId="59">'331'!$D$76:$D$83</definedName>
    <definedName name="OSRRefD22_0x_0" localSheetId="62">'332'!$D$46:$D$53</definedName>
    <definedName name="OSRRefD22_0x_0" localSheetId="77">'405'!$D$24:$D$31</definedName>
    <definedName name="OSRRefD22_0x_0" localSheetId="78">'406'!$D$24:$D$31</definedName>
    <definedName name="OSRRefD22_0x_0" localSheetId="79">'411'!$D$20:$D$28</definedName>
    <definedName name="OSRRefD22_0x_0" localSheetId="80">'412'!$D$25:$D$32</definedName>
    <definedName name="OSRRefD22_0x_0" localSheetId="82">'413'!$D$24:$D$31</definedName>
    <definedName name="OSRRefD22_0x_0" localSheetId="83">'414'!$D$24:$D$31</definedName>
    <definedName name="OSRRefD22_0x_0" localSheetId="84">'415'!$D$24:$D$31</definedName>
    <definedName name="OSRRefD22_0x_0" localSheetId="85">'418'!$D$24:$D$31</definedName>
    <definedName name="OSRRefD22_0x_0" localSheetId="81">'420'!$D$24:$D$31</definedName>
    <definedName name="OSRRefD22_0x_0" localSheetId="86">'423'!$D$21:$D$28</definedName>
    <definedName name="OSRRefD22_0x_0" localSheetId="87">'424'!$D$26:$D$28</definedName>
    <definedName name="OSRRefD22_0x_0" localSheetId="88">'425'!$D$27:$D$35</definedName>
    <definedName name="OSRRefD22_0x_0" localSheetId="91">'430'!$D$20:$D$27</definedName>
    <definedName name="OSRRefD22_0x_0" localSheetId="92">'433'!$D$26:$D$34</definedName>
    <definedName name="OSRRefD22_0x_0" localSheetId="93">'435'!$D$25:$D$27</definedName>
    <definedName name="OSRRefD22_0x_0" localSheetId="94">'444'!$D$25:$D$33</definedName>
    <definedName name="OSRRefD22_0x_0" localSheetId="95">'445'!$D$21</definedName>
    <definedName name="OSRRefD22_0x_0" localSheetId="96">'450'!$D$25:$D$33</definedName>
    <definedName name="OSRRefD22_0x_0" localSheetId="89">'455'!$D$20:$D$26</definedName>
    <definedName name="OSRRefD22_0x_0" localSheetId="76">'491'!$D$34:$D$42</definedName>
    <definedName name="OSRRefD22_0x_0" localSheetId="90">'492'!$D$28:$D$36</definedName>
    <definedName name="OSRRefD22_0x_0" localSheetId="98">'501'!$D$21:$D$28</definedName>
    <definedName name="OSRRefD22_0x_0" localSheetId="39">'Div 2'!$D$20:$D$30</definedName>
    <definedName name="OSRRefD22_0x_0" localSheetId="48">'Div 3'!$D$179:$D$187</definedName>
    <definedName name="OSRRefD22_0x_0" localSheetId="74">'Div 4'!$D$35:$D$43</definedName>
    <definedName name="OSRRefD22_0x_0" localSheetId="97">'Div 5'!$D$21:$D$28</definedName>
    <definedName name="OSRRefD22_0x_0" localSheetId="65">'Div 6'!$D$59:$D$67</definedName>
    <definedName name="OSRRefD22_0x_0" localSheetId="2">Summary!$D$215:$D$223</definedName>
    <definedName name="OSRRefD22_10x_0" localSheetId="41">'201'!$D$50:$D$52</definedName>
    <definedName name="OSRRefD22_10x_0" localSheetId="42">'202'!$D$52:$D$54</definedName>
    <definedName name="OSRRefD22_10x_0" localSheetId="43">'203'!$D$55:$D$56</definedName>
    <definedName name="OSRRefD22_10x_0" localSheetId="44">'204'!$D$60</definedName>
    <definedName name="OSRRefD22_10x_0" localSheetId="49">'300'!$D$211:$D$212</definedName>
    <definedName name="OSRRefD22_10x_0" localSheetId="50">'300 &amp; 317'!$D$237:$D$238</definedName>
    <definedName name="OSRRefD22_10x_0" localSheetId="51">'301'!$D$57</definedName>
    <definedName name="OSRRefD22_10x_0" localSheetId="52">'306'!$D$58</definedName>
    <definedName name="OSRRefD22_10x_0" localSheetId="54">'307'!$D$133:$D$134</definedName>
    <definedName name="OSRRefD22_10x_0" localSheetId="56">'308'!$D$112:$D$113</definedName>
    <definedName name="OSRRefD22_10x_0" localSheetId="68">'309'!$D$56:$D$58</definedName>
    <definedName name="OSRRefD22_10x_0" localSheetId="67">'310'!$D$68</definedName>
    <definedName name="OSRRefD22_10x_0" localSheetId="75">'310 &amp; 491'!$D$79:$D$80</definedName>
    <definedName name="OSRRefD22_10x_0" localSheetId="57">'311'!$D$110:$D$111</definedName>
    <definedName name="OSRRefD22_10x_0" localSheetId="69">'313'!$D$66:$D$67</definedName>
    <definedName name="OSRRefD22_10x_0" localSheetId="55">'314'!$D$98</definedName>
    <definedName name="OSRRefD22_10x_0" localSheetId="60">'315'!$D$99:$D$100</definedName>
    <definedName name="OSRRefD22_10x_0" localSheetId="63">'316'!$D$67:$D$71</definedName>
    <definedName name="OSRRefD22_10x_0" localSheetId="66">'317'!$D$99</definedName>
    <definedName name="OSRRefD22_10x_0" localSheetId="70">'321'!$D$58:$D$63</definedName>
    <definedName name="OSRRefD22_10x_0" localSheetId="71">'322'!$D$55</definedName>
    <definedName name="OSRRefD22_10x_0" localSheetId="72">'325'!$D$57</definedName>
    <definedName name="OSRRefD22_10x_0" localSheetId="61">'326'!$D$93:$D$107</definedName>
    <definedName name="OSRRefD22_10x_0" localSheetId="53">'330'!$D$141</definedName>
    <definedName name="OSRRefD22_10x_0" localSheetId="59">'331'!$D$110</definedName>
    <definedName name="OSRRefD22_10x_0" localSheetId="62">'332'!$D$82</definedName>
    <definedName name="OSRRefD22_10x_0" localSheetId="77">'405'!$D$56:$D$57</definedName>
    <definedName name="OSRRefD22_10x_0" localSheetId="78">'406'!$D$58:$D$59</definedName>
    <definedName name="OSRRefD22_10x_0" localSheetId="79">'411'!$D$55</definedName>
    <definedName name="OSRRefD22_10x_0" localSheetId="80">'412'!$D$59</definedName>
    <definedName name="OSRRefD22_10x_0" localSheetId="82">'413'!$D$59:$D$64</definedName>
    <definedName name="OSRRefD22_10x_0" localSheetId="83">'414'!$D$57</definedName>
    <definedName name="OSRRefD22_10x_0" localSheetId="84">'415'!$D$57</definedName>
    <definedName name="OSRRefD22_10x_0" localSheetId="85">'418'!$D$57</definedName>
    <definedName name="OSRRefD22_10x_0" localSheetId="87">'424'!$D$53</definedName>
    <definedName name="OSRRefD22_10x_0" localSheetId="88">'425'!$D$62</definedName>
    <definedName name="OSRRefD22_10x_0" localSheetId="92">'433'!$D$59:$D$61</definedName>
    <definedName name="OSRRefD22_10x_0" localSheetId="94">'444'!$D$58</definedName>
    <definedName name="OSRRefD22_10x_0" localSheetId="96">'450'!$D$58</definedName>
    <definedName name="OSRRefD22_10x_0" localSheetId="76">'491'!$D$70</definedName>
    <definedName name="OSRRefD22_10x_0" localSheetId="90">'492'!$D$62</definedName>
    <definedName name="OSRRefD22_10x_0" localSheetId="98">'501'!$D$54:$D$56</definedName>
    <definedName name="OSRRefD22_10x_0" localSheetId="39">'Div 2'!$D$57</definedName>
    <definedName name="OSRRefD22_10x_0" localSheetId="48">'Div 3'!$D$216:$D$217</definedName>
    <definedName name="OSRRefD22_10x_0" localSheetId="74">'Div 4'!$D$71</definedName>
    <definedName name="OSRRefD22_10x_0" localSheetId="97">'Div 5'!$D$54:$D$56</definedName>
    <definedName name="OSRRefD22_10x_0" localSheetId="65">'Div 6'!$D$99</definedName>
    <definedName name="OSRRefD22_10x_0" localSheetId="2">Summary!$D$253:$D$254</definedName>
    <definedName name="OSRRefD22_11x_0" localSheetId="41">'201'!$D$54:$D$56</definedName>
    <definedName name="OSRRefD22_11x_0" localSheetId="42">'202'!$D$56</definedName>
    <definedName name="OSRRefD22_11x_0" localSheetId="43">'203'!$D$58:$D$59</definedName>
    <definedName name="OSRRefD22_11x_0" localSheetId="44">'204'!$D$62:$D$63</definedName>
    <definedName name="OSRRefD22_11x_0" localSheetId="49">'300'!$D$214</definedName>
    <definedName name="OSRRefD22_11x_0" localSheetId="50">'300 &amp; 317'!$D$240</definedName>
    <definedName name="OSRRefD22_11x_0" localSheetId="51">'301'!$D$59</definedName>
    <definedName name="OSRRefD22_11x_0" localSheetId="54">'307'!$D$136:$D$138</definedName>
    <definedName name="OSRRefD22_11x_0" localSheetId="56">'308'!$D$115:$D$118</definedName>
    <definedName name="OSRRefD22_11x_0" localSheetId="68">'309'!$D$60</definedName>
    <definedName name="OSRRefD22_11x_0" localSheetId="67">'310'!$D$70</definedName>
    <definedName name="OSRRefD22_11x_0" localSheetId="75">'310 &amp; 491'!$D$82:$D$83</definedName>
    <definedName name="OSRRefD22_11x_0" localSheetId="57">'311'!$D$113:$D$116</definedName>
    <definedName name="OSRRefD22_11x_0" localSheetId="69">'313'!$D$69:$D$70</definedName>
    <definedName name="OSRRefD22_11x_0" localSheetId="55">'314'!$D$100</definedName>
    <definedName name="OSRRefD22_11x_0" localSheetId="60">'315'!$D$102:$D$103</definedName>
    <definedName name="OSRRefD22_11x_0" localSheetId="63">'316'!$D$73</definedName>
    <definedName name="OSRRefD22_11x_0" localSheetId="66">'317'!$D$101</definedName>
    <definedName name="OSRRefD22_11x_0" localSheetId="70">'321'!$D$65</definedName>
    <definedName name="OSRRefD22_11x_0" localSheetId="71">'322'!$D$57:$D$58</definedName>
    <definedName name="OSRRefD22_11x_0" localSheetId="72">'325'!$D$59:$D$61</definedName>
    <definedName name="OSRRefD22_11x_0" localSheetId="61">'326'!$D$109</definedName>
    <definedName name="OSRRefD22_11x_0" localSheetId="53">'330'!$D$143:$D$144</definedName>
    <definedName name="OSRRefD22_11x_0" localSheetId="59">'331'!$D$112:$D$126</definedName>
    <definedName name="OSRRefD22_11x_0" localSheetId="62">'332'!$D$84:$D$88</definedName>
    <definedName name="OSRRefD22_11x_0" localSheetId="77">'405'!$D$59</definedName>
    <definedName name="OSRRefD22_11x_0" localSheetId="78">'406'!$D$61:$D$66</definedName>
    <definedName name="OSRRefD22_11x_0" localSheetId="79">'411'!$D$57</definedName>
    <definedName name="OSRRefD22_11x_0" localSheetId="80">'412'!$D$61:$D$63</definedName>
    <definedName name="OSRRefD22_11x_0" localSheetId="82">'413'!$D$66</definedName>
    <definedName name="OSRRefD22_11x_0" localSheetId="83">'414'!$D$59</definedName>
    <definedName name="OSRRefD22_11x_0" localSheetId="84">'415'!$D$59:$D$62</definedName>
    <definedName name="OSRRefD22_11x_0" localSheetId="85">'418'!$D$59:$D$60</definedName>
    <definedName name="OSRRefD22_11x_0" localSheetId="87">'424'!$D$55</definedName>
    <definedName name="OSRRefD22_11x_0" localSheetId="88">'425'!$D$64:$D$66</definedName>
    <definedName name="OSRRefD22_11x_0" localSheetId="92">'433'!$D$63:$D$65</definedName>
    <definedName name="OSRRefD22_11x_0" localSheetId="94">'444'!$D$60:$D$62</definedName>
    <definedName name="OSRRefD22_11x_0" localSheetId="96">'450'!$D$60</definedName>
    <definedName name="OSRRefD22_11x_0" localSheetId="76">'491'!$D$72:$D$73</definedName>
    <definedName name="OSRRefD22_11x_0" localSheetId="90">'492'!$D$64</definedName>
    <definedName name="OSRRefD22_11x_0" localSheetId="98">'501'!$D$58</definedName>
    <definedName name="OSRRefD22_11x_0" localSheetId="39">'Div 2'!$D$59</definedName>
    <definedName name="OSRRefD22_11x_0" localSheetId="48">'Div 3'!$D$219</definedName>
    <definedName name="OSRRefD22_11x_0" localSheetId="74">'Div 4'!$D$73:$D$74</definedName>
    <definedName name="OSRRefD22_11x_0" localSheetId="97">'Div 5'!$D$58</definedName>
    <definedName name="OSRRefD22_11x_0" localSheetId="65">'Div 6'!$D$101</definedName>
    <definedName name="OSRRefD22_11x_0" localSheetId="2">Summary!$D$256:$D$257</definedName>
    <definedName name="OSRRefD22_12x_0" localSheetId="41">'201'!$D$58</definedName>
    <definedName name="OSRRefD22_12x_0" localSheetId="42">'202'!$D$58</definedName>
    <definedName name="OSRRefD22_12x_0" localSheetId="43">'203'!$D$61:$D$64</definedName>
    <definedName name="OSRRefD22_12x_0" localSheetId="49">'300'!$D$216</definedName>
    <definedName name="OSRRefD22_12x_0" localSheetId="50">'300 &amp; 317'!$D$242</definedName>
    <definedName name="OSRRefD22_12x_0" localSheetId="51">'301'!$D$61</definedName>
    <definedName name="OSRRefD22_12x_0" localSheetId="54">'307'!$D$140</definedName>
    <definedName name="OSRRefD22_12x_0" localSheetId="56">'308'!$D$120:$D$121</definedName>
    <definedName name="OSRRefD22_12x_0" localSheetId="68">'309'!$D$62:$D$68</definedName>
    <definedName name="OSRRefD22_12x_0" localSheetId="67">'310'!$D$72</definedName>
    <definedName name="OSRRefD22_12x_0" localSheetId="75">'310 &amp; 491'!$D$85</definedName>
    <definedName name="OSRRefD22_12x_0" localSheetId="57">'311'!$D$118:$D$119</definedName>
    <definedName name="OSRRefD22_12x_0" localSheetId="69">'313'!$D$72:$D$77</definedName>
    <definedName name="OSRRefD22_12x_0" localSheetId="60">'315'!$D$105:$D$109</definedName>
    <definedName name="OSRRefD22_12x_0" localSheetId="63">'316'!$D$75</definedName>
    <definedName name="OSRRefD22_12x_0" localSheetId="66">'317'!$D$103:$D$104</definedName>
    <definedName name="OSRRefD22_12x_0" localSheetId="70">'321'!$D$67</definedName>
    <definedName name="OSRRefD22_12x_0" localSheetId="71">'322'!$D$60:$D$62</definedName>
    <definedName name="OSRRefD22_12x_0" localSheetId="72">'325'!$D$63:$D$66</definedName>
    <definedName name="OSRRefD22_12x_0" localSheetId="61">'326'!$D$111</definedName>
    <definedName name="OSRRefD22_12x_0" localSheetId="53">'330'!$D$146:$D$147</definedName>
    <definedName name="OSRRefD22_12x_0" localSheetId="59">'331'!$D$128</definedName>
    <definedName name="OSRRefD22_12x_0" localSheetId="62">'332'!$D$90</definedName>
    <definedName name="OSRRefD22_12x_0" localSheetId="77">'405'!$D$61:$D$63</definedName>
    <definedName name="OSRRefD22_12x_0" localSheetId="78">'406'!$D$68</definedName>
    <definedName name="OSRRefD22_12x_0" localSheetId="79">'411'!$D$59:$D$62</definedName>
    <definedName name="OSRRefD22_12x_0" localSheetId="80">'412'!$D$65:$D$72</definedName>
    <definedName name="OSRRefD22_12x_0" localSheetId="82">'413'!$D$68</definedName>
    <definedName name="OSRRefD22_12x_0" localSheetId="83">'414'!$D$61</definedName>
    <definedName name="OSRRefD22_12x_0" localSheetId="84">'415'!$D$64:$D$68</definedName>
    <definedName name="OSRRefD22_12x_0" localSheetId="85">'418'!$D$62:$D$64</definedName>
    <definedName name="OSRRefD22_12x_0" localSheetId="87">'424'!$D$57:$D$63</definedName>
    <definedName name="OSRRefD22_12x_0" localSheetId="88">'425'!$D$68:$D$74</definedName>
    <definedName name="OSRRefD22_12x_0" localSheetId="92">'433'!$D$67:$D$74</definedName>
    <definedName name="OSRRefD22_12x_0" localSheetId="94">'444'!$D$64:$D$66</definedName>
    <definedName name="OSRRefD22_12x_0" localSheetId="96">'450'!$D$62:$D$64</definedName>
    <definedName name="OSRRefD22_12x_0" localSheetId="76">'491'!$D$75</definedName>
    <definedName name="OSRRefD22_12x_0" localSheetId="90">'492'!$D$66</definedName>
    <definedName name="OSRRefD22_12x_0" localSheetId="98">'501'!$D$60:$D$63</definedName>
    <definedName name="OSRRefD22_12x_0" localSheetId="39">'Div 2'!$D$61:$D$64</definedName>
    <definedName name="OSRRefD22_12x_0" localSheetId="48">'Div 3'!$D$221</definedName>
    <definedName name="OSRRefD22_12x_0" localSheetId="74">'Div 4'!$D$76</definedName>
    <definedName name="OSRRefD22_12x_0" localSheetId="97">'Div 5'!$D$60:$D$63</definedName>
    <definedName name="OSRRefD22_12x_0" localSheetId="65">'Div 6'!$D$103:$D$104</definedName>
    <definedName name="OSRRefD22_12x_0" localSheetId="2">Summary!$D$259</definedName>
    <definedName name="OSRRefD22_13x_0" localSheetId="41">'201'!$D$60:$D$63</definedName>
    <definedName name="OSRRefD22_13x_0" localSheetId="42">'202'!$D$60:$D$62</definedName>
    <definedName name="OSRRefD22_13x_0" localSheetId="43">'203'!$D$66</definedName>
    <definedName name="OSRRefD22_13x_0" localSheetId="49">'300'!$D$218:$D$251</definedName>
    <definedName name="OSRRefD22_13x_0" localSheetId="50">'300 &amp; 317'!$D$244:$D$280</definedName>
    <definedName name="OSRRefD22_13x_0" localSheetId="51">'301'!$D$63</definedName>
    <definedName name="OSRRefD22_13x_0" localSheetId="54">'307'!$D$142</definedName>
    <definedName name="OSRRefD22_13x_0" localSheetId="56">'308'!$D$123</definedName>
    <definedName name="OSRRefD22_13x_0" localSheetId="68">'309'!$D$70</definedName>
    <definedName name="OSRRefD22_13x_0" localSheetId="67">'310'!$D$74</definedName>
    <definedName name="OSRRefD22_13x_0" localSheetId="75">'310 &amp; 491'!$D$87</definedName>
    <definedName name="OSRRefD22_13x_0" localSheetId="57">'311'!$D$121</definedName>
    <definedName name="OSRRefD22_13x_0" localSheetId="69">'313'!$D$79</definedName>
    <definedName name="OSRRefD22_13x_0" localSheetId="60">'315'!$D$111</definedName>
    <definedName name="OSRRefD22_13x_0" localSheetId="66">'317'!$D$106</definedName>
    <definedName name="OSRRefD22_13x_0" localSheetId="70">'321'!$D$69</definedName>
    <definedName name="OSRRefD22_13x_0" localSheetId="71">'322'!$D$64</definedName>
    <definedName name="OSRRefD22_13x_0" localSheetId="72">'325'!$D$68:$D$69</definedName>
    <definedName name="OSRRefD22_13x_0" localSheetId="61">'326'!$D$113:$D$114</definedName>
    <definedName name="OSRRefD22_13x_0" localSheetId="53">'330'!$D$149</definedName>
    <definedName name="OSRRefD22_13x_0" localSheetId="59">'331'!$D$130</definedName>
    <definedName name="OSRRefD22_13x_0" localSheetId="62">'332'!$D$92</definedName>
    <definedName name="OSRRefD22_13x_0" localSheetId="77">'405'!$D$65:$D$66</definedName>
    <definedName name="OSRRefD22_13x_0" localSheetId="78">'406'!$D$70</definedName>
    <definedName name="OSRRefD22_13x_0" localSheetId="79">'411'!$D$64:$D$68</definedName>
    <definedName name="OSRRefD22_13x_0" localSheetId="80">'412'!$D$74</definedName>
    <definedName name="OSRRefD22_13x_0" localSheetId="82">'413'!$D$70</definedName>
    <definedName name="OSRRefD22_13x_0" localSheetId="83">'414'!$D$63:$D$69</definedName>
    <definedName name="OSRRefD22_13x_0" localSheetId="84">'415'!$D$70:$D$71</definedName>
    <definedName name="OSRRefD22_13x_0" localSheetId="85">'418'!$D$66:$D$68</definedName>
    <definedName name="OSRRefD22_13x_0" localSheetId="87">'424'!$D$65</definedName>
    <definedName name="OSRRefD22_13x_0" localSheetId="88">'425'!$D$76</definedName>
    <definedName name="OSRRefD22_13x_0" localSheetId="92">'433'!$D$76</definedName>
    <definedName name="OSRRefD22_13x_0" localSheetId="94">'444'!$D$68:$D$75</definedName>
    <definedName name="OSRRefD22_13x_0" localSheetId="96">'450'!$D$66:$D$68</definedName>
    <definedName name="OSRRefD22_13x_0" localSheetId="76">'491'!$D$77</definedName>
    <definedName name="OSRRefD22_13x_0" localSheetId="90">'492'!$D$68:$D$70</definedName>
    <definedName name="OSRRefD22_13x_0" localSheetId="98">'501'!$D$65</definedName>
    <definedName name="OSRRefD22_13x_0" localSheetId="39">'Div 2'!$D$66:$D$69</definedName>
    <definedName name="OSRRefD22_13x_0" localSheetId="48">'Div 3'!$D$223</definedName>
    <definedName name="OSRRefD22_13x_0" localSheetId="74">'Div 4'!$D$78</definedName>
    <definedName name="OSRRefD22_13x_0" localSheetId="97">'Div 5'!$D$65</definedName>
    <definedName name="OSRRefD22_13x_0" localSheetId="65">'Div 6'!$D$106</definedName>
    <definedName name="OSRRefD22_13x_0" localSheetId="2">Summary!$D$261</definedName>
    <definedName name="OSRRefD22_14x_0" localSheetId="41">'201'!$D$65</definedName>
    <definedName name="OSRRefD22_14x_0" localSheetId="42">'202'!$D$64</definedName>
    <definedName name="OSRRefD22_14x_0" localSheetId="43">'203'!$D$68</definedName>
    <definedName name="OSRRefD22_14x_0" localSheetId="49">'300'!$D$253</definedName>
    <definedName name="OSRRefD22_14x_0" localSheetId="50">'300 &amp; 317'!$D$282</definedName>
    <definedName name="OSRRefD22_14x_0" localSheetId="51">'301'!$D$65</definedName>
    <definedName name="OSRRefD22_14x_0" localSheetId="54">'307'!$D$144</definedName>
    <definedName name="OSRRefD22_14x_0" localSheetId="56">'308'!$D$125</definedName>
    <definedName name="OSRRefD22_14x_0" localSheetId="67">'310'!$D$76:$D$78</definedName>
    <definedName name="OSRRefD22_14x_0" localSheetId="75">'310 &amp; 491'!$D$89</definedName>
    <definedName name="OSRRefD22_14x_0" localSheetId="57">'311'!$D$123</definedName>
    <definedName name="OSRRefD22_14x_0" localSheetId="69">'313'!$D$81</definedName>
    <definedName name="OSRRefD22_14x_0" localSheetId="60">'315'!$D$113</definedName>
    <definedName name="OSRRefD22_14x_0" localSheetId="66">'317'!$D$108</definedName>
    <definedName name="OSRRefD22_14x_0" localSheetId="71">'322'!$D$66:$D$72</definedName>
    <definedName name="OSRRefD22_14x_0" localSheetId="72">'325'!$D$71:$D$76</definedName>
    <definedName name="OSRRefD22_14x_0" localSheetId="61">'326'!$D$116:$D$118</definedName>
    <definedName name="OSRRefD22_14x_0" localSheetId="53">'330'!$D$151:$D$153</definedName>
    <definedName name="OSRRefD22_14x_0" localSheetId="59">'331'!$D$132:$D$134</definedName>
    <definedName name="OSRRefD22_14x_0" localSheetId="77">'405'!$D$68:$D$74</definedName>
    <definedName name="OSRRefD22_14x_0" localSheetId="78">'406'!$D$72:$D$73</definedName>
    <definedName name="OSRRefD22_14x_0" localSheetId="79">'411'!$D$70:$D$71</definedName>
    <definedName name="OSRRefD22_14x_0" localSheetId="80">'412'!$D$76</definedName>
    <definedName name="OSRRefD22_14x_0" localSheetId="83">'414'!$D$71</definedName>
    <definedName name="OSRRefD22_14x_0" localSheetId="84">'415'!$D$73:$D$81</definedName>
    <definedName name="OSRRefD22_14x_0" localSheetId="85">'418'!$D$70:$D$71</definedName>
    <definedName name="OSRRefD22_14x_0" localSheetId="88">'425'!$D$78</definedName>
    <definedName name="OSRRefD22_14x_0" localSheetId="92">'433'!$D$78</definedName>
    <definedName name="OSRRefD22_14x_0" localSheetId="94">'444'!$D$77</definedName>
    <definedName name="OSRRefD22_14x_0" localSheetId="96">'450'!$D$70:$D$76</definedName>
    <definedName name="OSRRefD22_14x_0" localSheetId="76">'491'!$D$79</definedName>
    <definedName name="OSRRefD22_14x_0" localSheetId="90">'492'!$D$72:$D$74</definedName>
    <definedName name="OSRRefD22_14x_0" localSheetId="98">'501'!$D$67</definedName>
    <definedName name="OSRRefD22_14x_0" localSheetId="39">'Div 2'!$D$71:$D$72</definedName>
    <definedName name="OSRRefD22_14x_0" localSheetId="48">'Div 3'!$D$225:$D$258</definedName>
    <definedName name="OSRRefD22_14x_0" localSheetId="74">'Div 4'!$D$80</definedName>
    <definedName name="OSRRefD22_14x_0" localSheetId="97">'Div 5'!$D$67</definedName>
    <definedName name="OSRRefD22_14x_0" localSheetId="65">'Div 6'!$D$108</definedName>
    <definedName name="OSRRefD22_14x_0" localSheetId="2">Summary!$D$263:$D$299</definedName>
    <definedName name="OSRRefD22_15x_0" localSheetId="41">'201'!$D$67</definedName>
    <definedName name="OSRRefD22_15x_0" localSheetId="42">'202'!$D$66</definedName>
    <definedName name="OSRRefD22_15x_0" localSheetId="43">'203'!$D$70</definedName>
    <definedName name="OSRRefD22_15x_0" localSheetId="49">'300'!$D$255</definedName>
    <definedName name="OSRRefD22_15x_0" localSheetId="50">'300 &amp; 317'!$D$284</definedName>
    <definedName name="OSRRefD22_15x_0" localSheetId="51">'301'!$D$67</definedName>
    <definedName name="OSRRefD22_15x_0" localSheetId="67">'310'!$D$80</definedName>
    <definedName name="OSRRefD22_15x_0" localSheetId="75">'310 &amp; 491'!$D$91</definedName>
    <definedName name="OSRRefD22_15x_0" localSheetId="60">'315'!$D$115:$D$116</definedName>
    <definedName name="OSRRefD22_15x_0" localSheetId="66">'317'!$D$110:$D$111</definedName>
    <definedName name="OSRRefD22_15x_0" localSheetId="71">'322'!$D$74</definedName>
    <definedName name="OSRRefD22_15x_0" localSheetId="72">'325'!$D$78</definedName>
    <definedName name="OSRRefD22_15x_0" localSheetId="61">'326'!$D$120:$D$121</definedName>
    <definedName name="OSRRefD22_15x_0" localSheetId="53">'330'!$D$155</definedName>
    <definedName name="OSRRefD22_15x_0" localSheetId="59">'331'!$D$136:$D$137</definedName>
    <definedName name="OSRRefD22_15x_0" localSheetId="77">'405'!$D$76</definedName>
    <definedName name="OSRRefD22_15x_0" localSheetId="79">'411'!$D$73:$D$81</definedName>
    <definedName name="OSRRefD22_15x_0" localSheetId="83">'414'!$D$73</definedName>
    <definedName name="OSRRefD22_15x_0" localSheetId="84">'415'!$D$83</definedName>
    <definedName name="OSRRefD22_15x_0" localSheetId="85">'418'!$D$73:$D$80</definedName>
    <definedName name="OSRRefD22_15x_0" localSheetId="88">'425'!$D$80:$D$81</definedName>
    <definedName name="OSRRefD22_15x_0" localSheetId="92">'433'!$D$80:$D$81</definedName>
    <definedName name="OSRRefD22_15x_0" localSheetId="94">'444'!$D$79</definedName>
    <definedName name="OSRRefD22_15x_0" localSheetId="96">'450'!$D$78</definedName>
    <definedName name="OSRRefD22_15x_0" localSheetId="76">'491'!$D$81</definedName>
    <definedName name="OSRRefD22_15x_0" localSheetId="90">'492'!$D$76:$D$84</definedName>
    <definedName name="OSRRefD22_15x_0" localSheetId="39">'Div 2'!$D$74:$D$75</definedName>
    <definedName name="OSRRefD22_15x_0" localSheetId="48">'Div 3'!$D$260</definedName>
    <definedName name="OSRRefD22_15x_0" localSheetId="74">'Div 4'!$D$82</definedName>
    <definedName name="OSRRefD22_15x_0" localSheetId="65">'Div 6'!$D$110:$D$111</definedName>
    <definedName name="OSRRefD22_15x_0" localSheetId="2">Summary!$D$301</definedName>
    <definedName name="OSRRefD22_16x_0" localSheetId="41">'201'!$D$69:$D$70</definedName>
    <definedName name="OSRRefD22_16x_0" localSheetId="42">'202'!$D$68:$D$69</definedName>
    <definedName name="OSRRefD22_16x_0" localSheetId="49">'300'!$D$257:$D$260</definedName>
    <definedName name="OSRRefD22_16x_0" localSheetId="50">'300 &amp; 317'!$D$286:$D$289</definedName>
    <definedName name="OSRRefD22_16x_0" localSheetId="51">'301'!$D$69:$D$72</definedName>
    <definedName name="OSRRefD22_16x_0" localSheetId="67">'310'!$D$82:$D$85</definedName>
    <definedName name="OSRRefD22_16x_0" localSheetId="75">'310 &amp; 491'!$D$93:$D$96</definedName>
    <definedName name="OSRRefD22_16x_0" localSheetId="71">'322'!$D$76</definedName>
    <definedName name="OSRRefD22_16x_0" localSheetId="72">'325'!$D$80</definedName>
    <definedName name="OSRRefD22_16x_0" localSheetId="61">'326'!$D$123:$D$127</definedName>
    <definedName name="OSRRefD22_16x_0" localSheetId="53">'330'!$D$157</definedName>
    <definedName name="OSRRefD22_16x_0" localSheetId="59">'331'!$D$139:$D$141</definedName>
    <definedName name="OSRRefD22_16x_0" localSheetId="77">'405'!$D$78</definedName>
    <definedName name="OSRRefD22_16x_0" localSheetId="79">'411'!$D$83</definedName>
    <definedName name="OSRRefD22_16x_0" localSheetId="84">'415'!$D$85</definedName>
    <definedName name="OSRRefD22_16x_0" localSheetId="85">'418'!$D$82</definedName>
    <definedName name="OSRRefD22_16x_0" localSheetId="94">'444'!$D$81</definedName>
    <definedName name="OSRRefD22_16x_0" localSheetId="96">'450'!$D$80</definedName>
    <definedName name="OSRRefD22_16x_0" localSheetId="76">'491'!$D$83:$D$86</definedName>
    <definedName name="OSRRefD22_16x_0" localSheetId="90">'492'!$D$86</definedName>
    <definedName name="OSRRefD22_16x_0" localSheetId="39">'Div 2'!$D$77:$D$81</definedName>
    <definedName name="OSRRefD22_16x_0" localSheetId="48">'Div 3'!$D$262</definedName>
    <definedName name="OSRRefD22_16x_0" localSheetId="74">'Div 4'!$D$84</definedName>
    <definedName name="OSRRefD22_16x_0" localSheetId="2">Summary!$D$303</definedName>
    <definedName name="OSRRefD22_17x_0" localSheetId="49">'300'!$D$262:$D$264</definedName>
    <definedName name="OSRRefD22_17x_0" localSheetId="50">'300 &amp; 317'!$D$291:$D$293</definedName>
    <definedName name="OSRRefD22_17x_0" localSheetId="51">'301'!$D$74</definedName>
    <definedName name="OSRRefD22_17x_0" localSheetId="67">'310'!$D$87:$D$88</definedName>
    <definedName name="OSRRefD22_17x_0" localSheetId="75">'310 &amp; 491'!$D$98:$D$99</definedName>
    <definedName name="OSRRefD22_17x_0" localSheetId="71">'322'!$D$78</definedName>
    <definedName name="OSRRefD22_17x_0" localSheetId="72">'325'!$D$82</definedName>
    <definedName name="OSRRefD22_17x_0" localSheetId="61">'326'!$D$129</definedName>
    <definedName name="OSRRefD22_17x_0" localSheetId="53">'330'!$D$159</definedName>
    <definedName name="OSRRefD22_17x_0" localSheetId="59">'331'!$D$143:$D$144</definedName>
    <definedName name="OSRRefD22_17x_0" localSheetId="77">'405'!$D$80</definedName>
    <definedName name="OSRRefD22_17x_0" localSheetId="79">'411'!$D$85</definedName>
    <definedName name="OSRRefD22_17x_0" localSheetId="84">'415'!$D$87</definedName>
    <definedName name="OSRRefD22_17x_0" localSheetId="85">'418'!$D$84</definedName>
    <definedName name="OSRRefD22_17x_0" localSheetId="96">'450'!$D$82:$D$83</definedName>
    <definedName name="OSRRefD22_17x_0" localSheetId="76">'491'!$D$88:$D$89</definedName>
    <definedName name="OSRRefD22_17x_0" localSheetId="90">'492'!$D$88</definedName>
    <definedName name="OSRRefD22_17x_0" localSheetId="39">'Div 2'!$D$83:$D$84</definedName>
    <definedName name="OSRRefD22_17x_0" localSheetId="48">'Div 3'!$D$264:$D$267</definedName>
    <definedName name="OSRRefD22_17x_0" localSheetId="74">'Div 4'!$D$86:$D$89</definedName>
    <definedName name="OSRRefD22_17x_0" localSheetId="2">Summary!$D$305</definedName>
    <definedName name="OSRRefD22_18x_0" localSheetId="49">'300'!$D$266:$D$269</definedName>
    <definedName name="OSRRefD22_18x_0" localSheetId="50">'300 &amp; 317'!$D$295:$D$298</definedName>
    <definedName name="OSRRefD22_18x_0" localSheetId="51">'301'!$D$76:$D$78</definedName>
    <definedName name="OSRRefD22_18x_0" localSheetId="67">'310'!$D$90:$D$97</definedName>
    <definedName name="OSRRefD22_18x_0" localSheetId="75">'310 &amp; 491'!$D$101:$D$105</definedName>
    <definedName name="OSRRefD22_18x_0" localSheetId="61">'326'!$D$131</definedName>
    <definedName name="OSRRefD22_18x_0" localSheetId="59">'331'!$D$146:$D$151</definedName>
    <definedName name="OSRRefD22_18x_0" localSheetId="77">'405'!$D$82</definedName>
    <definedName name="OSRRefD22_18x_0" localSheetId="79">'411'!$D$87:$D$89</definedName>
    <definedName name="OSRRefD22_18x_0" localSheetId="84">'415'!$D$89</definedName>
    <definedName name="OSRRefD22_18x_0" localSheetId="76">'491'!$D$91:$D$95</definedName>
    <definedName name="OSRRefD22_18x_0" localSheetId="90">'492'!$D$90:$D$91</definedName>
    <definedName name="OSRRefD22_18x_0" localSheetId="39">'Div 2'!$D$86</definedName>
    <definedName name="OSRRefD22_18x_0" localSheetId="48">'Div 3'!$D$269:$D$271</definedName>
    <definedName name="OSRRefD22_18x_0" localSheetId="74">'Div 4'!$D$91:$D$92</definedName>
    <definedName name="OSRRefD22_18x_0" localSheetId="2">Summary!$D$307:$D$310</definedName>
    <definedName name="OSRRefD22_19x_0" localSheetId="49">'300'!$D$271:$D$272</definedName>
    <definedName name="OSRRefD22_19x_0" localSheetId="50">'300 &amp; 317'!$D$300:$D$301</definedName>
    <definedName name="OSRRefD22_19x_0" localSheetId="51">'301'!$D$80:$D$81</definedName>
    <definedName name="OSRRefD22_19x_0" localSheetId="67">'310'!$D$99</definedName>
    <definedName name="OSRRefD22_19x_0" localSheetId="75">'310 &amp; 491'!$D$107:$D$108</definedName>
    <definedName name="OSRRefD22_19x_0" localSheetId="61">'326'!$D$133</definedName>
    <definedName name="OSRRefD22_19x_0" localSheetId="59">'331'!$D$153</definedName>
    <definedName name="OSRRefD22_19x_0" localSheetId="79">'411'!$D$91</definedName>
    <definedName name="OSRRefD22_19x_0" localSheetId="76">'491'!$D$97:$D$98</definedName>
    <definedName name="OSRRefD22_19x_0" localSheetId="39">'Div 2'!$D$88:$D$89</definedName>
    <definedName name="OSRRefD22_19x_0" localSheetId="48">'Div 3'!$D$273:$D$277</definedName>
    <definedName name="OSRRefD22_19x_0" localSheetId="74">'Div 4'!$D$94:$D$98</definedName>
    <definedName name="OSRRefD22_19x_0" localSheetId="2">Summary!$D$312:$D$314</definedName>
    <definedName name="OSRRefD22_1x_0" localSheetId="40">'200'!$D$23</definedName>
    <definedName name="OSRRefD22_1x_0" localSheetId="41">'201'!$D$30:$D$32</definedName>
    <definedName name="OSRRefD22_1x_0" localSheetId="42">'202'!$D$29:$D$34</definedName>
    <definedName name="OSRRefD22_1x_0" localSheetId="43">'203'!$D$31:$D$35</definedName>
    <definedName name="OSRRefD22_1x_0" localSheetId="44">'204'!$D$31:$D$36</definedName>
    <definedName name="OSRRefD22_1x_0" localSheetId="45">'205'!$D$29</definedName>
    <definedName name="OSRRefD22_1x_0" localSheetId="46">'206'!$D$29:$D$34</definedName>
    <definedName name="OSRRefD22_1x_0" localSheetId="49">'300'!$D$184:$D$190</definedName>
    <definedName name="OSRRefD22_1x_0" localSheetId="50">'300 &amp; 317'!$D$210:$D$216</definedName>
    <definedName name="OSRRefD22_1x_0" localSheetId="51">'301'!$D$30:$D$36</definedName>
    <definedName name="OSRRefD22_1x_0" localSheetId="52">'306'!$D$30:$D$35</definedName>
    <definedName name="OSRRefD22_1x_0" localSheetId="54">'307'!$D$89:$D$92</definedName>
    <definedName name="OSRRefD22_1x_0" localSheetId="56">'308'!$D$78:$D$82</definedName>
    <definedName name="OSRRefD22_1x_0" localSheetId="68">'309'!$D$33:$D$37</definedName>
    <definedName name="OSRRefD22_1x_0" localSheetId="67">'310'!$D$43:$D$48</definedName>
    <definedName name="OSRRefD22_1x_0" localSheetId="75">'310 &amp; 491'!$D$53:$D$59</definedName>
    <definedName name="OSRRefD22_1x_0" localSheetId="57">'311'!$D$76:$D$80</definedName>
    <definedName name="OSRRefD22_1x_0" localSheetId="69">'313'!$D$40:$D$45</definedName>
    <definedName name="OSRRefD22_1x_0" localSheetId="55">'314'!$D$66:$D$69</definedName>
    <definedName name="OSRRefD22_1x_0" localSheetId="60">'315'!$D$66:$D$71</definedName>
    <definedName name="OSRRefD22_1x_0" localSheetId="63">'316'!$D$44:$D$47</definedName>
    <definedName name="OSRRefD22_1x_0" localSheetId="66">'317'!$D$69:$D$73</definedName>
    <definedName name="OSRRefD22_1x_0" localSheetId="64">'320'!$D$40:$D$45</definedName>
    <definedName name="OSRRefD22_1x_0" localSheetId="70">'321'!$D$32:$D$36</definedName>
    <definedName name="OSRRefD22_1x_0" localSheetId="71">'322'!$D$33:$D$37</definedName>
    <definedName name="OSRRefD22_1x_0" localSheetId="72">'325'!$D$33:$D$38</definedName>
    <definedName name="OSRRefD22_1x_0" localSheetId="61">'326'!$D$71:$D$75</definedName>
    <definedName name="OSRRefD22_1x_0" localSheetId="73">'327'!$D$24</definedName>
    <definedName name="OSRRefD22_1x_0" localSheetId="53">'330'!$D$97:$D$101</definedName>
    <definedName name="OSRRefD22_1x_0" localSheetId="59">'331'!$D$85:$D$90</definedName>
    <definedName name="OSRRefD22_1x_0" localSheetId="62">'332'!$D$55:$D$60</definedName>
    <definedName name="OSRRefD22_1x_0" localSheetId="77">'405'!$D$33:$D$37</definedName>
    <definedName name="OSRRefD22_1x_0" localSheetId="78">'406'!$D$33:$D$38</definedName>
    <definedName name="OSRRefD22_1x_0" localSheetId="79">'411'!$D$30:$D$35</definedName>
    <definedName name="OSRRefD22_1x_0" localSheetId="80">'412'!$D$34:$D$39</definedName>
    <definedName name="OSRRefD22_1x_0" localSheetId="82">'413'!$D$33:$D$38</definedName>
    <definedName name="OSRRefD22_1x_0" localSheetId="83">'414'!$D$33:$D$38</definedName>
    <definedName name="OSRRefD22_1x_0" localSheetId="84">'415'!$D$33:$D$38</definedName>
    <definedName name="OSRRefD22_1x_0" localSheetId="85">'418'!$D$33:$D$38</definedName>
    <definedName name="OSRRefD22_1x_0" localSheetId="81">'420'!$D$33:$D$36</definedName>
    <definedName name="OSRRefD22_1x_0" localSheetId="86">'423'!$D$30:$D$31</definedName>
    <definedName name="OSRRefD22_1x_0" localSheetId="87">'424'!$D$30:$D$34</definedName>
    <definedName name="OSRRefD22_1x_0" localSheetId="88">'425'!$D$37:$D$42</definedName>
    <definedName name="OSRRefD22_1x_0" localSheetId="91">'430'!$D$29</definedName>
    <definedName name="OSRRefD22_1x_0" localSheetId="92">'433'!$D$36:$D$41</definedName>
    <definedName name="OSRRefD22_1x_0" localSheetId="93">'435'!$D$29:$D$31</definedName>
    <definedName name="OSRRefD22_1x_0" localSheetId="94">'444'!$D$35:$D$40</definedName>
    <definedName name="OSRRefD22_1x_0" localSheetId="96">'450'!$D$35:$D$40</definedName>
    <definedName name="OSRRefD22_1x_0" localSheetId="89">'455'!$D$28:$D$29</definedName>
    <definedName name="OSRRefD22_1x_0" localSheetId="76">'491'!$D$44:$D$50</definedName>
    <definedName name="OSRRefD22_1x_0" localSheetId="90">'492'!$D$38:$D$44</definedName>
    <definedName name="OSRRefD22_1x_0" localSheetId="98">'501'!$D$30:$D$35</definedName>
    <definedName name="OSRRefD22_1x_0" localSheetId="39">'Div 2'!$D$32:$D$38</definedName>
    <definedName name="OSRRefD22_1x_0" localSheetId="48">'Div 3'!$D$189:$D$195</definedName>
    <definedName name="OSRRefD22_1x_0" localSheetId="74">'Div 4'!$D$45:$D$51</definedName>
    <definedName name="OSRRefD22_1x_0" localSheetId="97">'Div 5'!$D$30:$D$35</definedName>
    <definedName name="OSRRefD22_1x_0" localSheetId="65">'Div 6'!$D$69:$D$73</definedName>
    <definedName name="OSRRefD22_1x_0" localSheetId="2">Summary!$D$225:$D$231</definedName>
    <definedName name="OSRRefD22_20x_0" localSheetId="49">'300'!$D$274:$D$281</definedName>
    <definedName name="OSRRefD22_20x_0" localSheetId="50">'300 &amp; 317'!$D$303:$D$310</definedName>
    <definedName name="OSRRefD22_20x_0" localSheetId="51">'301'!$D$83:$D$89</definedName>
    <definedName name="OSRRefD22_20x_0" localSheetId="67">'310'!$D$101</definedName>
    <definedName name="OSRRefD22_20x_0" localSheetId="75">'310 &amp; 491'!$D$110:$D$119</definedName>
    <definedName name="OSRRefD22_20x_0" localSheetId="61">'326'!$D$135</definedName>
    <definedName name="OSRRefD22_20x_0" localSheetId="59">'331'!$D$155</definedName>
    <definedName name="OSRRefD22_20x_0" localSheetId="76">'491'!$D$100:$D$109</definedName>
    <definedName name="OSRRefD22_20x_0" localSheetId="48">'Div 3'!$D$279:$D$280</definedName>
    <definedName name="OSRRefD22_20x_0" localSheetId="74">'Div 4'!$D$100:$D$101</definedName>
    <definedName name="OSRRefD22_20x_0" localSheetId="2">Summary!$D$316:$D$320</definedName>
    <definedName name="OSRRefD22_21x_0" localSheetId="49">'300'!$D$283:$D$284</definedName>
    <definedName name="OSRRefD22_21x_0" localSheetId="50">'300 &amp; 317'!$D$312:$D$313</definedName>
    <definedName name="OSRRefD22_21x_0" localSheetId="51">'301'!$D$91</definedName>
    <definedName name="OSRRefD22_21x_0" localSheetId="67">'310'!$D$103</definedName>
    <definedName name="OSRRefD22_21x_0" localSheetId="75">'310 &amp; 491'!$D$121</definedName>
    <definedName name="OSRRefD22_21x_0" localSheetId="59">'331'!$D$157:$D$158</definedName>
    <definedName name="OSRRefD22_21x_0" localSheetId="76">'491'!$D$111</definedName>
    <definedName name="OSRRefD22_21x_0" localSheetId="48">'Div 3'!$D$282:$D$290</definedName>
    <definedName name="OSRRefD22_21x_0" localSheetId="74">'Div 4'!$D$103:$D$112</definedName>
    <definedName name="OSRRefD22_21x_0" localSheetId="2">Summary!$D$322:$D$323</definedName>
    <definedName name="OSRRefD22_22x_0" localSheetId="49">'300'!$D$286</definedName>
    <definedName name="OSRRefD22_22x_0" localSheetId="50">'300 &amp; 317'!$D$315</definedName>
    <definedName name="OSRRefD22_22x_0" localSheetId="51">'301'!$D$93</definedName>
    <definedName name="OSRRefD22_22x_0" localSheetId="67">'310'!$D$105</definedName>
    <definedName name="OSRRefD22_22x_0" localSheetId="75">'310 &amp; 491'!$D$123</definedName>
    <definedName name="OSRRefD22_22x_0" localSheetId="59">'331'!$D$160</definedName>
    <definedName name="OSRRefD22_22x_0" localSheetId="76">'491'!$D$113</definedName>
    <definedName name="OSRRefD22_22x_0" localSheetId="48">'Div 3'!$D$292:$D$293</definedName>
    <definedName name="OSRRefD22_22x_0" localSheetId="74">'Div 4'!$D$114</definedName>
    <definedName name="OSRRefD22_22x_0" localSheetId="2">Summary!$D$325:$D$334</definedName>
    <definedName name="OSRRefD22_23x_0" localSheetId="49">'300'!$D$288:$D$290</definedName>
    <definedName name="OSRRefD22_23x_0" localSheetId="50">'300 &amp; 317'!$D$317:$D$319</definedName>
    <definedName name="OSRRefD22_23x_0" localSheetId="51">'301'!$D$95:$D$97</definedName>
    <definedName name="OSRRefD22_23x_0" localSheetId="75">'310 &amp; 491'!$D$125:$D$127</definedName>
    <definedName name="OSRRefD22_23x_0" localSheetId="76">'491'!$D$115:$D$117</definedName>
    <definedName name="OSRRefD22_23x_0" localSheetId="48">'Div 3'!$D$295</definedName>
    <definedName name="OSRRefD22_23x_0" localSheetId="74">'Div 4'!$D$116</definedName>
    <definedName name="OSRRefD22_23x_0" localSheetId="2">Summary!$D$336:$D$337</definedName>
    <definedName name="OSRRefD22_24x_0" localSheetId="49">'300'!$D$292</definedName>
    <definedName name="OSRRefD22_24x_0" localSheetId="50">'300 &amp; 317'!$D$321</definedName>
    <definedName name="OSRRefD22_24x_0" localSheetId="51">'301'!$D$99</definedName>
    <definedName name="OSRRefD22_24x_0" localSheetId="75">'310 &amp; 491'!$D$129</definedName>
    <definedName name="OSRRefD22_24x_0" localSheetId="76">'491'!$D$119</definedName>
    <definedName name="OSRRefD22_24x_0" localSheetId="48">'Div 3'!$D$297:$D$299</definedName>
    <definedName name="OSRRefD22_24x_0" localSheetId="74">'Div 4'!$D$118:$D$120</definedName>
    <definedName name="OSRRefD22_24x_0" localSheetId="2">Summary!$D$339</definedName>
    <definedName name="OSRRefD22_25x_0" localSheetId="48">'Div 3'!$D$301</definedName>
    <definedName name="OSRRefD22_25x_0" localSheetId="74">'Div 4'!$D$122</definedName>
    <definedName name="OSRRefD22_25x_0" localSheetId="2">Summary!$D$341:$D$343</definedName>
    <definedName name="OSRRefD22_26x_0" localSheetId="2">Summary!$D$345</definedName>
    <definedName name="OSRRefD22_2x_0" localSheetId="40">'200'!$D$25</definedName>
    <definedName name="OSRRefD22_2x_0" localSheetId="41">'201'!$D$34</definedName>
    <definedName name="OSRRefD22_2x_0" localSheetId="42">'202'!$D$36</definedName>
    <definedName name="OSRRefD22_2x_0" localSheetId="43">'203'!$D$37</definedName>
    <definedName name="OSRRefD22_2x_0" localSheetId="44">'204'!$D$38</definedName>
    <definedName name="OSRRefD22_2x_0" localSheetId="45">'205'!$D$31</definedName>
    <definedName name="OSRRefD22_2x_0" localSheetId="46">'206'!$D$36</definedName>
    <definedName name="OSRRefD22_2x_0" localSheetId="49">'300'!$D$192</definedName>
    <definedName name="OSRRefD22_2x_0" localSheetId="50">'300 &amp; 317'!$D$218</definedName>
    <definedName name="OSRRefD22_2x_0" localSheetId="51">'301'!$D$38</definedName>
    <definedName name="OSRRefD22_2x_0" localSheetId="52">'306'!$D$37</definedName>
    <definedName name="OSRRefD22_2x_0" localSheetId="54">'307'!$D$94</definedName>
    <definedName name="OSRRefD22_2x_0" localSheetId="56">'308'!$D$84</definedName>
    <definedName name="OSRRefD22_2x_0" localSheetId="68">'309'!$D$39</definedName>
    <definedName name="OSRRefD22_2x_0" localSheetId="67">'310'!$D$50</definedName>
    <definedName name="OSRRefD22_2x_0" localSheetId="75">'310 &amp; 491'!$D$61</definedName>
    <definedName name="OSRRefD22_2x_0" localSheetId="57">'311'!$D$82</definedName>
    <definedName name="OSRRefD22_2x_0" localSheetId="69">'313'!$D$47</definedName>
    <definedName name="OSRRefD22_2x_0" localSheetId="55">'314'!$D$71</definedName>
    <definedName name="OSRRefD22_2x_0" localSheetId="60">'315'!$D$73</definedName>
    <definedName name="OSRRefD22_2x_0" localSheetId="63">'316'!$D$49</definedName>
    <definedName name="OSRRefD22_2x_0" localSheetId="66">'317'!$D$75</definedName>
    <definedName name="OSRRefD22_2x_0" localSheetId="64">'320'!$D$47</definedName>
    <definedName name="OSRRefD22_2x_0" localSheetId="70">'321'!$D$38</definedName>
    <definedName name="OSRRefD22_2x_0" localSheetId="71">'322'!$D$39</definedName>
    <definedName name="OSRRefD22_2x_0" localSheetId="72">'325'!$D$40</definedName>
    <definedName name="OSRRefD22_2x_0" localSheetId="61">'326'!$D$77</definedName>
    <definedName name="OSRRefD22_2x_0" localSheetId="73">'327'!$D$26</definedName>
    <definedName name="OSRRefD22_2x_0" localSheetId="53">'330'!$D$103</definedName>
    <definedName name="OSRRefD22_2x_0" localSheetId="59">'331'!$D$92</definedName>
    <definedName name="OSRRefD22_2x_0" localSheetId="62">'332'!$D$62</definedName>
    <definedName name="OSRRefD22_2x_0" localSheetId="77">'405'!$D$39</definedName>
    <definedName name="OSRRefD22_2x_0" localSheetId="78">'406'!$D$40</definedName>
    <definedName name="OSRRefD22_2x_0" localSheetId="79">'411'!$D$37</definedName>
    <definedName name="OSRRefD22_2x_0" localSheetId="80">'412'!$D$41</definedName>
    <definedName name="OSRRefD22_2x_0" localSheetId="82">'413'!$D$40</definedName>
    <definedName name="OSRRefD22_2x_0" localSheetId="83">'414'!$D$40</definedName>
    <definedName name="OSRRefD22_2x_0" localSheetId="84">'415'!$D$40</definedName>
    <definedName name="OSRRefD22_2x_0" localSheetId="85">'418'!$D$40</definedName>
    <definedName name="OSRRefD22_2x_0" localSheetId="81">'420'!$D$38</definedName>
    <definedName name="OSRRefD22_2x_0" localSheetId="86">'423'!$D$33</definedName>
    <definedName name="OSRRefD22_2x_0" localSheetId="87">'424'!$D$36</definedName>
    <definedName name="OSRRefD22_2x_0" localSheetId="88">'425'!$D$44</definedName>
    <definedName name="OSRRefD22_2x_0" localSheetId="91">'430'!$D$31</definedName>
    <definedName name="OSRRefD22_2x_0" localSheetId="92">'433'!$D$43</definedName>
    <definedName name="OSRRefD22_2x_0" localSheetId="93">'435'!$D$33</definedName>
    <definedName name="OSRRefD22_2x_0" localSheetId="94">'444'!$D$42</definedName>
    <definedName name="OSRRefD22_2x_0" localSheetId="96">'450'!$D$42</definedName>
    <definedName name="OSRRefD22_2x_0" localSheetId="89">'455'!$D$31</definedName>
    <definedName name="OSRRefD22_2x_0" localSheetId="76">'491'!$D$52</definedName>
    <definedName name="OSRRefD22_2x_0" localSheetId="90">'492'!$D$46</definedName>
    <definedName name="OSRRefD22_2x_0" localSheetId="98">'501'!$D$37</definedName>
    <definedName name="OSRRefD22_2x_0" localSheetId="39">'Div 2'!$D$40</definedName>
    <definedName name="OSRRefD22_2x_0" localSheetId="48">'Div 3'!$D$197</definedName>
    <definedName name="OSRRefD22_2x_0" localSheetId="74">'Div 4'!$D$53</definedName>
    <definedName name="OSRRefD22_2x_0" localSheetId="97">'Div 5'!$D$37</definedName>
    <definedName name="OSRRefD22_2x_0" localSheetId="65">'Div 6'!$D$75</definedName>
    <definedName name="OSRRefD22_2x_0" localSheetId="2">Summary!$D$233</definedName>
    <definedName name="OSRRefD22_3x_0" localSheetId="40">'200'!$D$27</definedName>
    <definedName name="OSRRefD22_3x_0" localSheetId="41">'201'!$D$36</definedName>
    <definedName name="OSRRefD22_3x_0" localSheetId="42">'202'!$D$38</definedName>
    <definedName name="OSRRefD22_3x_0" localSheetId="43">'203'!$D$39</definedName>
    <definedName name="OSRRefD22_3x_0" localSheetId="44">'204'!$D$40:$D$41</definedName>
    <definedName name="OSRRefD22_3x_0" localSheetId="45">'205'!$D$33</definedName>
    <definedName name="OSRRefD22_3x_0" localSheetId="46">'206'!$D$38</definedName>
    <definedName name="OSRRefD22_3x_0" localSheetId="49">'300'!$D$194:$D$195</definedName>
    <definedName name="OSRRefD22_3x_0" localSheetId="50">'300 &amp; 317'!$D$220:$D$221</definedName>
    <definedName name="OSRRefD22_3x_0" localSheetId="51">'301'!$D$40:$D$41</definedName>
    <definedName name="OSRRefD22_3x_0" localSheetId="52">'306'!$D$39</definedName>
    <definedName name="OSRRefD22_3x_0" localSheetId="54">'307'!$D$96</definedName>
    <definedName name="OSRRefD22_3x_0" localSheetId="56">'308'!$D$86:$D$87</definedName>
    <definedName name="OSRRefD22_3x_0" localSheetId="68">'309'!$D$41</definedName>
    <definedName name="OSRRefD22_3x_0" localSheetId="67">'310'!$D$52</definedName>
    <definedName name="OSRRefD22_3x_0" localSheetId="75">'310 &amp; 491'!$D$63</definedName>
    <definedName name="OSRRefD22_3x_0" localSheetId="57">'311'!$D$84:$D$85</definedName>
    <definedName name="OSRRefD22_3x_0" localSheetId="69">'313'!$D$49</definedName>
    <definedName name="OSRRefD22_3x_0" localSheetId="55">'314'!$D$73:$D$74</definedName>
    <definedName name="OSRRefD22_3x_0" localSheetId="60">'315'!$D$75:$D$76</definedName>
    <definedName name="OSRRefD22_3x_0" localSheetId="63">'316'!$D$51</definedName>
    <definedName name="OSRRefD22_3x_0" localSheetId="66">'317'!$D$77</definedName>
    <definedName name="OSRRefD22_3x_0" localSheetId="64">'320'!$D$49</definedName>
    <definedName name="OSRRefD22_3x_0" localSheetId="70">'321'!$D$40</definedName>
    <definedName name="OSRRefD22_3x_0" localSheetId="71">'322'!$D$41</definedName>
    <definedName name="OSRRefD22_3x_0" localSheetId="72">'325'!$D$42</definedName>
    <definedName name="OSRRefD22_3x_0" localSheetId="61">'326'!$D$79</definedName>
    <definedName name="OSRRefD22_3x_0" localSheetId="53">'330'!$D$105</definedName>
    <definedName name="OSRRefD22_3x_0" localSheetId="59">'331'!$D$94</definedName>
    <definedName name="OSRRefD22_3x_0" localSheetId="62">'332'!$D$64</definedName>
    <definedName name="OSRRefD22_3x_0" localSheetId="77">'405'!$D$41</definedName>
    <definedName name="OSRRefD22_3x_0" localSheetId="78">'406'!$D$42</definedName>
    <definedName name="OSRRefD22_3x_0" localSheetId="79">'411'!$D$39</definedName>
    <definedName name="OSRRefD22_3x_0" localSheetId="80">'412'!$D$43</definedName>
    <definedName name="OSRRefD22_3x_0" localSheetId="82">'413'!$D$42</definedName>
    <definedName name="OSRRefD22_3x_0" localSheetId="83">'414'!$D$42</definedName>
    <definedName name="OSRRefD22_3x_0" localSheetId="84">'415'!$D$42</definedName>
    <definedName name="OSRRefD22_3x_0" localSheetId="85">'418'!$D$42</definedName>
    <definedName name="OSRRefD22_3x_0" localSheetId="81">'420'!$D$40</definedName>
    <definedName name="OSRRefD22_3x_0" localSheetId="86">'423'!$D$35</definedName>
    <definedName name="OSRRefD22_3x_0" localSheetId="87">'424'!$D$38</definedName>
    <definedName name="OSRRefD22_3x_0" localSheetId="88">'425'!$D$46</definedName>
    <definedName name="OSRRefD22_3x_0" localSheetId="91">'430'!$D$33</definedName>
    <definedName name="OSRRefD22_3x_0" localSheetId="92">'433'!$D$45</definedName>
    <definedName name="OSRRefD22_3x_0" localSheetId="93">'435'!$D$35</definedName>
    <definedName name="OSRRefD22_3x_0" localSheetId="94">'444'!$D$44</definedName>
    <definedName name="OSRRefD22_3x_0" localSheetId="96">'450'!$D$44</definedName>
    <definedName name="OSRRefD22_3x_0" localSheetId="76">'491'!$D$54</definedName>
    <definedName name="OSRRefD22_3x_0" localSheetId="90">'492'!$D$48</definedName>
    <definedName name="OSRRefD22_3x_0" localSheetId="98">'501'!$D$39</definedName>
    <definedName name="OSRRefD22_3x_0" localSheetId="39">'Div 2'!$D$42</definedName>
    <definedName name="OSRRefD22_3x_0" localSheetId="48">'Div 3'!$D$199:$D$200</definedName>
    <definedName name="OSRRefD22_3x_0" localSheetId="74">'Div 4'!$D$55</definedName>
    <definedName name="OSRRefD22_3x_0" localSheetId="97">'Div 5'!$D$39</definedName>
    <definedName name="OSRRefD22_3x_0" localSheetId="65">'Div 6'!$D$77</definedName>
    <definedName name="OSRRefD22_3x_0" localSheetId="2">Summary!$D$235:$D$236</definedName>
    <definedName name="OSRRefD22_4x_0" localSheetId="40">'200'!$D$29:$D$30</definedName>
    <definedName name="OSRRefD22_4x_0" localSheetId="41">'201'!$D$38</definedName>
    <definedName name="OSRRefD22_4x_0" localSheetId="42">'202'!$D$40</definedName>
    <definedName name="OSRRefD22_4x_0" localSheetId="43">'203'!$D$41</definedName>
    <definedName name="OSRRefD22_4x_0" localSheetId="44">'204'!$D$43</definedName>
    <definedName name="OSRRefD22_4x_0" localSheetId="45">'205'!$D$35:$D$37</definedName>
    <definedName name="OSRRefD22_4x_0" localSheetId="46">'206'!$D$40</definedName>
    <definedName name="OSRRefD22_4x_0" localSheetId="49">'300'!$D$197</definedName>
    <definedName name="OSRRefD22_4x_0" localSheetId="50">'300 &amp; 317'!$D$223</definedName>
    <definedName name="OSRRefD22_4x_0" localSheetId="51">'301'!$D$43</definedName>
    <definedName name="OSRRefD22_4x_0" localSheetId="52">'306'!$D$41</definedName>
    <definedName name="OSRRefD22_4x_0" localSheetId="54">'307'!$D$98:$D$99</definedName>
    <definedName name="OSRRefD22_4x_0" localSheetId="56">'308'!$D$89</definedName>
    <definedName name="OSRRefD22_4x_0" localSheetId="68">'309'!$D$43</definedName>
    <definedName name="OSRRefD22_4x_0" localSheetId="67">'310'!$D$54</definedName>
    <definedName name="OSRRefD22_4x_0" localSheetId="75">'310 &amp; 491'!$D$65</definedName>
    <definedName name="OSRRefD22_4x_0" localSheetId="57">'311'!$D$87</definedName>
    <definedName name="OSRRefD22_4x_0" localSheetId="69">'313'!$D$51</definedName>
    <definedName name="OSRRefD22_4x_0" localSheetId="55">'314'!$D$76</definedName>
    <definedName name="OSRRefD22_4x_0" localSheetId="60">'315'!$D$78</definedName>
    <definedName name="OSRRefD22_4x_0" localSheetId="63">'316'!$D$53</definedName>
    <definedName name="OSRRefD22_4x_0" localSheetId="66">'317'!$D$79</definedName>
    <definedName name="OSRRefD22_4x_0" localSheetId="64">'320'!$D$51:$D$52</definedName>
    <definedName name="OSRRefD22_4x_0" localSheetId="70">'321'!$D$42</definedName>
    <definedName name="OSRRefD22_4x_0" localSheetId="71">'322'!$D$43</definedName>
    <definedName name="OSRRefD22_4x_0" localSheetId="72">'325'!$D$44</definedName>
    <definedName name="OSRRefD22_4x_0" localSheetId="61">'326'!$D$81</definedName>
    <definedName name="OSRRefD22_4x_0" localSheetId="53">'330'!$D$107:$D$108</definedName>
    <definedName name="OSRRefD22_4x_0" localSheetId="59">'331'!$D$96</definedName>
    <definedName name="OSRRefD22_4x_0" localSheetId="62">'332'!$D$66</definedName>
    <definedName name="OSRRefD22_4x_0" localSheetId="77">'405'!$D$43</definedName>
    <definedName name="OSRRefD22_4x_0" localSheetId="78">'406'!$D$44</definedName>
    <definedName name="OSRRefD22_4x_0" localSheetId="79">'411'!$D$41:$D$43</definedName>
    <definedName name="OSRRefD22_4x_0" localSheetId="80">'412'!$D$45</definedName>
    <definedName name="OSRRefD22_4x_0" localSheetId="82">'413'!$D$44</definedName>
    <definedName name="OSRRefD22_4x_0" localSheetId="83">'414'!$D$44</definedName>
    <definedName name="OSRRefD22_4x_0" localSheetId="84">'415'!$D$44</definedName>
    <definedName name="OSRRefD22_4x_0" localSheetId="85">'418'!$D$44</definedName>
    <definedName name="OSRRefD22_4x_0" localSheetId="81">'420'!$D$42</definedName>
    <definedName name="OSRRefD22_4x_0" localSheetId="86">'423'!$D$37</definedName>
    <definedName name="OSRRefD22_4x_0" localSheetId="87">'424'!$D$40</definedName>
    <definedName name="OSRRefD22_4x_0" localSheetId="88">'425'!$D$48</definedName>
    <definedName name="OSRRefD22_4x_0" localSheetId="91">'430'!$D$35</definedName>
    <definedName name="OSRRefD22_4x_0" localSheetId="92">'433'!$D$47</definedName>
    <definedName name="OSRRefD22_4x_0" localSheetId="93">'435'!$D$37</definedName>
    <definedName name="OSRRefD22_4x_0" localSheetId="94">'444'!$D$46</definedName>
    <definedName name="OSRRefD22_4x_0" localSheetId="96">'450'!$D$46</definedName>
    <definedName name="OSRRefD22_4x_0" localSheetId="76">'491'!$D$56</definedName>
    <definedName name="OSRRefD22_4x_0" localSheetId="90">'492'!$D$50</definedName>
    <definedName name="OSRRefD22_4x_0" localSheetId="98">'501'!$D$41</definedName>
    <definedName name="OSRRefD22_4x_0" localSheetId="39">'Div 2'!$D$44</definedName>
    <definedName name="OSRRefD22_4x_0" localSheetId="48">'Div 3'!$D$202</definedName>
    <definedName name="OSRRefD22_4x_0" localSheetId="74">'Div 4'!$D$57</definedName>
    <definedName name="OSRRefD22_4x_0" localSheetId="97">'Div 5'!$D$41</definedName>
    <definedName name="OSRRefD22_4x_0" localSheetId="65">'Div 6'!$D$79</definedName>
    <definedName name="OSRRefD22_4x_0" localSheetId="2">Summary!$D$238</definedName>
    <definedName name="OSRRefD22_5x_0" localSheetId="41">'201'!$D$40</definedName>
    <definedName name="OSRRefD22_5x_0" localSheetId="42">'202'!$D$42</definedName>
    <definedName name="OSRRefD22_5x_0" localSheetId="43">'203'!$D$43</definedName>
    <definedName name="OSRRefD22_5x_0" localSheetId="44">'204'!$D$45</definedName>
    <definedName name="OSRRefD22_5x_0" localSheetId="45">'205'!$D$39</definedName>
    <definedName name="OSRRefD22_5x_0" localSheetId="46">'206'!$D$42</definedName>
    <definedName name="OSRRefD22_5x_0" localSheetId="49">'300'!$D$199:$D$200</definedName>
    <definedName name="OSRRefD22_5x_0" localSheetId="50">'300 &amp; 317'!$D$225:$D$226</definedName>
    <definedName name="OSRRefD22_5x_0" localSheetId="51">'301'!$D$45:$D$46</definedName>
    <definedName name="OSRRefD22_5x_0" localSheetId="52">'306'!$D$43</definedName>
    <definedName name="OSRRefD22_5x_0" localSheetId="54">'307'!$D$101</definedName>
    <definedName name="OSRRefD22_5x_0" localSheetId="56">'308'!$D$91</definedName>
    <definedName name="OSRRefD22_5x_0" localSheetId="68">'309'!$D$45</definedName>
    <definedName name="OSRRefD22_5x_0" localSheetId="67">'310'!$D$56:$D$57</definedName>
    <definedName name="OSRRefD22_5x_0" localSheetId="75">'310 &amp; 491'!$D$67:$D$69</definedName>
    <definedName name="OSRRefD22_5x_0" localSheetId="57">'311'!$D$89</definedName>
    <definedName name="OSRRefD22_5x_0" localSheetId="69">'313'!$D$53</definedName>
    <definedName name="OSRRefD22_5x_0" localSheetId="55">'314'!$D$78</definedName>
    <definedName name="OSRRefD22_5x_0" localSheetId="60">'315'!$D$80:$D$81</definedName>
    <definedName name="OSRRefD22_5x_0" localSheetId="63">'316'!$D$55</definedName>
    <definedName name="OSRRefD22_5x_0" localSheetId="66">'317'!$D$81</definedName>
    <definedName name="OSRRefD22_5x_0" localSheetId="64">'320'!$D$54</definedName>
    <definedName name="OSRRefD22_5x_0" localSheetId="70">'321'!$D$44</definedName>
    <definedName name="OSRRefD22_5x_0" localSheetId="71">'322'!$D$45</definedName>
    <definedName name="OSRRefD22_5x_0" localSheetId="72">'325'!$D$46:$D$47</definedName>
    <definedName name="OSRRefD22_5x_0" localSheetId="61">'326'!$D$83</definedName>
    <definedName name="OSRRefD22_5x_0" localSheetId="53">'330'!$D$110</definedName>
    <definedName name="OSRRefD22_5x_0" localSheetId="59">'331'!$D$98:$D$99</definedName>
    <definedName name="OSRRefD22_5x_0" localSheetId="62">'332'!$D$68</definedName>
    <definedName name="OSRRefD22_5x_0" localSheetId="77">'405'!$D$45:$D$46</definedName>
    <definedName name="OSRRefD22_5x_0" localSheetId="78">'406'!$D$46</definedName>
    <definedName name="OSRRefD22_5x_0" localSheetId="79">'411'!$D$45</definedName>
    <definedName name="OSRRefD22_5x_0" localSheetId="80">'412'!$D$47</definedName>
    <definedName name="OSRRefD22_5x_0" localSheetId="82">'413'!$D$46</definedName>
    <definedName name="OSRRefD22_5x_0" localSheetId="83">'414'!$D$46</definedName>
    <definedName name="OSRRefD22_5x_0" localSheetId="84">'415'!$D$46:$D$47</definedName>
    <definedName name="OSRRefD22_5x_0" localSheetId="85">'418'!$D$46:$D$47</definedName>
    <definedName name="OSRRefD22_5x_0" localSheetId="81">'420'!$D$44</definedName>
    <definedName name="OSRRefD22_5x_0" localSheetId="86">'423'!$D$39</definedName>
    <definedName name="OSRRefD22_5x_0" localSheetId="87">'424'!$D$42</definedName>
    <definedName name="OSRRefD22_5x_0" localSheetId="88">'425'!$D$50</definedName>
    <definedName name="OSRRefD22_5x_0" localSheetId="91">'430'!$D$37</definedName>
    <definedName name="OSRRefD22_5x_0" localSheetId="92">'433'!$D$49</definedName>
    <definedName name="OSRRefD22_5x_0" localSheetId="93">'435'!$D$39</definedName>
    <definedName name="OSRRefD22_5x_0" localSheetId="94">'444'!$D$48</definedName>
    <definedName name="OSRRefD22_5x_0" localSheetId="96">'450'!$D$48</definedName>
    <definedName name="OSRRefD22_5x_0" localSheetId="76">'491'!$D$58:$D$60</definedName>
    <definedName name="OSRRefD22_5x_0" localSheetId="90">'492'!$D$52</definedName>
    <definedName name="OSRRefD22_5x_0" localSheetId="98">'501'!$D$43:$D$44</definedName>
    <definedName name="OSRRefD22_5x_0" localSheetId="39">'Div 2'!$D$46:$D$47</definedName>
    <definedName name="OSRRefD22_5x_0" localSheetId="48">'Div 3'!$D$204:$D$205</definedName>
    <definedName name="OSRRefD22_5x_0" localSheetId="74">'Div 4'!$D$59:$D$61</definedName>
    <definedName name="OSRRefD22_5x_0" localSheetId="97">'Div 5'!$D$43:$D$44</definedName>
    <definedName name="OSRRefD22_5x_0" localSheetId="65">'Div 6'!$D$81</definedName>
    <definedName name="OSRRefD22_5x_0" localSheetId="2">Summary!$D$240:$D$242</definedName>
    <definedName name="OSRRefD22_6x_0" localSheetId="41">'201'!$D$42</definedName>
    <definedName name="OSRRefD22_6x_0" localSheetId="42">'202'!$D$44</definedName>
    <definedName name="OSRRefD22_6x_0" localSheetId="43">'203'!$D$45</definedName>
    <definedName name="OSRRefD22_6x_0" localSheetId="44">'204'!$D$47:$D$50</definedName>
    <definedName name="OSRRefD22_6x_0" localSheetId="45">'205'!$D$41:$D$42</definedName>
    <definedName name="OSRRefD22_6x_0" localSheetId="46">'206'!$D$44:$D$45</definedName>
    <definedName name="OSRRefD22_6x_0" localSheetId="49">'300'!$D$202:$D$203</definedName>
    <definedName name="OSRRefD22_6x_0" localSheetId="50">'300 &amp; 317'!$D$228:$D$229</definedName>
    <definedName name="OSRRefD22_6x_0" localSheetId="51">'301'!$D$48:$D$49</definedName>
    <definedName name="OSRRefD22_6x_0" localSheetId="52">'306'!$D$45</definedName>
    <definedName name="OSRRefD22_6x_0" localSheetId="54">'307'!$D$103:$D$124</definedName>
    <definedName name="OSRRefD22_6x_0" localSheetId="56">'308'!$D$93:$D$94</definedName>
    <definedName name="OSRRefD22_6x_0" localSheetId="68">'309'!$D$47</definedName>
    <definedName name="OSRRefD22_6x_0" localSheetId="67">'310'!$D$59</definedName>
    <definedName name="OSRRefD22_6x_0" localSheetId="75">'310 &amp; 491'!$D$71</definedName>
    <definedName name="OSRRefD22_6x_0" localSheetId="57">'311'!$D$91:$D$92</definedName>
    <definedName name="OSRRefD22_6x_0" localSheetId="69">'313'!$D$55</definedName>
    <definedName name="OSRRefD22_6x_0" localSheetId="55">'314'!$D$80:$D$88</definedName>
    <definedName name="OSRRefD22_6x_0" localSheetId="60">'315'!$D$83</definedName>
    <definedName name="OSRRefD22_6x_0" localSheetId="63">'316'!$D$57:$D$58</definedName>
    <definedName name="OSRRefD22_6x_0" localSheetId="66">'317'!$D$83</definedName>
    <definedName name="OSRRefD22_6x_0" localSheetId="64">'320'!$D$56:$D$58</definedName>
    <definedName name="OSRRefD22_6x_0" localSheetId="70">'321'!$D$46</definedName>
    <definedName name="OSRRefD22_6x_0" localSheetId="71">'322'!$D$47</definedName>
    <definedName name="OSRRefD22_6x_0" localSheetId="72">'325'!$D$49</definedName>
    <definedName name="OSRRefD22_6x_0" localSheetId="61">'326'!$D$85</definedName>
    <definedName name="OSRRefD22_6x_0" localSheetId="53">'330'!$D$112</definedName>
    <definedName name="OSRRefD22_6x_0" localSheetId="59">'331'!$D$101</definedName>
    <definedName name="OSRRefD22_6x_0" localSheetId="62">'332'!$D$70:$D$71</definedName>
    <definedName name="OSRRefD22_6x_0" localSheetId="77">'405'!$D$48</definedName>
    <definedName name="OSRRefD22_6x_0" localSheetId="78">'406'!$D$48</definedName>
    <definedName name="OSRRefD22_6x_0" localSheetId="79">'411'!$D$47</definedName>
    <definedName name="OSRRefD22_6x_0" localSheetId="80">'412'!$D$49</definedName>
    <definedName name="OSRRefD22_6x_0" localSheetId="82">'413'!$D$48</definedName>
    <definedName name="OSRRefD22_6x_0" localSheetId="83">'414'!$D$48</definedName>
    <definedName name="OSRRefD22_6x_0" localSheetId="84">'415'!$D$49</definedName>
    <definedName name="OSRRefD22_6x_0" localSheetId="85">'418'!$D$49</definedName>
    <definedName name="OSRRefD22_6x_0" localSheetId="81">'420'!$D$46:$D$47</definedName>
    <definedName name="OSRRefD22_6x_0" localSheetId="86">'423'!$D$41</definedName>
    <definedName name="OSRRefD22_6x_0" localSheetId="87">'424'!$D$44</definedName>
    <definedName name="OSRRefD22_6x_0" localSheetId="88">'425'!$D$52</definedName>
    <definedName name="OSRRefD22_6x_0" localSheetId="91">'430'!$D$39:$D$41</definedName>
    <definedName name="OSRRefD22_6x_0" localSheetId="92">'433'!$D$51</definedName>
    <definedName name="OSRRefD22_6x_0" localSheetId="93">'435'!$D$41</definedName>
    <definedName name="OSRRefD22_6x_0" localSheetId="94">'444'!$D$50</definedName>
    <definedName name="OSRRefD22_6x_0" localSheetId="96">'450'!$D$50</definedName>
    <definedName name="OSRRefD22_6x_0" localSheetId="76">'491'!$D$62</definedName>
    <definedName name="OSRRefD22_6x_0" localSheetId="90">'492'!$D$54</definedName>
    <definedName name="OSRRefD22_6x_0" localSheetId="98">'501'!$D$46</definedName>
    <definedName name="OSRRefD22_6x_0" localSheetId="39">'Div 2'!$D$49</definedName>
    <definedName name="OSRRefD22_6x_0" localSheetId="48">'Div 3'!$D$207:$D$208</definedName>
    <definedName name="OSRRefD22_6x_0" localSheetId="74">'Div 4'!$D$63</definedName>
    <definedName name="OSRRefD22_6x_0" localSheetId="97">'Div 5'!$D$46</definedName>
    <definedName name="OSRRefD22_6x_0" localSheetId="65">'Div 6'!$D$83</definedName>
    <definedName name="OSRRefD22_6x_0" localSheetId="2">Summary!$D$244:$D$245</definedName>
    <definedName name="OSRRefD22_7x_0" localSheetId="41">'201'!$D$44</definedName>
    <definedName name="OSRRefD22_7x_0" localSheetId="42">'202'!$D$46</definedName>
    <definedName name="OSRRefD22_7x_0" localSheetId="43">'203'!$D$47</definedName>
    <definedName name="OSRRefD22_7x_0" localSheetId="44">'204'!$D$52</definedName>
    <definedName name="OSRRefD22_7x_0" localSheetId="45">'205'!$D$44</definedName>
    <definedName name="OSRRefD22_7x_0" localSheetId="46">'206'!$D$47</definedName>
    <definedName name="OSRRefD22_7x_0" localSheetId="49">'300'!$D$205</definedName>
    <definedName name="OSRRefD22_7x_0" localSheetId="50">'300 &amp; 317'!$D$231</definedName>
    <definedName name="OSRRefD22_7x_0" localSheetId="51">'301'!$D$51</definedName>
    <definedName name="OSRRefD22_7x_0" localSheetId="52">'306'!$D$47:$D$48</definedName>
    <definedName name="OSRRefD22_7x_0" localSheetId="54">'307'!$D$126</definedName>
    <definedName name="OSRRefD22_7x_0" localSheetId="56">'308'!$D$96</definedName>
    <definedName name="OSRRefD22_7x_0" localSheetId="68">'309'!$D$49</definedName>
    <definedName name="OSRRefD22_7x_0" localSheetId="67">'310'!$D$61</definedName>
    <definedName name="OSRRefD22_7x_0" localSheetId="75">'310 &amp; 491'!$D$73</definedName>
    <definedName name="OSRRefD22_7x_0" localSheetId="57">'311'!$D$94</definedName>
    <definedName name="OSRRefD22_7x_0" localSheetId="69">'313'!$D$57:$D$58</definedName>
    <definedName name="OSRRefD22_7x_0" localSheetId="55">'314'!$D$90</definedName>
    <definedName name="OSRRefD22_7x_0" localSheetId="60">'315'!$D$85:$D$91</definedName>
    <definedName name="OSRRefD22_7x_0" localSheetId="63">'316'!$D$60</definedName>
    <definedName name="OSRRefD22_7x_0" localSheetId="66">'317'!$D$85:$D$86</definedName>
    <definedName name="OSRRefD22_7x_0" localSheetId="64">'320'!$D$60:$D$62</definedName>
    <definedName name="OSRRefD22_7x_0" localSheetId="70">'321'!$D$48:$D$50</definedName>
    <definedName name="OSRRefD22_7x_0" localSheetId="71">'322'!$D$49</definedName>
    <definedName name="OSRRefD22_7x_0" localSheetId="72">'325'!$D$51</definedName>
    <definedName name="OSRRefD22_7x_0" localSheetId="61">'326'!$D$87</definedName>
    <definedName name="OSRRefD22_7x_0" localSheetId="53">'330'!$D$114</definedName>
    <definedName name="OSRRefD22_7x_0" localSheetId="59">'331'!$D$103</definedName>
    <definedName name="OSRRefD22_7x_0" localSheetId="62">'332'!$D$73</definedName>
    <definedName name="OSRRefD22_7x_0" localSheetId="77">'405'!$D$50</definedName>
    <definedName name="OSRRefD22_7x_0" localSheetId="78">'406'!$D$50</definedName>
    <definedName name="OSRRefD22_7x_0" localSheetId="79">'411'!$D$49</definedName>
    <definedName name="OSRRefD22_7x_0" localSheetId="80">'412'!$D$51</definedName>
    <definedName name="OSRRefD22_7x_0" localSheetId="82">'413'!$D$50</definedName>
    <definedName name="OSRRefD22_7x_0" localSheetId="83">'414'!$D$50</definedName>
    <definedName name="OSRRefD22_7x_0" localSheetId="84">'415'!$D$51</definedName>
    <definedName name="OSRRefD22_7x_0" localSheetId="85">'418'!$D$51</definedName>
    <definedName name="OSRRefD22_7x_0" localSheetId="81">'420'!$D$49</definedName>
    <definedName name="OSRRefD22_7x_0" localSheetId="87">'424'!$D$46</definedName>
    <definedName name="OSRRefD22_7x_0" localSheetId="88">'425'!$D$54</definedName>
    <definedName name="OSRRefD22_7x_0" localSheetId="91">'430'!$D$43</definedName>
    <definedName name="OSRRefD22_7x_0" localSheetId="92">'433'!$D$53</definedName>
    <definedName name="OSRRefD22_7x_0" localSheetId="93">'435'!$D$43</definedName>
    <definedName name="OSRRefD22_7x_0" localSheetId="94">'444'!$D$52</definedName>
    <definedName name="OSRRefD22_7x_0" localSheetId="96">'450'!$D$52</definedName>
    <definedName name="OSRRefD22_7x_0" localSheetId="76">'491'!$D$64</definedName>
    <definedName name="OSRRefD22_7x_0" localSheetId="90">'492'!$D$56</definedName>
    <definedName name="OSRRefD22_7x_0" localSheetId="98">'501'!$D$48</definedName>
    <definedName name="OSRRefD22_7x_0" localSheetId="39">'Div 2'!$D$51</definedName>
    <definedName name="OSRRefD22_7x_0" localSheetId="48">'Div 3'!$D$210</definedName>
    <definedName name="OSRRefD22_7x_0" localSheetId="74">'Div 4'!$D$65</definedName>
    <definedName name="OSRRefD22_7x_0" localSheetId="97">'Div 5'!$D$48</definedName>
    <definedName name="OSRRefD22_7x_0" localSheetId="65">'Div 6'!$D$85:$D$86</definedName>
    <definedName name="OSRRefD22_7x_0" localSheetId="2">Summary!$D$247</definedName>
    <definedName name="OSRRefD22_8x_0" localSheetId="41">'201'!$D$46</definedName>
    <definedName name="OSRRefD22_8x_0" localSheetId="42">'202'!$D$48</definedName>
    <definedName name="OSRRefD22_8x_0" localSheetId="43">'203'!$D$49</definedName>
    <definedName name="OSRRefD22_8x_0" localSheetId="44">'204'!$D$54:$D$55</definedName>
    <definedName name="OSRRefD22_8x_0" localSheetId="45">'205'!$D$46</definedName>
    <definedName name="OSRRefD22_8x_0" localSheetId="46">'206'!$D$49</definedName>
    <definedName name="OSRRefD22_8x_0" localSheetId="49">'300'!$D$207</definedName>
    <definedName name="OSRRefD22_8x_0" localSheetId="50">'300 &amp; 317'!$D$233</definedName>
    <definedName name="OSRRefD22_8x_0" localSheetId="51">'301'!$D$53</definedName>
    <definedName name="OSRRefD22_8x_0" localSheetId="52">'306'!$D$50:$D$54</definedName>
    <definedName name="OSRRefD22_8x_0" localSheetId="54">'307'!$D$128</definedName>
    <definedName name="OSRRefD22_8x_0" localSheetId="56">'308'!$D$98:$D$106</definedName>
    <definedName name="OSRRefD22_8x_0" localSheetId="68">'309'!$D$51</definedName>
    <definedName name="OSRRefD22_8x_0" localSheetId="67">'310'!$D$63</definedName>
    <definedName name="OSRRefD22_8x_0" localSheetId="75">'310 &amp; 491'!$D$75</definedName>
    <definedName name="OSRRefD22_8x_0" localSheetId="57">'311'!$D$96:$D$104</definedName>
    <definedName name="OSRRefD22_8x_0" localSheetId="69">'313'!$D$60</definedName>
    <definedName name="OSRRefD22_8x_0" localSheetId="55">'314'!$D$92:$D$94</definedName>
    <definedName name="OSRRefD22_8x_0" localSheetId="60">'315'!$D$93</definedName>
    <definedName name="OSRRefD22_8x_0" localSheetId="63">'316'!$D$62:$D$63</definedName>
    <definedName name="OSRRefD22_8x_0" localSheetId="66">'317'!$D$88</definedName>
    <definedName name="OSRRefD22_8x_0" localSheetId="64">'320'!$D$64</definedName>
    <definedName name="OSRRefD22_8x_0" localSheetId="70">'321'!$D$52</definedName>
    <definedName name="OSRRefD22_8x_0" localSheetId="71">'322'!$D$51</definedName>
    <definedName name="OSRRefD22_8x_0" localSheetId="72">'325'!$D$53</definedName>
    <definedName name="OSRRefD22_8x_0" localSheetId="61">'326'!$D$89</definedName>
    <definedName name="OSRRefD22_8x_0" localSheetId="53">'330'!$D$116:$D$137</definedName>
    <definedName name="OSRRefD22_8x_0" localSheetId="59">'331'!$D$105:$D$106</definedName>
    <definedName name="OSRRefD22_8x_0" localSheetId="62">'332'!$D$75:$D$77</definedName>
    <definedName name="OSRRefD22_8x_0" localSheetId="77">'405'!$D$52</definedName>
    <definedName name="OSRRefD22_8x_0" localSheetId="78">'406'!$D$52</definedName>
    <definedName name="OSRRefD22_8x_0" localSheetId="79">'411'!$D$51</definedName>
    <definedName name="OSRRefD22_8x_0" localSheetId="80">'412'!$D$53</definedName>
    <definedName name="OSRRefD22_8x_0" localSheetId="82">'413'!$D$52:$D$54</definedName>
    <definedName name="OSRRefD22_8x_0" localSheetId="83">'414'!$D$52</definedName>
    <definedName name="OSRRefD22_8x_0" localSheetId="84">'415'!$D$53</definedName>
    <definedName name="OSRRefD22_8x_0" localSheetId="85">'418'!$D$53</definedName>
    <definedName name="OSRRefD22_8x_0" localSheetId="87">'424'!$D$48</definedName>
    <definedName name="OSRRefD22_8x_0" localSheetId="88">'425'!$D$56</definedName>
    <definedName name="OSRRefD22_8x_0" localSheetId="91">'430'!$D$45</definedName>
    <definedName name="OSRRefD22_8x_0" localSheetId="92">'433'!$D$55</definedName>
    <definedName name="OSRRefD22_8x_0" localSheetId="93">'435'!$D$45:$D$48</definedName>
    <definedName name="OSRRefD22_8x_0" localSheetId="94">'444'!$D$54</definedName>
    <definedName name="OSRRefD22_8x_0" localSheetId="96">'450'!$D$54</definedName>
    <definedName name="OSRRefD22_8x_0" localSheetId="76">'491'!$D$66</definedName>
    <definedName name="OSRRefD22_8x_0" localSheetId="90">'492'!$D$58</definedName>
    <definedName name="OSRRefD22_8x_0" localSheetId="98">'501'!$D$50</definedName>
    <definedName name="OSRRefD22_8x_0" localSheetId="39">'Div 2'!$D$53</definedName>
    <definedName name="OSRRefD22_8x_0" localSheetId="48">'Div 3'!$D$212</definedName>
    <definedName name="OSRRefD22_8x_0" localSheetId="74">'Div 4'!$D$67</definedName>
    <definedName name="OSRRefD22_8x_0" localSheetId="97">'Div 5'!$D$50</definedName>
    <definedName name="OSRRefD22_8x_0" localSheetId="65">'Div 6'!$D$88</definedName>
    <definedName name="OSRRefD22_8x_0" localSheetId="2">Summary!$D$249</definedName>
    <definedName name="OSRRefD22_9x_0" localSheetId="41">'201'!$D$48</definedName>
    <definedName name="OSRRefD22_9x_0" localSheetId="42">'202'!$D$50</definedName>
    <definedName name="OSRRefD22_9x_0" localSheetId="43">'203'!$D$51:$D$53</definedName>
    <definedName name="OSRRefD22_9x_0" localSheetId="44">'204'!$D$57:$D$58</definedName>
    <definedName name="OSRRefD22_9x_0" localSheetId="49">'300'!$D$209</definedName>
    <definedName name="OSRRefD22_9x_0" localSheetId="50">'300 &amp; 317'!$D$235</definedName>
    <definedName name="OSRRefD22_9x_0" localSheetId="51">'301'!$D$55</definedName>
    <definedName name="OSRRefD22_9x_0" localSheetId="52">'306'!$D$56</definedName>
    <definedName name="OSRRefD22_9x_0" localSheetId="54">'307'!$D$130:$D$131</definedName>
    <definedName name="OSRRefD22_9x_0" localSheetId="56">'308'!$D$108:$D$110</definedName>
    <definedName name="OSRRefD22_9x_0" localSheetId="68">'309'!$D$53:$D$54</definedName>
    <definedName name="OSRRefD22_9x_0" localSheetId="67">'310'!$D$65:$D$66</definedName>
    <definedName name="OSRRefD22_9x_0" localSheetId="75">'310 &amp; 491'!$D$77</definedName>
    <definedName name="OSRRefD22_9x_0" localSheetId="57">'311'!$D$106:$D$108</definedName>
    <definedName name="OSRRefD22_9x_0" localSheetId="69">'313'!$D$62:$D$64</definedName>
    <definedName name="OSRRefD22_9x_0" localSheetId="55">'314'!$D$96</definedName>
    <definedName name="OSRRefD22_9x_0" localSheetId="60">'315'!$D$95:$D$97</definedName>
    <definedName name="OSRRefD22_9x_0" localSheetId="63">'316'!$D$65</definedName>
    <definedName name="OSRRefD22_9x_0" localSheetId="66">'317'!$D$90:$D$97</definedName>
    <definedName name="OSRRefD22_9x_0" localSheetId="70">'321'!$D$54:$D$56</definedName>
    <definedName name="OSRRefD22_9x_0" localSheetId="71">'322'!$D$53</definedName>
    <definedName name="OSRRefD22_9x_0" localSheetId="72">'325'!$D$55</definedName>
    <definedName name="OSRRefD22_9x_0" localSheetId="61">'326'!$D$91</definedName>
    <definedName name="OSRRefD22_9x_0" localSheetId="53">'330'!$D$139</definedName>
    <definedName name="OSRRefD22_9x_0" localSheetId="59">'331'!$D$108</definedName>
    <definedName name="OSRRefD22_9x_0" localSheetId="62">'332'!$D$79:$D$80</definedName>
    <definedName name="OSRRefD22_9x_0" localSheetId="77">'405'!$D$54</definedName>
    <definedName name="OSRRefD22_9x_0" localSheetId="78">'406'!$D$54:$D$56</definedName>
    <definedName name="OSRRefD22_9x_0" localSheetId="79">'411'!$D$53</definedName>
    <definedName name="OSRRefD22_9x_0" localSheetId="80">'412'!$D$55:$D$57</definedName>
    <definedName name="OSRRefD22_9x_0" localSheetId="82">'413'!$D$56:$D$57</definedName>
    <definedName name="OSRRefD22_9x_0" localSheetId="83">'414'!$D$54:$D$55</definedName>
    <definedName name="OSRRefD22_9x_0" localSheetId="84">'415'!$D$55</definedName>
    <definedName name="OSRRefD22_9x_0" localSheetId="85">'418'!$D$55</definedName>
    <definedName name="OSRRefD22_9x_0" localSheetId="87">'424'!$D$50:$D$51</definedName>
    <definedName name="OSRRefD22_9x_0" localSheetId="88">'425'!$D$58:$D$60</definedName>
    <definedName name="OSRRefD22_9x_0" localSheetId="91">'430'!$D$47</definedName>
    <definedName name="OSRRefD22_9x_0" localSheetId="92">'433'!$D$57</definedName>
    <definedName name="OSRRefD22_9x_0" localSheetId="93">'435'!$D$50</definedName>
    <definedName name="OSRRefD22_9x_0" localSheetId="94">'444'!$D$56</definedName>
    <definedName name="OSRRefD22_9x_0" localSheetId="96">'450'!$D$56</definedName>
    <definedName name="OSRRefD22_9x_0" localSheetId="76">'491'!$D$68</definedName>
    <definedName name="OSRRefD22_9x_0" localSheetId="90">'492'!$D$60</definedName>
    <definedName name="OSRRefD22_9x_0" localSheetId="98">'501'!$D$52</definedName>
    <definedName name="OSRRefD22_9x_0" localSheetId="39">'Div 2'!$D$55</definedName>
    <definedName name="OSRRefD22_9x_0" localSheetId="48">'Div 3'!$D$214</definedName>
    <definedName name="OSRRefD22_9x_0" localSheetId="74">'Div 4'!$D$69</definedName>
    <definedName name="OSRRefD22_9x_0" localSheetId="97">'Div 5'!$D$52</definedName>
    <definedName name="OSRRefD22_9x_0" localSheetId="65">'Div 6'!$D$90:$D$97</definedName>
    <definedName name="OSRRefD22_9x_0" localSheetId="2">Summary!$D$251</definedName>
    <definedName name="OSRRefD22x_0" localSheetId="40">'200'!$D$20:$D$21,'200'!$D$23,'200'!$D$25,'200'!$D$27,'200'!$D$29:$D$30</definedName>
    <definedName name="OSRRefD22x_0" localSheetId="41">'201'!$D$20:$D$28,'201'!$D$30:$D$32,'201'!$D$34,'201'!$D$36,'201'!$D$38,'201'!$D$40,'201'!$D$42,'201'!$D$44,'201'!$D$46,'201'!$D$48,'201'!$D$50:$D$52,'201'!$D$54:$D$56,'201'!$D$58,'201'!$D$60:$D$63,'201'!$D$65,'201'!$D$67,'201'!$D$69:$D$70</definedName>
    <definedName name="OSRRefD22x_0" localSheetId="42">'202'!$D$20:$D$27,'202'!$D$29:$D$34,'202'!$D$36,'202'!$D$38,'202'!$D$40,'202'!$D$42,'202'!$D$44,'202'!$D$46,'202'!$D$48,'202'!$D$50,'202'!$D$52:$D$54,'202'!$D$56,'202'!$D$58,'202'!$D$60:$D$62,'202'!$D$64,'202'!$D$66,'202'!$D$68:$D$69</definedName>
    <definedName name="OSRRefD22x_0" localSheetId="43">'203'!$D$20:$D$29,'203'!$D$31:$D$35,'203'!$D$37,'203'!$D$39,'203'!$D$41,'203'!$D$43,'203'!$D$45,'203'!$D$47,'203'!$D$49,'203'!$D$51:$D$53,'203'!$D$55:$D$56,'203'!$D$58:$D$59,'203'!$D$61:$D$64,'203'!$D$66,'203'!$D$68,'203'!$D$70</definedName>
    <definedName name="OSRRefD22x_0" localSheetId="44">'204'!$D$20:$D$29,'204'!$D$31:$D$36,'204'!$D$38,'204'!$D$40:$D$41,'204'!$D$43,'204'!$D$45,'204'!$D$47:$D$50,'204'!$D$52,'204'!$D$54:$D$55,'204'!$D$57:$D$58,'204'!$D$60,'204'!$D$62:$D$63</definedName>
    <definedName name="OSRRefD22x_0" localSheetId="45">'205'!$D$20:$D$27,'205'!$D$29,'205'!$D$31,'205'!$D$33,'205'!$D$35:$D$37,'205'!$D$39,'205'!$D$41:$D$42,'205'!$D$44,'205'!$D$46</definedName>
    <definedName name="OSRRefD22x_0" localSheetId="46">'206'!$D$20:$D$27,'206'!$D$29:$D$34,'206'!$D$36,'206'!$D$38,'206'!$D$40,'206'!$D$42,'206'!$D$44:$D$45,'206'!$D$47,'206'!$D$49</definedName>
    <definedName name="OSRRefD22x_0" localSheetId="49">'300'!$D$174:$D$182,'300'!$D$184:$D$190,'300'!$D$192,'300'!$D$194:$D$195,'300'!$D$197,'300'!$D$199:$D$200,'300'!$D$202:$D$203,'300'!$D$205,'300'!$D$207,'300'!$D$209,'300'!$D$211:$D$212,'300'!$D$214,'300'!$D$216,'300'!$D$218:$D$251,'300'!$D$253,'300'!$D$255,'300'!$D$257:$D$260,'300'!$D$262:$D$264,'300'!$D$266:$D$269,'300'!$D$271:$D$272,'300'!$D$274:$D$281,'300'!$D$283:$D$284,'300'!$D$286,'300'!$D$288:$D$290,'300'!$D$292</definedName>
    <definedName name="OSRRefD22x_0" localSheetId="50">'300 &amp; 317'!$D$200:$D$208,'300 &amp; 317'!$D$210:$D$216,'300 &amp; 317'!$D$218,'300 &amp; 317'!$D$220:$D$221,'300 &amp; 317'!$D$223,'300 &amp; 317'!$D$225:$D$226,'300 &amp; 317'!$D$228:$D$229,'300 &amp; 317'!$D$231,'300 &amp; 317'!$D$233,'300 &amp; 317'!$D$235,'300 &amp; 317'!$D$237:$D$238,'300 &amp; 317'!$D$240,'300 &amp; 317'!$D$242,'300 &amp; 317'!$D$244:$D$280,'300 &amp; 317'!$D$282,'300 &amp; 317'!$D$284,'300 &amp; 317'!$D$286:$D$289,'300 &amp; 317'!$D$291:$D$293,'300 &amp; 317'!$D$295:$D$298,'300 &amp; 317'!$D$300:$D$301,'300 &amp; 317'!$D$303:$D$310,'300 &amp; 317'!$D$312:$D$313,'300 &amp; 317'!$D$315,'300 &amp; 317'!$D$317:$D$319,'300 &amp; 317'!$D$321</definedName>
    <definedName name="OSRRefD22x_0" localSheetId="51">'301'!$D$21:$D$28,'301'!$D$30:$D$36,'301'!$D$38,'301'!$D$40:$D$41,'301'!$D$43,'301'!$D$45:$D$46,'301'!$D$48:$D$49,'301'!$D$51,'301'!$D$53,'301'!$D$55,'301'!$D$57,'301'!$D$59,'301'!$D$61,'301'!$D$63,'301'!$D$65,'301'!$D$67,'301'!$D$69:$D$72,'301'!$D$74,'301'!$D$76:$D$78,'301'!$D$80:$D$81,'301'!$D$83:$D$89,'301'!$D$91,'301'!$D$93,'301'!$D$95:$D$97,'301'!$D$99</definedName>
    <definedName name="OSRRefD22x_0" localSheetId="52">'306'!$D$20:$D$28,'306'!$D$30:$D$35,'306'!$D$37,'306'!$D$39,'306'!$D$41,'306'!$D$43,'306'!$D$45,'306'!$D$47:$D$48,'306'!$D$50:$D$54,'306'!$D$56,'306'!$D$58</definedName>
    <definedName name="OSRRefD22x_0" localSheetId="54">'307'!$D$80:$D$87,'307'!$D$89:$D$92,'307'!$D$94,'307'!$D$96,'307'!$D$98:$D$99,'307'!$D$101,'307'!$D$103:$D$124,'307'!$D$126,'307'!$D$128,'307'!$D$130:$D$131,'307'!$D$133:$D$134,'307'!$D$136:$D$138,'307'!$D$140,'307'!$D$142,'307'!$D$144</definedName>
    <definedName name="OSRRefD22x_0" localSheetId="56">'308'!$D$68:$D$76,'308'!$D$78:$D$82,'308'!$D$84,'308'!$D$86:$D$87,'308'!$D$89,'308'!$D$91,'308'!$D$93:$D$94,'308'!$D$96,'308'!$D$98:$D$106,'308'!$D$108:$D$110,'308'!$D$112:$D$113,'308'!$D$115:$D$118,'308'!$D$120:$D$121,'308'!$D$123,'308'!$D$125</definedName>
    <definedName name="OSRRefD22x_0" localSheetId="68">'309'!$D$24:$D$31,'309'!$D$33:$D$37,'309'!$D$39,'309'!$D$41,'309'!$D$43,'309'!$D$45,'309'!$D$47,'309'!$D$49,'309'!$D$51,'309'!$D$53:$D$54,'309'!$D$56:$D$58,'309'!$D$60,'309'!$D$62:$D$68,'309'!$D$70</definedName>
    <definedName name="OSRRefD22x_0" localSheetId="67">'310'!$D$34:$D$41,'310'!$D$43:$D$48,'310'!$D$50,'310'!$D$52,'310'!$D$54,'310'!$D$56:$D$57,'310'!$D$59,'310'!$D$61,'310'!$D$63,'310'!$D$65:$D$66,'310'!$D$68,'310'!$D$70,'310'!$D$72,'310'!$D$74,'310'!$D$76:$D$78,'310'!$D$80,'310'!$D$82:$D$85,'310'!$D$87:$D$88,'310'!$D$90:$D$97,'310'!$D$99,'310'!$D$101,'310'!$D$103,'310'!$D$105</definedName>
    <definedName name="OSRRefD22x_0" localSheetId="75">'310 &amp; 491'!$D$43:$D$51,'310 &amp; 491'!$D$53:$D$59,'310 &amp; 491'!$D$61,'310 &amp; 491'!$D$63,'310 &amp; 491'!$D$65,'310 &amp; 491'!$D$67:$D$69,'310 &amp; 491'!$D$71,'310 &amp; 491'!$D$73,'310 &amp; 491'!$D$75,'310 &amp; 491'!$D$77,'310 &amp; 491'!$D$79:$D$80,'310 &amp; 491'!$D$82:$D$83,'310 &amp; 491'!$D$85,'310 &amp; 491'!$D$87,'310 &amp; 491'!$D$89,'310 &amp; 491'!$D$91,'310 &amp; 491'!$D$93:$D$96,'310 &amp; 491'!$D$98:$D$99,'310 &amp; 491'!$D$101:$D$105,'310 &amp; 491'!$D$107:$D$108,'310 &amp; 491'!$D$110:$D$119,'310 &amp; 491'!$D$121,'310 &amp; 491'!$D$123,'310 &amp; 491'!$D$125:$D$127,'310 &amp; 491'!$D$129</definedName>
    <definedName name="OSRRefD22x_0" localSheetId="57">'311'!$D$66:$D$74,'311'!$D$76:$D$80,'311'!$D$82,'311'!$D$84:$D$85,'311'!$D$87,'311'!$D$89,'311'!$D$91:$D$92,'311'!$D$94,'311'!$D$96:$D$104,'311'!$D$106:$D$108,'311'!$D$110:$D$111,'311'!$D$113:$D$116,'311'!$D$118:$D$119,'311'!$D$121,'311'!$D$123</definedName>
    <definedName name="OSRRefD22x_0" localSheetId="69">'313'!$D$31:$D$38,'313'!$D$40:$D$45,'313'!$D$47,'313'!$D$49,'313'!$D$51,'313'!$D$53,'313'!$D$55,'313'!$D$57:$D$58,'313'!$D$60,'313'!$D$62:$D$64,'313'!$D$66:$D$67,'313'!$D$69:$D$70,'313'!$D$72:$D$77,'313'!$D$79,'313'!$D$81</definedName>
    <definedName name="OSRRefD22x_0" localSheetId="55">'314'!$D$56:$D$64,'314'!$D$66:$D$69,'314'!$D$71,'314'!$D$73:$D$74,'314'!$D$76,'314'!$D$78,'314'!$D$80:$D$88,'314'!$D$90,'314'!$D$92:$D$94,'314'!$D$96,'314'!$D$98,'314'!$D$100</definedName>
    <definedName name="OSRRefD22x_0" localSheetId="60">'315'!$D$57:$D$64,'315'!$D$66:$D$71,'315'!$D$73,'315'!$D$75:$D$76,'315'!$D$78,'315'!$D$80:$D$81,'315'!$D$83,'315'!$D$85:$D$91,'315'!$D$93,'315'!$D$95:$D$97,'315'!$D$99:$D$100,'315'!$D$102:$D$103,'315'!$D$105:$D$109,'315'!$D$111,'315'!$D$113,'315'!$D$115:$D$116</definedName>
    <definedName name="OSRRefD22x_0" localSheetId="63">'316'!$D$35:$D$42,'316'!$D$44:$D$47,'316'!$D$49,'316'!$D$51,'316'!$D$53,'316'!$D$55,'316'!$D$57:$D$58,'316'!$D$60,'316'!$D$62:$D$63,'316'!$D$65,'316'!$D$67:$D$71,'316'!$D$73,'316'!$D$75</definedName>
    <definedName name="OSRRefD22x_0" localSheetId="66">'317'!$D$59:$D$67,'317'!$D$69:$D$73,'317'!$D$75,'317'!$D$77,'317'!$D$79,'317'!$D$81,'317'!$D$83,'317'!$D$85:$D$86,'317'!$D$88,'317'!$D$90:$D$97,'317'!$D$99,'317'!$D$101,'317'!$D$103:$D$104,'317'!$D$106,'317'!$D$108,'317'!$D$110:$D$111</definedName>
    <definedName name="OSRRefD22x_0" localSheetId="64">'320'!$D$31:$D$38,'320'!$D$40:$D$45,'320'!$D$47,'320'!$D$49,'320'!$D$51:$D$52,'320'!$D$54,'320'!$D$56:$D$58,'320'!$D$60:$D$62,'320'!$D$64</definedName>
    <definedName name="OSRRefD22x_0" localSheetId="70">'321'!$D$24:$D$30,'321'!$D$32:$D$36,'321'!$D$38,'321'!$D$40,'321'!$D$42,'321'!$D$44,'321'!$D$46,'321'!$D$48:$D$50,'321'!$D$52,'321'!$D$54:$D$56,'321'!$D$58:$D$63,'321'!$D$65,'321'!$D$67,'321'!$D$69</definedName>
    <definedName name="OSRRefD22x_0" localSheetId="71">'322'!$D$24:$D$31,'322'!$D$33:$D$37,'322'!$D$39,'322'!$D$41,'322'!$D$43,'322'!$D$45,'322'!$D$47,'322'!$D$49,'322'!$D$51,'322'!$D$53,'322'!$D$55,'322'!$D$57:$D$58,'322'!$D$60:$D$62,'322'!$D$64,'322'!$D$66:$D$72,'322'!$D$74,'322'!$D$76,'322'!$D$78</definedName>
    <definedName name="OSRRefD22x_0" localSheetId="58">'324'!$D$26</definedName>
    <definedName name="OSRRefD22x_0" localSheetId="72">'325'!$D$24:$D$31,'325'!$D$33:$D$38,'325'!$D$40,'325'!$D$42,'325'!$D$44,'325'!$D$46:$D$47,'325'!$D$49,'325'!$D$51,'325'!$D$53,'325'!$D$55,'325'!$D$57,'325'!$D$59:$D$61,'325'!$D$63:$D$66,'325'!$D$68:$D$69,'325'!$D$71:$D$76,'325'!$D$78,'325'!$D$80,'325'!$D$82</definedName>
    <definedName name="OSRRefD22x_0" localSheetId="61">'326'!$D$62:$D$69,'326'!$D$71:$D$75,'326'!$D$77,'326'!$D$79,'326'!$D$81,'326'!$D$83,'326'!$D$85,'326'!$D$87,'326'!$D$89,'326'!$D$91,'326'!$D$93:$D$107,'326'!$D$109,'326'!$D$111,'326'!$D$113:$D$114,'326'!$D$116:$D$118,'326'!$D$120:$D$121,'326'!$D$123:$D$127,'326'!$D$129,'326'!$D$131,'326'!$D$133,'326'!$D$135</definedName>
    <definedName name="OSRRefD22x_0" localSheetId="73">'327'!$D$22,'327'!$D$24,'327'!$D$26</definedName>
    <definedName name="OSRRefD22x_0" localSheetId="53">'330'!$D$87:$D$95,'330'!$D$97:$D$101,'330'!$D$103,'330'!$D$105,'330'!$D$107:$D$108,'330'!$D$110,'330'!$D$112,'330'!$D$114,'330'!$D$116:$D$137,'330'!$D$139,'330'!$D$141,'330'!$D$143:$D$144,'330'!$D$146:$D$147,'330'!$D$149,'330'!$D$151:$D$153,'330'!$D$155,'330'!$D$157,'330'!$D$159</definedName>
    <definedName name="OSRRefD22x_0" localSheetId="59">'331'!$D$76:$D$83,'331'!$D$85:$D$90,'331'!$D$92,'331'!$D$94,'331'!$D$96,'331'!$D$98:$D$99,'331'!$D$101,'331'!$D$103,'331'!$D$105:$D$106,'331'!$D$108,'331'!$D$110,'331'!$D$112:$D$126,'331'!$D$128,'331'!$D$130,'331'!$D$132:$D$134,'331'!$D$136:$D$137,'331'!$D$139:$D$141,'331'!$D$143:$D$144,'331'!$D$146:$D$151,'331'!$D$153,'331'!$D$155,'331'!$D$157:$D$158,'331'!$D$160</definedName>
    <definedName name="OSRRefD22x_0" localSheetId="62">'332'!$D$46:$D$53,'332'!$D$55:$D$60,'332'!$D$62,'332'!$D$64,'332'!$D$66,'332'!$D$68,'332'!$D$70:$D$71,'332'!$D$73,'332'!$D$75:$D$77,'332'!$D$79:$D$80,'332'!$D$82,'332'!$D$84:$D$88,'332'!$D$90,'332'!$D$92</definedName>
    <definedName name="OSRRefD22x_0" localSheetId="77">'405'!$D$24:$D$31,'405'!$D$33:$D$37,'405'!$D$39,'405'!$D$41,'405'!$D$43,'405'!$D$45:$D$46,'405'!$D$48,'405'!$D$50,'405'!$D$52,'405'!$D$54,'405'!$D$56:$D$57,'405'!$D$59,'405'!$D$61:$D$63,'405'!$D$65:$D$66,'405'!$D$68:$D$74,'405'!$D$76,'405'!$D$78,'405'!$D$80,'405'!$D$82</definedName>
    <definedName name="OSRRefD22x_0" localSheetId="78">'406'!$D$24:$D$31,'406'!$D$33:$D$38,'406'!$D$40,'406'!$D$42,'406'!$D$44,'406'!$D$46,'406'!$D$48,'406'!$D$50,'406'!$D$52,'406'!$D$54:$D$56,'406'!$D$58:$D$59,'406'!$D$61:$D$66,'406'!$D$68,'406'!$D$70,'406'!$D$72:$D$73</definedName>
    <definedName name="OSRRefD22x_0" localSheetId="79">'411'!$D$20:$D$28,'411'!$D$30:$D$35,'411'!$D$37,'411'!$D$39,'411'!$D$41:$D$43,'411'!$D$45,'411'!$D$47,'411'!$D$49,'411'!$D$51,'411'!$D$53,'411'!$D$55,'411'!$D$57,'411'!$D$59:$D$62,'411'!$D$64:$D$68,'411'!$D$70:$D$71,'411'!$D$73:$D$81,'411'!$D$83,'411'!$D$85,'411'!$D$87:$D$89,'411'!$D$91</definedName>
    <definedName name="OSRRefD22x_0" localSheetId="80">'412'!$D$25:$D$32,'412'!$D$34:$D$39,'412'!$D$41,'412'!$D$43,'412'!$D$45,'412'!$D$47,'412'!$D$49,'412'!$D$51,'412'!$D$53,'412'!$D$55:$D$57,'412'!$D$59,'412'!$D$61:$D$63,'412'!$D$65:$D$72,'412'!$D$74,'412'!$D$76</definedName>
    <definedName name="OSRRefD22x_0" localSheetId="82">'413'!$D$24:$D$31,'413'!$D$33:$D$38,'413'!$D$40,'413'!$D$42,'413'!$D$44,'413'!$D$46,'413'!$D$48,'413'!$D$50,'413'!$D$52:$D$54,'413'!$D$56:$D$57,'413'!$D$59:$D$64,'413'!$D$66,'413'!$D$68,'413'!$D$70</definedName>
    <definedName name="OSRRefD22x_0" localSheetId="83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4">'415'!$D$24:$D$31,'415'!$D$33:$D$38,'415'!$D$40,'415'!$D$42,'415'!$D$44,'415'!$D$46:$D$47,'415'!$D$49,'415'!$D$51,'415'!$D$53,'415'!$D$55,'415'!$D$57,'415'!$D$59:$D$62,'415'!$D$64:$D$68,'415'!$D$70:$D$71,'415'!$D$73:$D$81,'415'!$D$83,'415'!$D$85,'415'!$D$87,'415'!$D$89</definedName>
    <definedName name="OSRRefD22x_0" localSheetId="85">'418'!$D$24:$D$31,'418'!$D$33:$D$38,'418'!$D$40,'418'!$D$42,'418'!$D$44,'418'!$D$46:$D$47,'418'!$D$49,'418'!$D$51,'418'!$D$53,'418'!$D$55,'418'!$D$57,'418'!$D$59:$D$60,'418'!$D$62:$D$64,'418'!$D$66:$D$68,'418'!$D$70:$D$71,'418'!$D$73:$D$80,'418'!$D$82,'418'!$D$84</definedName>
    <definedName name="OSRRefD22x_0" localSheetId="81">'420'!$D$24:$D$31,'420'!$D$33:$D$36,'420'!$D$38,'420'!$D$40,'420'!$D$42,'420'!$D$44,'420'!$D$46:$D$47,'420'!$D$49</definedName>
    <definedName name="OSRRefD22x_0" localSheetId="86">'423'!$D$21:$D$28,'423'!$D$30:$D$31,'423'!$D$33,'423'!$D$35,'423'!$D$37,'423'!$D$39,'423'!$D$41</definedName>
    <definedName name="OSRRefD22x_0" localSheetId="87">'424'!$D$26:$D$28,'424'!$D$30:$D$34,'424'!$D$36,'424'!$D$38,'424'!$D$40,'424'!$D$42,'424'!$D$44,'424'!$D$46,'424'!$D$48,'424'!$D$50:$D$51,'424'!$D$53,'424'!$D$55,'424'!$D$57:$D$63,'424'!$D$65</definedName>
    <definedName name="OSRRefD22x_0" localSheetId="88">'425'!$D$27:$D$35,'425'!$D$37:$D$42,'425'!$D$44,'425'!$D$46,'425'!$D$48,'425'!$D$50,'425'!$D$52,'425'!$D$54,'425'!$D$56,'425'!$D$58:$D$60,'425'!$D$62,'425'!$D$64:$D$66,'425'!$D$68:$D$74,'425'!$D$76,'425'!$D$78,'425'!$D$80:$D$81</definedName>
    <definedName name="OSRRefD22x_0" localSheetId="91">'430'!$D$20:$D$27,'430'!$D$29,'430'!$D$31,'430'!$D$33,'430'!$D$35,'430'!$D$37,'430'!$D$39:$D$41,'430'!$D$43,'430'!$D$45,'430'!$D$47</definedName>
    <definedName name="OSRRefD22x_0" localSheetId="92">'433'!$D$26:$D$34,'433'!$D$36:$D$41,'433'!$D$43,'433'!$D$45,'433'!$D$47,'433'!$D$49,'433'!$D$51,'433'!$D$53,'433'!$D$55,'433'!$D$57,'433'!$D$59:$D$61,'433'!$D$63:$D$65,'433'!$D$67:$D$74,'433'!$D$76,'433'!$D$78,'433'!$D$80:$D$81</definedName>
    <definedName name="OSRRefD22x_0" localSheetId="93">'435'!$D$25:$D$27,'435'!$D$29:$D$31,'435'!$D$33,'435'!$D$35,'435'!$D$37,'435'!$D$39,'435'!$D$41,'435'!$D$43,'435'!$D$45:$D$48,'435'!$D$50</definedName>
    <definedName name="OSRRefD22x_0" localSheetId="94">'444'!$D$25:$D$33,'444'!$D$35:$D$40,'444'!$D$42,'444'!$D$44,'444'!$D$46,'444'!$D$48,'444'!$D$50,'444'!$D$52,'444'!$D$54,'444'!$D$56,'444'!$D$58,'444'!$D$60:$D$62,'444'!$D$64:$D$66,'444'!$D$68:$D$75,'444'!$D$77,'444'!$D$79,'444'!$D$81</definedName>
    <definedName name="OSRRefD22x_0" localSheetId="95">'445'!$D$21</definedName>
    <definedName name="OSRRefD22x_0" localSheetId="96">'450'!$D$25:$D$33,'450'!$D$35:$D$40,'450'!$D$42,'450'!$D$44,'450'!$D$46,'450'!$D$48,'450'!$D$50,'450'!$D$52,'450'!$D$54,'450'!$D$56,'450'!$D$58,'450'!$D$60,'450'!$D$62:$D$64,'450'!$D$66:$D$68,'450'!$D$70:$D$76,'450'!$D$78,'450'!$D$80,'450'!$D$82:$D$83</definedName>
    <definedName name="OSRRefD22x_0" localSheetId="89">'455'!$D$20:$D$26,'455'!$D$28:$D$29,'455'!$D$31</definedName>
    <definedName name="OSRRefD22x_0" localSheetId="76">'491'!$D$34:$D$42,'491'!$D$44:$D$50,'491'!$D$52,'491'!$D$54,'491'!$D$56,'491'!$D$58:$D$60,'491'!$D$62,'491'!$D$64,'491'!$D$66,'491'!$D$68,'491'!$D$70,'491'!$D$72:$D$73,'491'!$D$75,'491'!$D$77,'491'!$D$79,'491'!$D$81,'491'!$D$83:$D$86,'491'!$D$88:$D$89,'491'!$D$91:$D$95,'491'!$D$97:$D$98,'491'!$D$100:$D$109,'491'!$D$111,'491'!$D$113,'491'!$D$115:$D$117,'491'!$D$119</definedName>
    <definedName name="OSRRefD22x_0" localSheetId="90">'492'!$D$28:$D$36,'492'!$D$38:$D$44,'492'!$D$46,'492'!$D$48,'492'!$D$50,'492'!$D$52,'492'!$D$54,'492'!$D$56,'492'!$D$58,'492'!$D$60,'492'!$D$62,'492'!$D$64,'492'!$D$66,'492'!$D$68:$D$70,'492'!$D$72:$D$74,'492'!$D$76:$D$84,'492'!$D$86,'492'!$D$88,'492'!$D$90:$D$91</definedName>
    <definedName name="OSRRefD22x_0" localSheetId="98">'501'!$D$21:$D$28,'501'!$D$30:$D$35,'501'!$D$37,'501'!$D$39,'501'!$D$41,'501'!$D$43:$D$44,'501'!$D$46,'501'!$D$48,'501'!$D$50,'501'!$D$52,'501'!$D$54:$D$56,'501'!$D$58,'501'!$D$60:$D$63,'501'!$D$65,'501'!$D$67</definedName>
    <definedName name="OSRRefD22x_0" localSheetId="39">'Div 2'!$D$20:$D$30,'Div 2'!$D$32:$D$38,'Div 2'!$D$40,'Div 2'!$D$42,'Div 2'!$D$44,'Div 2'!$D$46:$D$47,'Div 2'!$D$49,'Div 2'!$D$51,'Div 2'!$D$53,'Div 2'!$D$55,'Div 2'!$D$57,'Div 2'!$D$59,'Div 2'!$D$61:$D$64,'Div 2'!$D$66:$D$69,'Div 2'!$D$71:$D$72,'Div 2'!$D$74:$D$75,'Div 2'!$D$77:$D$81,'Div 2'!$D$83:$D$84,'Div 2'!$D$86,'Div 2'!$D$88:$D$89</definedName>
    <definedName name="OSRRefD22x_0" localSheetId="48">'Div 3'!$D$179:$D$187,'Div 3'!$D$189:$D$195,'Div 3'!$D$197,'Div 3'!$D$199:$D$200,'Div 3'!$D$202,'Div 3'!$D$204:$D$205,'Div 3'!$D$207:$D$208,'Div 3'!$D$210,'Div 3'!$D$212,'Div 3'!$D$214,'Div 3'!$D$216:$D$217,'Div 3'!$D$219,'Div 3'!$D$221,'Div 3'!$D$223,'Div 3'!$D$225:$D$258,'Div 3'!$D$260,'Div 3'!$D$262,'Div 3'!$D$264:$D$267,'Div 3'!$D$269:$D$271,'Div 3'!$D$273:$D$277,'Div 3'!$D$279:$D$280,'Div 3'!$D$282:$D$290,'Div 3'!$D$292:$D$293,'Div 3'!$D$295,'Div 3'!$D$297:$D$299,'Div 3'!$D$301</definedName>
    <definedName name="OSRRefD22x_0" localSheetId="74">'Div 4'!$D$35:$D$43,'Div 4'!$D$45:$D$51,'Div 4'!$D$53,'Div 4'!$D$55,'Div 4'!$D$57,'Div 4'!$D$59:$D$61,'Div 4'!$D$63,'Div 4'!$D$65,'Div 4'!$D$67,'Div 4'!$D$69,'Div 4'!$D$71,'Div 4'!$D$73:$D$74,'Div 4'!$D$76,'Div 4'!$D$78,'Div 4'!$D$80,'Div 4'!$D$82,'Div 4'!$D$84,'Div 4'!$D$86:$D$89,'Div 4'!$D$91:$D$92,'Div 4'!$D$94:$D$98,'Div 4'!$D$100:$D$101,'Div 4'!$D$103:$D$112,'Div 4'!$D$114,'Div 4'!$D$116,'Div 4'!$D$118:$D$120,'Div 4'!$D$122</definedName>
    <definedName name="OSRRefD22x_0" localSheetId="97">'Div 5'!$D$21:$D$28,'Div 5'!$D$30:$D$35,'Div 5'!$D$37,'Div 5'!$D$39,'Div 5'!$D$41,'Div 5'!$D$43:$D$44,'Div 5'!$D$46,'Div 5'!$D$48,'Div 5'!$D$50,'Div 5'!$D$52,'Div 5'!$D$54:$D$56,'Div 5'!$D$58,'Div 5'!$D$60:$D$63,'Div 5'!$D$65,'Div 5'!$D$67</definedName>
    <definedName name="OSRRefD22x_0" localSheetId="65">'Div 6'!$D$59:$D$67,'Div 6'!$D$69:$D$73,'Div 6'!$D$75,'Div 6'!$D$77,'Div 6'!$D$79,'Div 6'!$D$81,'Div 6'!$D$83,'Div 6'!$D$85:$D$86,'Div 6'!$D$88,'Div 6'!$D$90:$D$97,'Div 6'!$D$99,'Div 6'!$D$101,'Div 6'!$D$103:$D$104,'Div 6'!$D$106,'Div 6'!$D$108,'Div 6'!$D$110:$D$111</definedName>
    <definedName name="OSRRefD22x_0" localSheetId="2">Summary!$D$215:$D$223,Summary!$D$225:$D$231,Summary!$D$233,Summary!$D$235:$D$236,Summary!$D$238,Summary!$D$240:$D$242,Summary!$D$244:$D$245,Summary!$D$247,Summary!$D$249,Summary!$D$251,Summary!$D$253:$D$254,Summary!$D$256:$D$257,Summary!$D$259,Summary!$D$261,Summary!$D$263:$D$299,Summary!$D$301,Summary!$D$303,Summary!$D$305,Summary!$D$307:$D$310,Summary!$D$312:$D$314,Summary!$D$316:$D$320,Summary!$D$322:$D$323,Summary!$D$325:$D$334,Summary!$D$336:$D$337,Summary!$D$339,Summary!$D$341:$D$343,Summary!$D$345</definedName>
    <definedName name="OSRRefD25x_0" localSheetId="49">'300'!$D$295:$D$303</definedName>
    <definedName name="OSRRefD25x_0" localSheetId="50">'300 &amp; 317'!$D$324:$D$335</definedName>
    <definedName name="OSRRefD25x_0" localSheetId="51">'301'!$D$102:$D$104</definedName>
    <definedName name="OSRRefD25x_0" localSheetId="54">'307'!$D$147</definedName>
    <definedName name="OSRRefD25x_0" localSheetId="56">'308'!$D$128:$D$130</definedName>
    <definedName name="OSRRefD25x_0" localSheetId="75">'310 &amp; 491'!$D$132:$D$134</definedName>
    <definedName name="OSRRefD25x_0" localSheetId="57">'311'!$D$126:$D$128</definedName>
    <definedName name="OSRRefD25x_0" localSheetId="60">'315'!$D$119</definedName>
    <definedName name="OSRRefD25x_0" localSheetId="63">'316'!$D$78</definedName>
    <definedName name="OSRRefD25x_0" localSheetId="66">'317'!$D$114:$D$117</definedName>
    <definedName name="OSRRefD25x_0" localSheetId="64">'320'!$D$67:$D$71</definedName>
    <definedName name="OSRRefD25x_0" localSheetId="53">'330'!$D$162</definedName>
    <definedName name="OSRRefD25x_0" localSheetId="59">'331'!$D$163</definedName>
    <definedName name="OSRRefD25x_0" localSheetId="62">'332'!$D$95:$D$100</definedName>
    <definedName name="OSRRefD25x_0" localSheetId="79">'411'!$D$94:$D$95</definedName>
    <definedName name="OSRRefD25x_0" localSheetId="82">'413'!$D$73</definedName>
    <definedName name="OSRRefD25x_0" localSheetId="84">'415'!$D$92</definedName>
    <definedName name="OSRRefD25x_0" localSheetId="85">'418'!$D$87</definedName>
    <definedName name="OSRRefD25x_0" localSheetId="86">'423'!$D$44</definedName>
    <definedName name="OSRRefD25x_0" localSheetId="87">'424'!$D$68</definedName>
    <definedName name="OSRRefD25x_0" localSheetId="88">'425'!$D$84</definedName>
    <definedName name="OSRRefD25x_0" localSheetId="89">'455'!$D$34:$D$35</definedName>
    <definedName name="OSRRefD25x_0" localSheetId="76">'491'!$D$122:$D$124</definedName>
    <definedName name="OSRRefD25x_0" localSheetId="98">'501'!$D$70:$D$71</definedName>
    <definedName name="OSRRefD25x_0" localSheetId="48">'Div 3'!$D$304:$D$312</definedName>
    <definedName name="OSRRefD25x_0" localSheetId="74">'Div 4'!$D$125:$D$127</definedName>
    <definedName name="OSRRefD25x_0" localSheetId="97">'Div 5'!$D$70:$D$71</definedName>
    <definedName name="OSRRefD25x_0" localSheetId="65">'Div 6'!$D$114:$D$117</definedName>
    <definedName name="OSRRefD25x_0" localSheetId="2">Summary!$D$348:$D$360</definedName>
    <definedName name="OSRRefH13x_0" localSheetId="49">'300'!$H$13:$H$115</definedName>
    <definedName name="OSRRefH13x_0" localSheetId="50">'300 &amp; 317'!$H$13:$H$133</definedName>
    <definedName name="OSRRefH13x_0" localSheetId="54">'307'!$H$13:$H$51</definedName>
    <definedName name="OSRRefH13x_0" localSheetId="56">'308'!$H$13:$H$44</definedName>
    <definedName name="OSRRefH13x_0" localSheetId="68">'309'!$H$13:$H$14</definedName>
    <definedName name="OSRRefH13x_0" localSheetId="67">'310'!$H$13:$H$24</definedName>
    <definedName name="OSRRefH13x_0" localSheetId="75">'310 &amp; 491'!$H$13:$H$33</definedName>
    <definedName name="OSRRefH13x_0" localSheetId="57">'311'!$H$13:$H$42</definedName>
    <definedName name="OSRRefH13x_0" localSheetId="69">'313'!$H$13:$H$21</definedName>
    <definedName name="OSRRefH13x_0" localSheetId="55">'314'!$H$13:$H$33</definedName>
    <definedName name="OSRRefH13x_0" localSheetId="60">'315'!$H$13:$H$33</definedName>
    <definedName name="OSRRefH13x_0" localSheetId="63">'316'!$H$13:$H$27</definedName>
    <definedName name="OSRRefH13x_0" localSheetId="66">'317'!$H$13:$H$36</definedName>
    <definedName name="OSRRefH13x_0" localSheetId="64">'320'!$H$13:$H$18</definedName>
    <definedName name="OSRRefH13x_0" localSheetId="70">'321'!$H$13:$H$14</definedName>
    <definedName name="OSRRefH13x_0" localSheetId="71">'322'!$H$13:$H$14</definedName>
    <definedName name="OSRRefH13x_0" localSheetId="58">'324'!$H$13:$H$16</definedName>
    <definedName name="OSRRefH13x_0" localSheetId="72">'325'!$H$13:$H$14</definedName>
    <definedName name="OSRRefH13x_0" localSheetId="61">'326'!$H$13:$H$36</definedName>
    <definedName name="OSRRefH13x_0" localSheetId="73">'327'!$H$13</definedName>
    <definedName name="OSRRefH13x_0" localSheetId="53">'330'!$H$13:$H$55</definedName>
    <definedName name="OSRRefH13x_0" localSheetId="59">'331'!$H$13:$H$44</definedName>
    <definedName name="OSRRefH13x_0" localSheetId="62">'332'!$H$13:$H$33</definedName>
    <definedName name="OSRRefH13x_0" localSheetId="77">'405'!$H$13:$H$14</definedName>
    <definedName name="OSRRefH13x_0" localSheetId="78">'406'!$H$13:$H$14</definedName>
    <definedName name="OSRRefH13x_0" localSheetId="80">'412'!$H$13:$H$15</definedName>
    <definedName name="OSRRefH13x_0" localSheetId="82">'413'!$H$13:$H$14</definedName>
    <definedName name="OSRRefH13x_0" localSheetId="83">'414'!$H$13:$H$14</definedName>
    <definedName name="OSRRefH13x_0" localSheetId="84">'415'!$H$13:$H$14</definedName>
    <definedName name="OSRRefH13x_0" localSheetId="85">'418'!$H$13:$H$14</definedName>
    <definedName name="OSRRefH13x_0" localSheetId="81">'420'!$H$13:$H$14</definedName>
    <definedName name="OSRRefH13x_0" localSheetId="87">'424'!$H$13:$H$16</definedName>
    <definedName name="OSRRefH13x_0" localSheetId="88">'425'!$H$13:$H$17</definedName>
    <definedName name="OSRRefH13x_0" localSheetId="92">'433'!$H$13:$H$16</definedName>
    <definedName name="OSRRefH13x_0" localSheetId="93">'435'!$H$13:$H$15</definedName>
    <definedName name="OSRRefH13x_0" localSheetId="94">'444'!$H$13:$H$15</definedName>
    <definedName name="OSRRefH13x_0" localSheetId="96">'450'!$H$13:$H$15</definedName>
    <definedName name="OSRRefH13x_0" localSheetId="76">'491'!$H$13:$H$24</definedName>
    <definedName name="OSRRefH13x_0" localSheetId="90">'492'!$H$13:$H$18</definedName>
    <definedName name="OSRRefH13x_0" localSheetId="98">'501'!$H$13</definedName>
    <definedName name="OSRRefH13x_0" localSheetId="48">'Div 3'!$H$13:$H$118</definedName>
    <definedName name="OSRRefH13x_0" localSheetId="74">'Div 4'!$H$13:$H$25</definedName>
    <definedName name="OSRRefH13x_0" localSheetId="97">'Div 5'!$H$13</definedName>
    <definedName name="OSRRefH13x_0" localSheetId="65">'Div 6'!$H$13:$H$36</definedName>
    <definedName name="OSRRefH13x_0" localSheetId="2">Summary!$H$13:$H$146</definedName>
    <definedName name="OSRRefH16x_0" localSheetId="49">'300'!$H$118:$H$168</definedName>
    <definedName name="OSRRefH16x_0" localSheetId="50">'300 &amp; 317'!$H$136:$H$194</definedName>
    <definedName name="OSRRefH16x_0" localSheetId="51">'301'!$H$15</definedName>
    <definedName name="OSRRefH16x_0" localSheetId="54">'307'!$H$54:$H$74</definedName>
    <definedName name="OSRRefH16x_0" localSheetId="56">'308'!$H$47:$H$62</definedName>
    <definedName name="OSRRefH16x_0" localSheetId="68">'309'!$H$17:$H$18</definedName>
    <definedName name="OSRRefH16x_0" localSheetId="67">'310'!$H$27:$H$28</definedName>
    <definedName name="OSRRefH16x_0" localSheetId="75">'310 &amp; 491'!$H$36:$H$37</definedName>
    <definedName name="OSRRefH16x_0" localSheetId="57">'311'!$H$45:$H$60</definedName>
    <definedName name="OSRRefH16x_0" localSheetId="69">'313'!$H$24:$H$25</definedName>
    <definedName name="OSRRefH16x_0" localSheetId="55">'314'!$H$36:$H$50</definedName>
    <definedName name="OSRRefH16x_0" localSheetId="60">'315'!$H$36:$H$51</definedName>
    <definedName name="OSRRefH16x_0" localSheetId="66">'317'!$H$39:$H$53</definedName>
    <definedName name="OSRRefH16x_0" localSheetId="64">'320'!$H$21:$H$25</definedName>
    <definedName name="OSRRefH16x_0" localSheetId="70">'321'!$H$17:$H$18</definedName>
    <definedName name="OSRRefH16x_0" localSheetId="71">'322'!$H$17:$H$18</definedName>
    <definedName name="OSRRefH16x_0" localSheetId="58">'324'!$H$19:$H$20</definedName>
    <definedName name="OSRRefH16x_0" localSheetId="72">'325'!$H$17:$H$18</definedName>
    <definedName name="OSRRefH16x_0" localSheetId="61">'326'!$H$39:$H$56</definedName>
    <definedName name="OSRRefH16x_0" localSheetId="73">'327'!$H$16</definedName>
    <definedName name="OSRRefH16x_0" localSheetId="53">'330'!$H$58:$H$81</definedName>
    <definedName name="OSRRefH16x_0" localSheetId="59">'331'!$H$47:$H$70</definedName>
    <definedName name="OSRRefH16x_0" localSheetId="62">'332'!$H$36:$H$40</definedName>
    <definedName name="OSRRefH16x_0" localSheetId="77">'405'!$H$17:$H$18</definedName>
    <definedName name="OSRRefH16x_0" localSheetId="78">'406'!$H$17:$H$18</definedName>
    <definedName name="OSRRefH16x_0" localSheetId="80">'412'!$H$18:$H$19</definedName>
    <definedName name="OSRRefH16x_0" localSheetId="82">'413'!$H$17:$H$18</definedName>
    <definedName name="OSRRefH16x_0" localSheetId="83">'414'!$H$17:$H$18</definedName>
    <definedName name="OSRRefH16x_0" localSheetId="84">'415'!$H$17:$H$18</definedName>
    <definedName name="OSRRefH16x_0" localSheetId="85">'418'!$H$17:$H$18</definedName>
    <definedName name="OSRRefH16x_0" localSheetId="81">'420'!$H$17:$H$18</definedName>
    <definedName name="OSRRefH16x_0" localSheetId="86">'423'!$H$15</definedName>
    <definedName name="OSRRefH16x_0" localSheetId="87">'424'!$H$19:$H$20</definedName>
    <definedName name="OSRRefH16x_0" localSheetId="88">'425'!$H$20:$H$21</definedName>
    <definedName name="OSRRefH16x_0" localSheetId="92">'433'!$H$19:$H$20</definedName>
    <definedName name="OSRRefH16x_0" localSheetId="93">'435'!$H$18:$H$19</definedName>
    <definedName name="OSRRefH16x_0" localSheetId="94">'444'!$H$18:$H$19</definedName>
    <definedName name="OSRRefH16x_0" localSheetId="95">'445'!$H$15</definedName>
    <definedName name="OSRRefH16x_0" localSheetId="96">'450'!$H$18:$H$19</definedName>
    <definedName name="OSRRefH16x_0" localSheetId="76">'491'!$H$27:$H$28</definedName>
    <definedName name="OSRRefH16x_0" localSheetId="90">'492'!$H$21:$H$22</definedName>
    <definedName name="OSRRefH16x_0" localSheetId="48">'Div 3'!$H$121:$H$173</definedName>
    <definedName name="OSRRefH16x_0" localSheetId="74">'Div 4'!$H$28:$H$29</definedName>
    <definedName name="OSRRefH16x_0" localSheetId="65">'Div 6'!$H$39:$H$53</definedName>
    <definedName name="OSRRefH16x_0" localSheetId="2">Summary!$H$149:$H$209</definedName>
    <definedName name="OSRRefH22_0x_0" localSheetId="40">'200'!$H$20:$H$21</definedName>
    <definedName name="OSRRefH22_0x_0" localSheetId="41">'201'!$H$20:$H$28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9">'300'!$H$174:$H$182</definedName>
    <definedName name="OSRRefH22_0x_0" localSheetId="50">'300 &amp; 317'!$H$200:$H$208</definedName>
    <definedName name="OSRRefH22_0x_0" localSheetId="51">'301'!$H$21:$H$28</definedName>
    <definedName name="OSRRefH22_0x_0" localSheetId="52">'306'!$H$20:$H$28</definedName>
    <definedName name="OSRRefH22_0x_0" localSheetId="54">'307'!$H$80:$H$87</definedName>
    <definedName name="OSRRefH22_0x_0" localSheetId="56">'308'!$H$68:$H$76</definedName>
    <definedName name="OSRRefH22_0x_0" localSheetId="68">'309'!$H$24:$H$31</definedName>
    <definedName name="OSRRefH22_0x_0" localSheetId="67">'310'!$H$34:$H$41</definedName>
    <definedName name="OSRRefH22_0x_0" localSheetId="75">'310 &amp; 491'!$H$43:$H$51</definedName>
    <definedName name="OSRRefH22_0x_0" localSheetId="57">'311'!$H$66:$H$74</definedName>
    <definedName name="OSRRefH22_0x_0" localSheetId="69">'313'!$H$31:$H$38</definedName>
    <definedName name="OSRRefH22_0x_0" localSheetId="55">'314'!$H$56:$H$64</definedName>
    <definedName name="OSRRefH22_0x_0" localSheetId="60">'315'!$H$57:$H$64</definedName>
    <definedName name="OSRRefH22_0x_0" localSheetId="63">'316'!$H$35:$H$42</definedName>
    <definedName name="OSRRefH22_0x_0" localSheetId="66">'317'!$H$59:$H$67</definedName>
    <definedName name="OSRRefH22_0x_0" localSheetId="64">'320'!$H$31:$H$38</definedName>
    <definedName name="OSRRefH22_0x_0" localSheetId="70">'321'!$H$24:$H$30</definedName>
    <definedName name="OSRRefH22_0x_0" localSheetId="71">'322'!$H$24:$H$31</definedName>
    <definedName name="OSRRefH22_0x_0" localSheetId="58">'324'!$H$26</definedName>
    <definedName name="OSRRefH22_0x_0" localSheetId="72">'325'!$H$24:$H$31</definedName>
    <definedName name="OSRRefH22_0x_0" localSheetId="61">'326'!$H$62:$H$69</definedName>
    <definedName name="OSRRefH22_0x_0" localSheetId="73">'327'!$H$22</definedName>
    <definedName name="OSRRefH22_0x_0" localSheetId="53">'330'!$H$87:$H$95</definedName>
    <definedName name="OSRRefH22_0x_0" localSheetId="59">'331'!$H$76:$H$83</definedName>
    <definedName name="OSRRefH22_0x_0" localSheetId="62">'332'!$H$46:$H$53</definedName>
    <definedName name="OSRRefH22_0x_0" localSheetId="77">'405'!$H$24:$H$31</definedName>
    <definedName name="OSRRefH22_0x_0" localSheetId="78">'406'!$H$24:$H$31</definedName>
    <definedName name="OSRRefH22_0x_0" localSheetId="79">'411'!$H$20:$H$28</definedName>
    <definedName name="OSRRefH22_0x_0" localSheetId="80">'412'!$H$25:$H$32</definedName>
    <definedName name="OSRRefH22_0x_0" localSheetId="82">'413'!$H$24:$H$31</definedName>
    <definedName name="OSRRefH22_0x_0" localSheetId="83">'414'!$H$24:$H$31</definedName>
    <definedName name="OSRRefH22_0x_0" localSheetId="84">'415'!$H$24:$H$31</definedName>
    <definedName name="OSRRefH22_0x_0" localSheetId="85">'418'!$H$24:$H$31</definedName>
    <definedName name="OSRRefH22_0x_0" localSheetId="81">'420'!$H$24:$H$31</definedName>
    <definedName name="OSRRefH22_0x_0" localSheetId="86">'423'!$H$21:$H$28</definedName>
    <definedName name="OSRRefH22_0x_0" localSheetId="87">'424'!$H$26:$H$28</definedName>
    <definedName name="OSRRefH22_0x_0" localSheetId="88">'425'!$H$27:$H$35</definedName>
    <definedName name="OSRRefH22_0x_0" localSheetId="91">'430'!$H$20:$H$27</definedName>
    <definedName name="OSRRefH22_0x_0" localSheetId="92">'433'!$H$26:$H$34</definedName>
    <definedName name="OSRRefH22_0x_0" localSheetId="93">'435'!$H$25:$H$27</definedName>
    <definedName name="OSRRefH22_0x_0" localSheetId="94">'444'!$H$25:$H$33</definedName>
    <definedName name="OSRRefH22_0x_0" localSheetId="95">'445'!$H$21</definedName>
    <definedName name="OSRRefH22_0x_0" localSheetId="96">'450'!$H$25:$H$33</definedName>
    <definedName name="OSRRefH22_0x_0" localSheetId="89">'455'!$H$20:$H$26</definedName>
    <definedName name="OSRRefH22_0x_0" localSheetId="76">'491'!$H$34:$H$42</definedName>
    <definedName name="OSRRefH22_0x_0" localSheetId="90">'492'!$H$28:$H$36</definedName>
    <definedName name="OSRRefH22_0x_0" localSheetId="98">'501'!$H$21:$H$28</definedName>
    <definedName name="OSRRefH22_0x_0" localSheetId="39">'Div 2'!$H$20:$H$30</definedName>
    <definedName name="OSRRefH22_0x_0" localSheetId="48">'Div 3'!$H$179:$H$187</definedName>
    <definedName name="OSRRefH22_0x_0" localSheetId="74">'Div 4'!$H$35:$H$43</definedName>
    <definedName name="OSRRefH22_0x_0" localSheetId="97">'Div 5'!$H$21:$H$28</definedName>
    <definedName name="OSRRefH22_0x_0" localSheetId="65">'Div 6'!$H$59:$H$67</definedName>
    <definedName name="OSRRefH22_0x_0" localSheetId="2">Summary!$H$215:$H$223</definedName>
    <definedName name="OSRRefH22_10x_0" localSheetId="41">'201'!$H$50:$H$52</definedName>
    <definedName name="OSRRefH22_10x_0" localSheetId="42">'202'!$H$52:$H$54</definedName>
    <definedName name="OSRRefH22_10x_0" localSheetId="43">'203'!$H$55:$H$56</definedName>
    <definedName name="OSRRefH22_10x_0" localSheetId="44">'204'!$H$60</definedName>
    <definedName name="OSRRefH22_10x_0" localSheetId="49">'300'!$H$211:$H$212</definedName>
    <definedName name="OSRRefH22_10x_0" localSheetId="50">'300 &amp; 317'!$H$237:$H$238</definedName>
    <definedName name="OSRRefH22_10x_0" localSheetId="51">'301'!$H$57</definedName>
    <definedName name="OSRRefH22_10x_0" localSheetId="52">'306'!$H$58</definedName>
    <definedName name="OSRRefH22_10x_0" localSheetId="54">'307'!$H$133:$H$134</definedName>
    <definedName name="OSRRefH22_10x_0" localSheetId="56">'308'!$H$112:$H$113</definedName>
    <definedName name="OSRRefH22_10x_0" localSheetId="68">'309'!$H$56:$H$58</definedName>
    <definedName name="OSRRefH22_10x_0" localSheetId="67">'310'!$H$68</definedName>
    <definedName name="OSRRefH22_10x_0" localSheetId="75">'310 &amp; 491'!$H$79:$H$80</definedName>
    <definedName name="OSRRefH22_10x_0" localSheetId="57">'311'!$H$110:$H$111</definedName>
    <definedName name="OSRRefH22_10x_0" localSheetId="69">'313'!$H$66:$H$67</definedName>
    <definedName name="OSRRefH22_10x_0" localSheetId="55">'314'!$H$98</definedName>
    <definedName name="OSRRefH22_10x_0" localSheetId="60">'315'!$H$99:$H$100</definedName>
    <definedName name="OSRRefH22_10x_0" localSheetId="63">'316'!$H$67:$H$71</definedName>
    <definedName name="OSRRefH22_10x_0" localSheetId="66">'317'!$H$99</definedName>
    <definedName name="OSRRefH22_10x_0" localSheetId="70">'321'!$H$58:$H$63</definedName>
    <definedName name="OSRRefH22_10x_0" localSheetId="71">'322'!$H$55</definedName>
    <definedName name="OSRRefH22_10x_0" localSheetId="72">'325'!$H$57</definedName>
    <definedName name="OSRRefH22_10x_0" localSheetId="61">'326'!$H$93:$H$107</definedName>
    <definedName name="OSRRefH22_10x_0" localSheetId="53">'330'!$H$141</definedName>
    <definedName name="OSRRefH22_10x_0" localSheetId="59">'331'!$H$110</definedName>
    <definedName name="OSRRefH22_10x_0" localSheetId="62">'332'!$H$82</definedName>
    <definedName name="OSRRefH22_10x_0" localSheetId="77">'405'!$H$56:$H$57</definedName>
    <definedName name="OSRRefH22_10x_0" localSheetId="78">'406'!$H$58:$H$59</definedName>
    <definedName name="OSRRefH22_10x_0" localSheetId="79">'411'!$H$55</definedName>
    <definedName name="OSRRefH22_10x_0" localSheetId="80">'412'!$H$59</definedName>
    <definedName name="OSRRefH22_10x_0" localSheetId="82">'413'!$H$59:$H$64</definedName>
    <definedName name="OSRRefH22_10x_0" localSheetId="83">'414'!$H$57</definedName>
    <definedName name="OSRRefH22_10x_0" localSheetId="84">'415'!$H$57</definedName>
    <definedName name="OSRRefH22_10x_0" localSheetId="85">'418'!$H$57</definedName>
    <definedName name="OSRRefH22_10x_0" localSheetId="87">'424'!$H$53</definedName>
    <definedName name="OSRRefH22_10x_0" localSheetId="88">'425'!$H$62</definedName>
    <definedName name="OSRRefH22_10x_0" localSheetId="92">'433'!$H$59:$H$61</definedName>
    <definedName name="OSRRefH22_10x_0" localSheetId="94">'444'!$H$58</definedName>
    <definedName name="OSRRefH22_10x_0" localSheetId="96">'450'!$H$58</definedName>
    <definedName name="OSRRefH22_10x_0" localSheetId="76">'491'!$H$70</definedName>
    <definedName name="OSRRefH22_10x_0" localSheetId="90">'492'!$H$62</definedName>
    <definedName name="OSRRefH22_10x_0" localSheetId="98">'501'!$H$54:$H$56</definedName>
    <definedName name="OSRRefH22_10x_0" localSheetId="39">'Div 2'!$H$57</definedName>
    <definedName name="OSRRefH22_10x_0" localSheetId="48">'Div 3'!$H$216:$H$217</definedName>
    <definedName name="OSRRefH22_10x_0" localSheetId="74">'Div 4'!$H$71</definedName>
    <definedName name="OSRRefH22_10x_0" localSheetId="97">'Div 5'!$H$54:$H$56</definedName>
    <definedName name="OSRRefH22_10x_0" localSheetId="65">'Div 6'!$H$99</definedName>
    <definedName name="OSRRefH22_10x_0" localSheetId="2">Summary!$H$253:$H$254</definedName>
    <definedName name="OSRRefH22_11x_0" localSheetId="41">'201'!$H$54:$H$56</definedName>
    <definedName name="OSRRefH22_11x_0" localSheetId="42">'202'!$H$56</definedName>
    <definedName name="OSRRefH22_11x_0" localSheetId="43">'203'!$H$58:$H$59</definedName>
    <definedName name="OSRRefH22_11x_0" localSheetId="44">'204'!$H$62:$H$63</definedName>
    <definedName name="OSRRefH22_11x_0" localSheetId="49">'300'!$H$214</definedName>
    <definedName name="OSRRefH22_11x_0" localSheetId="50">'300 &amp; 317'!$H$240</definedName>
    <definedName name="OSRRefH22_11x_0" localSheetId="51">'301'!$H$59</definedName>
    <definedName name="OSRRefH22_11x_0" localSheetId="54">'307'!$H$136:$H$138</definedName>
    <definedName name="OSRRefH22_11x_0" localSheetId="56">'308'!$H$115:$H$118</definedName>
    <definedName name="OSRRefH22_11x_0" localSheetId="68">'309'!$H$60</definedName>
    <definedName name="OSRRefH22_11x_0" localSheetId="67">'310'!$H$70</definedName>
    <definedName name="OSRRefH22_11x_0" localSheetId="75">'310 &amp; 491'!$H$82:$H$83</definedName>
    <definedName name="OSRRefH22_11x_0" localSheetId="57">'311'!$H$113:$H$116</definedName>
    <definedName name="OSRRefH22_11x_0" localSheetId="69">'313'!$H$69:$H$70</definedName>
    <definedName name="OSRRefH22_11x_0" localSheetId="55">'314'!$H$100</definedName>
    <definedName name="OSRRefH22_11x_0" localSheetId="60">'315'!$H$102:$H$103</definedName>
    <definedName name="OSRRefH22_11x_0" localSheetId="63">'316'!$H$73</definedName>
    <definedName name="OSRRefH22_11x_0" localSheetId="66">'317'!$H$101</definedName>
    <definedName name="OSRRefH22_11x_0" localSheetId="70">'321'!$H$65</definedName>
    <definedName name="OSRRefH22_11x_0" localSheetId="71">'322'!$H$57:$H$58</definedName>
    <definedName name="OSRRefH22_11x_0" localSheetId="72">'325'!$H$59:$H$61</definedName>
    <definedName name="OSRRefH22_11x_0" localSheetId="61">'326'!$H$109</definedName>
    <definedName name="OSRRefH22_11x_0" localSheetId="53">'330'!$H$143:$H$144</definedName>
    <definedName name="OSRRefH22_11x_0" localSheetId="59">'331'!$H$112:$H$126</definedName>
    <definedName name="OSRRefH22_11x_0" localSheetId="62">'332'!$H$84:$H$88</definedName>
    <definedName name="OSRRefH22_11x_0" localSheetId="77">'405'!$H$59</definedName>
    <definedName name="OSRRefH22_11x_0" localSheetId="78">'406'!$H$61:$H$66</definedName>
    <definedName name="OSRRefH22_11x_0" localSheetId="79">'411'!$H$57</definedName>
    <definedName name="OSRRefH22_11x_0" localSheetId="80">'412'!$H$61:$H$63</definedName>
    <definedName name="OSRRefH22_11x_0" localSheetId="82">'413'!$H$66</definedName>
    <definedName name="OSRRefH22_11x_0" localSheetId="83">'414'!$H$59</definedName>
    <definedName name="OSRRefH22_11x_0" localSheetId="84">'415'!$H$59:$H$62</definedName>
    <definedName name="OSRRefH22_11x_0" localSheetId="85">'418'!$H$59:$H$60</definedName>
    <definedName name="OSRRefH22_11x_0" localSheetId="87">'424'!$H$55</definedName>
    <definedName name="OSRRefH22_11x_0" localSheetId="88">'425'!$H$64:$H$66</definedName>
    <definedName name="OSRRefH22_11x_0" localSheetId="92">'433'!$H$63:$H$65</definedName>
    <definedName name="OSRRefH22_11x_0" localSheetId="94">'444'!$H$60:$H$62</definedName>
    <definedName name="OSRRefH22_11x_0" localSheetId="96">'450'!$H$60</definedName>
    <definedName name="OSRRefH22_11x_0" localSheetId="76">'491'!$H$72:$H$73</definedName>
    <definedName name="OSRRefH22_11x_0" localSheetId="90">'492'!$H$64</definedName>
    <definedName name="OSRRefH22_11x_0" localSheetId="98">'501'!$H$58</definedName>
    <definedName name="OSRRefH22_11x_0" localSheetId="39">'Div 2'!$H$59</definedName>
    <definedName name="OSRRefH22_11x_0" localSheetId="48">'Div 3'!$H$219</definedName>
    <definedName name="OSRRefH22_11x_0" localSheetId="74">'Div 4'!$H$73:$H$74</definedName>
    <definedName name="OSRRefH22_11x_0" localSheetId="97">'Div 5'!$H$58</definedName>
    <definedName name="OSRRefH22_11x_0" localSheetId="65">'Div 6'!$H$101</definedName>
    <definedName name="OSRRefH22_11x_0" localSheetId="2">Summary!$H$256:$H$257</definedName>
    <definedName name="OSRRefH22_12x_0" localSheetId="41">'201'!$H$58</definedName>
    <definedName name="OSRRefH22_12x_0" localSheetId="42">'202'!$H$58</definedName>
    <definedName name="OSRRefH22_12x_0" localSheetId="43">'203'!$H$61:$H$64</definedName>
    <definedName name="OSRRefH22_12x_0" localSheetId="49">'300'!$H$216</definedName>
    <definedName name="OSRRefH22_12x_0" localSheetId="50">'300 &amp; 317'!$H$242</definedName>
    <definedName name="OSRRefH22_12x_0" localSheetId="51">'301'!$H$61</definedName>
    <definedName name="OSRRefH22_12x_0" localSheetId="54">'307'!$H$140</definedName>
    <definedName name="OSRRefH22_12x_0" localSheetId="56">'308'!$H$120:$H$121</definedName>
    <definedName name="OSRRefH22_12x_0" localSheetId="68">'309'!$H$62:$H$68</definedName>
    <definedName name="OSRRefH22_12x_0" localSheetId="67">'310'!$H$72</definedName>
    <definedName name="OSRRefH22_12x_0" localSheetId="75">'310 &amp; 491'!$H$85</definedName>
    <definedName name="OSRRefH22_12x_0" localSheetId="57">'311'!$H$118:$H$119</definedName>
    <definedName name="OSRRefH22_12x_0" localSheetId="69">'313'!$H$72:$H$77</definedName>
    <definedName name="OSRRefH22_12x_0" localSheetId="60">'315'!$H$105:$H$109</definedName>
    <definedName name="OSRRefH22_12x_0" localSheetId="63">'316'!$H$75</definedName>
    <definedName name="OSRRefH22_12x_0" localSheetId="66">'317'!$H$103:$H$104</definedName>
    <definedName name="OSRRefH22_12x_0" localSheetId="70">'321'!$H$67</definedName>
    <definedName name="OSRRefH22_12x_0" localSheetId="71">'322'!$H$60:$H$62</definedName>
    <definedName name="OSRRefH22_12x_0" localSheetId="72">'325'!$H$63:$H$66</definedName>
    <definedName name="OSRRefH22_12x_0" localSheetId="61">'326'!$H$111</definedName>
    <definedName name="OSRRefH22_12x_0" localSheetId="53">'330'!$H$146:$H$147</definedName>
    <definedName name="OSRRefH22_12x_0" localSheetId="59">'331'!$H$128</definedName>
    <definedName name="OSRRefH22_12x_0" localSheetId="62">'332'!$H$90</definedName>
    <definedName name="OSRRefH22_12x_0" localSheetId="77">'405'!$H$61:$H$63</definedName>
    <definedName name="OSRRefH22_12x_0" localSheetId="78">'406'!$H$68</definedName>
    <definedName name="OSRRefH22_12x_0" localSheetId="79">'411'!$H$59:$H$62</definedName>
    <definedName name="OSRRefH22_12x_0" localSheetId="80">'412'!$H$65:$H$72</definedName>
    <definedName name="OSRRefH22_12x_0" localSheetId="82">'413'!$H$68</definedName>
    <definedName name="OSRRefH22_12x_0" localSheetId="83">'414'!$H$61</definedName>
    <definedName name="OSRRefH22_12x_0" localSheetId="84">'415'!$H$64:$H$68</definedName>
    <definedName name="OSRRefH22_12x_0" localSheetId="85">'418'!$H$62:$H$64</definedName>
    <definedName name="OSRRefH22_12x_0" localSheetId="87">'424'!$H$57:$H$63</definedName>
    <definedName name="OSRRefH22_12x_0" localSheetId="88">'425'!$H$68:$H$74</definedName>
    <definedName name="OSRRefH22_12x_0" localSheetId="92">'433'!$H$67:$H$74</definedName>
    <definedName name="OSRRefH22_12x_0" localSheetId="94">'444'!$H$64:$H$66</definedName>
    <definedName name="OSRRefH22_12x_0" localSheetId="96">'450'!$H$62:$H$64</definedName>
    <definedName name="OSRRefH22_12x_0" localSheetId="76">'491'!$H$75</definedName>
    <definedName name="OSRRefH22_12x_0" localSheetId="90">'492'!$H$66</definedName>
    <definedName name="OSRRefH22_12x_0" localSheetId="98">'501'!$H$60:$H$63</definedName>
    <definedName name="OSRRefH22_12x_0" localSheetId="39">'Div 2'!$H$61:$H$64</definedName>
    <definedName name="OSRRefH22_12x_0" localSheetId="48">'Div 3'!$H$221</definedName>
    <definedName name="OSRRefH22_12x_0" localSheetId="74">'Div 4'!$H$76</definedName>
    <definedName name="OSRRefH22_12x_0" localSheetId="97">'Div 5'!$H$60:$H$63</definedName>
    <definedName name="OSRRefH22_12x_0" localSheetId="65">'Div 6'!$H$103:$H$104</definedName>
    <definedName name="OSRRefH22_12x_0" localSheetId="2">Summary!$H$259</definedName>
    <definedName name="OSRRefH22_13x_0" localSheetId="41">'201'!$H$60:$H$63</definedName>
    <definedName name="OSRRefH22_13x_0" localSheetId="42">'202'!$H$60:$H$62</definedName>
    <definedName name="OSRRefH22_13x_0" localSheetId="43">'203'!$H$66</definedName>
    <definedName name="OSRRefH22_13x_0" localSheetId="49">'300'!$H$218:$H$251</definedName>
    <definedName name="OSRRefH22_13x_0" localSheetId="50">'300 &amp; 317'!$H$244:$H$280</definedName>
    <definedName name="OSRRefH22_13x_0" localSheetId="51">'301'!$H$63</definedName>
    <definedName name="OSRRefH22_13x_0" localSheetId="54">'307'!$H$142</definedName>
    <definedName name="OSRRefH22_13x_0" localSheetId="56">'308'!$H$123</definedName>
    <definedName name="OSRRefH22_13x_0" localSheetId="68">'309'!$H$70</definedName>
    <definedName name="OSRRefH22_13x_0" localSheetId="67">'310'!$H$74</definedName>
    <definedName name="OSRRefH22_13x_0" localSheetId="75">'310 &amp; 491'!$H$87</definedName>
    <definedName name="OSRRefH22_13x_0" localSheetId="57">'311'!$H$121</definedName>
    <definedName name="OSRRefH22_13x_0" localSheetId="69">'313'!$H$79</definedName>
    <definedName name="OSRRefH22_13x_0" localSheetId="60">'315'!$H$111</definedName>
    <definedName name="OSRRefH22_13x_0" localSheetId="66">'317'!$H$106</definedName>
    <definedName name="OSRRefH22_13x_0" localSheetId="70">'321'!$H$69</definedName>
    <definedName name="OSRRefH22_13x_0" localSheetId="71">'322'!$H$64</definedName>
    <definedName name="OSRRefH22_13x_0" localSheetId="72">'325'!$H$68:$H$69</definedName>
    <definedName name="OSRRefH22_13x_0" localSheetId="61">'326'!$H$113:$H$114</definedName>
    <definedName name="OSRRefH22_13x_0" localSheetId="53">'330'!$H$149</definedName>
    <definedName name="OSRRefH22_13x_0" localSheetId="59">'331'!$H$130</definedName>
    <definedName name="OSRRefH22_13x_0" localSheetId="62">'332'!$H$92</definedName>
    <definedName name="OSRRefH22_13x_0" localSheetId="77">'405'!$H$65:$H$66</definedName>
    <definedName name="OSRRefH22_13x_0" localSheetId="78">'406'!$H$70</definedName>
    <definedName name="OSRRefH22_13x_0" localSheetId="79">'411'!$H$64:$H$68</definedName>
    <definedName name="OSRRefH22_13x_0" localSheetId="80">'412'!$H$74</definedName>
    <definedName name="OSRRefH22_13x_0" localSheetId="82">'413'!$H$70</definedName>
    <definedName name="OSRRefH22_13x_0" localSheetId="83">'414'!$H$63:$H$69</definedName>
    <definedName name="OSRRefH22_13x_0" localSheetId="84">'415'!$H$70:$H$71</definedName>
    <definedName name="OSRRefH22_13x_0" localSheetId="85">'418'!$H$66:$H$68</definedName>
    <definedName name="OSRRefH22_13x_0" localSheetId="87">'424'!$H$65</definedName>
    <definedName name="OSRRefH22_13x_0" localSheetId="88">'425'!$H$76</definedName>
    <definedName name="OSRRefH22_13x_0" localSheetId="92">'433'!$H$76</definedName>
    <definedName name="OSRRefH22_13x_0" localSheetId="94">'444'!$H$68:$H$75</definedName>
    <definedName name="OSRRefH22_13x_0" localSheetId="96">'450'!$H$66:$H$68</definedName>
    <definedName name="OSRRefH22_13x_0" localSheetId="76">'491'!$H$77</definedName>
    <definedName name="OSRRefH22_13x_0" localSheetId="90">'492'!$H$68:$H$70</definedName>
    <definedName name="OSRRefH22_13x_0" localSheetId="98">'501'!$H$65</definedName>
    <definedName name="OSRRefH22_13x_0" localSheetId="39">'Div 2'!$H$66:$H$69</definedName>
    <definedName name="OSRRefH22_13x_0" localSheetId="48">'Div 3'!$H$223</definedName>
    <definedName name="OSRRefH22_13x_0" localSheetId="74">'Div 4'!$H$78</definedName>
    <definedName name="OSRRefH22_13x_0" localSheetId="97">'Div 5'!$H$65</definedName>
    <definedName name="OSRRefH22_13x_0" localSheetId="65">'Div 6'!$H$106</definedName>
    <definedName name="OSRRefH22_13x_0" localSheetId="2">Summary!$H$261</definedName>
    <definedName name="OSRRefH22_14x_0" localSheetId="41">'201'!$H$65</definedName>
    <definedName name="OSRRefH22_14x_0" localSheetId="42">'202'!$H$64</definedName>
    <definedName name="OSRRefH22_14x_0" localSheetId="43">'203'!$H$68</definedName>
    <definedName name="OSRRefH22_14x_0" localSheetId="49">'300'!$H$253</definedName>
    <definedName name="OSRRefH22_14x_0" localSheetId="50">'300 &amp; 317'!$H$282</definedName>
    <definedName name="OSRRefH22_14x_0" localSheetId="51">'301'!$H$65</definedName>
    <definedName name="OSRRefH22_14x_0" localSheetId="54">'307'!$H$144</definedName>
    <definedName name="OSRRefH22_14x_0" localSheetId="56">'308'!$H$125</definedName>
    <definedName name="OSRRefH22_14x_0" localSheetId="67">'310'!$H$76:$H$78</definedName>
    <definedName name="OSRRefH22_14x_0" localSheetId="75">'310 &amp; 491'!$H$89</definedName>
    <definedName name="OSRRefH22_14x_0" localSheetId="57">'311'!$H$123</definedName>
    <definedName name="OSRRefH22_14x_0" localSheetId="69">'313'!$H$81</definedName>
    <definedName name="OSRRefH22_14x_0" localSheetId="60">'315'!$H$113</definedName>
    <definedName name="OSRRefH22_14x_0" localSheetId="66">'317'!$H$108</definedName>
    <definedName name="OSRRefH22_14x_0" localSheetId="71">'322'!$H$66:$H$72</definedName>
    <definedName name="OSRRefH22_14x_0" localSheetId="72">'325'!$H$71:$H$76</definedName>
    <definedName name="OSRRefH22_14x_0" localSheetId="61">'326'!$H$116:$H$118</definedName>
    <definedName name="OSRRefH22_14x_0" localSheetId="53">'330'!$H$151:$H$153</definedName>
    <definedName name="OSRRefH22_14x_0" localSheetId="59">'331'!$H$132:$H$134</definedName>
    <definedName name="OSRRefH22_14x_0" localSheetId="77">'405'!$H$68:$H$74</definedName>
    <definedName name="OSRRefH22_14x_0" localSheetId="78">'406'!$H$72:$H$73</definedName>
    <definedName name="OSRRefH22_14x_0" localSheetId="79">'411'!$H$70:$H$71</definedName>
    <definedName name="OSRRefH22_14x_0" localSheetId="80">'412'!$H$76</definedName>
    <definedName name="OSRRefH22_14x_0" localSheetId="83">'414'!$H$71</definedName>
    <definedName name="OSRRefH22_14x_0" localSheetId="84">'415'!$H$73:$H$81</definedName>
    <definedName name="OSRRefH22_14x_0" localSheetId="85">'418'!$H$70:$H$71</definedName>
    <definedName name="OSRRefH22_14x_0" localSheetId="88">'425'!$H$78</definedName>
    <definedName name="OSRRefH22_14x_0" localSheetId="92">'433'!$H$78</definedName>
    <definedName name="OSRRefH22_14x_0" localSheetId="94">'444'!$H$77</definedName>
    <definedName name="OSRRefH22_14x_0" localSheetId="96">'450'!$H$70:$H$76</definedName>
    <definedName name="OSRRefH22_14x_0" localSheetId="76">'491'!$H$79</definedName>
    <definedName name="OSRRefH22_14x_0" localSheetId="90">'492'!$H$72:$H$74</definedName>
    <definedName name="OSRRefH22_14x_0" localSheetId="98">'501'!$H$67</definedName>
    <definedName name="OSRRefH22_14x_0" localSheetId="39">'Div 2'!$H$71:$H$72</definedName>
    <definedName name="OSRRefH22_14x_0" localSheetId="48">'Div 3'!$H$225:$H$258</definedName>
    <definedName name="OSRRefH22_14x_0" localSheetId="74">'Div 4'!$H$80</definedName>
    <definedName name="OSRRefH22_14x_0" localSheetId="97">'Div 5'!$H$67</definedName>
    <definedName name="OSRRefH22_14x_0" localSheetId="65">'Div 6'!$H$108</definedName>
    <definedName name="OSRRefH22_14x_0" localSheetId="2">Summary!$H$263:$H$299</definedName>
    <definedName name="OSRRefH22_15x_0" localSheetId="41">'201'!$H$67</definedName>
    <definedName name="OSRRefH22_15x_0" localSheetId="42">'202'!$H$66</definedName>
    <definedName name="OSRRefH22_15x_0" localSheetId="43">'203'!$H$70</definedName>
    <definedName name="OSRRefH22_15x_0" localSheetId="49">'300'!$H$255</definedName>
    <definedName name="OSRRefH22_15x_0" localSheetId="50">'300 &amp; 317'!$H$284</definedName>
    <definedName name="OSRRefH22_15x_0" localSheetId="51">'301'!$H$67</definedName>
    <definedName name="OSRRefH22_15x_0" localSheetId="67">'310'!$H$80</definedName>
    <definedName name="OSRRefH22_15x_0" localSheetId="75">'310 &amp; 491'!$H$91</definedName>
    <definedName name="OSRRefH22_15x_0" localSheetId="60">'315'!$H$115:$H$116</definedName>
    <definedName name="OSRRefH22_15x_0" localSheetId="66">'317'!$H$110:$H$111</definedName>
    <definedName name="OSRRefH22_15x_0" localSheetId="71">'322'!$H$74</definedName>
    <definedName name="OSRRefH22_15x_0" localSheetId="72">'325'!$H$78</definedName>
    <definedName name="OSRRefH22_15x_0" localSheetId="61">'326'!$H$120:$H$121</definedName>
    <definedName name="OSRRefH22_15x_0" localSheetId="53">'330'!$H$155</definedName>
    <definedName name="OSRRefH22_15x_0" localSheetId="59">'331'!$H$136:$H$137</definedName>
    <definedName name="OSRRefH22_15x_0" localSheetId="77">'405'!$H$76</definedName>
    <definedName name="OSRRefH22_15x_0" localSheetId="79">'411'!$H$73:$H$81</definedName>
    <definedName name="OSRRefH22_15x_0" localSheetId="83">'414'!$H$73</definedName>
    <definedName name="OSRRefH22_15x_0" localSheetId="84">'415'!$H$83</definedName>
    <definedName name="OSRRefH22_15x_0" localSheetId="85">'418'!$H$73:$H$80</definedName>
    <definedName name="OSRRefH22_15x_0" localSheetId="88">'425'!$H$80:$H$81</definedName>
    <definedName name="OSRRefH22_15x_0" localSheetId="92">'433'!$H$80:$H$81</definedName>
    <definedName name="OSRRefH22_15x_0" localSheetId="94">'444'!$H$79</definedName>
    <definedName name="OSRRefH22_15x_0" localSheetId="96">'450'!$H$78</definedName>
    <definedName name="OSRRefH22_15x_0" localSheetId="76">'491'!$H$81</definedName>
    <definedName name="OSRRefH22_15x_0" localSheetId="90">'492'!$H$76:$H$84</definedName>
    <definedName name="OSRRefH22_15x_0" localSheetId="39">'Div 2'!$H$74:$H$75</definedName>
    <definedName name="OSRRefH22_15x_0" localSheetId="48">'Div 3'!$H$260</definedName>
    <definedName name="OSRRefH22_15x_0" localSheetId="74">'Div 4'!$H$82</definedName>
    <definedName name="OSRRefH22_15x_0" localSheetId="65">'Div 6'!$H$110:$H$111</definedName>
    <definedName name="OSRRefH22_15x_0" localSheetId="2">Summary!$H$301</definedName>
    <definedName name="OSRRefH22_16x_0" localSheetId="41">'201'!$H$69:$H$70</definedName>
    <definedName name="OSRRefH22_16x_0" localSheetId="42">'202'!$H$68:$H$69</definedName>
    <definedName name="OSRRefH22_16x_0" localSheetId="49">'300'!$H$257:$H$260</definedName>
    <definedName name="OSRRefH22_16x_0" localSheetId="50">'300 &amp; 317'!$H$286:$H$289</definedName>
    <definedName name="OSRRefH22_16x_0" localSheetId="51">'301'!$H$69:$H$72</definedName>
    <definedName name="OSRRefH22_16x_0" localSheetId="67">'310'!$H$82:$H$85</definedName>
    <definedName name="OSRRefH22_16x_0" localSheetId="75">'310 &amp; 491'!$H$93:$H$96</definedName>
    <definedName name="OSRRefH22_16x_0" localSheetId="71">'322'!$H$76</definedName>
    <definedName name="OSRRefH22_16x_0" localSheetId="72">'325'!$H$80</definedName>
    <definedName name="OSRRefH22_16x_0" localSheetId="61">'326'!$H$123:$H$127</definedName>
    <definedName name="OSRRefH22_16x_0" localSheetId="53">'330'!$H$157</definedName>
    <definedName name="OSRRefH22_16x_0" localSheetId="59">'331'!$H$139:$H$141</definedName>
    <definedName name="OSRRefH22_16x_0" localSheetId="77">'405'!$H$78</definedName>
    <definedName name="OSRRefH22_16x_0" localSheetId="79">'411'!$H$83</definedName>
    <definedName name="OSRRefH22_16x_0" localSheetId="84">'415'!$H$85</definedName>
    <definedName name="OSRRefH22_16x_0" localSheetId="85">'418'!$H$82</definedName>
    <definedName name="OSRRefH22_16x_0" localSheetId="94">'444'!$H$81</definedName>
    <definedName name="OSRRefH22_16x_0" localSheetId="96">'450'!$H$80</definedName>
    <definedName name="OSRRefH22_16x_0" localSheetId="76">'491'!$H$83:$H$86</definedName>
    <definedName name="OSRRefH22_16x_0" localSheetId="90">'492'!$H$86</definedName>
    <definedName name="OSRRefH22_16x_0" localSheetId="39">'Div 2'!$H$77:$H$81</definedName>
    <definedName name="OSRRefH22_16x_0" localSheetId="48">'Div 3'!$H$262</definedName>
    <definedName name="OSRRefH22_16x_0" localSheetId="74">'Div 4'!$H$84</definedName>
    <definedName name="OSRRefH22_16x_0" localSheetId="2">Summary!$H$303</definedName>
    <definedName name="OSRRefH22_17x_0" localSheetId="49">'300'!$H$262:$H$264</definedName>
    <definedName name="OSRRefH22_17x_0" localSheetId="50">'300 &amp; 317'!$H$291:$H$293</definedName>
    <definedName name="OSRRefH22_17x_0" localSheetId="51">'301'!$H$74</definedName>
    <definedName name="OSRRefH22_17x_0" localSheetId="67">'310'!$H$87:$H$88</definedName>
    <definedName name="OSRRefH22_17x_0" localSheetId="75">'310 &amp; 491'!$H$98:$H$99</definedName>
    <definedName name="OSRRefH22_17x_0" localSheetId="71">'322'!$H$78</definedName>
    <definedName name="OSRRefH22_17x_0" localSheetId="72">'325'!$H$82</definedName>
    <definedName name="OSRRefH22_17x_0" localSheetId="61">'326'!$H$129</definedName>
    <definedName name="OSRRefH22_17x_0" localSheetId="53">'330'!$H$159</definedName>
    <definedName name="OSRRefH22_17x_0" localSheetId="59">'331'!$H$143:$H$144</definedName>
    <definedName name="OSRRefH22_17x_0" localSheetId="77">'405'!$H$80</definedName>
    <definedName name="OSRRefH22_17x_0" localSheetId="79">'411'!$H$85</definedName>
    <definedName name="OSRRefH22_17x_0" localSheetId="84">'415'!$H$87</definedName>
    <definedName name="OSRRefH22_17x_0" localSheetId="85">'418'!$H$84</definedName>
    <definedName name="OSRRefH22_17x_0" localSheetId="96">'450'!$H$82:$H$83</definedName>
    <definedName name="OSRRefH22_17x_0" localSheetId="76">'491'!$H$88:$H$89</definedName>
    <definedName name="OSRRefH22_17x_0" localSheetId="90">'492'!$H$88</definedName>
    <definedName name="OSRRefH22_17x_0" localSheetId="39">'Div 2'!$H$83:$H$84</definedName>
    <definedName name="OSRRefH22_17x_0" localSheetId="48">'Div 3'!$H$264:$H$267</definedName>
    <definedName name="OSRRefH22_17x_0" localSheetId="74">'Div 4'!$H$86:$H$89</definedName>
    <definedName name="OSRRefH22_17x_0" localSheetId="2">Summary!$H$305</definedName>
    <definedName name="OSRRefH22_18x_0" localSheetId="49">'300'!$H$266:$H$269</definedName>
    <definedName name="OSRRefH22_18x_0" localSheetId="50">'300 &amp; 317'!$H$295:$H$298</definedName>
    <definedName name="OSRRefH22_18x_0" localSheetId="51">'301'!$H$76:$H$78</definedName>
    <definedName name="OSRRefH22_18x_0" localSheetId="67">'310'!$H$90:$H$97</definedName>
    <definedName name="OSRRefH22_18x_0" localSheetId="75">'310 &amp; 491'!$H$101:$H$105</definedName>
    <definedName name="OSRRefH22_18x_0" localSheetId="61">'326'!$H$131</definedName>
    <definedName name="OSRRefH22_18x_0" localSheetId="59">'331'!$H$146:$H$151</definedName>
    <definedName name="OSRRefH22_18x_0" localSheetId="77">'405'!$H$82</definedName>
    <definedName name="OSRRefH22_18x_0" localSheetId="79">'411'!$H$87:$H$89</definedName>
    <definedName name="OSRRefH22_18x_0" localSheetId="84">'415'!$H$89</definedName>
    <definedName name="OSRRefH22_18x_0" localSheetId="76">'491'!$H$91:$H$95</definedName>
    <definedName name="OSRRefH22_18x_0" localSheetId="90">'492'!$H$90:$H$91</definedName>
    <definedName name="OSRRefH22_18x_0" localSheetId="39">'Div 2'!$H$86</definedName>
    <definedName name="OSRRefH22_18x_0" localSheetId="48">'Div 3'!$H$269:$H$271</definedName>
    <definedName name="OSRRefH22_18x_0" localSheetId="74">'Div 4'!$H$91:$H$92</definedName>
    <definedName name="OSRRefH22_18x_0" localSheetId="2">Summary!$H$307:$H$310</definedName>
    <definedName name="OSRRefH22_19x_0" localSheetId="49">'300'!$H$271:$H$272</definedName>
    <definedName name="OSRRefH22_19x_0" localSheetId="50">'300 &amp; 317'!$H$300:$H$301</definedName>
    <definedName name="OSRRefH22_19x_0" localSheetId="51">'301'!$H$80:$H$81</definedName>
    <definedName name="OSRRefH22_19x_0" localSheetId="67">'310'!$H$99</definedName>
    <definedName name="OSRRefH22_19x_0" localSheetId="75">'310 &amp; 491'!$H$107:$H$108</definedName>
    <definedName name="OSRRefH22_19x_0" localSheetId="61">'326'!$H$133</definedName>
    <definedName name="OSRRefH22_19x_0" localSheetId="59">'331'!$H$153</definedName>
    <definedName name="OSRRefH22_19x_0" localSheetId="79">'411'!$H$91</definedName>
    <definedName name="OSRRefH22_19x_0" localSheetId="76">'491'!$H$97:$H$98</definedName>
    <definedName name="OSRRefH22_19x_0" localSheetId="39">'Div 2'!$H$88:$H$89</definedName>
    <definedName name="OSRRefH22_19x_0" localSheetId="48">'Div 3'!$H$273:$H$277</definedName>
    <definedName name="OSRRefH22_19x_0" localSheetId="74">'Div 4'!$H$94:$H$98</definedName>
    <definedName name="OSRRefH22_19x_0" localSheetId="2">Summary!$H$312:$H$314</definedName>
    <definedName name="OSRRefH22_1x_0" localSheetId="40">'200'!$H$23</definedName>
    <definedName name="OSRRefH22_1x_0" localSheetId="41">'201'!$H$30:$H$32</definedName>
    <definedName name="OSRRefH22_1x_0" localSheetId="42">'202'!$H$29:$H$34</definedName>
    <definedName name="OSRRefH22_1x_0" localSheetId="43">'203'!$H$31:$H$35</definedName>
    <definedName name="OSRRefH22_1x_0" localSheetId="44">'204'!$H$31:$H$36</definedName>
    <definedName name="OSRRefH22_1x_0" localSheetId="45">'205'!$H$29</definedName>
    <definedName name="OSRRefH22_1x_0" localSheetId="46">'206'!$H$29:$H$34</definedName>
    <definedName name="OSRRefH22_1x_0" localSheetId="49">'300'!$H$184:$H$190</definedName>
    <definedName name="OSRRefH22_1x_0" localSheetId="50">'300 &amp; 317'!$H$210:$H$216</definedName>
    <definedName name="OSRRefH22_1x_0" localSheetId="51">'301'!$H$30:$H$36</definedName>
    <definedName name="OSRRefH22_1x_0" localSheetId="52">'306'!$H$30:$H$35</definedName>
    <definedName name="OSRRefH22_1x_0" localSheetId="54">'307'!$H$89:$H$92</definedName>
    <definedName name="OSRRefH22_1x_0" localSheetId="56">'308'!$H$78:$H$82</definedName>
    <definedName name="OSRRefH22_1x_0" localSheetId="68">'309'!$H$33:$H$37</definedName>
    <definedName name="OSRRefH22_1x_0" localSheetId="67">'310'!$H$43:$H$48</definedName>
    <definedName name="OSRRefH22_1x_0" localSheetId="75">'310 &amp; 491'!$H$53:$H$59</definedName>
    <definedName name="OSRRefH22_1x_0" localSheetId="57">'311'!$H$76:$H$80</definedName>
    <definedName name="OSRRefH22_1x_0" localSheetId="69">'313'!$H$40:$H$45</definedName>
    <definedName name="OSRRefH22_1x_0" localSheetId="55">'314'!$H$66:$H$69</definedName>
    <definedName name="OSRRefH22_1x_0" localSheetId="60">'315'!$H$66:$H$71</definedName>
    <definedName name="OSRRefH22_1x_0" localSheetId="63">'316'!$H$44:$H$47</definedName>
    <definedName name="OSRRefH22_1x_0" localSheetId="66">'317'!$H$69:$H$73</definedName>
    <definedName name="OSRRefH22_1x_0" localSheetId="64">'320'!$H$40:$H$45</definedName>
    <definedName name="OSRRefH22_1x_0" localSheetId="70">'321'!$H$32:$H$36</definedName>
    <definedName name="OSRRefH22_1x_0" localSheetId="71">'322'!$H$33:$H$37</definedName>
    <definedName name="OSRRefH22_1x_0" localSheetId="72">'325'!$H$33:$H$38</definedName>
    <definedName name="OSRRefH22_1x_0" localSheetId="61">'326'!$H$71:$H$75</definedName>
    <definedName name="OSRRefH22_1x_0" localSheetId="73">'327'!$H$24</definedName>
    <definedName name="OSRRefH22_1x_0" localSheetId="53">'330'!$H$97:$H$101</definedName>
    <definedName name="OSRRefH22_1x_0" localSheetId="59">'331'!$H$85:$H$90</definedName>
    <definedName name="OSRRefH22_1x_0" localSheetId="62">'332'!$H$55:$H$60</definedName>
    <definedName name="OSRRefH22_1x_0" localSheetId="77">'405'!$H$33:$H$37</definedName>
    <definedName name="OSRRefH22_1x_0" localSheetId="78">'406'!$H$33:$H$38</definedName>
    <definedName name="OSRRefH22_1x_0" localSheetId="79">'411'!$H$30:$H$35</definedName>
    <definedName name="OSRRefH22_1x_0" localSheetId="80">'412'!$H$34:$H$39</definedName>
    <definedName name="OSRRefH22_1x_0" localSheetId="82">'413'!$H$33:$H$38</definedName>
    <definedName name="OSRRefH22_1x_0" localSheetId="83">'414'!$H$33:$H$38</definedName>
    <definedName name="OSRRefH22_1x_0" localSheetId="84">'415'!$H$33:$H$38</definedName>
    <definedName name="OSRRefH22_1x_0" localSheetId="85">'418'!$H$33:$H$38</definedName>
    <definedName name="OSRRefH22_1x_0" localSheetId="81">'420'!$H$33:$H$36</definedName>
    <definedName name="OSRRefH22_1x_0" localSheetId="86">'423'!$H$30:$H$31</definedName>
    <definedName name="OSRRefH22_1x_0" localSheetId="87">'424'!$H$30:$H$34</definedName>
    <definedName name="OSRRefH22_1x_0" localSheetId="88">'425'!$H$37:$H$42</definedName>
    <definedName name="OSRRefH22_1x_0" localSheetId="91">'430'!$H$29</definedName>
    <definedName name="OSRRefH22_1x_0" localSheetId="92">'433'!$H$36:$H$41</definedName>
    <definedName name="OSRRefH22_1x_0" localSheetId="93">'435'!$H$29:$H$31</definedName>
    <definedName name="OSRRefH22_1x_0" localSheetId="94">'444'!$H$35:$H$40</definedName>
    <definedName name="OSRRefH22_1x_0" localSheetId="96">'450'!$H$35:$H$40</definedName>
    <definedName name="OSRRefH22_1x_0" localSheetId="89">'455'!$H$28:$H$29</definedName>
    <definedName name="OSRRefH22_1x_0" localSheetId="76">'491'!$H$44:$H$50</definedName>
    <definedName name="OSRRefH22_1x_0" localSheetId="90">'492'!$H$38:$H$44</definedName>
    <definedName name="OSRRefH22_1x_0" localSheetId="98">'501'!$H$30:$H$35</definedName>
    <definedName name="OSRRefH22_1x_0" localSheetId="39">'Div 2'!$H$32:$H$38</definedName>
    <definedName name="OSRRefH22_1x_0" localSheetId="48">'Div 3'!$H$189:$H$195</definedName>
    <definedName name="OSRRefH22_1x_0" localSheetId="74">'Div 4'!$H$45:$H$51</definedName>
    <definedName name="OSRRefH22_1x_0" localSheetId="97">'Div 5'!$H$30:$H$35</definedName>
    <definedName name="OSRRefH22_1x_0" localSheetId="65">'Div 6'!$H$69:$H$73</definedName>
    <definedName name="OSRRefH22_1x_0" localSheetId="2">Summary!$H$225:$H$231</definedName>
    <definedName name="OSRRefH22_20x_0" localSheetId="49">'300'!$H$274:$H$281</definedName>
    <definedName name="OSRRefH22_20x_0" localSheetId="50">'300 &amp; 317'!$H$303:$H$310</definedName>
    <definedName name="OSRRefH22_20x_0" localSheetId="51">'301'!$H$83:$H$89</definedName>
    <definedName name="OSRRefH22_20x_0" localSheetId="67">'310'!$H$101</definedName>
    <definedName name="OSRRefH22_20x_0" localSheetId="75">'310 &amp; 491'!$H$110:$H$119</definedName>
    <definedName name="OSRRefH22_20x_0" localSheetId="61">'326'!$H$135</definedName>
    <definedName name="OSRRefH22_20x_0" localSheetId="59">'331'!$H$155</definedName>
    <definedName name="OSRRefH22_20x_0" localSheetId="76">'491'!$H$100:$H$109</definedName>
    <definedName name="OSRRefH22_20x_0" localSheetId="48">'Div 3'!$H$279:$H$280</definedName>
    <definedName name="OSRRefH22_20x_0" localSheetId="74">'Div 4'!$H$100:$H$101</definedName>
    <definedName name="OSRRefH22_20x_0" localSheetId="2">Summary!$H$316:$H$320</definedName>
    <definedName name="OSRRefH22_21x_0" localSheetId="49">'300'!$H$283:$H$284</definedName>
    <definedName name="OSRRefH22_21x_0" localSheetId="50">'300 &amp; 317'!$H$312:$H$313</definedName>
    <definedName name="OSRRefH22_21x_0" localSheetId="51">'301'!$H$91</definedName>
    <definedName name="OSRRefH22_21x_0" localSheetId="67">'310'!$H$103</definedName>
    <definedName name="OSRRefH22_21x_0" localSheetId="75">'310 &amp; 491'!$H$121</definedName>
    <definedName name="OSRRefH22_21x_0" localSheetId="59">'331'!$H$157:$H$158</definedName>
    <definedName name="OSRRefH22_21x_0" localSheetId="76">'491'!$H$111</definedName>
    <definedName name="OSRRefH22_21x_0" localSheetId="48">'Div 3'!$H$282:$H$290</definedName>
    <definedName name="OSRRefH22_21x_0" localSheetId="74">'Div 4'!$H$103:$H$112</definedName>
    <definedName name="OSRRefH22_21x_0" localSheetId="2">Summary!$H$322:$H$323</definedName>
    <definedName name="OSRRefH22_22x_0" localSheetId="49">'300'!$H$286</definedName>
    <definedName name="OSRRefH22_22x_0" localSheetId="50">'300 &amp; 317'!$H$315</definedName>
    <definedName name="OSRRefH22_22x_0" localSheetId="51">'301'!$H$93</definedName>
    <definedName name="OSRRefH22_22x_0" localSheetId="67">'310'!$H$105</definedName>
    <definedName name="OSRRefH22_22x_0" localSheetId="75">'310 &amp; 491'!$H$123</definedName>
    <definedName name="OSRRefH22_22x_0" localSheetId="59">'331'!$H$160</definedName>
    <definedName name="OSRRefH22_22x_0" localSheetId="76">'491'!$H$113</definedName>
    <definedName name="OSRRefH22_22x_0" localSheetId="48">'Div 3'!$H$292:$H$293</definedName>
    <definedName name="OSRRefH22_22x_0" localSheetId="74">'Div 4'!$H$114</definedName>
    <definedName name="OSRRefH22_22x_0" localSheetId="2">Summary!$H$325:$H$334</definedName>
    <definedName name="OSRRefH22_23x_0" localSheetId="49">'300'!$H$288:$H$290</definedName>
    <definedName name="OSRRefH22_23x_0" localSheetId="50">'300 &amp; 317'!$H$317:$H$319</definedName>
    <definedName name="OSRRefH22_23x_0" localSheetId="51">'301'!$H$95:$H$97</definedName>
    <definedName name="OSRRefH22_23x_0" localSheetId="75">'310 &amp; 491'!$H$125:$H$127</definedName>
    <definedName name="OSRRefH22_23x_0" localSheetId="76">'491'!$H$115:$H$117</definedName>
    <definedName name="OSRRefH22_23x_0" localSheetId="48">'Div 3'!$H$295</definedName>
    <definedName name="OSRRefH22_23x_0" localSheetId="74">'Div 4'!$H$116</definedName>
    <definedName name="OSRRefH22_23x_0" localSheetId="2">Summary!$H$336:$H$337</definedName>
    <definedName name="OSRRefH22_24x_0" localSheetId="49">'300'!$H$292</definedName>
    <definedName name="OSRRefH22_24x_0" localSheetId="50">'300 &amp; 317'!$H$321</definedName>
    <definedName name="OSRRefH22_24x_0" localSheetId="51">'301'!$H$99</definedName>
    <definedName name="OSRRefH22_24x_0" localSheetId="75">'310 &amp; 491'!$H$129</definedName>
    <definedName name="OSRRefH22_24x_0" localSheetId="76">'491'!$H$119</definedName>
    <definedName name="OSRRefH22_24x_0" localSheetId="48">'Div 3'!$H$297:$H$299</definedName>
    <definedName name="OSRRefH22_24x_0" localSheetId="74">'Div 4'!$H$118:$H$120</definedName>
    <definedName name="OSRRefH22_24x_0" localSheetId="2">Summary!$H$339</definedName>
    <definedName name="OSRRefH22_25x_0" localSheetId="48">'Div 3'!$H$301</definedName>
    <definedName name="OSRRefH22_25x_0" localSheetId="74">'Div 4'!$H$122</definedName>
    <definedName name="OSRRefH22_25x_0" localSheetId="2">Summary!$H$341:$H$343</definedName>
    <definedName name="OSRRefH22_26x_0" localSheetId="2">Summary!$H$345</definedName>
    <definedName name="OSRRefH22_2x_0" localSheetId="40">'200'!$H$25</definedName>
    <definedName name="OSRRefH22_2x_0" localSheetId="41">'201'!$H$34</definedName>
    <definedName name="OSRRefH22_2x_0" localSheetId="42">'202'!$H$36</definedName>
    <definedName name="OSRRefH22_2x_0" localSheetId="43">'203'!$H$37</definedName>
    <definedName name="OSRRefH22_2x_0" localSheetId="44">'204'!$H$38</definedName>
    <definedName name="OSRRefH22_2x_0" localSheetId="45">'205'!$H$31</definedName>
    <definedName name="OSRRefH22_2x_0" localSheetId="46">'206'!$H$36</definedName>
    <definedName name="OSRRefH22_2x_0" localSheetId="49">'300'!$H$192</definedName>
    <definedName name="OSRRefH22_2x_0" localSheetId="50">'300 &amp; 317'!$H$218</definedName>
    <definedName name="OSRRefH22_2x_0" localSheetId="51">'301'!$H$38</definedName>
    <definedName name="OSRRefH22_2x_0" localSheetId="52">'306'!$H$37</definedName>
    <definedName name="OSRRefH22_2x_0" localSheetId="54">'307'!$H$94</definedName>
    <definedName name="OSRRefH22_2x_0" localSheetId="56">'308'!$H$84</definedName>
    <definedName name="OSRRefH22_2x_0" localSheetId="68">'309'!$H$39</definedName>
    <definedName name="OSRRefH22_2x_0" localSheetId="67">'310'!$H$50</definedName>
    <definedName name="OSRRefH22_2x_0" localSheetId="75">'310 &amp; 491'!$H$61</definedName>
    <definedName name="OSRRefH22_2x_0" localSheetId="57">'311'!$H$82</definedName>
    <definedName name="OSRRefH22_2x_0" localSheetId="69">'313'!$H$47</definedName>
    <definedName name="OSRRefH22_2x_0" localSheetId="55">'314'!$H$71</definedName>
    <definedName name="OSRRefH22_2x_0" localSheetId="60">'315'!$H$73</definedName>
    <definedName name="OSRRefH22_2x_0" localSheetId="63">'316'!$H$49</definedName>
    <definedName name="OSRRefH22_2x_0" localSheetId="66">'317'!$H$75</definedName>
    <definedName name="OSRRefH22_2x_0" localSheetId="64">'320'!$H$47</definedName>
    <definedName name="OSRRefH22_2x_0" localSheetId="70">'321'!$H$38</definedName>
    <definedName name="OSRRefH22_2x_0" localSheetId="71">'322'!$H$39</definedName>
    <definedName name="OSRRefH22_2x_0" localSheetId="72">'325'!$H$40</definedName>
    <definedName name="OSRRefH22_2x_0" localSheetId="61">'326'!$H$77</definedName>
    <definedName name="OSRRefH22_2x_0" localSheetId="73">'327'!$H$26</definedName>
    <definedName name="OSRRefH22_2x_0" localSheetId="53">'330'!$H$103</definedName>
    <definedName name="OSRRefH22_2x_0" localSheetId="59">'331'!$H$92</definedName>
    <definedName name="OSRRefH22_2x_0" localSheetId="62">'332'!$H$62</definedName>
    <definedName name="OSRRefH22_2x_0" localSheetId="77">'405'!$H$39</definedName>
    <definedName name="OSRRefH22_2x_0" localSheetId="78">'406'!$H$40</definedName>
    <definedName name="OSRRefH22_2x_0" localSheetId="79">'411'!$H$37</definedName>
    <definedName name="OSRRefH22_2x_0" localSheetId="80">'412'!$H$41</definedName>
    <definedName name="OSRRefH22_2x_0" localSheetId="82">'413'!$H$40</definedName>
    <definedName name="OSRRefH22_2x_0" localSheetId="83">'414'!$H$40</definedName>
    <definedName name="OSRRefH22_2x_0" localSheetId="84">'415'!$H$40</definedName>
    <definedName name="OSRRefH22_2x_0" localSheetId="85">'418'!$H$40</definedName>
    <definedName name="OSRRefH22_2x_0" localSheetId="81">'420'!$H$38</definedName>
    <definedName name="OSRRefH22_2x_0" localSheetId="86">'423'!$H$33</definedName>
    <definedName name="OSRRefH22_2x_0" localSheetId="87">'424'!$H$36</definedName>
    <definedName name="OSRRefH22_2x_0" localSheetId="88">'425'!$H$44</definedName>
    <definedName name="OSRRefH22_2x_0" localSheetId="91">'430'!$H$31</definedName>
    <definedName name="OSRRefH22_2x_0" localSheetId="92">'433'!$H$43</definedName>
    <definedName name="OSRRefH22_2x_0" localSheetId="93">'435'!$H$33</definedName>
    <definedName name="OSRRefH22_2x_0" localSheetId="94">'444'!$H$42</definedName>
    <definedName name="OSRRefH22_2x_0" localSheetId="96">'450'!$H$42</definedName>
    <definedName name="OSRRefH22_2x_0" localSheetId="89">'455'!$H$31</definedName>
    <definedName name="OSRRefH22_2x_0" localSheetId="76">'491'!$H$52</definedName>
    <definedName name="OSRRefH22_2x_0" localSheetId="90">'492'!$H$46</definedName>
    <definedName name="OSRRefH22_2x_0" localSheetId="98">'501'!$H$37</definedName>
    <definedName name="OSRRefH22_2x_0" localSheetId="39">'Div 2'!$H$40</definedName>
    <definedName name="OSRRefH22_2x_0" localSheetId="48">'Div 3'!$H$197</definedName>
    <definedName name="OSRRefH22_2x_0" localSheetId="74">'Div 4'!$H$53</definedName>
    <definedName name="OSRRefH22_2x_0" localSheetId="97">'Div 5'!$H$37</definedName>
    <definedName name="OSRRefH22_2x_0" localSheetId="65">'Div 6'!$H$75</definedName>
    <definedName name="OSRRefH22_2x_0" localSheetId="2">Summary!$H$233</definedName>
    <definedName name="OSRRefH22_3x_0" localSheetId="40">'200'!$H$27</definedName>
    <definedName name="OSRRefH22_3x_0" localSheetId="41">'201'!$H$36</definedName>
    <definedName name="OSRRefH22_3x_0" localSheetId="42">'202'!$H$38</definedName>
    <definedName name="OSRRefH22_3x_0" localSheetId="43">'203'!$H$39</definedName>
    <definedName name="OSRRefH22_3x_0" localSheetId="44">'204'!$H$40:$H$41</definedName>
    <definedName name="OSRRefH22_3x_0" localSheetId="45">'205'!$H$33</definedName>
    <definedName name="OSRRefH22_3x_0" localSheetId="46">'206'!$H$38</definedName>
    <definedName name="OSRRefH22_3x_0" localSheetId="49">'300'!$H$194:$H$195</definedName>
    <definedName name="OSRRefH22_3x_0" localSheetId="50">'300 &amp; 317'!$H$220:$H$221</definedName>
    <definedName name="OSRRefH22_3x_0" localSheetId="51">'301'!$H$40:$H$41</definedName>
    <definedName name="OSRRefH22_3x_0" localSheetId="52">'306'!$H$39</definedName>
    <definedName name="OSRRefH22_3x_0" localSheetId="54">'307'!$H$96</definedName>
    <definedName name="OSRRefH22_3x_0" localSheetId="56">'308'!$H$86:$H$87</definedName>
    <definedName name="OSRRefH22_3x_0" localSheetId="68">'309'!$H$41</definedName>
    <definedName name="OSRRefH22_3x_0" localSheetId="67">'310'!$H$52</definedName>
    <definedName name="OSRRefH22_3x_0" localSheetId="75">'310 &amp; 491'!$H$63</definedName>
    <definedName name="OSRRefH22_3x_0" localSheetId="57">'311'!$H$84:$H$85</definedName>
    <definedName name="OSRRefH22_3x_0" localSheetId="69">'313'!$H$49</definedName>
    <definedName name="OSRRefH22_3x_0" localSheetId="55">'314'!$H$73:$H$74</definedName>
    <definedName name="OSRRefH22_3x_0" localSheetId="60">'315'!$H$75:$H$76</definedName>
    <definedName name="OSRRefH22_3x_0" localSheetId="63">'316'!$H$51</definedName>
    <definedName name="OSRRefH22_3x_0" localSheetId="66">'317'!$H$77</definedName>
    <definedName name="OSRRefH22_3x_0" localSheetId="64">'320'!$H$49</definedName>
    <definedName name="OSRRefH22_3x_0" localSheetId="70">'321'!$H$40</definedName>
    <definedName name="OSRRefH22_3x_0" localSheetId="71">'322'!$H$41</definedName>
    <definedName name="OSRRefH22_3x_0" localSheetId="72">'325'!$H$42</definedName>
    <definedName name="OSRRefH22_3x_0" localSheetId="61">'326'!$H$79</definedName>
    <definedName name="OSRRefH22_3x_0" localSheetId="53">'330'!$H$105</definedName>
    <definedName name="OSRRefH22_3x_0" localSheetId="59">'331'!$H$94</definedName>
    <definedName name="OSRRefH22_3x_0" localSheetId="62">'332'!$H$64</definedName>
    <definedName name="OSRRefH22_3x_0" localSheetId="77">'405'!$H$41</definedName>
    <definedName name="OSRRefH22_3x_0" localSheetId="78">'406'!$H$42</definedName>
    <definedName name="OSRRefH22_3x_0" localSheetId="79">'411'!$H$39</definedName>
    <definedName name="OSRRefH22_3x_0" localSheetId="80">'412'!$H$43</definedName>
    <definedName name="OSRRefH22_3x_0" localSheetId="82">'413'!$H$42</definedName>
    <definedName name="OSRRefH22_3x_0" localSheetId="83">'414'!$H$42</definedName>
    <definedName name="OSRRefH22_3x_0" localSheetId="84">'415'!$H$42</definedName>
    <definedName name="OSRRefH22_3x_0" localSheetId="85">'418'!$H$42</definedName>
    <definedName name="OSRRefH22_3x_0" localSheetId="81">'420'!$H$40</definedName>
    <definedName name="OSRRefH22_3x_0" localSheetId="86">'423'!$H$35</definedName>
    <definedName name="OSRRefH22_3x_0" localSheetId="87">'424'!$H$38</definedName>
    <definedName name="OSRRefH22_3x_0" localSheetId="88">'425'!$H$46</definedName>
    <definedName name="OSRRefH22_3x_0" localSheetId="91">'430'!$H$33</definedName>
    <definedName name="OSRRefH22_3x_0" localSheetId="92">'433'!$H$45</definedName>
    <definedName name="OSRRefH22_3x_0" localSheetId="93">'435'!$H$35</definedName>
    <definedName name="OSRRefH22_3x_0" localSheetId="94">'444'!$H$44</definedName>
    <definedName name="OSRRefH22_3x_0" localSheetId="96">'450'!$H$44</definedName>
    <definedName name="OSRRefH22_3x_0" localSheetId="76">'491'!$H$54</definedName>
    <definedName name="OSRRefH22_3x_0" localSheetId="90">'492'!$H$48</definedName>
    <definedName name="OSRRefH22_3x_0" localSheetId="98">'501'!$H$39</definedName>
    <definedName name="OSRRefH22_3x_0" localSheetId="39">'Div 2'!$H$42</definedName>
    <definedName name="OSRRefH22_3x_0" localSheetId="48">'Div 3'!$H$199:$H$200</definedName>
    <definedName name="OSRRefH22_3x_0" localSheetId="74">'Div 4'!$H$55</definedName>
    <definedName name="OSRRefH22_3x_0" localSheetId="97">'Div 5'!$H$39</definedName>
    <definedName name="OSRRefH22_3x_0" localSheetId="65">'Div 6'!$H$77</definedName>
    <definedName name="OSRRefH22_3x_0" localSheetId="2">Summary!$H$235:$H$236</definedName>
    <definedName name="OSRRefH22_4x_0" localSheetId="40">'200'!$H$29:$H$30</definedName>
    <definedName name="OSRRefH22_4x_0" localSheetId="41">'201'!$H$38</definedName>
    <definedName name="OSRRefH22_4x_0" localSheetId="42">'202'!$H$40</definedName>
    <definedName name="OSRRefH22_4x_0" localSheetId="43">'203'!$H$41</definedName>
    <definedName name="OSRRefH22_4x_0" localSheetId="44">'204'!$H$43</definedName>
    <definedName name="OSRRefH22_4x_0" localSheetId="45">'205'!$H$35:$H$37</definedName>
    <definedName name="OSRRefH22_4x_0" localSheetId="46">'206'!$H$40</definedName>
    <definedName name="OSRRefH22_4x_0" localSheetId="49">'300'!$H$197</definedName>
    <definedName name="OSRRefH22_4x_0" localSheetId="50">'300 &amp; 317'!$H$223</definedName>
    <definedName name="OSRRefH22_4x_0" localSheetId="51">'301'!$H$43</definedName>
    <definedName name="OSRRefH22_4x_0" localSheetId="52">'306'!$H$41</definedName>
    <definedName name="OSRRefH22_4x_0" localSheetId="54">'307'!$H$98:$H$99</definedName>
    <definedName name="OSRRefH22_4x_0" localSheetId="56">'308'!$H$89</definedName>
    <definedName name="OSRRefH22_4x_0" localSheetId="68">'309'!$H$43</definedName>
    <definedName name="OSRRefH22_4x_0" localSheetId="67">'310'!$H$54</definedName>
    <definedName name="OSRRefH22_4x_0" localSheetId="75">'310 &amp; 491'!$H$65</definedName>
    <definedName name="OSRRefH22_4x_0" localSheetId="57">'311'!$H$87</definedName>
    <definedName name="OSRRefH22_4x_0" localSheetId="69">'313'!$H$51</definedName>
    <definedName name="OSRRefH22_4x_0" localSheetId="55">'314'!$H$76</definedName>
    <definedName name="OSRRefH22_4x_0" localSheetId="60">'315'!$H$78</definedName>
    <definedName name="OSRRefH22_4x_0" localSheetId="63">'316'!$H$53</definedName>
    <definedName name="OSRRefH22_4x_0" localSheetId="66">'317'!$H$79</definedName>
    <definedName name="OSRRefH22_4x_0" localSheetId="64">'320'!$H$51:$H$52</definedName>
    <definedName name="OSRRefH22_4x_0" localSheetId="70">'321'!$H$42</definedName>
    <definedName name="OSRRefH22_4x_0" localSheetId="71">'322'!$H$43</definedName>
    <definedName name="OSRRefH22_4x_0" localSheetId="72">'325'!$H$44</definedName>
    <definedName name="OSRRefH22_4x_0" localSheetId="61">'326'!$H$81</definedName>
    <definedName name="OSRRefH22_4x_0" localSheetId="53">'330'!$H$107:$H$108</definedName>
    <definedName name="OSRRefH22_4x_0" localSheetId="59">'331'!$H$96</definedName>
    <definedName name="OSRRefH22_4x_0" localSheetId="62">'332'!$H$66</definedName>
    <definedName name="OSRRefH22_4x_0" localSheetId="77">'405'!$H$43</definedName>
    <definedName name="OSRRefH22_4x_0" localSheetId="78">'406'!$H$44</definedName>
    <definedName name="OSRRefH22_4x_0" localSheetId="79">'411'!$H$41:$H$43</definedName>
    <definedName name="OSRRefH22_4x_0" localSheetId="80">'412'!$H$45</definedName>
    <definedName name="OSRRefH22_4x_0" localSheetId="82">'413'!$H$44</definedName>
    <definedName name="OSRRefH22_4x_0" localSheetId="83">'414'!$H$44</definedName>
    <definedName name="OSRRefH22_4x_0" localSheetId="84">'415'!$H$44</definedName>
    <definedName name="OSRRefH22_4x_0" localSheetId="85">'418'!$H$44</definedName>
    <definedName name="OSRRefH22_4x_0" localSheetId="81">'420'!$H$42</definedName>
    <definedName name="OSRRefH22_4x_0" localSheetId="86">'423'!$H$37</definedName>
    <definedName name="OSRRefH22_4x_0" localSheetId="87">'424'!$H$40</definedName>
    <definedName name="OSRRefH22_4x_0" localSheetId="88">'425'!$H$48</definedName>
    <definedName name="OSRRefH22_4x_0" localSheetId="91">'430'!$H$35</definedName>
    <definedName name="OSRRefH22_4x_0" localSheetId="92">'433'!$H$47</definedName>
    <definedName name="OSRRefH22_4x_0" localSheetId="93">'435'!$H$37</definedName>
    <definedName name="OSRRefH22_4x_0" localSheetId="94">'444'!$H$46</definedName>
    <definedName name="OSRRefH22_4x_0" localSheetId="96">'450'!$H$46</definedName>
    <definedName name="OSRRefH22_4x_0" localSheetId="76">'491'!$H$56</definedName>
    <definedName name="OSRRefH22_4x_0" localSheetId="90">'492'!$H$50</definedName>
    <definedName name="OSRRefH22_4x_0" localSheetId="98">'501'!$H$41</definedName>
    <definedName name="OSRRefH22_4x_0" localSheetId="39">'Div 2'!$H$44</definedName>
    <definedName name="OSRRefH22_4x_0" localSheetId="48">'Div 3'!$H$202</definedName>
    <definedName name="OSRRefH22_4x_0" localSheetId="74">'Div 4'!$H$57</definedName>
    <definedName name="OSRRefH22_4x_0" localSheetId="97">'Div 5'!$H$41</definedName>
    <definedName name="OSRRefH22_4x_0" localSheetId="65">'Div 6'!$H$79</definedName>
    <definedName name="OSRRefH22_4x_0" localSheetId="2">Summary!$H$238</definedName>
    <definedName name="OSRRefH22_5x_0" localSheetId="41">'201'!$H$40</definedName>
    <definedName name="OSRRefH22_5x_0" localSheetId="42">'202'!$H$42</definedName>
    <definedName name="OSRRefH22_5x_0" localSheetId="43">'203'!$H$43</definedName>
    <definedName name="OSRRefH22_5x_0" localSheetId="44">'204'!$H$45</definedName>
    <definedName name="OSRRefH22_5x_0" localSheetId="45">'205'!$H$39</definedName>
    <definedName name="OSRRefH22_5x_0" localSheetId="46">'206'!$H$42</definedName>
    <definedName name="OSRRefH22_5x_0" localSheetId="49">'300'!$H$199:$H$200</definedName>
    <definedName name="OSRRefH22_5x_0" localSheetId="50">'300 &amp; 317'!$H$225:$H$226</definedName>
    <definedName name="OSRRefH22_5x_0" localSheetId="51">'301'!$H$45:$H$46</definedName>
    <definedName name="OSRRefH22_5x_0" localSheetId="52">'306'!$H$43</definedName>
    <definedName name="OSRRefH22_5x_0" localSheetId="54">'307'!$H$101</definedName>
    <definedName name="OSRRefH22_5x_0" localSheetId="56">'308'!$H$91</definedName>
    <definedName name="OSRRefH22_5x_0" localSheetId="68">'309'!$H$45</definedName>
    <definedName name="OSRRefH22_5x_0" localSheetId="67">'310'!$H$56:$H$57</definedName>
    <definedName name="OSRRefH22_5x_0" localSheetId="75">'310 &amp; 491'!$H$67:$H$69</definedName>
    <definedName name="OSRRefH22_5x_0" localSheetId="57">'311'!$H$89</definedName>
    <definedName name="OSRRefH22_5x_0" localSheetId="69">'313'!$H$53</definedName>
    <definedName name="OSRRefH22_5x_0" localSheetId="55">'314'!$H$78</definedName>
    <definedName name="OSRRefH22_5x_0" localSheetId="60">'315'!$H$80:$H$81</definedName>
    <definedName name="OSRRefH22_5x_0" localSheetId="63">'316'!$H$55</definedName>
    <definedName name="OSRRefH22_5x_0" localSheetId="66">'317'!$H$81</definedName>
    <definedName name="OSRRefH22_5x_0" localSheetId="64">'320'!$H$54</definedName>
    <definedName name="OSRRefH22_5x_0" localSheetId="70">'321'!$H$44</definedName>
    <definedName name="OSRRefH22_5x_0" localSheetId="71">'322'!$H$45</definedName>
    <definedName name="OSRRefH22_5x_0" localSheetId="72">'325'!$H$46:$H$47</definedName>
    <definedName name="OSRRefH22_5x_0" localSheetId="61">'326'!$H$83</definedName>
    <definedName name="OSRRefH22_5x_0" localSheetId="53">'330'!$H$110</definedName>
    <definedName name="OSRRefH22_5x_0" localSheetId="59">'331'!$H$98:$H$99</definedName>
    <definedName name="OSRRefH22_5x_0" localSheetId="62">'332'!$H$68</definedName>
    <definedName name="OSRRefH22_5x_0" localSheetId="77">'405'!$H$45:$H$46</definedName>
    <definedName name="OSRRefH22_5x_0" localSheetId="78">'406'!$H$46</definedName>
    <definedName name="OSRRefH22_5x_0" localSheetId="79">'411'!$H$45</definedName>
    <definedName name="OSRRefH22_5x_0" localSheetId="80">'412'!$H$47</definedName>
    <definedName name="OSRRefH22_5x_0" localSheetId="82">'413'!$H$46</definedName>
    <definedName name="OSRRefH22_5x_0" localSheetId="83">'414'!$H$46</definedName>
    <definedName name="OSRRefH22_5x_0" localSheetId="84">'415'!$H$46:$H$47</definedName>
    <definedName name="OSRRefH22_5x_0" localSheetId="85">'418'!$H$46:$H$47</definedName>
    <definedName name="OSRRefH22_5x_0" localSheetId="81">'420'!$H$44</definedName>
    <definedName name="OSRRefH22_5x_0" localSheetId="86">'423'!$H$39</definedName>
    <definedName name="OSRRefH22_5x_0" localSheetId="87">'424'!$H$42</definedName>
    <definedName name="OSRRefH22_5x_0" localSheetId="88">'425'!$H$50</definedName>
    <definedName name="OSRRefH22_5x_0" localSheetId="91">'430'!$H$37</definedName>
    <definedName name="OSRRefH22_5x_0" localSheetId="92">'433'!$H$49</definedName>
    <definedName name="OSRRefH22_5x_0" localSheetId="93">'435'!$H$39</definedName>
    <definedName name="OSRRefH22_5x_0" localSheetId="94">'444'!$H$48</definedName>
    <definedName name="OSRRefH22_5x_0" localSheetId="96">'450'!$H$48</definedName>
    <definedName name="OSRRefH22_5x_0" localSheetId="76">'491'!$H$58:$H$60</definedName>
    <definedName name="OSRRefH22_5x_0" localSheetId="90">'492'!$H$52</definedName>
    <definedName name="OSRRefH22_5x_0" localSheetId="98">'501'!$H$43:$H$44</definedName>
    <definedName name="OSRRefH22_5x_0" localSheetId="39">'Div 2'!$H$46:$H$47</definedName>
    <definedName name="OSRRefH22_5x_0" localSheetId="48">'Div 3'!$H$204:$H$205</definedName>
    <definedName name="OSRRefH22_5x_0" localSheetId="74">'Div 4'!$H$59:$H$61</definedName>
    <definedName name="OSRRefH22_5x_0" localSheetId="97">'Div 5'!$H$43:$H$44</definedName>
    <definedName name="OSRRefH22_5x_0" localSheetId="65">'Div 6'!$H$81</definedName>
    <definedName name="OSRRefH22_5x_0" localSheetId="2">Summary!$H$240:$H$242</definedName>
    <definedName name="OSRRefH22_6x_0" localSheetId="41">'201'!$H$42</definedName>
    <definedName name="OSRRefH22_6x_0" localSheetId="42">'202'!$H$44</definedName>
    <definedName name="OSRRefH22_6x_0" localSheetId="43">'203'!$H$45</definedName>
    <definedName name="OSRRefH22_6x_0" localSheetId="44">'204'!$H$47:$H$50</definedName>
    <definedName name="OSRRefH22_6x_0" localSheetId="45">'205'!$H$41:$H$42</definedName>
    <definedName name="OSRRefH22_6x_0" localSheetId="46">'206'!$H$44:$H$45</definedName>
    <definedName name="OSRRefH22_6x_0" localSheetId="49">'300'!$H$202:$H$203</definedName>
    <definedName name="OSRRefH22_6x_0" localSheetId="50">'300 &amp; 317'!$H$228:$H$229</definedName>
    <definedName name="OSRRefH22_6x_0" localSheetId="51">'301'!$H$48:$H$49</definedName>
    <definedName name="OSRRefH22_6x_0" localSheetId="52">'306'!$H$45</definedName>
    <definedName name="OSRRefH22_6x_0" localSheetId="54">'307'!$H$103:$H$124</definedName>
    <definedName name="OSRRefH22_6x_0" localSheetId="56">'308'!$H$93:$H$94</definedName>
    <definedName name="OSRRefH22_6x_0" localSheetId="68">'309'!$H$47</definedName>
    <definedName name="OSRRefH22_6x_0" localSheetId="67">'310'!$H$59</definedName>
    <definedName name="OSRRefH22_6x_0" localSheetId="75">'310 &amp; 491'!$H$71</definedName>
    <definedName name="OSRRefH22_6x_0" localSheetId="57">'311'!$H$91:$H$92</definedName>
    <definedName name="OSRRefH22_6x_0" localSheetId="69">'313'!$H$55</definedName>
    <definedName name="OSRRefH22_6x_0" localSheetId="55">'314'!$H$80:$H$88</definedName>
    <definedName name="OSRRefH22_6x_0" localSheetId="60">'315'!$H$83</definedName>
    <definedName name="OSRRefH22_6x_0" localSheetId="63">'316'!$H$57:$H$58</definedName>
    <definedName name="OSRRefH22_6x_0" localSheetId="66">'317'!$H$83</definedName>
    <definedName name="OSRRefH22_6x_0" localSheetId="64">'320'!$H$56:$H$58</definedName>
    <definedName name="OSRRefH22_6x_0" localSheetId="70">'321'!$H$46</definedName>
    <definedName name="OSRRefH22_6x_0" localSheetId="71">'322'!$H$47</definedName>
    <definedName name="OSRRefH22_6x_0" localSheetId="72">'325'!$H$49</definedName>
    <definedName name="OSRRefH22_6x_0" localSheetId="61">'326'!$H$85</definedName>
    <definedName name="OSRRefH22_6x_0" localSheetId="53">'330'!$H$112</definedName>
    <definedName name="OSRRefH22_6x_0" localSheetId="59">'331'!$H$101</definedName>
    <definedName name="OSRRefH22_6x_0" localSheetId="62">'332'!$H$70:$H$71</definedName>
    <definedName name="OSRRefH22_6x_0" localSheetId="77">'405'!$H$48</definedName>
    <definedName name="OSRRefH22_6x_0" localSheetId="78">'406'!$H$48</definedName>
    <definedName name="OSRRefH22_6x_0" localSheetId="79">'411'!$H$47</definedName>
    <definedName name="OSRRefH22_6x_0" localSheetId="80">'412'!$H$49</definedName>
    <definedName name="OSRRefH22_6x_0" localSheetId="82">'413'!$H$48</definedName>
    <definedName name="OSRRefH22_6x_0" localSheetId="83">'414'!$H$48</definedName>
    <definedName name="OSRRefH22_6x_0" localSheetId="84">'415'!$H$49</definedName>
    <definedName name="OSRRefH22_6x_0" localSheetId="85">'418'!$H$49</definedName>
    <definedName name="OSRRefH22_6x_0" localSheetId="81">'420'!$H$46:$H$47</definedName>
    <definedName name="OSRRefH22_6x_0" localSheetId="86">'423'!$H$41</definedName>
    <definedName name="OSRRefH22_6x_0" localSheetId="87">'424'!$H$44</definedName>
    <definedName name="OSRRefH22_6x_0" localSheetId="88">'425'!$H$52</definedName>
    <definedName name="OSRRefH22_6x_0" localSheetId="91">'430'!$H$39:$H$41</definedName>
    <definedName name="OSRRefH22_6x_0" localSheetId="92">'433'!$H$51</definedName>
    <definedName name="OSRRefH22_6x_0" localSheetId="93">'435'!$H$41</definedName>
    <definedName name="OSRRefH22_6x_0" localSheetId="94">'444'!$H$50</definedName>
    <definedName name="OSRRefH22_6x_0" localSheetId="96">'450'!$H$50</definedName>
    <definedName name="OSRRefH22_6x_0" localSheetId="76">'491'!$H$62</definedName>
    <definedName name="OSRRefH22_6x_0" localSheetId="90">'492'!$H$54</definedName>
    <definedName name="OSRRefH22_6x_0" localSheetId="98">'501'!$H$46</definedName>
    <definedName name="OSRRefH22_6x_0" localSheetId="39">'Div 2'!$H$49</definedName>
    <definedName name="OSRRefH22_6x_0" localSheetId="48">'Div 3'!$H$207:$H$208</definedName>
    <definedName name="OSRRefH22_6x_0" localSheetId="74">'Div 4'!$H$63</definedName>
    <definedName name="OSRRefH22_6x_0" localSheetId="97">'Div 5'!$H$46</definedName>
    <definedName name="OSRRefH22_6x_0" localSheetId="65">'Div 6'!$H$83</definedName>
    <definedName name="OSRRefH22_6x_0" localSheetId="2">Summary!$H$244:$H$245</definedName>
    <definedName name="OSRRefH22_7x_0" localSheetId="41">'201'!$H$44</definedName>
    <definedName name="OSRRefH22_7x_0" localSheetId="42">'202'!$H$46</definedName>
    <definedName name="OSRRefH22_7x_0" localSheetId="43">'203'!$H$47</definedName>
    <definedName name="OSRRefH22_7x_0" localSheetId="44">'204'!$H$52</definedName>
    <definedName name="OSRRefH22_7x_0" localSheetId="45">'205'!$H$44</definedName>
    <definedName name="OSRRefH22_7x_0" localSheetId="46">'206'!$H$47</definedName>
    <definedName name="OSRRefH22_7x_0" localSheetId="49">'300'!$H$205</definedName>
    <definedName name="OSRRefH22_7x_0" localSheetId="50">'300 &amp; 317'!$H$231</definedName>
    <definedName name="OSRRefH22_7x_0" localSheetId="51">'301'!$H$51</definedName>
    <definedName name="OSRRefH22_7x_0" localSheetId="52">'306'!$H$47:$H$48</definedName>
    <definedName name="OSRRefH22_7x_0" localSheetId="54">'307'!$H$126</definedName>
    <definedName name="OSRRefH22_7x_0" localSheetId="56">'308'!$H$96</definedName>
    <definedName name="OSRRefH22_7x_0" localSheetId="68">'309'!$H$49</definedName>
    <definedName name="OSRRefH22_7x_0" localSheetId="67">'310'!$H$61</definedName>
    <definedName name="OSRRefH22_7x_0" localSheetId="75">'310 &amp; 491'!$H$73</definedName>
    <definedName name="OSRRefH22_7x_0" localSheetId="57">'311'!$H$94</definedName>
    <definedName name="OSRRefH22_7x_0" localSheetId="69">'313'!$H$57:$H$58</definedName>
    <definedName name="OSRRefH22_7x_0" localSheetId="55">'314'!$H$90</definedName>
    <definedName name="OSRRefH22_7x_0" localSheetId="60">'315'!$H$85:$H$91</definedName>
    <definedName name="OSRRefH22_7x_0" localSheetId="63">'316'!$H$60</definedName>
    <definedName name="OSRRefH22_7x_0" localSheetId="66">'317'!$H$85:$H$86</definedName>
    <definedName name="OSRRefH22_7x_0" localSheetId="64">'320'!$H$60:$H$62</definedName>
    <definedName name="OSRRefH22_7x_0" localSheetId="70">'321'!$H$48:$H$50</definedName>
    <definedName name="OSRRefH22_7x_0" localSheetId="71">'322'!$H$49</definedName>
    <definedName name="OSRRefH22_7x_0" localSheetId="72">'325'!$H$51</definedName>
    <definedName name="OSRRefH22_7x_0" localSheetId="61">'326'!$H$87</definedName>
    <definedName name="OSRRefH22_7x_0" localSheetId="53">'330'!$H$114</definedName>
    <definedName name="OSRRefH22_7x_0" localSheetId="59">'331'!$H$103</definedName>
    <definedName name="OSRRefH22_7x_0" localSheetId="62">'332'!$H$73</definedName>
    <definedName name="OSRRefH22_7x_0" localSheetId="77">'405'!$H$50</definedName>
    <definedName name="OSRRefH22_7x_0" localSheetId="78">'406'!$H$50</definedName>
    <definedName name="OSRRefH22_7x_0" localSheetId="79">'411'!$H$49</definedName>
    <definedName name="OSRRefH22_7x_0" localSheetId="80">'412'!$H$51</definedName>
    <definedName name="OSRRefH22_7x_0" localSheetId="82">'413'!$H$50</definedName>
    <definedName name="OSRRefH22_7x_0" localSheetId="83">'414'!$H$50</definedName>
    <definedName name="OSRRefH22_7x_0" localSheetId="84">'415'!$H$51</definedName>
    <definedName name="OSRRefH22_7x_0" localSheetId="85">'418'!$H$51</definedName>
    <definedName name="OSRRefH22_7x_0" localSheetId="81">'420'!$H$49</definedName>
    <definedName name="OSRRefH22_7x_0" localSheetId="87">'424'!$H$46</definedName>
    <definedName name="OSRRefH22_7x_0" localSheetId="88">'425'!$H$54</definedName>
    <definedName name="OSRRefH22_7x_0" localSheetId="91">'430'!$H$43</definedName>
    <definedName name="OSRRefH22_7x_0" localSheetId="92">'433'!$H$53</definedName>
    <definedName name="OSRRefH22_7x_0" localSheetId="93">'435'!$H$43</definedName>
    <definedName name="OSRRefH22_7x_0" localSheetId="94">'444'!$H$52</definedName>
    <definedName name="OSRRefH22_7x_0" localSheetId="96">'450'!$H$52</definedName>
    <definedName name="OSRRefH22_7x_0" localSheetId="76">'491'!$H$64</definedName>
    <definedName name="OSRRefH22_7x_0" localSheetId="90">'492'!$H$56</definedName>
    <definedName name="OSRRefH22_7x_0" localSheetId="98">'501'!$H$48</definedName>
    <definedName name="OSRRefH22_7x_0" localSheetId="39">'Div 2'!$H$51</definedName>
    <definedName name="OSRRefH22_7x_0" localSheetId="48">'Div 3'!$H$210</definedName>
    <definedName name="OSRRefH22_7x_0" localSheetId="74">'Div 4'!$H$65</definedName>
    <definedName name="OSRRefH22_7x_0" localSheetId="97">'Div 5'!$H$48</definedName>
    <definedName name="OSRRefH22_7x_0" localSheetId="65">'Div 6'!$H$85:$H$86</definedName>
    <definedName name="OSRRefH22_7x_0" localSheetId="2">Summary!$H$247</definedName>
    <definedName name="OSRRefH22_8x_0" localSheetId="41">'201'!$H$46</definedName>
    <definedName name="OSRRefH22_8x_0" localSheetId="42">'202'!$H$48</definedName>
    <definedName name="OSRRefH22_8x_0" localSheetId="43">'203'!$H$49</definedName>
    <definedName name="OSRRefH22_8x_0" localSheetId="44">'204'!$H$54:$H$55</definedName>
    <definedName name="OSRRefH22_8x_0" localSheetId="45">'205'!$H$46</definedName>
    <definedName name="OSRRefH22_8x_0" localSheetId="46">'206'!$H$49</definedName>
    <definedName name="OSRRefH22_8x_0" localSheetId="49">'300'!$H$207</definedName>
    <definedName name="OSRRefH22_8x_0" localSheetId="50">'300 &amp; 317'!$H$233</definedName>
    <definedName name="OSRRefH22_8x_0" localSheetId="51">'301'!$H$53</definedName>
    <definedName name="OSRRefH22_8x_0" localSheetId="52">'306'!$H$50:$H$54</definedName>
    <definedName name="OSRRefH22_8x_0" localSheetId="54">'307'!$H$128</definedName>
    <definedName name="OSRRefH22_8x_0" localSheetId="56">'308'!$H$98:$H$106</definedName>
    <definedName name="OSRRefH22_8x_0" localSheetId="68">'309'!$H$51</definedName>
    <definedName name="OSRRefH22_8x_0" localSheetId="67">'310'!$H$63</definedName>
    <definedName name="OSRRefH22_8x_0" localSheetId="75">'310 &amp; 491'!$H$75</definedName>
    <definedName name="OSRRefH22_8x_0" localSheetId="57">'311'!$H$96:$H$104</definedName>
    <definedName name="OSRRefH22_8x_0" localSheetId="69">'313'!$H$60</definedName>
    <definedName name="OSRRefH22_8x_0" localSheetId="55">'314'!$H$92:$H$94</definedName>
    <definedName name="OSRRefH22_8x_0" localSheetId="60">'315'!$H$93</definedName>
    <definedName name="OSRRefH22_8x_0" localSheetId="63">'316'!$H$62:$H$63</definedName>
    <definedName name="OSRRefH22_8x_0" localSheetId="66">'317'!$H$88</definedName>
    <definedName name="OSRRefH22_8x_0" localSheetId="64">'320'!$H$64</definedName>
    <definedName name="OSRRefH22_8x_0" localSheetId="70">'321'!$H$52</definedName>
    <definedName name="OSRRefH22_8x_0" localSheetId="71">'322'!$H$51</definedName>
    <definedName name="OSRRefH22_8x_0" localSheetId="72">'325'!$H$53</definedName>
    <definedName name="OSRRefH22_8x_0" localSheetId="61">'326'!$H$89</definedName>
    <definedName name="OSRRefH22_8x_0" localSheetId="53">'330'!$H$116:$H$137</definedName>
    <definedName name="OSRRefH22_8x_0" localSheetId="59">'331'!$H$105:$H$106</definedName>
    <definedName name="OSRRefH22_8x_0" localSheetId="62">'332'!$H$75:$H$77</definedName>
    <definedName name="OSRRefH22_8x_0" localSheetId="77">'405'!$H$52</definedName>
    <definedName name="OSRRefH22_8x_0" localSheetId="78">'406'!$H$52</definedName>
    <definedName name="OSRRefH22_8x_0" localSheetId="79">'411'!$H$51</definedName>
    <definedName name="OSRRefH22_8x_0" localSheetId="80">'412'!$H$53</definedName>
    <definedName name="OSRRefH22_8x_0" localSheetId="82">'413'!$H$52:$H$54</definedName>
    <definedName name="OSRRefH22_8x_0" localSheetId="83">'414'!$H$52</definedName>
    <definedName name="OSRRefH22_8x_0" localSheetId="84">'415'!$H$53</definedName>
    <definedName name="OSRRefH22_8x_0" localSheetId="85">'418'!$H$53</definedName>
    <definedName name="OSRRefH22_8x_0" localSheetId="87">'424'!$H$48</definedName>
    <definedName name="OSRRefH22_8x_0" localSheetId="88">'425'!$H$56</definedName>
    <definedName name="OSRRefH22_8x_0" localSheetId="91">'430'!$H$45</definedName>
    <definedName name="OSRRefH22_8x_0" localSheetId="92">'433'!$H$55</definedName>
    <definedName name="OSRRefH22_8x_0" localSheetId="93">'435'!$H$45:$H$48</definedName>
    <definedName name="OSRRefH22_8x_0" localSheetId="94">'444'!$H$54</definedName>
    <definedName name="OSRRefH22_8x_0" localSheetId="96">'450'!$H$54</definedName>
    <definedName name="OSRRefH22_8x_0" localSheetId="76">'491'!$H$66</definedName>
    <definedName name="OSRRefH22_8x_0" localSheetId="90">'492'!$H$58</definedName>
    <definedName name="OSRRefH22_8x_0" localSheetId="98">'501'!$H$50</definedName>
    <definedName name="OSRRefH22_8x_0" localSheetId="39">'Div 2'!$H$53</definedName>
    <definedName name="OSRRefH22_8x_0" localSheetId="48">'Div 3'!$H$212</definedName>
    <definedName name="OSRRefH22_8x_0" localSheetId="74">'Div 4'!$H$67</definedName>
    <definedName name="OSRRefH22_8x_0" localSheetId="97">'Div 5'!$H$50</definedName>
    <definedName name="OSRRefH22_8x_0" localSheetId="65">'Div 6'!$H$88</definedName>
    <definedName name="OSRRefH22_8x_0" localSheetId="2">Summary!$H$249</definedName>
    <definedName name="OSRRefH22_9x_0" localSheetId="41">'201'!$H$48</definedName>
    <definedName name="OSRRefH22_9x_0" localSheetId="42">'202'!$H$50</definedName>
    <definedName name="OSRRefH22_9x_0" localSheetId="43">'203'!$H$51:$H$53</definedName>
    <definedName name="OSRRefH22_9x_0" localSheetId="44">'204'!$H$57:$H$58</definedName>
    <definedName name="OSRRefH22_9x_0" localSheetId="49">'300'!$H$209</definedName>
    <definedName name="OSRRefH22_9x_0" localSheetId="50">'300 &amp; 317'!$H$235</definedName>
    <definedName name="OSRRefH22_9x_0" localSheetId="51">'301'!$H$55</definedName>
    <definedName name="OSRRefH22_9x_0" localSheetId="52">'306'!$H$56</definedName>
    <definedName name="OSRRefH22_9x_0" localSheetId="54">'307'!$H$130:$H$131</definedName>
    <definedName name="OSRRefH22_9x_0" localSheetId="56">'308'!$H$108:$H$110</definedName>
    <definedName name="OSRRefH22_9x_0" localSheetId="68">'309'!$H$53:$H$54</definedName>
    <definedName name="OSRRefH22_9x_0" localSheetId="67">'310'!$H$65:$H$66</definedName>
    <definedName name="OSRRefH22_9x_0" localSheetId="75">'310 &amp; 491'!$H$77</definedName>
    <definedName name="OSRRefH22_9x_0" localSheetId="57">'311'!$H$106:$H$108</definedName>
    <definedName name="OSRRefH22_9x_0" localSheetId="69">'313'!$H$62:$H$64</definedName>
    <definedName name="OSRRefH22_9x_0" localSheetId="55">'314'!$H$96</definedName>
    <definedName name="OSRRefH22_9x_0" localSheetId="60">'315'!$H$95:$H$97</definedName>
    <definedName name="OSRRefH22_9x_0" localSheetId="63">'316'!$H$65</definedName>
    <definedName name="OSRRefH22_9x_0" localSheetId="66">'317'!$H$90:$H$97</definedName>
    <definedName name="OSRRefH22_9x_0" localSheetId="70">'321'!$H$54:$H$56</definedName>
    <definedName name="OSRRefH22_9x_0" localSheetId="71">'322'!$H$53</definedName>
    <definedName name="OSRRefH22_9x_0" localSheetId="72">'325'!$H$55</definedName>
    <definedName name="OSRRefH22_9x_0" localSheetId="61">'326'!$H$91</definedName>
    <definedName name="OSRRefH22_9x_0" localSheetId="53">'330'!$H$139</definedName>
    <definedName name="OSRRefH22_9x_0" localSheetId="59">'331'!$H$108</definedName>
    <definedName name="OSRRefH22_9x_0" localSheetId="62">'332'!$H$79:$H$80</definedName>
    <definedName name="OSRRefH22_9x_0" localSheetId="77">'405'!$H$54</definedName>
    <definedName name="OSRRefH22_9x_0" localSheetId="78">'406'!$H$54:$H$56</definedName>
    <definedName name="OSRRefH22_9x_0" localSheetId="79">'411'!$H$53</definedName>
    <definedName name="OSRRefH22_9x_0" localSheetId="80">'412'!$H$55:$H$57</definedName>
    <definedName name="OSRRefH22_9x_0" localSheetId="82">'413'!$H$56:$H$57</definedName>
    <definedName name="OSRRefH22_9x_0" localSheetId="83">'414'!$H$54:$H$55</definedName>
    <definedName name="OSRRefH22_9x_0" localSheetId="84">'415'!$H$55</definedName>
    <definedName name="OSRRefH22_9x_0" localSheetId="85">'418'!$H$55</definedName>
    <definedName name="OSRRefH22_9x_0" localSheetId="87">'424'!$H$50:$H$51</definedName>
    <definedName name="OSRRefH22_9x_0" localSheetId="88">'425'!$H$58:$H$60</definedName>
    <definedName name="OSRRefH22_9x_0" localSheetId="91">'430'!$H$47</definedName>
    <definedName name="OSRRefH22_9x_0" localSheetId="92">'433'!$H$57</definedName>
    <definedName name="OSRRefH22_9x_0" localSheetId="93">'435'!$H$50</definedName>
    <definedName name="OSRRefH22_9x_0" localSheetId="94">'444'!$H$56</definedName>
    <definedName name="OSRRefH22_9x_0" localSheetId="96">'450'!$H$56</definedName>
    <definedName name="OSRRefH22_9x_0" localSheetId="76">'491'!$H$68</definedName>
    <definedName name="OSRRefH22_9x_0" localSheetId="90">'492'!$H$60</definedName>
    <definedName name="OSRRefH22_9x_0" localSheetId="98">'501'!$H$52</definedName>
    <definedName name="OSRRefH22_9x_0" localSheetId="39">'Div 2'!$H$55</definedName>
    <definedName name="OSRRefH22_9x_0" localSheetId="48">'Div 3'!$H$214</definedName>
    <definedName name="OSRRefH22_9x_0" localSheetId="74">'Div 4'!$H$69</definedName>
    <definedName name="OSRRefH22_9x_0" localSheetId="97">'Div 5'!$H$52</definedName>
    <definedName name="OSRRefH22_9x_0" localSheetId="65">'Div 6'!$H$90:$H$97</definedName>
    <definedName name="OSRRefH22_9x_0" localSheetId="2">Summary!$H$251</definedName>
    <definedName name="OSRRefH22x_0" localSheetId="40">'200'!$H$20:$H$21,'200'!$H$23,'200'!$H$25,'200'!$H$27,'200'!$H$29:$H$30</definedName>
    <definedName name="OSRRefH22x_0" localSheetId="41">'201'!$H$20:$H$28,'201'!$H$30:$H$32,'201'!$H$34,'201'!$H$36,'201'!$H$38,'201'!$H$40,'201'!$H$42,'201'!$H$44,'201'!$H$46,'201'!$H$48,'201'!$H$50:$H$52,'201'!$H$54:$H$56,'201'!$H$58,'201'!$H$60:$H$63,'201'!$H$65,'201'!$H$67,'201'!$H$69:$H$70</definedName>
    <definedName name="OSRRefH22x_0" localSheetId="42">'202'!$H$20:$H$27,'202'!$H$29:$H$34,'202'!$H$36,'202'!$H$38,'202'!$H$40,'202'!$H$42,'202'!$H$44,'202'!$H$46,'202'!$H$48,'202'!$H$50,'202'!$H$52:$H$54,'202'!$H$56,'202'!$H$58,'202'!$H$60:$H$62,'202'!$H$64,'202'!$H$66,'202'!$H$68:$H$69</definedName>
    <definedName name="OSRRefH22x_0" localSheetId="43">'203'!$H$20:$H$29,'203'!$H$31:$H$35,'203'!$H$37,'203'!$H$39,'203'!$H$41,'203'!$H$43,'203'!$H$45,'203'!$H$47,'203'!$H$49,'203'!$H$51:$H$53,'203'!$H$55:$H$56,'203'!$H$58:$H$59,'203'!$H$61:$H$64,'203'!$H$66,'203'!$H$68,'203'!$H$70</definedName>
    <definedName name="OSRRefH22x_0" localSheetId="44">'204'!$H$20:$H$29,'204'!$H$31:$H$36,'204'!$H$38,'204'!$H$40:$H$41,'204'!$H$43,'204'!$H$45,'204'!$H$47:$H$50,'204'!$H$52,'204'!$H$54:$H$55,'204'!$H$57:$H$58,'204'!$H$60,'204'!$H$62:$H$63</definedName>
    <definedName name="OSRRefH22x_0" localSheetId="45">'205'!$H$20:$H$27,'205'!$H$29,'205'!$H$31,'205'!$H$33,'205'!$H$35:$H$37,'205'!$H$39,'205'!$H$41:$H$42,'205'!$H$44,'205'!$H$46</definedName>
    <definedName name="OSRRefH22x_0" localSheetId="46">'206'!$H$20:$H$27,'206'!$H$29:$H$34,'206'!$H$36,'206'!$H$38,'206'!$H$40,'206'!$H$42,'206'!$H$44:$H$45,'206'!$H$47,'206'!$H$49</definedName>
    <definedName name="OSRRefH22x_0" localSheetId="49">'300'!$H$174:$H$182,'300'!$H$184:$H$190,'300'!$H$192,'300'!$H$194:$H$195,'300'!$H$197,'300'!$H$199:$H$200,'300'!$H$202:$H$203,'300'!$H$205,'300'!$H$207,'300'!$H$209,'300'!$H$211:$H$212,'300'!$H$214,'300'!$H$216,'300'!$H$218:$H$251,'300'!$H$253,'300'!$H$255,'300'!$H$257:$H$260,'300'!$H$262:$H$264,'300'!$H$266:$H$269,'300'!$H$271:$H$272,'300'!$H$274:$H$281,'300'!$H$283:$H$284,'300'!$H$286,'300'!$H$288:$H$290,'300'!$H$292</definedName>
    <definedName name="OSRRefH22x_0" localSheetId="50">'300 &amp; 317'!$H$200:$H$208,'300 &amp; 317'!$H$210:$H$216,'300 &amp; 317'!$H$218,'300 &amp; 317'!$H$220:$H$221,'300 &amp; 317'!$H$223,'300 &amp; 317'!$H$225:$H$226,'300 &amp; 317'!$H$228:$H$229,'300 &amp; 317'!$H$231,'300 &amp; 317'!$H$233,'300 &amp; 317'!$H$235,'300 &amp; 317'!$H$237:$H$238,'300 &amp; 317'!$H$240,'300 &amp; 317'!$H$242,'300 &amp; 317'!$H$244:$H$280,'300 &amp; 317'!$H$282,'300 &amp; 317'!$H$284,'300 &amp; 317'!$H$286:$H$289,'300 &amp; 317'!$H$291:$H$293,'300 &amp; 317'!$H$295:$H$298,'300 &amp; 317'!$H$300:$H$301,'300 &amp; 317'!$H$303:$H$310,'300 &amp; 317'!$H$312:$H$313,'300 &amp; 317'!$H$315,'300 &amp; 317'!$H$317:$H$319,'300 &amp; 317'!$H$321</definedName>
    <definedName name="OSRRefH22x_0" localSheetId="51">'301'!$H$21:$H$28,'301'!$H$30:$H$36,'301'!$H$38,'301'!$H$40:$H$41,'301'!$H$43,'301'!$H$45:$H$46,'301'!$H$48:$H$49,'301'!$H$51,'301'!$H$53,'301'!$H$55,'301'!$H$57,'301'!$H$59,'301'!$H$61,'301'!$H$63,'301'!$H$65,'301'!$H$67,'301'!$H$69:$H$72,'301'!$H$74,'301'!$H$76:$H$78,'301'!$H$80:$H$81,'301'!$H$83:$H$89,'301'!$H$91,'301'!$H$93,'301'!$H$95:$H$97,'301'!$H$99</definedName>
    <definedName name="OSRRefH22x_0" localSheetId="52">'306'!$H$20:$H$28,'306'!$H$30:$H$35,'306'!$H$37,'306'!$H$39,'306'!$H$41,'306'!$H$43,'306'!$H$45,'306'!$H$47:$H$48,'306'!$H$50:$H$54,'306'!$H$56,'306'!$H$58</definedName>
    <definedName name="OSRRefH22x_0" localSheetId="54">'307'!$H$80:$H$87,'307'!$H$89:$H$92,'307'!$H$94,'307'!$H$96,'307'!$H$98:$H$99,'307'!$H$101,'307'!$H$103:$H$124,'307'!$H$126,'307'!$H$128,'307'!$H$130:$H$131,'307'!$H$133:$H$134,'307'!$H$136:$H$138,'307'!$H$140,'307'!$H$142,'307'!$H$144</definedName>
    <definedName name="OSRRefH22x_0" localSheetId="56">'308'!$H$68:$H$76,'308'!$H$78:$H$82,'308'!$H$84,'308'!$H$86:$H$87,'308'!$H$89,'308'!$H$91,'308'!$H$93:$H$94,'308'!$H$96,'308'!$H$98:$H$106,'308'!$H$108:$H$110,'308'!$H$112:$H$113,'308'!$H$115:$H$118,'308'!$H$120:$H$121,'308'!$H$123,'308'!$H$125</definedName>
    <definedName name="OSRRefH22x_0" localSheetId="68">'309'!$H$24:$H$31,'309'!$H$33:$H$37,'309'!$H$39,'309'!$H$41,'309'!$H$43,'309'!$H$45,'309'!$H$47,'309'!$H$49,'309'!$H$51,'309'!$H$53:$H$54,'309'!$H$56:$H$58,'309'!$H$60,'309'!$H$62:$H$68,'309'!$H$70</definedName>
    <definedName name="OSRRefH22x_0" localSheetId="67">'310'!$H$34:$H$41,'310'!$H$43:$H$48,'310'!$H$50,'310'!$H$52,'310'!$H$54,'310'!$H$56:$H$57,'310'!$H$59,'310'!$H$61,'310'!$H$63,'310'!$H$65:$H$66,'310'!$H$68,'310'!$H$70,'310'!$H$72,'310'!$H$74,'310'!$H$76:$H$78,'310'!$H$80,'310'!$H$82:$H$85,'310'!$H$87:$H$88,'310'!$H$90:$H$97,'310'!$H$99,'310'!$H$101,'310'!$H$103,'310'!$H$105</definedName>
    <definedName name="OSRRefH22x_0" localSheetId="75">'310 &amp; 491'!$H$43:$H$51,'310 &amp; 491'!$H$53:$H$59,'310 &amp; 491'!$H$61,'310 &amp; 491'!$H$63,'310 &amp; 491'!$H$65,'310 &amp; 491'!$H$67:$H$69,'310 &amp; 491'!$H$71,'310 &amp; 491'!$H$73,'310 &amp; 491'!$H$75,'310 &amp; 491'!$H$77,'310 &amp; 491'!$H$79:$H$80,'310 &amp; 491'!$H$82:$H$83,'310 &amp; 491'!$H$85,'310 &amp; 491'!$H$87,'310 &amp; 491'!$H$89,'310 &amp; 491'!$H$91,'310 &amp; 491'!$H$93:$H$96,'310 &amp; 491'!$H$98:$H$99,'310 &amp; 491'!$H$101:$H$105,'310 &amp; 491'!$H$107:$H$108,'310 &amp; 491'!$H$110:$H$119,'310 &amp; 491'!$H$121,'310 &amp; 491'!$H$123,'310 &amp; 491'!$H$125:$H$127,'310 &amp; 491'!$H$129</definedName>
    <definedName name="OSRRefH22x_0" localSheetId="57">'311'!$H$66:$H$74,'311'!$H$76:$H$80,'311'!$H$82,'311'!$H$84:$H$85,'311'!$H$87,'311'!$H$89,'311'!$H$91:$H$92,'311'!$H$94,'311'!$H$96:$H$104,'311'!$H$106:$H$108,'311'!$H$110:$H$111,'311'!$H$113:$H$116,'311'!$H$118:$H$119,'311'!$H$121,'311'!$H$123</definedName>
    <definedName name="OSRRefH22x_0" localSheetId="69">'313'!$H$31:$H$38,'313'!$H$40:$H$45,'313'!$H$47,'313'!$H$49,'313'!$H$51,'313'!$H$53,'313'!$H$55,'313'!$H$57:$H$58,'313'!$H$60,'313'!$H$62:$H$64,'313'!$H$66:$H$67,'313'!$H$69:$H$70,'313'!$H$72:$H$77,'313'!$H$79,'313'!$H$81</definedName>
    <definedName name="OSRRefH22x_0" localSheetId="55">'314'!$H$56:$H$64,'314'!$H$66:$H$69,'314'!$H$71,'314'!$H$73:$H$74,'314'!$H$76,'314'!$H$78,'314'!$H$80:$H$88,'314'!$H$90,'314'!$H$92:$H$94,'314'!$H$96,'314'!$H$98,'314'!$H$100</definedName>
    <definedName name="OSRRefH22x_0" localSheetId="60">'315'!$H$57:$H$64,'315'!$H$66:$H$71,'315'!$H$73,'315'!$H$75:$H$76,'315'!$H$78,'315'!$H$80:$H$81,'315'!$H$83,'315'!$H$85:$H$91,'315'!$H$93,'315'!$H$95:$H$97,'315'!$H$99:$H$100,'315'!$H$102:$H$103,'315'!$H$105:$H$109,'315'!$H$111,'315'!$H$113,'315'!$H$115:$H$116</definedName>
    <definedName name="OSRRefH22x_0" localSheetId="63">'316'!$H$35:$H$42,'316'!$H$44:$H$47,'316'!$H$49,'316'!$H$51,'316'!$H$53,'316'!$H$55,'316'!$H$57:$H$58,'316'!$H$60,'316'!$H$62:$H$63,'316'!$H$65,'316'!$H$67:$H$71,'316'!$H$73,'316'!$H$75</definedName>
    <definedName name="OSRRefH22x_0" localSheetId="66">'317'!$H$59:$H$67,'317'!$H$69:$H$73,'317'!$H$75,'317'!$H$77,'317'!$H$79,'317'!$H$81,'317'!$H$83,'317'!$H$85:$H$86,'317'!$H$88,'317'!$H$90:$H$97,'317'!$H$99,'317'!$H$101,'317'!$H$103:$H$104,'317'!$H$106,'317'!$H$108,'317'!$H$110:$H$111</definedName>
    <definedName name="OSRRefH22x_0" localSheetId="64">'320'!$H$31:$H$38,'320'!$H$40:$H$45,'320'!$H$47,'320'!$H$49,'320'!$H$51:$H$52,'320'!$H$54,'320'!$H$56:$H$58,'320'!$H$60:$H$62,'320'!$H$64</definedName>
    <definedName name="OSRRefH22x_0" localSheetId="70">'321'!$H$24:$H$30,'321'!$H$32:$H$36,'321'!$H$38,'321'!$H$40,'321'!$H$42,'321'!$H$44,'321'!$H$46,'321'!$H$48:$H$50,'321'!$H$52,'321'!$H$54:$H$56,'321'!$H$58:$H$63,'321'!$H$65,'321'!$H$67,'321'!$H$69</definedName>
    <definedName name="OSRRefH22x_0" localSheetId="71">'322'!$H$24:$H$31,'322'!$H$33:$H$37,'322'!$H$39,'322'!$H$41,'322'!$H$43,'322'!$H$45,'322'!$H$47,'322'!$H$49,'322'!$H$51,'322'!$H$53,'322'!$H$55,'322'!$H$57:$H$58,'322'!$H$60:$H$62,'322'!$H$64,'322'!$H$66:$H$72,'322'!$H$74,'322'!$H$76,'322'!$H$78</definedName>
    <definedName name="OSRRefH22x_0" localSheetId="58">'324'!$H$26</definedName>
    <definedName name="OSRRefH22x_0" localSheetId="72">'325'!$H$24:$H$31,'325'!$H$33:$H$38,'325'!$H$40,'325'!$H$42,'325'!$H$44,'325'!$H$46:$H$47,'325'!$H$49,'325'!$H$51,'325'!$H$53,'325'!$H$55,'325'!$H$57,'325'!$H$59:$H$61,'325'!$H$63:$H$66,'325'!$H$68:$H$69,'325'!$H$71:$H$76,'325'!$H$78,'325'!$H$80,'325'!$H$82</definedName>
    <definedName name="OSRRefH22x_0" localSheetId="61">'326'!$H$62:$H$69,'326'!$H$71:$H$75,'326'!$H$77,'326'!$H$79,'326'!$H$81,'326'!$H$83,'326'!$H$85,'326'!$H$87,'326'!$H$89,'326'!$H$91,'326'!$H$93:$H$107,'326'!$H$109,'326'!$H$111,'326'!$H$113:$H$114,'326'!$H$116:$H$118,'326'!$H$120:$H$121,'326'!$H$123:$H$127,'326'!$H$129,'326'!$H$131,'326'!$H$133,'326'!$H$135</definedName>
    <definedName name="OSRRefH22x_0" localSheetId="73">'327'!$H$22,'327'!$H$24,'327'!$H$26</definedName>
    <definedName name="OSRRefH22x_0" localSheetId="53">'330'!$H$87:$H$95,'330'!$H$97:$H$101,'330'!$H$103,'330'!$H$105,'330'!$H$107:$H$108,'330'!$H$110,'330'!$H$112,'330'!$H$114,'330'!$H$116:$H$137,'330'!$H$139,'330'!$H$141,'330'!$H$143:$H$144,'330'!$H$146:$H$147,'330'!$H$149,'330'!$H$151:$H$153,'330'!$H$155,'330'!$H$157,'330'!$H$159</definedName>
    <definedName name="OSRRefH22x_0" localSheetId="59">'331'!$H$76:$H$83,'331'!$H$85:$H$90,'331'!$H$92,'331'!$H$94,'331'!$H$96,'331'!$H$98:$H$99,'331'!$H$101,'331'!$H$103,'331'!$H$105:$H$106,'331'!$H$108,'331'!$H$110,'331'!$H$112:$H$126,'331'!$H$128,'331'!$H$130,'331'!$H$132:$H$134,'331'!$H$136:$H$137,'331'!$H$139:$H$141,'331'!$H$143:$H$144,'331'!$H$146:$H$151,'331'!$H$153,'331'!$H$155,'331'!$H$157:$H$158,'331'!$H$160</definedName>
    <definedName name="OSRRefH22x_0" localSheetId="62">'332'!$H$46:$H$53,'332'!$H$55:$H$60,'332'!$H$62,'332'!$H$64,'332'!$H$66,'332'!$H$68,'332'!$H$70:$H$71,'332'!$H$73,'332'!$H$75:$H$77,'332'!$H$79:$H$80,'332'!$H$82,'332'!$H$84:$H$88,'332'!$H$90,'332'!$H$92</definedName>
    <definedName name="OSRRefH22x_0" localSheetId="77">'405'!$H$24:$H$31,'405'!$H$33:$H$37,'405'!$H$39,'405'!$H$41,'405'!$H$43,'405'!$H$45:$H$46,'405'!$H$48,'405'!$H$50,'405'!$H$52,'405'!$H$54,'405'!$H$56:$H$57,'405'!$H$59,'405'!$H$61:$H$63,'405'!$H$65:$H$66,'405'!$H$68:$H$74,'405'!$H$76,'405'!$H$78,'405'!$H$80,'405'!$H$82</definedName>
    <definedName name="OSRRefH22x_0" localSheetId="78">'406'!$H$24:$H$31,'406'!$H$33:$H$38,'406'!$H$40,'406'!$H$42,'406'!$H$44,'406'!$H$46,'406'!$H$48,'406'!$H$50,'406'!$H$52,'406'!$H$54:$H$56,'406'!$H$58:$H$59,'406'!$H$61:$H$66,'406'!$H$68,'406'!$H$70,'406'!$H$72:$H$73</definedName>
    <definedName name="OSRRefH22x_0" localSheetId="79">'411'!$H$20:$H$28,'411'!$H$30:$H$35,'411'!$H$37,'411'!$H$39,'411'!$H$41:$H$43,'411'!$H$45,'411'!$H$47,'411'!$H$49,'411'!$H$51,'411'!$H$53,'411'!$H$55,'411'!$H$57,'411'!$H$59:$H$62,'411'!$H$64:$H$68,'411'!$H$70:$H$71,'411'!$H$73:$H$81,'411'!$H$83,'411'!$H$85,'411'!$H$87:$H$89,'411'!$H$91</definedName>
    <definedName name="OSRRefH22x_0" localSheetId="80">'412'!$H$25:$H$32,'412'!$H$34:$H$39,'412'!$H$41,'412'!$H$43,'412'!$H$45,'412'!$H$47,'412'!$H$49,'412'!$H$51,'412'!$H$53,'412'!$H$55:$H$57,'412'!$H$59,'412'!$H$61:$H$63,'412'!$H$65:$H$72,'412'!$H$74,'412'!$H$76</definedName>
    <definedName name="OSRRefH22x_0" localSheetId="82">'413'!$H$24:$H$31,'413'!$H$33:$H$38,'413'!$H$40,'413'!$H$42,'413'!$H$44,'413'!$H$46,'413'!$H$48,'413'!$H$50,'413'!$H$52:$H$54,'413'!$H$56:$H$57,'413'!$H$59:$H$64,'413'!$H$66,'413'!$H$68,'413'!$H$70</definedName>
    <definedName name="OSRRefH22x_0" localSheetId="83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4">'415'!$H$24:$H$31,'415'!$H$33:$H$38,'415'!$H$40,'415'!$H$42,'415'!$H$44,'415'!$H$46:$H$47,'415'!$H$49,'415'!$H$51,'415'!$H$53,'415'!$H$55,'415'!$H$57,'415'!$H$59:$H$62,'415'!$H$64:$H$68,'415'!$H$70:$H$71,'415'!$H$73:$H$81,'415'!$H$83,'415'!$H$85,'415'!$H$87,'415'!$H$89</definedName>
    <definedName name="OSRRefH22x_0" localSheetId="85">'418'!$H$24:$H$31,'418'!$H$33:$H$38,'418'!$H$40,'418'!$H$42,'418'!$H$44,'418'!$H$46:$H$47,'418'!$H$49,'418'!$H$51,'418'!$H$53,'418'!$H$55,'418'!$H$57,'418'!$H$59:$H$60,'418'!$H$62:$H$64,'418'!$H$66:$H$68,'418'!$H$70:$H$71,'418'!$H$73:$H$80,'418'!$H$82,'418'!$H$84</definedName>
    <definedName name="OSRRefH22x_0" localSheetId="81">'420'!$H$24:$H$31,'420'!$H$33:$H$36,'420'!$H$38,'420'!$H$40,'420'!$H$42,'420'!$H$44,'420'!$H$46:$H$47,'420'!$H$49</definedName>
    <definedName name="OSRRefH22x_0" localSheetId="86">'423'!$H$21:$H$28,'423'!$H$30:$H$31,'423'!$H$33,'423'!$H$35,'423'!$H$37,'423'!$H$39,'423'!$H$41</definedName>
    <definedName name="OSRRefH22x_0" localSheetId="87">'424'!$H$26:$H$28,'424'!$H$30:$H$34,'424'!$H$36,'424'!$H$38,'424'!$H$40,'424'!$H$42,'424'!$H$44,'424'!$H$46,'424'!$H$48,'424'!$H$50:$H$51,'424'!$H$53,'424'!$H$55,'424'!$H$57:$H$63,'424'!$H$65</definedName>
    <definedName name="OSRRefH22x_0" localSheetId="88">'425'!$H$27:$H$35,'425'!$H$37:$H$42,'425'!$H$44,'425'!$H$46,'425'!$H$48,'425'!$H$50,'425'!$H$52,'425'!$H$54,'425'!$H$56,'425'!$H$58:$H$60,'425'!$H$62,'425'!$H$64:$H$66,'425'!$H$68:$H$74,'425'!$H$76,'425'!$H$78,'425'!$H$80:$H$81</definedName>
    <definedName name="OSRRefH22x_0" localSheetId="91">'430'!$H$20:$H$27,'430'!$H$29,'430'!$H$31,'430'!$H$33,'430'!$H$35,'430'!$H$37,'430'!$H$39:$H$41,'430'!$H$43,'430'!$H$45,'430'!$H$47</definedName>
    <definedName name="OSRRefH22x_0" localSheetId="92">'433'!$H$26:$H$34,'433'!$H$36:$H$41,'433'!$H$43,'433'!$H$45,'433'!$H$47,'433'!$H$49,'433'!$H$51,'433'!$H$53,'433'!$H$55,'433'!$H$57,'433'!$H$59:$H$61,'433'!$H$63:$H$65,'433'!$H$67:$H$74,'433'!$H$76,'433'!$H$78,'433'!$H$80:$H$81</definedName>
    <definedName name="OSRRefH22x_0" localSheetId="93">'435'!$H$25:$H$27,'435'!$H$29:$H$31,'435'!$H$33,'435'!$H$35,'435'!$H$37,'435'!$H$39,'435'!$H$41,'435'!$H$43,'435'!$H$45:$H$48,'435'!$H$50</definedName>
    <definedName name="OSRRefH22x_0" localSheetId="94">'444'!$H$25:$H$33,'444'!$H$35:$H$40,'444'!$H$42,'444'!$H$44,'444'!$H$46,'444'!$H$48,'444'!$H$50,'444'!$H$52,'444'!$H$54,'444'!$H$56,'444'!$H$58,'444'!$H$60:$H$62,'444'!$H$64:$H$66,'444'!$H$68:$H$75,'444'!$H$77,'444'!$H$79,'444'!$H$81</definedName>
    <definedName name="OSRRefH22x_0" localSheetId="95">'445'!$H$21</definedName>
    <definedName name="OSRRefH22x_0" localSheetId="96">'450'!$H$25:$H$33,'450'!$H$35:$H$40,'450'!$H$42,'450'!$H$44,'450'!$H$46,'450'!$H$48,'450'!$H$50,'450'!$H$52,'450'!$H$54,'450'!$H$56,'450'!$H$58,'450'!$H$60,'450'!$H$62:$H$64,'450'!$H$66:$H$68,'450'!$H$70:$H$76,'450'!$H$78,'450'!$H$80,'450'!$H$82:$H$83</definedName>
    <definedName name="OSRRefH22x_0" localSheetId="89">'455'!$H$20:$H$26,'455'!$H$28:$H$29,'455'!$H$31</definedName>
    <definedName name="OSRRefH22x_0" localSheetId="76">'491'!$H$34:$H$42,'491'!$H$44:$H$50,'491'!$H$52,'491'!$H$54,'491'!$H$56,'491'!$H$58:$H$60,'491'!$H$62,'491'!$H$64,'491'!$H$66,'491'!$H$68,'491'!$H$70,'491'!$H$72:$H$73,'491'!$H$75,'491'!$H$77,'491'!$H$79,'491'!$H$81,'491'!$H$83:$H$86,'491'!$H$88:$H$89,'491'!$H$91:$H$95,'491'!$H$97:$H$98,'491'!$H$100:$H$109,'491'!$H$111,'491'!$H$113,'491'!$H$115:$H$117,'491'!$H$119</definedName>
    <definedName name="OSRRefH22x_0" localSheetId="90">'492'!$H$28:$H$36,'492'!$H$38:$H$44,'492'!$H$46,'492'!$H$48,'492'!$H$50,'492'!$H$52,'492'!$H$54,'492'!$H$56,'492'!$H$58,'492'!$H$60,'492'!$H$62,'492'!$H$64,'492'!$H$66,'492'!$H$68:$H$70,'492'!$H$72:$H$74,'492'!$H$76:$H$84,'492'!$H$86,'492'!$H$88,'492'!$H$90:$H$91</definedName>
    <definedName name="OSRRefH22x_0" localSheetId="98">'501'!$H$21:$H$28,'501'!$H$30:$H$35,'501'!$H$37,'501'!$H$39,'501'!$H$41,'501'!$H$43:$H$44,'501'!$H$46,'501'!$H$48,'501'!$H$50,'501'!$H$52,'501'!$H$54:$H$56,'501'!$H$58,'501'!$H$60:$H$63,'501'!$H$65,'501'!$H$67</definedName>
    <definedName name="OSRRefH22x_0" localSheetId="39">'Div 2'!$H$20:$H$30,'Div 2'!$H$32:$H$38,'Div 2'!$H$40,'Div 2'!$H$42,'Div 2'!$H$44,'Div 2'!$H$46:$H$47,'Div 2'!$H$49,'Div 2'!$H$51,'Div 2'!$H$53,'Div 2'!$H$55,'Div 2'!$H$57,'Div 2'!$H$59,'Div 2'!$H$61:$H$64,'Div 2'!$H$66:$H$69,'Div 2'!$H$71:$H$72,'Div 2'!$H$74:$H$75,'Div 2'!$H$77:$H$81,'Div 2'!$H$83:$H$84,'Div 2'!$H$86,'Div 2'!$H$88:$H$89</definedName>
    <definedName name="OSRRefH22x_0" localSheetId="48">'Div 3'!$H$179:$H$187,'Div 3'!$H$189:$H$195,'Div 3'!$H$197,'Div 3'!$H$199:$H$200,'Div 3'!$H$202,'Div 3'!$H$204:$H$205,'Div 3'!$H$207:$H$208,'Div 3'!$H$210,'Div 3'!$H$212,'Div 3'!$H$214,'Div 3'!$H$216:$H$217,'Div 3'!$H$219,'Div 3'!$H$221,'Div 3'!$H$223,'Div 3'!$H$225:$H$258,'Div 3'!$H$260,'Div 3'!$H$262,'Div 3'!$H$264:$H$267,'Div 3'!$H$269:$H$271,'Div 3'!$H$273:$H$277,'Div 3'!$H$279:$H$280,'Div 3'!$H$282:$H$290,'Div 3'!$H$292:$H$293,'Div 3'!$H$295,'Div 3'!$H$297:$H$299,'Div 3'!$H$301</definedName>
    <definedName name="OSRRefH22x_0" localSheetId="74">'Div 4'!$H$35:$H$43,'Div 4'!$H$45:$H$51,'Div 4'!$H$53,'Div 4'!$H$55,'Div 4'!$H$57,'Div 4'!$H$59:$H$61,'Div 4'!$H$63,'Div 4'!$H$65,'Div 4'!$H$67,'Div 4'!$H$69,'Div 4'!$H$71,'Div 4'!$H$73:$H$74,'Div 4'!$H$76,'Div 4'!$H$78,'Div 4'!$H$80,'Div 4'!$H$82,'Div 4'!$H$84,'Div 4'!$H$86:$H$89,'Div 4'!$H$91:$H$92,'Div 4'!$H$94:$H$98,'Div 4'!$H$100:$H$101,'Div 4'!$H$103:$H$112,'Div 4'!$H$114,'Div 4'!$H$116,'Div 4'!$H$118:$H$120,'Div 4'!$H$122</definedName>
    <definedName name="OSRRefH22x_0" localSheetId="97">'Div 5'!$H$21:$H$28,'Div 5'!$H$30:$H$35,'Div 5'!$H$37,'Div 5'!$H$39,'Div 5'!$H$41,'Div 5'!$H$43:$H$44,'Div 5'!$H$46,'Div 5'!$H$48,'Div 5'!$H$50,'Div 5'!$H$52,'Div 5'!$H$54:$H$56,'Div 5'!$H$58,'Div 5'!$H$60:$H$63,'Div 5'!$H$65,'Div 5'!$H$67</definedName>
    <definedName name="OSRRefH22x_0" localSheetId="65">'Div 6'!$H$59:$H$67,'Div 6'!$H$69:$H$73,'Div 6'!$H$75,'Div 6'!$H$77,'Div 6'!$H$79,'Div 6'!$H$81,'Div 6'!$H$83,'Div 6'!$H$85:$H$86,'Div 6'!$H$88,'Div 6'!$H$90:$H$97,'Div 6'!$H$99,'Div 6'!$H$101,'Div 6'!$H$103:$H$104,'Div 6'!$H$106,'Div 6'!$H$108,'Div 6'!$H$110:$H$111</definedName>
    <definedName name="OSRRefH22x_0" localSheetId="2">Summary!$H$215:$H$223,Summary!$H$225:$H$231,Summary!$H$233,Summary!$H$235:$H$236,Summary!$H$238,Summary!$H$240:$H$242,Summary!$H$244:$H$245,Summary!$H$247,Summary!$H$249,Summary!$H$251,Summary!$H$253:$H$254,Summary!$H$256:$H$257,Summary!$H$259,Summary!$H$261,Summary!$H$263:$H$299,Summary!$H$301,Summary!$H$303,Summary!$H$305,Summary!$H$307:$H$310,Summary!$H$312:$H$314,Summary!$H$316:$H$320,Summary!$H$322:$H$323,Summary!$H$325:$H$334,Summary!$H$336:$H$337,Summary!$H$339,Summary!$H$341:$H$343,Summary!$H$345</definedName>
    <definedName name="OSRRefH25x_0" localSheetId="49">'300'!$H$295:$H$303</definedName>
    <definedName name="OSRRefH25x_0" localSheetId="50">'300 &amp; 317'!$H$324:$H$335</definedName>
    <definedName name="OSRRefH25x_0" localSheetId="51">'301'!$H$102:$H$104</definedName>
    <definedName name="OSRRefH25x_0" localSheetId="54">'307'!$H$147</definedName>
    <definedName name="OSRRefH25x_0" localSheetId="56">'308'!$H$128:$H$130</definedName>
    <definedName name="OSRRefH25x_0" localSheetId="75">'310 &amp; 491'!$H$132:$H$134</definedName>
    <definedName name="OSRRefH25x_0" localSheetId="57">'311'!$H$126:$H$128</definedName>
    <definedName name="OSRRefH25x_0" localSheetId="60">'315'!$H$119</definedName>
    <definedName name="OSRRefH25x_0" localSheetId="63">'316'!$H$78</definedName>
    <definedName name="OSRRefH25x_0" localSheetId="66">'317'!$H$114:$H$117</definedName>
    <definedName name="OSRRefH25x_0" localSheetId="64">'320'!$H$67:$H$71</definedName>
    <definedName name="OSRRefH25x_0" localSheetId="53">'330'!$H$162</definedName>
    <definedName name="OSRRefH25x_0" localSheetId="59">'331'!$H$163</definedName>
    <definedName name="OSRRefH25x_0" localSheetId="62">'332'!$H$95:$H$100</definedName>
    <definedName name="OSRRefH25x_0" localSheetId="79">'411'!$H$94:$H$95</definedName>
    <definedName name="OSRRefH25x_0" localSheetId="82">'413'!$H$73</definedName>
    <definedName name="OSRRefH25x_0" localSheetId="84">'415'!$H$92</definedName>
    <definedName name="OSRRefH25x_0" localSheetId="85">'418'!$H$87</definedName>
    <definedName name="OSRRefH25x_0" localSheetId="86">'423'!$H$44</definedName>
    <definedName name="OSRRefH25x_0" localSheetId="87">'424'!$H$68</definedName>
    <definedName name="OSRRefH25x_0" localSheetId="88">'425'!$H$84</definedName>
    <definedName name="OSRRefH25x_0" localSheetId="89">'455'!$H$34:$H$35</definedName>
    <definedName name="OSRRefH25x_0" localSheetId="76">'491'!$H$122:$H$124</definedName>
    <definedName name="OSRRefH25x_0" localSheetId="98">'501'!$H$70:$H$71</definedName>
    <definedName name="OSRRefH25x_0" localSheetId="48">'Div 3'!$H$304:$H$312</definedName>
    <definedName name="OSRRefH25x_0" localSheetId="74">'Div 4'!$H$125:$H$127</definedName>
    <definedName name="OSRRefH25x_0" localSheetId="97">'Div 5'!$H$70:$H$71</definedName>
    <definedName name="OSRRefH25x_0" localSheetId="65">'Div 6'!$H$114:$H$117</definedName>
    <definedName name="OSRRefH25x_0" localSheetId="2">Summary!$H$348:$H$360</definedName>
    <definedName name="OSRRefP13x_0" localSheetId="49">'300'!$P$13:$P$115</definedName>
    <definedName name="OSRRefP13x_0" localSheetId="50">'300 &amp; 317'!$P$13:$P$133</definedName>
    <definedName name="OSRRefP13x_0" localSheetId="54">'307'!$P$13:$P$51</definedName>
    <definedName name="OSRRefP13x_0" localSheetId="56">'308'!$P$13:$P$44</definedName>
    <definedName name="OSRRefP13x_0" localSheetId="68">'309'!$P$13:$P$14</definedName>
    <definedName name="OSRRefP13x_0" localSheetId="67">'310'!$P$13:$P$24</definedName>
    <definedName name="OSRRefP13x_0" localSheetId="75">'310 &amp; 491'!$P$13:$P$33</definedName>
    <definedName name="OSRRefP13x_0" localSheetId="57">'311'!$P$13:$P$42</definedName>
    <definedName name="OSRRefP13x_0" localSheetId="69">'313'!$P$13:$P$21</definedName>
    <definedName name="OSRRefP13x_0" localSheetId="55">'314'!$P$13:$P$33</definedName>
    <definedName name="OSRRefP13x_0" localSheetId="60">'315'!$P$13:$P$33</definedName>
    <definedName name="OSRRefP13x_0" localSheetId="63">'316'!$P$13:$P$27</definedName>
    <definedName name="OSRRefP13x_0" localSheetId="66">'317'!$P$13:$P$36</definedName>
    <definedName name="OSRRefP13x_0" localSheetId="64">'320'!$P$13:$P$18</definedName>
    <definedName name="OSRRefP13x_0" localSheetId="70">'321'!$P$13:$P$14</definedName>
    <definedName name="OSRRefP13x_0" localSheetId="71">'322'!$P$13:$P$14</definedName>
    <definedName name="OSRRefP13x_0" localSheetId="58">'324'!$P$13:$P$16</definedName>
    <definedName name="OSRRefP13x_0" localSheetId="72">'325'!$P$13:$P$14</definedName>
    <definedName name="OSRRefP13x_0" localSheetId="61">'326'!$P$13:$P$36</definedName>
    <definedName name="OSRRefP13x_0" localSheetId="73">'327'!$P$13</definedName>
    <definedName name="OSRRefP13x_0" localSheetId="53">'330'!$P$13:$P$55</definedName>
    <definedName name="OSRRefP13x_0" localSheetId="59">'331'!$P$13:$P$44</definedName>
    <definedName name="OSRRefP13x_0" localSheetId="62">'332'!$P$13:$P$33</definedName>
    <definedName name="OSRRefP13x_0" localSheetId="77">'405'!$P$13:$P$14</definedName>
    <definedName name="OSRRefP13x_0" localSheetId="78">'406'!$P$13:$P$14</definedName>
    <definedName name="OSRRefP13x_0" localSheetId="80">'412'!$P$13:$P$15</definedName>
    <definedName name="OSRRefP13x_0" localSheetId="82">'413'!$P$13:$P$14</definedName>
    <definedName name="OSRRefP13x_0" localSheetId="83">'414'!$P$13:$P$14</definedName>
    <definedName name="OSRRefP13x_0" localSheetId="84">'415'!$P$13:$P$14</definedName>
    <definedName name="OSRRefP13x_0" localSheetId="85">'418'!$P$13:$P$14</definedName>
    <definedName name="OSRRefP13x_0" localSheetId="81">'420'!$P$13:$P$14</definedName>
    <definedName name="OSRRefP13x_0" localSheetId="87">'424'!$P$13:$P$16</definedName>
    <definedName name="OSRRefP13x_0" localSheetId="88">'425'!$P$13:$P$17</definedName>
    <definedName name="OSRRefP13x_0" localSheetId="92">'433'!$P$13:$P$16</definedName>
    <definedName name="OSRRefP13x_0" localSheetId="93">'435'!$P$13:$P$15</definedName>
    <definedName name="OSRRefP13x_0" localSheetId="94">'444'!$P$13:$P$15</definedName>
    <definedName name="OSRRefP13x_0" localSheetId="96">'450'!$P$13:$P$15</definedName>
    <definedName name="OSRRefP13x_0" localSheetId="76">'491'!$P$13:$P$24</definedName>
    <definedName name="OSRRefP13x_0" localSheetId="90">'492'!$P$13:$P$18</definedName>
    <definedName name="OSRRefP13x_0" localSheetId="98">'501'!$P$13</definedName>
    <definedName name="OSRRefP13x_0" localSheetId="48">'Div 3'!$P$13:$P$118</definedName>
    <definedName name="OSRRefP13x_0" localSheetId="74">'Div 4'!$P$13:$P$25</definedName>
    <definedName name="OSRRefP13x_0" localSheetId="97">'Div 5'!$P$13</definedName>
    <definedName name="OSRRefP13x_0" localSheetId="65">'Div 6'!$P$13:$P$36</definedName>
    <definedName name="OSRRefP13x_0" localSheetId="2">Summary!$P$13:$P$146</definedName>
    <definedName name="OSRRefP16x_0" localSheetId="49">'300'!$P$118:$P$168</definedName>
    <definedName name="OSRRefP16x_0" localSheetId="50">'300 &amp; 317'!$P$136:$P$194</definedName>
    <definedName name="OSRRefP16x_0" localSheetId="51">'301'!$P$15</definedName>
    <definedName name="OSRRefP16x_0" localSheetId="54">'307'!$P$54:$P$74</definedName>
    <definedName name="OSRRefP16x_0" localSheetId="56">'308'!$P$47:$P$62</definedName>
    <definedName name="OSRRefP16x_0" localSheetId="68">'309'!$P$17:$P$18</definedName>
    <definedName name="OSRRefP16x_0" localSheetId="67">'310'!$P$27:$P$28</definedName>
    <definedName name="OSRRefP16x_0" localSheetId="75">'310 &amp; 491'!$P$36:$P$37</definedName>
    <definedName name="OSRRefP16x_0" localSheetId="57">'311'!$P$45:$P$60</definedName>
    <definedName name="OSRRefP16x_0" localSheetId="69">'313'!$P$24:$P$25</definedName>
    <definedName name="OSRRefP16x_0" localSheetId="55">'314'!$P$36:$P$50</definedName>
    <definedName name="OSRRefP16x_0" localSheetId="60">'315'!$P$36:$P$51</definedName>
    <definedName name="OSRRefP16x_0" localSheetId="66">'317'!$P$39:$P$53</definedName>
    <definedName name="OSRRefP16x_0" localSheetId="64">'320'!$P$21:$P$25</definedName>
    <definedName name="OSRRefP16x_0" localSheetId="70">'321'!$P$17:$P$18</definedName>
    <definedName name="OSRRefP16x_0" localSheetId="71">'322'!$P$17:$P$18</definedName>
    <definedName name="OSRRefP16x_0" localSheetId="58">'324'!$P$19:$P$20</definedName>
    <definedName name="OSRRefP16x_0" localSheetId="72">'325'!$P$17:$P$18</definedName>
    <definedName name="OSRRefP16x_0" localSheetId="61">'326'!$P$39:$P$56</definedName>
    <definedName name="OSRRefP16x_0" localSheetId="73">'327'!$P$16</definedName>
    <definedName name="OSRRefP16x_0" localSheetId="53">'330'!$P$58:$P$81</definedName>
    <definedName name="OSRRefP16x_0" localSheetId="59">'331'!$P$47:$P$70</definedName>
    <definedName name="OSRRefP16x_0" localSheetId="62">'332'!$P$36:$P$40</definedName>
    <definedName name="OSRRefP16x_0" localSheetId="77">'405'!$P$17:$P$18</definedName>
    <definedName name="OSRRefP16x_0" localSheetId="78">'406'!$P$17:$P$18</definedName>
    <definedName name="OSRRefP16x_0" localSheetId="80">'412'!$P$18:$P$19</definedName>
    <definedName name="OSRRefP16x_0" localSheetId="82">'413'!$P$17:$P$18</definedName>
    <definedName name="OSRRefP16x_0" localSheetId="83">'414'!$P$17:$P$18</definedName>
    <definedName name="OSRRefP16x_0" localSheetId="84">'415'!$P$17:$P$18</definedName>
    <definedName name="OSRRefP16x_0" localSheetId="85">'418'!$P$17:$P$18</definedName>
    <definedName name="OSRRefP16x_0" localSheetId="81">'420'!$P$17:$P$18</definedName>
    <definedName name="OSRRefP16x_0" localSheetId="86">'423'!$P$15</definedName>
    <definedName name="OSRRefP16x_0" localSheetId="87">'424'!$P$19:$P$20</definedName>
    <definedName name="OSRRefP16x_0" localSheetId="88">'425'!$P$20:$P$21</definedName>
    <definedName name="OSRRefP16x_0" localSheetId="92">'433'!$P$19:$P$20</definedName>
    <definedName name="OSRRefP16x_0" localSheetId="93">'435'!$P$18:$P$19</definedName>
    <definedName name="OSRRefP16x_0" localSheetId="94">'444'!$P$18:$P$19</definedName>
    <definedName name="OSRRefP16x_0" localSheetId="95">'445'!$P$15</definedName>
    <definedName name="OSRRefP16x_0" localSheetId="96">'450'!$P$18:$P$19</definedName>
    <definedName name="OSRRefP16x_0" localSheetId="76">'491'!$P$27:$P$28</definedName>
    <definedName name="OSRRefP16x_0" localSheetId="90">'492'!$P$21:$P$22</definedName>
    <definedName name="OSRRefP16x_0" localSheetId="48">'Div 3'!$P$121:$P$173</definedName>
    <definedName name="OSRRefP16x_0" localSheetId="74">'Div 4'!$P$28:$P$29</definedName>
    <definedName name="OSRRefP16x_0" localSheetId="65">'Div 6'!$P$39:$P$53</definedName>
    <definedName name="OSRRefP16x_0" localSheetId="2">Summary!$P$149:$P$209</definedName>
    <definedName name="OSRRefP22_0x_0" localSheetId="40">'200'!$P$20:$P$21</definedName>
    <definedName name="OSRRefP22_0x_0" localSheetId="41">'201'!$P$20:$P$28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9">'300'!$P$174:$P$182</definedName>
    <definedName name="OSRRefP22_0x_0" localSheetId="50">'300 &amp; 317'!$P$200:$P$208</definedName>
    <definedName name="OSRRefP22_0x_0" localSheetId="51">'301'!$P$21:$P$28</definedName>
    <definedName name="OSRRefP22_0x_0" localSheetId="52">'306'!$P$20:$P$28</definedName>
    <definedName name="OSRRefP22_0x_0" localSheetId="54">'307'!$P$80:$P$87</definedName>
    <definedName name="OSRRefP22_0x_0" localSheetId="56">'308'!$P$68:$P$76</definedName>
    <definedName name="OSRRefP22_0x_0" localSheetId="68">'309'!$P$24:$P$31</definedName>
    <definedName name="OSRRefP22_0x_0" localSheetId="67">'310'!$P$34:$P$41</definedName>
    <definedName name="OSRRefP22_0x_0" localSheetId="75">'310 &amp; 491'!$P$43:$P$51</definedName>
    <definedName name="OSRRefP22_0x_0" localSheetId="57">'311'!$P$66:$P$74</definedName>
    <definedName name="OSRRefP22_0x_0" localSheetId="69">'313'!$P$31:$P$38</definedName>
    <definedName name="OSRRefP22_0x_0" localSheetId="55">'314'!$P$56:$P$64</definedName>
    <definedName name="OSRRefP22_0x_0" localSheetId="60">'315'!$P$57:$P$64</definedName>
    <definedName name="OSRRefP22_0x_0" localSheetId="63">'316'!$P$35:$P$42</definedName>
    <definedName name="OSRRefP22_0x_0" localSheetId="66">'317'!$P$59:$P$67</definedName>
    <definedName name="OSRRefP22_0x_0" localSheetId="64">'320'!$P$31:$P$38</definedName>
    <definedName name="OSRRefP22_0x_0" localSheetId="70">'321'!$P$24:$P$30</definedName>
    <definedName name="OSRRefP22_0x_0" localSheetId="71">'322'!$P$24:$P$31</definedName>
    <definedName name="OSRRefP22_0x_0" localSheetId="58">'324'!$P$26</definedName>
    <definedName name="OSRRefP22_0x_0" localSheetId="72">'325'!$P$24:$P$31</definedName>
    <definedName name="OSRRefP22_0x_0" localSheetId="61">'326'!$P$62:$P$69</definedName>
    <definedName name="OSRRefP22_0x_0" localSheetId="73">'327'!$P$22</definedName>
    <definedName name="OSRRefP22_0x_0" localSheetId="53">'330'!$P$87:$P$95</definedName>
    <definedName name="OSRRefP22_0x_0" localSheetId="59">'331'!$P$76:$P$83</definedName>
    <definedName name="OSRRefP22_0x_0" localSheetId="62">'332'!$P$46:$P$53</definedName>
    <definedName name="OSRRefP22_0x_0" localSheetId="77">'405'!$P$24:$P$31</definedName>
    <definedName name="OSRRefP22_0x_0" localSheetId="78">'406'!$P$24:$P$31</definedName>
    <definedName name="OSRRefP22_0x_0" localSheetId="79">'411'!$P$20:$P$28</definedName>
    <definedName name="OSRRefP22_0x_0" localSheetId="80">'412'!$P$25:$P$32</definedName>
    <definedName name="OSRRefP22_0x_0" localSheetId="82">'413'!$P$24:$P$31</definedName>
    <definedName name="OSRRefP22_0x_0" localSheetId="83">'414'!$P$24:$P$31</definedName>
    <definedName name="OSRRefP22_0x_0" localSheetId="84">'415'!$P$24:$P$31</definedName>
    <definedName name="OSRRefP22_0x_0" localSheetId="85">'418'!$P$24:$P$31</definedName>
    <definedName name="OSRRefP22_0x_0" localSheetId="81">'420'!$P$24:$P$31</definedName>
    <definedName name="OSRRefP22_0x_0" localSheetId="86">'423'!$P$21:$P$28</definedName>
    <definedName name="OSRRefP22_0x_0" localSheetId="87">'424'!$P$26:$P$28</definedName>
    <definedName name="OSRRefP22_0x_0" localSheetId="88">'425'!$P$27:$P$35</definedName>
    <definedName name="OSRRefP22_0x_0" localSheetId="91">'430'!$P$20:$P$27</definedName>
    <definedName name="OSRRefP22_0x_0" localSheetId="92">'433'!$P$26:$P$34</definedName>
    <definedName name="OSRRefP22_0x_0" localSheetId="93">'435'!$P$25:$P$27</definedName>
    <definedName name="OSRRefP22_0x_0" localSheetId="94">'444'!$P$25:$P$33</definedName>
    <definedName name="OSRRefP22_0x_0" localSheetId="95">'445'!$P$21</definedName>
    <definedName name="OSRRefP22_0x_0" localSheetId="96">'450'!$P$25:$P$33</definedName>
    <definedName name="OSRRefP22_0x_0" localSheetId="89">'455'!$P$20:$P$26</definedName>
    <definedName name="OSRRefP22_0x_0" localSheetId="76">'491'!$P$34:$P$42</definedName>
    <definedName name="OSRRefP22_0x_0" localSheetId="90">'492'!$P$28:$P$36</definedName>
    <definedName name="OSRRefP22_0x_0" localSheetId="98">'501'!$P$21:$P$28</definedName>
    <definedName name="OSRRefP22_0x_0" localSheetId="39">'Div 2'!$P$20:$P$30</definedName>
    <definedName name="OSRRefP22_0x_0" localSheetId="48">'Div 3'!$P$179:$P$187</definedName>
    <definedName name="OSRRefP22_0x_0" localSheetId="74">'Div 4'!$P$35:$P$43</definedName>
    <definedName name="OSRRefP22_0x_0" localSheetId="97">'Div 5'!$P$21:$P$28</definedName>
    <definedName name="OSRRefP22_0x_0" localSheetId="65">'Div 6'!$P$59:$P$67</definedName>
    <definedName name="OSRRefP22_0x_0" localSheetId="2">Summary!$P$215:$P$223</definedName>
    <definedName name="OSRRefP22_10x_0" localSheetId="41">'201'!$P$50:$P$52</definedName>
    <definedName name="OSRRefP22_10x_0" localSheetId="42">'202'!$P$52:$P$54</definedName>
    <definedName name="OSRRefP22_10x_0" localSheetId="43">'203'!$P$55:$P$56</definedName>
    <definedName name="OSRRefP22_10x_0" localSheetId="44">'204'!$P$60</definedName>
    <definedName name="OSRRefP22_10x_0" localSheetId="49">'300'!$P$211:$P$212</definedName>
    <definedName name="OSRRefP22_10x_0" localSheetId="50">'300 &amp; 317'!$P$237:$P$238</definedName>
    <definedName name="OSRRefP22_10x_0" localSheetId="51">'301'!$P$57</definedName>
    <definedName name="OSRRefP22_10x_0" localSheetId="52">'306'!$P$58</definedName>
    <definedName name="OSRRefP22_10x_0" localSheetId="54">'307'!$P$133:$P$134</definedName>
    <definedName name="OSRRefP22_10x_0" localSheetId="56">'308'!$P$112:$P$113</definedName>
    <definedName name="OSRRefP22_10x_0" localSheetId="68">'309'!$P$56:$P$58</definedName>
    <definedName name="OSRRefP22_10x_0" localSheetId="67">'310'!$P$68</definedName>
    <definedName name="OSRRefP22_10x_0" localSheetId="75">'310 &amp; 491'!$P$79:$P$80</definedName>
    <definedName name="OSRRefP22_10x_0" localSheetId="57">'311'!$P$110:$P$111</definedName>
    <definedName name="OSRRefP22_10x_0" localSheetId="69">'313'!$P$66:$P$67</definedName>
    <definedName name="OSRRefP22_10x_0" localSheetId="55">'314'!$P$98</definedName>
    <definedName name="OSRRefP22_10x_0" localSheetId="60">'315'!$P$99:$P$100</definedName>
    <definedName name="OSRRefP22_10x_0" localSheetId="63">'316'!$P$67:$P$71</definedName>
    <definedName name="OSRRefP22_10x_0" localSheetId="66">'317'!$P$99</definedName>
    <definedName name="OSRRefP22_10x_0" localSheetId="70">'321'!$P$58:$P$63</definedName>
    <definedName name="OSRRefP22_10x_0" localSheetId="71">'322'!$P$55</definedName>
    <definedName name="OSRRefP22_10x_0" localSheetId="72">'325'!$P$57</definedName>
    <definedName name="OSRRefP22_10x_0" localSheetId="61">'326'!$P$93:$P$107</definedName>
    <definedName name="OSRRefP22_10x_0" localSheetId="53">'330'!$P$141</definedName>
    <definedName name="OSRRefP22_10x_0" localSheetId="59">'331'!$P$110</definedName>
    <definedName name="OSRRefP22_10x_0" localSheetId="62">'332'!$P$82</definedName>
    <definedName name="OSRRefP22_10x_0" localSheetId="77">'405'!$P$56:$P$57</definedName>
    <definedName name="OSRRefP22_10x_0" localSheetId="78">'406'!$P$58:$P$59</definedName>
    <definedName name="OSRRefP22_10x_0" localSheetId="79">'411'!$P$55</definedName>
    <definedName name="OSRRefP22_10x_0" localSheetId="80">'412'!$P$59</definedName>
    <definedName name="OSRRefP22_10x_0" localSheetId="82">'413'!$P$59:$P$64</definedName>
    <definedName name="OSRRefP22_10x_0" localSheetId="83">'414'!$P$57</definedName>
    <definedName name="OSRRefP22_10x_0" localSheetId="84">'415'!$P$57</definedName>
    <definedName name="OSRRefP22_10x_0" localSheetId="85">'418'!$P$57</definedName>
    <definedName name="OSRRefP22_10x_0" localSheetId="87">'424'!$P$53</definedName>
    <definedName name="OSRRefP22_10x_0" localSheetId="88">'425'!$P$62</definedName>
    <definedName name="OSRRefP22_10x_0" localSheetId="92">'433'!$P$59:$P$61</definedName>
    <definedName name="OSRRefP22_10x_0" localSheetId="94">'444'!$P$58</definedName>
    <definedName name="OSRRefP22_10x_0" localSheetId="96">'450'!$P$58</definedName>
    <definedName name="OSRRefP22_10x_0" localSheetId="76">'491'!$P$70</definedName>
    <definedName name="OSRRefP22_10x_0" localSheetId="90">'492'!$P$62</definedName>
    <definedName name="OSRRefP22_10x_0" localSheetId="98">'501'!$P$54:$P$56</definedName>
    <definedName name="OSRRefP22_10x_0" localSheetId="39">'Div 2'!$P$57</definedName>
    <definedName name="OSRRefP22_10x_0" localSheetId="48">'Div 3'!$P$216:$P$217</definedName>
    <definedName name="OSRRefP22_10x_0" localSheetId="74">'Div 4'!$P$71</definedName>
    <definedName name="OSRRefP22_10x_0" localSheetId="97">'Div 5'!$P$54:$P$56</definedName>
    <definedName name="OSRRefP22_10x_0" localSheetId="65">'Div 6'!$P$99</definedName>
    <definedName name="OSRRefP22_10x_0" localSheetId="2">Summary!$P$253:$P$254</definedName>
    <definedName name="OSRRefP22_11x_0" localSheetId="41">'201'!$P$54:$P$56</definedName>
    <definedName name="OSRRefP22_11x_0" localSheetId="42">'202'!$P$56</definedName>
    <definedName name="OSRRefP22_11x_0" localSheetId="43">'203'!$P$58:$P$59</definedName>
    <definedName name="OSRRefP22_11x_0" localSheetId="44">'204'!$P$62:$P$63</definedName>
    <definedName name="OSRRefP22_11x_0" localSheetId="49">'300'!$P$214</definedName>
    <definedName name="OSRRefP22_11x_0" localSheetId="50">'300 &amp; 317'!$P$240</definedName>
    <definedName name="OSRRefP22_11x_0" localSheetId="51">'301'!$P$59</definedName>
    <definedName name="OSRRefP22_11x_0" localSheetId="54">'307'!$P$136:$P$138</definedName>
    <definedName name="OSRRefP22_11x_0" localSheetId="56">'308'!$P$115:$P$118</definedName>
    <definedName name="OSRRefP22_11x_0" localSheetId="68">'309'!$P$60</definedName>
    <definedName name="OSRRefP22_11x_0" localSheetId="67">'310'!$P$70</definedName>
    <definedName name="OSRRefP22_11x_0" localSheetId="75">'310 &amp; 491'!$P$82:$P$83</definedName>
    <definedName name="OSRRefP22_11x_0" localSheetId="57">'311'!$P$113:$P$116</definedName>
    <definedName name="OSRRefP22_11x_0" localSheetId="69">'313'!$P$69:$P$70</definedName>
    <definedName name="OSRRefP22_11x_0" localSheetId="55">'314'!$P$100</definedName>
    <definedName name="OSRRefP22_11x_0" localSheetId="60">'315'!$P$102:$P$103</definedName>
    <definedName name="OSRRefP22_11x_0" localSheetId="63">'316'!$P$73</definedName>
    <definedName name="OSRRefP22_11x_0" localSheetId="66">'317'!$P$101</definedName>
    <definedName name="OSRRefP22_11x_0" localSheetId="70">'321'!$P$65</definedName>
    <definedName name="OSRRefP22_11x_0" localSheetId="71">'322'!$P$57:$P$58</definedName>
    <definedName name="OSRRefP22_11x_0" localSheetId="72">'325'!$P$59:$P$61</definedName>
    <definedName name="OSRRefP22_11x_0" localSheetId="61">'326'!$P$109</definedName>
    <definedName name="OSRRefP22_11x_0" localSheetId="53">'330'!$P$143:$P$144</definedName>
    <definedName name="OSRRefP22_11x_0" localSheetId="59">'331'!$P$112:$P$126</definedName>
    <definedName name="OSRRefP22_11x_0" localSheetId="62">'332'!$P$84:$P$88</definedName>
    <definedName name="OSRRefP22_11x_0" localSheetId="77">'405'!$P$59</definedName>
    <definedName name="OSRRefP22_11x_0" localSheetId="78">'406'!$P$61:$P$66</definedName>
    <definedName name="OSRRefP22_11x_0" localSheetId="79">'411'!$P$57</definedName>
    <definedName name="OSRRefP22_11x_0" localSheetId="80">'412'!$P$61:$P$63</definedName>
    <definedName name="OSRRefP22_11x_0" localSheetId="82">'413'!$P$66</definedName>
    <definedName name="OSRRefP22_11x_0" localSheetId="83">'414'!$P$59</definedName>
    <definedName name="OSRRefP22_11x_0" localSheetId="84">'415'!$P$59:$P$62</definedName>
    <definedName name="OSRRefP22_11x_0" localSheetId="85">'418'!$P$59:$P$60</definedName>
    <definedName name="OSRRefP22_11x_0" localSheetId="87">'424'!$P$55</definedName>
    <definedName name="OSRRefP22_11x_0" localSheetId="88">'425'!$P$64:$P$66</definedName>
    <definedName name="OSRRefP22_11x_0" localSheetId="92">'433'!$P$63:$P$65</definedName>
    <definedName name="OSRRefP22_11x_0" localSheetId="94">'444'!$P$60:$P$62</definedName>
    <definedName name="OSRRefP22_11x_0" localSheetId="96">'450'!$P$60</definedName>
    <definedName name="OSRRefP22_11x_0" localSheetId="76">'491'!$P$72:$P$73</definedName>
    <definedName name="OSRRefP22_11x_0" localSheetId="90">'492'!$P$64</definedName>
    <definedName name="OSRRefP22_11x_0" localSheetId="98">'501'!$P$58</definedName>
    <definedName name="OSRRefP22_11x_0" localSheetId="39">'Div 2'!$P$59</definedName>
    <definedName name="OSRRefP22_11x_0" localSheetId="48">'Div 3'!$P$219</definedName>
    <definedName name="OSRRefP22_11x_0" localSheetId="74">'Div 4'!$P$73:$P$74</definedName>
    <definedName name="OSRRefP22_11x_0" localSheetId="97">'Div 5'!$P$58</definedName>
    <definedName name="OSRRefP22_11x_0" localSheetId="65">'Div 6'!$P$101</definedName>
    <definedName name="OSRRefP22_11x_0" localSheetId="2">Summary!$P$256:$P$257</definedName>
    <definedName name="OSRRefP22_12x_0" localSheetId="41">'201'!$P$58</definedName>
    <definedName name="OSRRefP22_12x_0" localSheetId="42">'202'!$P$58</definedName>
    <definedName name="OSRRefP22_12x_0" localSheetId="43">'203'!$P$61:$P$64</definedName>
    <definedName name="OSRRefP22_12x_0" localSheetId="49">'300'!$P$216</definedName>
    <definedName name="OSRRefP22_12x_0" localSheetId="50">'300 &amp; 317'!$P$242</definedName>
    <definedName name="OSRRefP22_12x_0" localSheetId="51">'301'!$P$61</definedName>
    <definedName name="OSRRefP22_12x_0" localSheetId="54">'307'!$P$140</definedName>
    <definedName name="OSRRefP22_12x_0" localSheetId="56">'308'!$P$120:$P$121</definedName>
    <definedName name="OSRRefP22_12x_0" localSheetId="68">'309'!$P$62:$P$68</definedName>
    <definedName name="OSRRefP22_12x_0" localSheetId="67">'310'!$P$72</definedName>
    <definedName name="OSRRefP22_12x_0" localSheetId="75">'310 &amp; 491'!$P$85</definedName>
    <definedName name="OSRRefP22_12x_0" localSheetId="57">'311'!$P$118:$P$119</definedName>
    <definedName name="OSRRefP22_12x_0" localSheetId="69">'313'!$P$72:$P$77</definedName>
    <definedName name="OSRRefP22_12x_0" localSheetId="60">'315'!$P$105:$P$109</definedName>
    <definedName name="OSRRefP22_12x_0" localSheetId="63">'316'!$P$75</definedName>
    <definedName name="OSRRefP22_12x_0" localSheetId="66">'317'!$P$103:$P$104</definedName>
    <definedName name="OSRRefP22_12x_0" localSheetId="70">'321'!$P$67</definedName>
    <definedName name="OSRRefP22_12x_0" localSheetId="71">'322'!$P$60:$P$62</definedName>
    <definedName name="OSRRefP22_12x_0" localSheetId="72">'325'!$P$63:$P$66</definedName>
    <definedName name="OSRRefP22_12x_0" localSheetId="61">'326'!$P$111</definedName>
    <definedName name="OSRRefP22_12x_0" localSheetId="53">'330'!$P$146:$P$147</definedName>
    <definedName name="OSRRefP22_12x_0" localSheetId="59">'331'!$P$128</definedName>
    <definedName name="OSRRefP22_12x_0" localSheetId="62">'332'!$P$90</definedName>
    <definedName name="OSRRefP22_12x_0" localSheetId="77">'405'!$P$61:$P$63</definedName>
    <definedName name="OSRRefP22_12x_0" localSheetId="78">'406'!$P$68</definedName>
    <definedName name="OSRRefP22_12x_0" localSheetId="79">'411'!$P$59:$P$62</definedName>
    <definedName name="OSRRefP22_12x_0" localSheetId="80">'412'!$P$65:$P$72</definedName>
    <definedName name="OSRRefP22_12x_0" localSheetId="82">'413'!$P$68</definedName>
    <definedName name="OSRRefP22_12x_0" localSheetId="83">'414'!$P$61</definedName>
    <definedName name="OSRRefP22_12x_0" localSheetId="84">'415'!$P$64:$P$68</definedName>
    <definedName name="OSRRefP22_12x_0" localSheetId="85">'418'!$P$62:$P$64</definedName>
    <definedName name="OSRRefP22_12x_0" localSheetId="87">'424'!$P$57:$P$63</definedName>
    <definedName name="OSRRefP22_12x_0" localSheetId="88">'425'!$P$68:$P$74</definedName>
    <definedName name="OSRRefP22_12x_0" localSheetId="92">'433'!$P$67:$P$74</definedName>
    <definedName name="OSRRefP22_12x_0" localSheetId="94">'444'!$P$64:$P$66</definedName>
    <definedName name="OSRRefP22_12x_0" localSheetId="96">'450'!$P$62:$P$64</definedName>
    <definedName name="OSRRefP22_12x_0" localSheetId="76">'491'!$P$75</definedName>
    <definedName name="OSRRefP22_12x_0" localSheetId="90">'492'!$P$66</definedName>
    <definedName name="OSRRefP22_12x_0" localSheetId="98">'501'!$P$60:$P$63</definedName>
    <definedName name="OSRRefP22_12x_0" localSheetId="39">'Div 2'!$P$61:$P$64</definedName>
    <definedName name="OSRRefP22_12x_0" localSheetId="48">'Div 3'!$P$221</definedName>
    <definedName name="OSRRefP22_12x_0" localSheetId="74">'Div 4'!$P$76</definedName>
    <definedName name="OSRRefP22_12x_0" localSheetId="97">'Div 5'!$P$60:$P$63</definedName>
    <definedName name="OSRRefP22_12x_0" localSheetId="65">'Div 6'!$P$103:$P$104</definedName>
    <definedName name="OSRRefP22_12x_0" localSheetId="2">Summary!$P$259</definedName>
    <definedName name="OSRRefP22_13x_0" localSheetId="41">'201'!$P$60:$P$63</definedName>
    <definedName name="OSRRefP22_13x_0" localSheetId="42">'202'!$P$60:$P$62</definedName>
    <definedName name="OSRRefP22_13x_0" localSheetId="43">'203'!$P$66</definedName>
    <definedName name="OSRRefP22_13x_0" localSheetId="49">'300'!$P$218:$P$251</definedName>
    <definedName name="OSRRefP22_13x_0" localSheetId="50">'300 &amp; 317'!$P$244:$P$280</definedName>
    <definedName name="OSRRefP22_13x_0" localSheetId="51">'301'!$P$63</definedName>
    <definedName name="OSRRefP22_13x_0" localSheetId="54">'307'!$P$142</definedName>
    <definedName name="OSRRefP22_13x_0" localSheetId="56">'308'!$P$123</definedName>
    <definedName name="OSRRefP22_13x_0" localSheetId="68">'309'!$P$70</definedName>
    <definedName name="OSRRefP22_13x_0" localSheetId="67">'310'!$P$74</definedName>
    <definedName name="OSRRefP22_13x_0" localSheetId="75">'310 &amp; 491'!$P$87</definedName>
    <definedName name="OSRRefP22_13x_0" localSheetId="57">'311'!$P$121</definedName>
    <definedName name="OSRRefP22_13x_0" localSheetId="69">'313'!$P$79</definedName>
    <definedName name="OSRRefP22_13x_0" localSheetId="60">'315'!$P$111</definedName>
    <definedName name="OSRRefP22_13x_0" localSheetId="66">'317'!$P$106</definedName>
    <definedName name="OSRRefP22_13x_0" localSheetId="70">'321'!$P$69</definedName>
    <definedName name="OSRRefP22_13x_0" localSheetId="71">'322'!$P$64</definedName>
    <definedName name="OSRRefP22_13x_0" localSheetId="72">'325'!$P$68:$P$69</definedName>
    <definedName name="OSRRefP22_13x_0" localSheetId="61">'326'!$P$113:$P$114</definedName>
    <definedName name="OSRRefP22_13x_0" localSheetId="53">'330'!$P$149</definedName>
    <definedName name="OSRRefP22_13x_0" localSheetId="59">'331'!$P$130</definedName>
    <definedName name="OSRRefP22_13x_0" localSheetId="62">'332'!$P$92</definedName>
    <definedName name="OSRRefP22_13x_0" localSheetId="77">'405'!$P$65:$P$66</definedName>
    <definedName name="OSRRefP22_13x_0" localSheetId="78">'406'!$P$70</definedName>
    <definedName name="OSRRefP22_13x_0" localSheetId="79">'411'!$P$64:$P$68</definedName>
    <definedName name="OSRRefP22_13x_0" localSheetId="80">'412'!$P$74</definedName>
    <definedName name="OSRRefP22_13x_0" localSheetId="82">'413'!$P$70</definedName>
    <definedName name="OSRRefP22_13x_0" localSheetId="83">'414'!$P$63:$P$69</definedName>
    <definedName name="OSRRefP22_13x_0" localSheetId="84">'415'!$P$70:$P$71</definedName>
    <definedName name="OSRRefP22_13x_0" localSheetId="85">'418'!$P$66:$P$68</definedName>
    <definedName name="OSRRefP22_13x_0" localSheetId="87">'424'!$P$65</definedName>
    <definedName name="OSRRefP22_13x_0" localSheetId="88">'425'!$P$76</definedName>
    <definedName name="OSRRefP22_13x_0" localSheetId="92">'433'!$P$76</definedName>
    <definedName name="OSRRefP22_13x_0" localSheetId="94">'444'!$P$68:$P$75</definedName>
    <definedName name="OSRRefP22_13x_0" localSheetId="96">'450'!$P$66:$P$68</definedName>
    <definedName name="OSRRefP22_13x_0" localSheetId="76">'491'!$P$77</definedName>
    <definedName name="OSRRefP22_13x_0" localSheetId="90">'492'!$P$68:$P$70</definedName>
    <definedName name="OSRRefP22_13x_0" localSheetId="98">'501'!$P$65</definedName>
    <definedName name="OSRRefP22_13x_0" localSheetId="39">'Div 2'!$P$66:$P$69</definedName>
    <definedName name="OSRRefP22_13x_0" localSheetId="48">'Div 3'!$P$223</definedName>
    <definedName name="OSRRefP22_13x_0" localSheetId="74">'Div 4'!$P$78</definedName>
    <definedName name="OSRRefP22_13x_0" localSheetId="97">'Div 5'!$P$65</definedName>
    <definedName name="OSRRefP22_13x_0" localSheetId="65">'Div 6'!$P$106</definedName>
    <definedName name="OSRRefP22_13x_0" localSheetId="2">Summary!$P$261</definedName>
    <definedName name="OSRRefP22_14x_0" localSheetId="41">'201'!$P$65</definedName>
    <definedName name="OSRRefP22_14x_0" localSheetId="42">'202'!$P$64</definedName>
    <definedName name="OSRRefP22_14x_0" localSheetId="43">'203'!$P$68</definedName>
    <definedName name="OSRRefP22_14x_0" localSheetId="49">'300'!$P$253</definedName>
    <definedName name="OSRRefP22_14x_0" localSheetId="50">'300 &amp; 317'!$P$282</definedName>
    <definedName name="OSRRefP22_14x_0" localSheetId="51">'301'!$P$65</definedName>
    <definedName name="OSRRefP22_14x_0" localSheetId="54">'307'!$P$144</definedName>
    <definedName name="OSRRefP22_14x_0" localSheetId="56">'308'!$P$125</definedName>
    <definedName name="OSRRefP22_14x_0" localSheetId="67">'310'!$P$76:$P$78</definedName>
    <definedName name="OSRRefP22_14x_0" localSheetId="75">'310 &amp; 491'!$P$89</definedName>
    <definedName name="OSRRefP22_14x_0" localSheetId="57">'311'!$P$123</definedName>
    <definedName name="OSRRefP22_14x_0" localSheetId="69">'313'!$P$81</definedName>
    <definedName name="OSRRefP22_14x_0" localSheetId="60">'315'!$P$113</definedName>
    <definedName name="OSRRefP22_14x_0" localSheetId="66">'317'!$P$108</definedName>
    <definedName name="OSRRefP22_14x_0" localSheetId="71">'322'!$P$66:$P$72</definedName>
    <definedName name="OSRRefP22_14x_0" localSheetId="72">'325'!$P$71:$P$76</definedName>
    <definedName name="OSRRefP22_14x_0" localSheetId="61">'326'!$P$116:$P$118</definedName>
    <definedName name="OSRRefP22_14x_0" localSheetId="53">'330'!$P$151:$P$153</definedName>
    <definedName name="OSRRefP22_14x_0" localSheetId="59">'331'!$P$132:$P$134</definedName>
    <definedName name="OSRRefP22_14x_0" localSheetId="77">'405'!$P$68:$P$74</definedName>
    <definedName name="OSRRefP22_14x_0" localSheetId="78">'406'!$P$72:$P$73</definedName>
    <definedName name="OSRRefP22_14x_0" localSheetId="79">'411'!$P$70:$P$71</definedName>
    <definedName name="OSRRefP22_14x_0" localSheetId="80">'412'!$P$76</definedName>
    <definedName name="OSRRefP22_14x_0" localSheetId="83">'414'!$P$71</definedName>
    <definedName name="OSRRefP22_14x_0" localSheetId="84">'415'!$P$73:$P$81</definedName>
    <definedName name="OSRRefP22_14x_0" localSheetId="85">'418'!$P$70:$P$71</definedName>
    <definedName name="OSRRefP22_14x_0" localSheetId="88">'425'!$P$78</definedName>
    <definedName name="OSRRefP22_14x_0" localSheetId="92">'433'!$P$78</definedName>
    <definedName name="OSRRefP22_14x_0" localSheetId="94">'444'!$P$77</definedName>
    <definedName name="OSRRefP22_14x_0" localSheetId="96">'450'!$P$70:$P$76</definedName>
    <definedName name="OSRRefP22_14x_0" localSheetId="76">'491'!$P$79</definedName>
    <definedName name="OSRRefP22_14x_0" localSheetId="90">'492'!$P$72:$P$74</definedName>
    <definedName name="OSRRefP22_14x_0" localSheetId="98">'501'!$P$67</definedName>
    <definedName name="OSRRefP22_14x_0" localSheetId="39">'Div 2'!$P$71:$P$72</definedName>
    <definedName name="OSRRefP22_14x_0" localSheetId="48">'Div 3'!$P$225:$P$258</definedName>
    <definedName name="OSRRefP22_14x_0" localSheetId="74">'Div 4'!$P$80</definedName>
    <definedName name="OSRRefP22_14x_0" localSheetId="97">'Div 5'!$P$67</definedName>
    <definedName name="OSRRefP22_14x_0" localSheetId="65">'Div 6'!$P$108</definedName>
    <definedName name="OSRRefP22_14x_0" localSheetId="2">Summary!$P$263:$P$299</definedName>
    <definedName name="OSRRefP22_15x_0" localSheetId="41">'201'!$P$67</definedName>
    <definedName name="OSRRefP22_15x_0" localSheetId="42">'202'!$P$66</definedName>
    <definedName name="OSRRefP22_15x_0" localSheetId="43">'203'!$P$70</definedName>
    <definedName name="OSRRefP22_15x_0" localSheetId="49">'300'!$P$255</definedName>
    <definedName name="OSRRefP22_15x_0" localSheetId="50">'300 &amp; 317'!$P$284</definedName>
    <definedName name="OSRRefP22_15x_0" localSheetId="51">'301'!$P$67</definedName>
    <definedName name="OSRRefP22_15x_0" localSheetId="67">'310'!$P$80</definedName>
    <definedName name="OSRRefP22_15x_0" localSheetId="75">'310 &amp; 491'!$P$91</definedName>
    <definedName name="OSRRefP22_15x_0" localSheetId="60">'315'!$P$115:$P$116</definedName>
    <definedName name="OSRRefP22_15x_0" localSheetId="66">'317'!$P$110:$P$111</definedName>
    <definedName name="OSRRefP22_15x_0" localSheetId="71">'322'!$P$74</definedName>
    <definedName name="OSRRefP22_15x_0" localSheetId="72">'325'!$P$78</definedName>
    <definedName name="OSRRefP22_15x_0" localSheetId="61">'326'!$P$120:$P$121</definedName>
    <definedName name="OSRRefP22_15x_0" localSheetId="53">'330'!$P$155</definedName>
    <definedName name="OSRRefP22_15x_0" localSheetId="59">'331'!$P$136:$P$137</definedName>
    <definedName name="OSRRefP22_15x_0" localSheetId="77">'405'!$P$76</definedName>
    <definedName name="OSRRefP22_15x_0" localSheetId="79">'411'!$P$73:$P$81</definedName>
    <definedName name="OSRRefP22_15x_0" localSheetId="83">'414'!$P$73</definedName>
    <definedName name="OSRRefP22_15x_0" localSheetId="84">'415'!$P$83</definedName>
    <definedName name="OSRRefP22_15x_0" localSheetId="85">'418'!$P$73:$P$80</definedName>
    <definedName name="OSRRefP22_15x_0" localSheetId="88">'425'!$P$80:$P$81</definedName>
    <definedName name="OSRRefP22_15x_0" localSheetId="92">'433'!$P$80:$P$81</definedName>
    <definedName name="OSRRefP22_15x_0" localSheetId="94">'444'!$P$79</definedName>
    <definedName name="OSRRefP22_15x_0" localSheetId="96">'450'!$P$78</definedName>
    <definedName name="OSRRefP22_15x_0" localSheetId="76">'491'!$P$81</definedName>
    <definedName name="OSRRefP22_15x_0" localSheetId="90">'492'!$P$76:$P$84</definedName>
    <definedName name="OSRRefP22_15x_0" localSheetId="39">'Div 2'!$P$74:$P$75</definedName>
    <definedName name="OSRRefP22_15x_0" localSheetId="48">'Div 3'!$P$260</definedName>
    <definedName name="OSRRefP22_15x_0" localSheetId="74">'Div 4'!$P$82</definedName>
    <definedName name="OSRRefP22_15x_0" localSheetId="65">'Div 6'!$P$110:$P$111</definedName>
    <definedName name="OSRRefP22_15x_0" localSheetId="2">Summary!$P$301</definedName>
    <definedName name="OSRRefP22_16x_0" localSheetId="41">'201'!$P$69:$P$70</definedName>
    <definedName name="OSRRefP22_16x_0" localSheetId="42">'202'!$P$68:$P$69</definedName>
    <definedName name="OSRRefP22_16x_0" localSheetId="49">'300'!$P$257:$P$260</definedName>
    <definedName name="OSRRefP22_16x_0" localSheetId="50">'300 &amp; 317'!$P$286:$P$289</definedName>
    <definedName name="OSRRefP22_16x_0" localSheetId="51">'301'!$P$69:$P$72</definedName>
    <definedName name="OSRRefP22_16x_0" localSheetId="67">'310'!$P$82:$P$85</definedName>
    <definedName name="OSRRefP22_16x_0" localSheetId="75">'310 &amp; 491'!$P$93:$P$96</definedName>
    <definedName name="OSRRefP22_16x_0" localSheetId="71">'322'!$P$76</definedName>
    <definedName name="OSRRefP22_16x_0" localSheetId="72">'325'!$P$80</definedName>
    <definedName name="OSRRefP22_16x_0" localSheetId="61">'326'!$P$123:$P$127</definedName>
    <definedName name="OSRRefP22_16x_0" localSheetId="53">'330'!$P$157</definedName>
    <definedName name="OSRRefP22_16x_0" localSheetId="59">'331'!$P$139:$P$141</definedName>
    <definedName name="OSRRefP22_16x_0" localSheetId="77">'405'!$P$78</definedName>
    <definedName name="OSRRefP22_16x_0" localSheetId="79">'411'!$P$83</definedName>
    <definedName name="OSRRefP22_16x_0" localSheetId="84">'415'!$P$85</definedName>
    <definedName name="OSRRefP22_16x_0" localSheetId="85">'418'!$P$82</definedName>
    <definedName name="OSRRefP22_16x_0" localSheetId="94">'444'!$P$81</definedName>
    <definedName name="OSRRefP22_16x_0" localSheetId="96">'450'!$P$80</definedName>
    <definedName name="OSRRefP22_16x_0" localSheetId="76">'491'!$P$83:$P$86</definedName>
    <definedName name="OSRRefP22_16x_0" localSheetId="90">'492'!$P$86</definedName>
    <definedName name="OSRRefP22_16x_0" localSheetId="39">'Div 2'!$P$77:$P$81</definedName>
    <definedName name="OSRRefP22_16x_0" localSheetId="48">'Div 3'!$P$262</definedName>
    <definedName name="OSRRefP22_16x_0" localSheetId="74">'Div 4'!$P$84</definedName>
    <definedName name="OSRRefP22_16x_0" localSheetId="2">Summary!$P$303</definedName>
    <definedName name="OSRRefP22_17x_0" localSheetId="49">'300'!$P$262:$P$264</definedName>
    <definedName name="OSRRefP22_17x_0" localSheetId="50">'300 &amp; 317'!$P$291:$P$293</definedName>
    <definedName name="OSRRefP22_17x_0" localSheetId="51">'301'!$P$74</definedName>
    <definedName name="OSRRefP22_17x_0" localSheetId="67">'310'!$P$87:$P$88</definedName>
    <definedName name="OSRRefP22_17x_0" localSheetId="75">'310 &amp; 491'!$P$98:$P$99</definedName>
    <definedName name="OSRRefP22_17x_0" localSheetId="71">'322'!$P$78</definedName>
    <definedName name="OSRRefP22_17x_0" localSheetId="72">'325'!$P$82</definedName>
    <definedName name="OSRRefP22_17x_0" localSheetId="61">'326'!$P$129</definedName>
    <definedName name="OSRRefP22_17x_0" localSheetId="53">'330'!$P$159</definedName>
    <definedName name="OSRRefP22_17x_0" localSheetId="59">'331'!$P$143:$P$144</definedName>
    <definedName name="OSRRefP22_17x_0" localSheetId="77">'405'!$P$80</definedName>
    <definedName name="OSRRefP22_17x_0" localSheetId="79">'411'!$P$85</definedName>
    <definedName name="OSRRefP22_17x_0" localSheetId="84">'415'!$P$87</definedName>
    <definedName name="OSRRefP22_17x_0" localSheetId="85">'418'!$P$84</definedName>
    <definedName name="OSRRefP22_17x_0" localSheetId="96">'450'!$P$82:$P$83</definedName>
    <definedName name="OSRRefP22_17x_0" localSheetId="76">'491'!$P$88:$P$89</definedName>
    <definedName name="OSRRefP22_17x_0" localSheetId="90">'492'!$P$88</definedName>
    <definedName name="OSRRefP22_17x_0" localSheetId="39">'Div 2'!$P$83:$P$84</definedName>
    <definedName name="OSRRefP22_17x_0" localSheetId="48">'Div 3'!$P$264:$P$267</definedName>
    <definedName name="OSRRefP22_17x_0" localSheetId="74">'Div 4'!$P$86:$P$89</definedName>
    <definedName name="OSRRefP22_17x_0" localSheetId="2">Summary!$P$305</definedName>
    <definedName name="OSRRefP22_18x_0" localSheetId="49">'300'!$P$266:$P$269</definedName>
    <definedName name="OSRRefP22_18x_0" localSheetId="50">'300 &amp; 317'!$P$295:$P$298</definedName>
    <definedName name="OSRRefP22_18x_0" localSheetId="51">'301'!$P$76:$P$78</definedName>
    <definedName name="OSRRefP22_18x_0" localSheetId="67">'310'!$P$90:$P$97</definedName>
    <definedName name="OSRRefP22_18x_0" localSheetId="75">'310 &amp; 491'!$P$101:$P$105</definedName>
    <definedName name="OSRRefP22_18x_0" localSheetId="61">'326'!$P$131</definedName>
    <definedName name="OSRRefP22_18x_0" localSheetId="59">'331'!$P$146:$P$151</definedName>
    <definedName name="OSRRefP22_18x_0" localSheetId="77">'405'!$P$82</definedName>
    <definedName name="OSRRefP22_18x_0" localSheetId="79">'411'!$P$87:$P$89</definedName>
    <definedName name="OSRRefP22_18x_0" localSheetId="84">'415'!$P$89</definedName>
    <definedName name="OSRRefP22_18x_0" localSheetId="76">'491'!$P$91:$P$95</definedName>
    <definedName name="OSRRefP22_18x_0" localSheetId="90">'492'!$P$90:$P$91</definedName>
    <definedName name="OSRRefP22_18x_0" localSheetId="39">'Div 2'!$P$86</definedName>
    <definedName name="OSRRefP22_18x_0" localSheetId="48">'Div 3'!$P$269:$P$271</definedName>
    <definedName name="OSRRefP22_18x_0" localSheetId="74">'Div 4'!$P$91:$P$92</definedName>
    <definedName name="OSRRefP22_18x_0" localSheetId="2">Summary!$P$307:$P$310</definedName>
    <definedName name="OSRRefP22_19x_0" localSheetId="49">'300'!$P$271:$P$272</definedName>
    <definedName name="OSRRefP22_19x_0" localSheetId="50">'300 &amp; 317'!$P$300:$P$301</definedName>
    <definedName name="OSRRefP22_19x_0" localSheetId="51">'301'!$P$80:$P$81</definedName>
    <definedName name="OSRRefP22_19x_0" localSheetId="67">'310'!$P$99</definedName>
    <definedName name="OSRRefP22_19x_0" localSheetId="75">'310 &amp; 491'!$P$107:$P$108</definedName>
    <definedName name="OSRRefP22_19x_0" localSheetId="61">'326'!$P$133</definedName>
    <definedName name="OSRRefP22_19x_0" localSheetId="59">'331'!$P$153</definedName>
    <definedName name="OSRRefP22_19x_0" localSheetId="79">'411'!$P$91</definedName>
    <definedName name="OSRRefP22_19x_0" localSheetId="76">'491'!$P$97:$P$98</definedName>
    <definedName name="OSRRefP22_19x_0" localSheetId="39">'Div 2'!$P$88:$P$89</definedName>
    <definedName name="OSRRefP22_19x_0" localSheetId="48">'Div 3'!$P$273:$P$277</definedName>
    <definedName name="OSRRefP22_19x_0" localSheetId="74">'Div 4'!$P$94:$P$98</definedName>
    <definedName name="OSRRefP22_19x_0" localSheetId="2">Summary!$P$312:$P$314</definedName>
    <definedName name="OSRRefP22_1x_0" localSheetId="40">'200'!$P$23</definedName>
    <definedName name="OSRRefP22_1x_0" localSheetId="41">'201'!$P$30:$P$32</definedName>
    <definedName name="OSRRefP22_1x_0" localSheetId="42">'202'!$P$29:$P$34</definedName>
    <definedName name="OSRRefP22_1x_0" localSheetId="43">'203'!$P$31:$P$35</definedName>
    <definedName name="OSRRefP22_1x_0" localSheetId="44">'204'!$P$31:$P$36</definedName>
    <definedName name="OSRRefP22_1x_0" localSheetId="45">'205'!$P$29</definedName>
    <definedName name="OSRRefP22_1x_0" localSheetId="46">'206'!$P$29:$P$34</definedName>
    <definedName name="OSRRefP22_1x_0" localSheetId="49">'300'!$P$184:$P$190</definedName>
    <definedName name="OSRRefP22_1x_0" localSheetId="50">'300 &amp; 317'!$P$210:$P$216</definedName>
    <definedName name="OSRRefP22_1x_0" localSheetId="51">'301'!$P$30:$P$36</definedName>
    <definedName name="OSRRefP22_1x_0" localSheetId="52">'306'!$P$30:$P$35</definedName>
    <definedName name="OSRRefP22_1x_0" localSheetId="54">'307'!$P$89:$P$92</definedName>
    <definedName name="OSRRefP22_1x_0" localSheetId="56">'308'!$P$78:$P$82</definedName>
    <definedName name="OSRRefP22_1x_0" localSheetId="68">'309'!$P$33:$P$37</definedName>
    <definedName name="OSRRefP22_1x_0" localSheetId="67">'310'!$P$43:$P$48</definedName>
    <definedName name="OSRRefP22_1x_0" localSheetId="75">'310 &amp; 491'!$P$53:$P$59</definedName>
    <definedName name="OSRRefP22_1x_0" localSheetId="57">'311'!$P$76:$P$80</definedName>
    <definedName name="OSRRefP22_1x_0" localSheetId="69">'313'!$P$40:$P$45</definedName>
    <definedName name="OSRRefP22_1x_0" localSheetId="55">'314'!$P$66:$P$69</definedName>
    <definedName name="OSRRefP22_1x_0" localSheetId="60">'315'!$P$66:$P$71</definedName>
    <definedName name="OSRRefP22_1x_0" localSheetId="63">'316'!$P$44:$P$47</definedName>
    <definedName name="OSRRefP22_1x_0" localSheetId="66">'317'!$P$69:$P$73</definedName>
    <definedName name="OSRRefP22_1x_0" localSheetId="64">'320'!$P$40:$P$45</definedName>
    <definedName name="OSRRefP22_1x_0" localSheetId="70">'321'!$P$32:$P$36</definedName>
    <definedName name="OSRRefP22_1x_0" localSheetId="71">'322'!$P$33:$P$37</definedName>
    <definedName name="OSRRefP22_1x_0" localSheetId="72">'325'!$P$33:$P$38</definedName>
    <definedName name="OSRRefP22_1x_0" localSheetId="61">'326'!$P$71:$P$75</definedName>
    <definedName name="OSRRefP22_1x_0" localSheetId="73">'327'!$P$24</definedName>
    <definedName name="OSRRefP22_1x_0" localSheetId="53">'330'!$P$97:$P$101</definedName>
    <definedName name="OSRRefP22_1x_0" localSheetId="59">'331'!$P$85:$P$90</definedName>
    <definedName name="OSRRefP22_1x_0" localSheetId="62">'332'!$P$55:$P$60</definedName>
    <definedName name="OSRRefP22_1x_0" localSheetId="77">'405'!$P$33:$P$37</definedName>
    <definedName name="OSRRefP22_1x_0" localSheetId="78">'406'!$P$33:$P$38</definedName>
    <definedName name="OSRRefP22_1x_0" localSheetId="79">'411'!$P$30:$P$35</definedName>
    <definedName name="OSRRefP22_1x_0" localSheetId="80">'412'!$P$34:$P$39</definedName>
    <definedName name="OSRRefP22_1x_0" localSheetId="82">'413'!$P$33:$P$38</definedName>
    <definedName name="OSRRefP22_1x_0" localSheetId="83">'414'!$P$33:$P$38</definedName>
    <definedName name="OSRRefP22_1x_0" localSheetId="84">'415'!$P$33:$P$38</definedName>
    <definedName name="OSRRefP22_1x_0" localSheetId="85">'418'!$P$33:$P$38</definedName>
    <definedName name="OSRRefP22_1x_0" localSheetId="81">'420'!$P$33:$P$36</definedName>
    <definedName name="OSRRefP22_1x_0" localSheetId="86">'423'!$P$30:$P$31</definedName>
    <definedName name="OSRRefP22_1x_0" localSheetId="87">'424'!$P$30:$P$34</definedName>
    <definedName name="OSRRefP22_1x_0" localSheetId="88">'425'!$P$37:$P$42</definedName>
    <definedName name="OSRRefP22_1x_0" localSheetId="91">'430'!$P$29</definedName>
    <definedName name="OSRRefP22_1x_0" localSheetId="92">'433'!$P$36:$P$41</definedName>
    <definedName name="OSRRefP22_1x_0" localSheetId="93">'435'!$P$29:$P$31</definedName>
    <definedName name="OSRRefP22_1x_0" localSheetId="94">'444'!$P$35:$P$40</definedName>
    <definedName name="OSRRefP22_1x_0" localSheetId="96">'450'!$P$35:$P$40</definedName>
    <definedName name="OSRRefP22_1x_0" localSheetId="89">'455'!$P$28:$P$29</definedName>
    <definedName name="OSRRefP22_1x_0" localSheetId="76">'491'!$P$44:$P$50</definedName>
    <definedName name="OSRRefP22_1x_0" localSheetId="90">'492'!$P$38:$P$44</definedName>
    <definedName name="OSRRefP22_1x_0" localSheetId="98">'501'!$P$30:$P$35</definedName>
    <definedName name="OSRRefP22_1x_0" localSheetId="39">'Div 2'!$P$32:$P$38</definedName>
    <definedName name="OSRRefP22_1x_0" localSheetId="48">'Div 3'!$P$189:$P$195</definedName>
    <definedName name="OSRRefP22_1x_0" localSheetId="74">'Div 4'!$P$45:$P$51</definedName>
    <definedName name="OSRRefP22_1x_0" localSheetId="97">'Div 5'!$P$30:$P$35</definedName>
    <definedName name="OSRRefP22_1x_0" localSheetId="65">'Div 6'!$P$69:$P$73</definedName>
    <definedName name="OSRRefP22_1x_0" localSheetId="2">Summary!$P$225:$P$231</definedName>
    <definedName name="OSRRefP22_20x_0" localSheetId="49">'300'!$P$274:$P$281</definedName>
    <definedName name="OSRRefP22_20x_0" localSheetId="50">'300 &amp; 317'!$P$303:$P$310</definedName>
    <definedName name="OSRRefP22_20x_0" localSheetId="51">'301'!$P$83:$P$89</definedName>
    <definedName name="OSRRefP22_20x_0" localSheetId="67">'310'!$P$101</definedName>
    <definedName name="OSRRefP22_20x_0" localSheetId="75">'310 &amp; 491'!$P$110:$P$119</definedName>
    <definedName name="OSRRefP22_20x_0" localSheetId="61">'326'!$P$135</definedName>
    <definedName name="OSRRefP22_20x_0" localSheetId="59">'331'!$P$155</definedName>
    <definedName name="OSRRefP22_20x_0" localSheetId="76">'491'!$P$100:$P$109</definedName>
    <definedName name="OSRRefP22_20x_0" localSheetId="48">'Div 3'!$P$279:$P$280</definedName>
    <definedName name="OSRRefP22_20x_0" localSheetId="74">'Div 4'!$P$100:$P$101</definedName>
    <definedName name="OSRRefP22_20x_0" localSheetId="2">Summary!$P$316:$P$320</definedName>
    <definedName name="OSRRefP22_21x_0" localSheetId="49">'300'!$P$283:$P$284</definedName>
    <definedName name="OSRRefP22_21x_0" localSheetId="50">'300 &amp; 317'!$P$312:$P$313</definedName>
    <definedName name="OSRRefP22_21x_0" localSheetId="51">'301'!$P$91</definedName>
    <definedName name="OSRRefP22_21x_0" localSheetId="67">'310'!$P$103</definedName>
    <definedName name="OSRRefP22_21x_0" localSheetId="75">'310 &amp; 491'!$P$121</definedName>
    <definedName name="OSRRefP22_21x_0" localSheetId="59">'331'!$P$157:$P$158</definedName>
    <definedName name="OSRRefP22_21x_0" localSheetId="76">'491'!$P$111</definedName>
    <definedName name="OSRRefP22_21x_0" localSheetId="48">'Div 3'!$P$282:$P$290</definedName>
    <definedName name="OSRRefP22_21x_0" localSheetId="74">'Div 4'!$P$103:$P$112</definedName>
    <definedName name="OSRRefP22_21x_0" localSheetId="2">Summary!$P$322:$P$323</definedName>
    <definedName name="OSRRefP22_22x_0" localSheetId="49">'300'!$P$286</definedName>
    <definedName name="OSRRefP22_22x_0" localSheetId="50">'300 &amp; 317'!$P$315</definedName>
    <definedName name="OSRRefP22_22x_0" localSheetId="51">'301'!$P$93</definedName>
    <definedName name="OSRRefP22_22x_0" localSheetId="67">'310'!$P$105</definedName>
    <definedName name="OSRRefP22_22x_0" localSheetId="75">'310 &amp; 491'!$P$123</definedName>
    <definedName name="OSRRefP22_22x_0" localSheetId="59">'331'!$P$160</definedName>
    <definedName name="OSRRefP22_22x_0" localSheetId="76">'491'!$P$113</definedName>
    <definedName name="OSRRefP22_22x_0" localSheetId="48">'Div 3'!$P$292:$P$293</definedName>
    <definedName name="OSRRefP22_22x_0" localSheetId="74">'Div 4'!$P$114</definedName>
    <definedName name="OSRRefP22_22x_0" localSheetId="2">Summary!$P$325:$P$334</definedName>
    <definedName name="OSRRefP22_23x_0" localSheetId="49">'300'!$P$288:$P$290</definedName>
    <definedName name="OSRRefP22_23x_0" localSheetId="50">'300 &amp; 317'!$P$317:$P$319</definedName>
    <definedName name="OSRRefP22_23x_0" localSheetId="51">'301'!$P$95:$P$97</definedName>
    <definedName name="OSRRefP22_23x_0" localSheetId="75">'310 &amp; 491'!$P$125:$P$127</definedName>
    <definedName name="OSRRefP22_23x_0" localSheetId="76">'491'!$P$115:$P$117</definedName>
    <definedName name="OSRRefP22_23x_0" localSheetId="48">'Div 3'!$P$295</definedName>
    <definedName name="OSRRefP22_23x_0" localSheetId="74">'Div 4'!$P$116</definedName>
    <definedName name="OSRRefP22_23x_0" localSheetId="2">Summary!$P$336:$P$337</definedName>
    <definedName name="OSRRefP22_24x_0" localSheetId="49">'300'!$P$292</definedName>
    <definedName name="OSRRefP22_24x_0" localSheetId="50">'300 &amp; 317'!$P$321</definedName>
    <definedName name="OSRRefP22_24x_0" localSheetId="51">'301'!$P$99</definedName>
    <definedName name="OSRRefP22_24x_0" localSheetId="75">'310 &amp; 491'!$P$129</definedName>
    <definedName name="OSRRefP22_24x_0" localSheetId="76">'491'!$P$119</definedName>
    <definedName name="OSRRefP22_24x_0" localSheetId="48">'Div 3'!$P$297:$P$299</definedName>
    <definedName name="OSRRefP22_24x_0" localSheetId="74">'Div 4'!$P$118:$P$120</definedName>
    <definedName name="OSRRefP22_24x_0" localSheetId="2">Summary!$P$339</definedName>
    <definedName name="OSRRefP22_25x_0" localSheetId="48">'Div 3'!$P$301</definedName>
    <definedName name="OSRRefP22_25x_0" localSheetId="74">'Div 4'!$P$122</definedName>
    <definedName name="OSRRefP22_25x_0" localSheetId="2">Summary!$P$341:$P$343</definedName>
    <definedName name="OSRRefP22_26x_0" localSheetId="2">Summary!$P$345</definedName>
    <definedName name="OSRRefP22_2x_0" localSheetId="40">'200'!$P$25</definedName>
    <definedName name="OSRRefP22_2x_0" localSheetId="41">'201'!$P$34</definedName>
    <definedName name="OSRRefP22_2x_0" localSheetId="42">'202'!$P$36</definedName>
    <definedName name="OSRRefP22_2x_0" localSheetId="43">'203'!$P$37</definedName>
    <definedName name="OSRRefP22_2x_0" localSheetId="44">'204'!$P$38</definedName>
    <definedName name="OSRRefP22_2x_0" localSheetId="45">'205'!$P$31</definedName>
    <definedName name="OSRRefP22_2x_0" localSheetId="46">'206'!$P$36</definedName>
    <definedName name="OSRRefP22_2x_0" localSheetId="49">'300'!$P$192</definedName>
    <definedName name="OSRRefP22_2x_0" localSheetId="50">'300 &amp; 317'!$P$218</definedName>
    <definedName name="OSRRefP22_2x_0" localSheetId="51">'301'!$P$38</definedName>
    <definedName name="OSRRefP22_2x_0" localSheetId="52">'306'!$P$37</definedName>
    <definedName name="OSRRefP22_2x_0" localSheetId="54">'307'!$P$94</definedName>
    <definedName name="OSRRefP22_2x_0" localSheetId="56">'308'!$P$84</definedName>
    <definedName name="OSRRefP22_2x_0" localSheetId="68">'309'!$P$39</definedName>
    <definedName name="OSRRefP22_2x_0" localSheetId="67">'310'!$P$50</definedName>
    <definedName name="OSRRefP22_2x_0" localSheetId="75">'310 &amp; 491'!$P$61</definedName>
    <definedName name="OSRRefP22_2x_0" localSheetId="57">'311'!$P$82</definedName>
    <definedName name="OSRRefP22_2x_0" localSheetId="69">'313'!$P$47</definedName>
    <definedName name="OSRRefP22_2x_0" localSheetId="55">'314'!$P$71</definedName>
    <definedName name="OSRRefP22_2x_0" localSheetId="60">'315'!$P$73</definedName>
    <definedName name="OSRRefP22_2x_0" localSheetId="63">'316'!$P$49</definedName>
    <definedName name="OSRRefP22_2x_0" localSheetId="66">'317'!$P$75</definedName>
    <definedName name="OSRRefP22_2x_0" localSheetId="64">'320'!$P$47</definedName>
    <definedName name="OSRRefP22_2x_0" localSheetId="70">'321'!$P$38</definedName>
    <definedName name="OSRRefP22_2x_0" localSheetId="71">'322'!$P$39</definedName>
    <definedName name="OSRRefP22_2x_0" localSheetId="72">'325'!$P$40</definedName>
    <definedName name="OSRRefP22_2x_0" localSheetId="61">'326'!$P$77</definedName>
    <definedName name="OSRRefP22_2x_0" localSheetId="73">'327'!$P$26</definedName>
    <definedName name="OSRRefP22_2x_0" localSheetId="53">'330'!$P$103</definedName>
    <definedName name="OSRRefP22_2x_0" localSheetId="59">'331'!$P$92</definedName>
    <definedName name="OSRRefP22_2x_0" localSheetId="62">'332'!$P$62</definedName>
    <definedName name="OSRRefP22_2x_0" localSheetId="77">'405'!$P$39</definedName>
    <definedName name="OSRRefP22_2x_0" localSheetId="78">'406'!$P$40</definedName>
    <definedName name="OSRRefP22_2x_0" localSheetId="79">'411'!$P$37</definedName>
    <definedName name="OSRRefP22_2x_0" localSheetId="80">'412'!$P$41</definedName>
    <definedName name="OSRRefP22_2x_0" localSheetId="82">'413'!$P$40</definedName>
    <definedName name="OSRRefP22_2x_0" localSheetId="83">'414'!$P$40</definedName>
    <definedName name="OSRRefP22_2x_0" localSheetId="84">'415'!$P$40</definedName>
    <definedName name="OSRRefP22_2x_0" localSheetId="85">'418'!$P$40</definedName>
    <definedName name="OSRRefP22_2x_0" localSheetId="81">'420'!$P$38</definedName>
    <definedName name="OSRRefP22_2x_0" localSheetId="86">'423'!$P$33</definedName>
    <definedName name="OSRRefP22_2x_0" localSheetId="87">'424'!$P$36</definedName>
    <definedName name="OSRRefP22_2x_0" localSheetId="88">'425'!$P$44</definedName>
    <definedName name="OSRRefP22_2x_0" localSheetId="91">'430'!$P$31</definedName>
    <definedName name="OSRRefP22_2x_0" localSheetId="92">'433'!$P$43</definedName>
    <definedName name="OSRRefP22_2x_0" localSheetId="93">'435'!$P$33</definedName>
    <definedName name="OSRRefP22_2x_0" localSheetId="94">'444'!$P$42</definedName>
    <definedName name="OSRRefP22_2x_0" localSheetId="96">'450'!$P$42</definedName>
    <definedName name="OSRRefP22_2x_0" localSheetId="89">'455'!$P$31</definedName>
    <definedName name="OSRRefP22_2x_0" localSheetId="76">'491'!$P$52</definedName>
    <definedName name="OSRRefP22_2x_0" localSheetId="90">'492'!$P$46</definedName>
    <definedName name="OSRRefP22_2x_0" localSheetId="98">'501'!$P$37</definedName>
    <definedName name="OSRRefP22_2x_0" localSheetId="39">'Div 2'!$P$40</definedName>
    <definedName name="OSRRefP22_2x_0" localSheetId="48">'Div 3'!$P$197</definedName>
    <definedName name="OSRRefP22_2x_0" localSheetId="74">'Div 4'!$P$53</definedName>
    <definedName name="OSRRefP22_2x_0" localSheetId="97">'Div 5'!$P$37</definedName>
    <definedName name="OSRRefP22_2x_0" localSheetId="65">'Div 6'!$P$75</definedName>
    <definedName name="OSRRefP22_2x_0" localSheetId="2">Summary!$P$233</definedName>
    <definedName name="OSRRefP22_3x_0" localSheetId="40">'200'!$P$27</definedName>
    <definedName name="OSRRefP22_3x_0" localSheetId="41">'201'!$P$36</definedName>
    <definedName name="OSRRefP22_3x_0" localSheetId="42">'202'!$P$38</definedName>
    <definedName name="OSRRefP22_3x_0" localSheetId="43">'203'!$P$39</definedName>
    <definedName name="OSRRefP22_3x_0" localSheetId="44">'204'!$P$40:$P$41</definedName>
    <definedName name="OSRRefP22_3x_0" localSheetId="45">'205'!$P$33</definedName>
    <definedName name="OSRRefP22_3x_0" localSheetId="46">'206'!$P$38</definedName>
    <definedName name="OSRRefP22_3x_0" localSheetId="49">'300'!$P$194:$P$195</definedName>
    <definedName name="OSRRefP22_3x_0" localSheetId="50">'300 &amp; 317'!$P$220:$P$221</definedName>
    <definedName name="OSRRefP22_3x_0" localSheetId="51">'301'!$P$40:$P$41</definedName>
    <definedName name="OSRRefP22_3x_0" localSheetId="52">'306'!$P$39</definedName>
    <definedName name="OSRRefP22_3x_0" localSheetId="54">'307'!$P$96</definedName>
    <definedName name="OSRRefP22_3x_0" localSheetId="56">'308'!$P$86:$P$87</definedName>
    <definedName name="OSRRefP22_3x_0" localSheetId="68">'309'!$P$41</definedName>
    <definedName name="OSRRefP22_3x_0" localSheetId="67">'310'!$P$52</definedName>
    <definedName name="OSRRefP22_3x_0" localSheetId="75">'310 &amp; 491'!$P$63</definedName>
    <definedName name="OSRRefP22_3x_0" localSheetId="57">'311'!$P$84:$P$85</definedName>
    <definedName name="OSRRefP22_3x_0" localSheetId="69">'313'!$P$49</definedName>
    <definedName name="OSRRefP22_3x_0" localSheetId="55">'314'!$P$73:$P$74</definedName>
    <definedName name="OSRRefP22_3x_0" localSheetId="60">'315'!$P$75:$P$76</definedName>
    <definedName name="OSRRefP22_3x_0" localSheetId="63">'316'!$P$51</definedName>
    <definedName name="OSRRefP22_3x_0" localSheetId="66">'317'!$P$77</definedName>
    <definedName name="OSRRefP22_3x_0" localSheetId="64">'320'!$P$49</definedName>
    <definedName name="OSRRefP22_3x_0" localSheetId="70">'321'!$P$40</definedName>
    <definedName name="OSRRefP22_3x_0" localSheetId="71">'322'!$P$41</definedName>
    <definedName name="OSRRefP22_3x_0" localSheetId="72">'325'!$P$42</definedName>
    <definedName name="OSRRefP22_3x_0" localSheetId="61">'326'!$P$79</definedName>
    <definedName name="OSRRefP22_3x_0" localSheetId="53">'330'!$P$105</definedName>
    <definedName name="OSRRefP22_3x_0" localSheetId="59">'331'!$P$94</definedName>
    <definedName name="OSRRefP22_3x_0" localSheetId="62">'332'!$P$64</definedName>
    <definedName name="OSRRefP22_3x_0" localSheetId="77">'405'!$P$41</definedName>
    <definedName name="OSRRefP22_3x_0" localSheetId="78">'406'!$P$42</definedName>
    <definedName name="OSRRefP22_3x_0" localSheetId="79">'411'!$P$39</definedName>
    <definedName name="OSRRefP22_3x_0" localSheetId="80">'412'!$P$43</definedName>
    <definedName name="OSRRefP22_3x_0" localSheetId="82">'413'!$P$42</definedName>
    <definedName name="OSRRefP22_3x_0" localSheetId="83">'414'!$P$42</definedName>
    <definedName name="OSRRefP22_3x_0" localSheetId="84">'415'!$P$42</definedName>
    <definedName name="OSRRefP22_3x_0" localSheetId="85">'418'!$P$42</definedName>
    <definedName name="OSRRefP22_3x_0" localSheetId="81">'420'!$P$40</definedName>
    <definedName name="OSRRefP22_3x_0" localSheetId="86">'423'!$P$35</definedName>
    <definedName name="OSRRefP22_3x_0" localSheetId="87">'424'!$P$38</definedName>
    <definedName name="OSRRefP22_3x_0" localSheetId="88">'425'!$P$46</definedName>
    <definedName name="OSRRefP22_3x_0" localSheetId="91">'430'!$P$33</definedName>
    <definedName name="OSRRefP22_3x_0" localSheetId="92">'433'!$P$45</definedName>
    <definedName name="OSRRefP22_3x_0" localSheetId="93">'435'!$P$35</definedName>
    <definedName name="OSRRefP22_3x_0" localSheetId="94">'444'!$P$44</definedName>
    <definedName name="OSRRefP22_3x_0" localSheetId="96">'450'!$P$44</definedName>
    <definedName name="OSRRefP22_3x_0" localSheetId="76">'491'!$P$54</definedName>
    <definedName name="OSRRefP22_3x_0" localSheetId="90">'492'!$P$48</definedName>
    <definedName name="OSRRefP22_3x_0" localSheetId="98">'501'!$P$39</definedName>
    <definedName name="OSRRefP22_3x_0" localSheetId="39">'Div 2'!$P$42</definedName>
    <definedName name="OSRRefP22_3x_0" localSheetId="48">'Div 3'!$P$199:$P$200</definedName>
    <definedName name="OSRRefP22_3x_0" localSheetId="74">'Div 4'!$P$55</definedName>
    <definedName name="OSRRefP22_3x_0" localSheetId="97">'Div 5'!$P$39</definedName>
    <definedName name="OSRRefP22_3x_0" localSheetId="65">'Div 6'!$P$77</definedName>
    <definedName name="OSRRefP22_3x_0" localSheetId="2">Summary!$P$235:$P$236</definedName>
    <definedName name="OSRRefP22_4x_0" localSheetId="40">'200'!$P$29:$P$30</definedName>
    <definedName name="OSRRefP22_4x_0" localSheetId="41">'201'!$P$38</definedName>
    <definedName name="OSRRefP22_4x_0" localSheetId="42">'202'!$P$40</definedName>
    <definedName name="OSRRefP22_4x_0" localSheetId="43">'203'!$P$41</definedName>
    <definedName name="OSRRefP22_4x_0" localSheetId="44">'204'!$P$43</definedName>
    <definedName name="OSRRefP22_4x_0" localSheetId="45">'205'!$P$35:$P$37</definedName>
    <definedName name="OSRRefP22_4x_0" localSheetId="46">'206'!$P$40</definedName>
    <definedName name="OSRRefP22_4x_0" localSheetId="49">'300'!$P$197</definedName>
    <definedName name="OSRRefP22_4x_0" localSheetId="50">'300 &amp; 317'!$P$223</definedName>
    <definedName name="OSRRefP22_4x_0" localSheetId="51">'301'!$P$43</definedName>
    <definedName name="OSRRefP22_4x_0" localSheetId="52">'306'!$P$41</definedName>
    <definedName name="OSRRefP22_4x_0" localSheetId="54">'307'!$P$98:$P$99</definedName>
    <definedName name="OSRRefP22_4x_0" localSheetId="56">'308'!$P$89</definedName>
    <definedName name="OSRRefP22_4x_0" localSheetId="68">'309'!$P$43</definedName>
    <definedName name="OSRRefP22_4x_0" localSheetId="67">'310'!$P$54</definedName>
    <definedName name="OSRRefP22_4x_0" localSheetId="75">'310 &amp; 491'!$P$65</definedName>
    <definedName name="OSRRefP22_4x_0" localSheetId="57">'311'!$P$87</definedName>
    <definedName name="OSRRefP22_4x_0" localSheetId="69">'313'!$P$51</definedName>
    <definedName name="OSRRefP22_4x_0" localSheetId="55">'314'!$P$76</definedName>
    <definedName name="OSRRefP22_4x_0" localSheetId="60">'315'!$P$78</definedName>
    <definedName name="OSRRefP22_4x_0" localSheetId="63">'316'!$P$53</definedName>
    <definedName name="OSRRefP22_4x_0" localSheetId="66">'317'!$P$79</definedName>
    <definedName name="OSRRefP22_4x_0" localSheetId="64">'320'!$P$51:$P$52</definedName>
    <definedName name="OSRRefP22_4x_0" localSheetId="70">'321'!$P$42</definedName>
    <definedName name="OSRRefP22_4x_0" localSheetId="71">'322'!$P$43</definedName>
    <definedName name="OSRRefP22_4x_0" localSheetId="72">'325'!$P$44</definedName>
    <definedName name="OSRRefP22_4x_0" localSheetId="61">'326'!$P$81</definedName>
    <definedName name="OSRRefP22_4x_0" localSheetId="53">'330'!$P$107:$P$108</definedName>
    <definedName name="OSRRefP22_4x_0" localSheetId="59">'331'!$P$96</definedName>
    <definedName name="OSRRefP22_4x_0" localSheetId="62">'332'!$P$66</definedName>
    <definedName name="OSRRefP22_4x_0" localSheetId="77">'405'!$P$43</definedName>
    <definedName name="OSRRefP22_4x_0" localSheetId="78">'406'!$P$44</definedName>
    <definedName name="OSRRefP22_4x_0" localSheetId="79">'411'!$P$41:$P$43</definedName>
    <definedName name="OSRRefP22_4x_0" localSheetId="80">'412'!$P$45</definedName>
    <definedName name="OSRRefP22_4x_0" localSheetId="82">'413'!$P$44</definedName>
    <definedName name="OSRRefP22_4x_0" localSheetId="83">'414'!$P$44</definedName>
    <definedName name="OSRRefP22_4x_0" localSheetId="84">'415'!$P$44</definedName>
    <definedName name="OSRRefP22_4x_0" localSheetId="85">'418'!$P$44</definedName>
    <definedName name="OSRRefP22_4x_0" localSheetId="81">'420'!$P$42</definedName>
    <definedName name="OSRRefP22_4x_0" localSheetId="86">'423'!$P$37</definedName>
    <definedName name="OSRRefP22_4x_0" localSheetId="87">'424'!$P$40</definedName>
    <definedName name="OSRRefP22_4x_0" localSheetId="88">'425'!$P$48</definedName>
    <definedName name="OSRRefP22_4x_0" localSheetId="91">'430'!$P$35</definedName>
    <definedName name="OSRRefP22_4x_0" localSheetId="92">'433'!$P$47</definedName>
    <definedName name="OSRRefP22_4x_0" localSheetId="93">'435'!$P$37</definedName>
    <definedName name="OSRRefP22_4x_0" localSheetId="94">'444'!$P$46</definedName>
    <definedName name="OSRRefP22_4x_0" localSheetId="96">'450'!$P$46</definedName>
    <definedName name="OSRRefP22_4x_0" localSheetId="76">'491'!$P$56</definedName>
    <definedName name="OSRRefP22_4x_0" localSheetId="90">'492'!$P$50</definedName>
    <definedName name="OSRRefP22_4x_0" localSheetId="98">'501'!$P$41</definedName>
    <definedName name="OSRRefP22_4x_0" localSheetId="39">'Div 2'!$P$44</definedName>
    <definedName name="OSRRefP22_4x_0" localSheetId="48">'Div 3'!$P$202</definedName>
    <definedName name="OSRRefP22_4x_0" localSheetId="74">'Div 4'!$P$57</definedName>
    <definedName name="OSRRefP22_4x_0" localSheetId="97">'Div 5'!$P$41</definedName>
    <definedName name="OSRRefP22_4x_0" localSheetId="65">'Div 6'!$P$79</definedName>
    <definedName name="OSRRefP22_4x_0" localSheetId="2">Summary!$P$238</definedName>
    <definedName name="OSRRefP22_5x_0" localSheetId="41">'201'!$P$40</definedName>
    <definedName name="OSRRefP22_5x_0" localSheetId="42">'202'!$P$42</definedName>
    <definedName name="OSRRefP22_5x_0" localSheetId="43">'203'!$P$43</definedName>
    <definedName name="OSRRefP22_5x_0" localSheetId="44">'204'!$P$45</definedName>
    <definedName name="OSRRefP22_5x_0" localSheetId="45">'205'!$P$39</definedName>
    <definedName name="OSRRefP22_5x_0" localSheetId="46">'206'!$P$42</definedName>
    <definedName name="OSRRefP22_5x_0" localSheetId="49">'300'!$P$199:$P$200</definedName>
    <definedName name="OSRRefP22_5x_0" localSheetId="50">'300 &amp; 317'!$P$225:$P$226</definedName>
    <definedName name="OSRRefP22_5x_0" localSheetId="51">'301'!$P$45:$P$46</definedName>
    <definedName name="OSRRefP22_5x_0" localSheetId="52">'306'!$P$43</definedName>
    <definedName name="OSRRefP22_5x_0" localSheetId="54">'307'!$P$101</definedName>
    <definedName name="OSRRefP22_5x_0" localSheetId="56">'308'!$P$91</definedName>
    <definedName name="OSRRefP22_5x_0" localSheetId="68">'309'!$P$45</definedName>
    <definedName name="OSRRefP22_5x_0" localSheetId="67">'310'!$P$56:$P$57</definedName>
    <definedName name="OSRRefP22_5x_0" localSheetId="75">'310 &amp; 491'!$P$67:$P$69</definedName>
    <definedName name="OSRRefP22_5x_0" localSheetId="57">'311'!$P$89</definedName>
    <definedName name="OSRRefP22_5x_0" localSheetId="69">'313'!$P$53</definedName>
    <definedName name="OSRRefP22_5x_0" localSheetId="55">'314'!$P$78</definedName>
    <definedName name="OSRRefP22_5x_0" localSheetId="60">'315'!$P$80:$P$81</definedName>
    <definedName name="OSRRefP22_5x_0" localSheetId="63">'316'!$P$55</definedName>
    <definedName name="OSRRefP22_5x_0" localSheetId="66">'317'!$P$81</definedName>
    <definedName name="OSRRefP22_5x_0" localSheetId="64">'320'!$P$54</definedName>
    <definedName name="OSRRefP22_5x_0" localSheetId="70">'321'!$P$44</definedName>
    <definedName name="OSRRefP22_5x_0" localSheetId="71">'322'!$P$45</definedName>
    <definedName name="OSRRefP22_5x_0" localSheetId="72">'325'!$P$46:$P$47</definedName>
    <definedName name="OSRRefP22_5x_0" localSheetId="61">'326'!$P$83</definedName>
    <definedName name="OSRRefP22_5x_0" localSheetId="53">'330'!$P$110</definedName>
    <definedName name="OSRRefP22_5x_0" localSheetId="59">'331'!$P$98:$P$99</definedName>
    <definedName name="OSRRefP22_5x_0" localSheetId="62">'332'!$P$68</definedName>
    <definedName name="OSRRefP22_5x_0" localSheetId="77">'405'!$P$45:$P$46</definedName>
    <definedName name="OSRRefP22_5x_0" localSheetId="78">'406'!$P$46</definedName>
    <definedName name="OSRRefP22_5x_0" localSheetId="79">'411'!$P$45</definedName>
    <definedName name="OSRRefP22_5x_0" localSheetId="80">'412'!$P$47</definedName>
    <definedName name="OSRRefP22_5x_0" localSheetId="82">'413'!$P$46</definedName>
    <definedName name="OSRRefP22_5x_0" localSheetId="83">'414'!$P$46</definedName>
    <definedName name="OSRRefP22_5x_0" localSheetId="84">'415'!$P$46:$P$47</definedName>
    <definedName name="OSRRefP22_5x_0" localSheetId="85">'418'!$P$46:$P$47</definedName>
    <definedName name="OSRRefP22_5x_0" localSheetId="81">'420'!$P$44</definedName>
    <definedName name="OSRRefP22_5x_0" localSheetId="86">'423'!$P$39</definedName>
    <definedName name="OSRRefP22_5x_0" localSheetId="87">'424'!$P$42</definedName>
    <definedName name="OSRRefP22_5x_0" localSheetId="88">'425'!$P$50</definedName>
    <definedName name="OSRRefP22_5x_0" localSheetId="91">'430'!$P$37</definedName>
    <definedName name="OSRRefP22_5x_0" localSheetId="92">'433'!$P$49</definedName>
    <definedName name="OSRRefP22_5x_0" localSheetId="93">'435'!$P$39</definedName>
    <definedName name="OSRRefP22_5x_0" localSheetId="94">'444'!$P$48</definedName>
    <definedName name="OSRRefP22_5x_0" localSheetId="96">'450'!$P$48</definedName>
    <definedName name="OSRRefP22_5x_0" localSheetId="76">'491'!$P$58:$P$60</definedName>
    <definedName name="OSRRefP22_5x_0" localSheetId="90">'492'!$P$52</definedName>
    <definedName name="OSRRefP22_5x_0" localSheetId="98">'501'!$P$43:$P$44</definedName>
    <definedName name="OSRRefP22_5x_0" localSheetId="39">'Div 2'!$P$46:$P$47</definedName>
    <definedName name="OSRRefP22_5x_0" localSheetId="48">'Div 3'!$P$204:$P$205</definedName>
    <definedName name="OSRRefP22_5x_0" localSheetId="74">'Div 4'!$P$59:$P$61</definedName>
    <definedName name="OSRRefP22_5x_0" localSheetId="97">'Div 5'!$P$43:$P$44</definedName>
    <definedName name="OSRRefP22_5x_0" localSheetId="65">'Div 6'!$P$81</definedName>
    <definedName name="OSRRefP22_5x_0" localSheetId="2">Summary!$P$240:$P$242</definedName>
    <definedName name="OSRRefP22_6x_0" localSheetId="41">'201'!$P$42</definedName>
    <definedName name="OSRRefP22_6x_0" localSheetId="42">'202'!$P$44</definedName>
    <definedName name="OSRRefP22_6x_0" localSheetId="43">'203'!$P$45</definedName>
    <definedName name="OSRRefP22_6x_0" localSheetId="44">'204'!$P$47:$P$50</definedName>
    <definedName name="OSRRefP22_6x_0" localSheetId="45">'205'!$P$41:$P$42</definedName>
    <definedName name="OSRRefP22_6x_0" localSheetId="46">'206'!$P$44:$P$45</definedName>
    <definedName name="OSRRefP22_6x_0" localSheetId="49">'300'!$P$202:$P$203</definedName>
    <definedName name="OSRRefP22_6x_0" localSheetId="50">'300 &amp; 317'!$P$228:$P$229</definedName>
    <definedName name="OSRRefP22_6x_0" localSheetId="51">'301'!$P$48:$P$49</definedName>
    <definedName name="OSRRefP22_6x_0" localSheetId="52">'306'!$P$45</definedName>
    <definedName name="OSRRefP22_6x_0" localSheetId="54">'307'!$P$103:$P$124</definedName>
    <definedName name="OSRRefP22_6x_0" localSheetId="56">'308'!$P$93:$P$94</definedName>
    <definedName name="OSRRefP22_6x_0" localSheetId="68">'309'!$P$47</definedName>
    <definedName name="OSRRefP22_6x_0" localSheetId="67">'310'!$P$59</definedName>
    <definedName name="OSRRefP22_6x_0" localSheetId="75">'310 &amp; 491'!$P$71</definedName>
    <definedName name="OSRRefP22_6x_0" localSheetId="57">'311'!$P$91:$P$92</definedName>
    <definedName name="OSRRefP22_6x_0" localSheetId="69">'313'!$P$55</definedName>
    <definedName name="OSRRefP22_6x_0" localSheetId="55">'314'!$P$80:$P$88</definedName>
    <definedName name="OSRRefP22_6x_0" localSheetId="60">'315'!$P$83</definedName>
    <definedName name="OSRRefP22_6x_0" localSheetId="63">'316'!$P$57:$P$58</definedName>
    <definedName name="OSRRefP22_6x_0" localSheetId="66">'317'!$P$83</definedName>
    <definedName name="OSRRefP22_6x_0" localSheetId="64">'320'!$P$56:$P$58</definedName>
    <definedName name="OSRRefP22_6x_0" localSheetId="70">'321'!$P$46</definedName>
    <definedName name="OSRRefP22_6x_0" localSheetId="71">'322'!$P$47</definedName>
    <definedName name="OSRRefP22_6x_0" localSheetId="72">'325'!$P$49</definedName>
    <definedName name="OSRRefP22_6x_0" localSheetId="61">'326'!$P$85</definedName>
    <definedName name="OSRRefP22_6x_0" localSheetId="53">'330'!$P$112</definedName>
    <definedName name="OSRRefP22_6x_0" localSheetId="59">'331'!$P$101</definedName>
    <definedName name="OSRRefP22_6x_0" localSheetId="62">'332'!$P$70:$P$71</definedName>
    <definedName name="OSRRefP22_6x_0" localSheetId="77">'405'!$P$48</definedName>
    <definedName name="OSRRefP22_6x_0" localSheetId="78">'406'!$P$48</definedName>
    <definedName name="OSRRefP22_6x_0" localSheetId="79">'411'!$P$47</definedName>
    <definedName name="OSRRefP22_6x_0" localSheetId="80">'412'!$P$49</definedName>
    <definedName name="OSRRefP22_6x_0" localSheetId="82">'413'!$P$48</definedName>
    <definedName name="OSRRefP22_6x_0" localSheetId="83">'414'!$P$48</definedName>
    <definedName name="OSRRefP22_6x_0" localSheetId="84">'415'!$P$49</definedName>
    <definedName name="OSRRefP22_6x_0" localSheetId="85">'418'!$P$49</definedName>
    <definedName name="OSRRefP22_6x_0" localSheetId="81">'420'!$P$46:$P$47</definedName>
    <definedName name="OSRRefP22_6x_0" localSheetId="86">'423'!$P$41</definedName>
    <definedName name="OSRRefP22_6x_0" localSheetId="87">'424'!$P$44</definedName>
    <definedName name="OSRRefP22_6x_0" localSheetId="88">'425'!$P$52</definedName>
    <definedName name="OSRRefP22_6x_0" localSheetId="91">'430'!$P$39:$P$41</definedName>
    <definedName name="OSRRefP22_6x_0" localSheetId="92">'433'!$P$51</definedName>
    <definedName name="OSRRefP22_6x_0" localSheetId="93">'435'!$P$41</definedName>
    <definedName name="OSRRefP22_6x_0" localSheetId="94">'444'!$P$50</definedName>
    <definedName name="OSRRefP22_6x_0" localSheetId="96">'450'!$P$50</definedName>
    <definedName name="OSRRefP22_6x_0" localSheetId="76">'491'!$P$62</definedName>
    <definedName name="OSRRefP22_6x_0" localSheetId="90">'492'!$P$54</definedName>
    <definedName name="OSRRefP22_6x_0" localSheetId="98">'501'!$P$46</definedName>
    <definedName name="OSRRefP22_6x_0" localSheetId="39">'Div 2'!$P$49</definedName>
    <definedName name="OSRRefP22_6x_0" localSheetId="48">'Div 3'!$P$207:$P$208</definedName>
    <definedName name="OSRRefP22_6x_0" localSheetId="74">'Div 4'!$P$63</definedName>
    <definedName name="OSRRefP22_6x_0" localSheetId="97">'Div 5'!$P$46</definedName>
    <definedName name="OSRRefP22_6x_0" localSheetId="65">'Div 6'!$P$83</definedName>
    <definedName name="OSRRefP22_6x_0" localSheetId="2">Summary!$P$244:$P$245</definedName>
    <definedName name="OSRRefP22_7x_0" localSheetId="41">'201'!$P$44</definedName>
    <definedName name="OSRRefP22_7x_0" localSheetId="42">'202'!$P$46</definedName>
    <definedName name="OSRRefP22_7x_0" localSheetId="43">'203'!$P$47</definedName>
    <definedName name="OSRRefP22_7x_0" localSheetId="44">'204'!$P$52</definedName>
    <definedName name="OSRRefP22_7x_0" localSheetId="45">'205'!$P$44</definedName>
    <definedName name="OSRRefP22_7x_0" localSheetId="46">'206'!$P$47</definedName>
    <definedName name="OSRRefP22_7x_0" localSheetId="49">'300'!$P$205</definedName>
    <definedName name="OSRRefP22_7x_0" localSheetId="50">'300 &amp; 317'!$P$231</definedName>
    <definedName name="OSRRefP22_7x_0" localSheetId="51">'301'!$P$51</definedName>
    <definedName name="OSRRefP22_7x_0" localSheetId="52">'306'!$P$47:$P$48</definedName>
    <definedName name="OSRRefP22_7x_0" localSheetId="54">'307'!$P$126</definedName>
    <definedName name="OSRRefP22_7x_0" localSheetId="56">'308'!$P$96</definedName>
    <definedName name="OSRRefP22_7x_0" localSheetId="68">'309'!$P$49</definedName>
    <definedName name="OSRRefP22_7x_0" localSheetId="67">'310'!$P$61</definedName>
    <definedName name="OSRRefP22_7x_0" localSheetId="75">'310 &amp; 491'!$P$73</definedName>
    <definedName name="OSRRefP22_7x_0" localSheetId="57">'311'!$P$94</definedName>
    <definedName name="OSRRefP22_7x_0" localSheetId="69">'313'!$P$57:$P$58</definedName>
    <definedName name="OSRRefP22_7x_0" localSheetId="55">'314'!$P$90</definedName>
    <definedName name="OSRRefP22_7x_0" localSheetId="60">'315'!$P$85:$P$91</definedName>
    <definedName name="OSRRefP22_7x_0" localSheetId="63">'316'!$P$60</definedName>
    <definedName name="OSRRefP22_7x_0" localSheetId="66">'317'!$P$85:$P$86</definedName>
    <definedName name="OSRRefP22_7x_0" localSheetId="64">'320'!$P$60:$P$62</definedName>
    <definedName name="OSRRefP22_7x_0" localSheetId="70">'321'!$P$48:$P$50</definedName>
    <definedName name="OSRRefP22_7x_0" localSheetId="71">'322'!$P$49</definedName>
    <definedName name="OSRRefP22_7x_0" localSheetId="72">'325'!$P$51</definedName>
    <definedName name="OSRRefP22_7x_0" localSheetId="61">'326'!$P$87</definedName>
    <definedName name="OSRRefP22_7x_0" localSheetId="53">'330'!$P$114</definedName>
    <definedName name="OSRRefP22_7x_0" localSheetId="59">'331'!$P$103</definedName>
    <definedName name="OSRRefP22_7x_0" localSheetId="62">'332'!$P$73</definedName>
    <definedName name="OSRRefP22_7x_0" localSheetId="77">'405'!$P$50</definedName>
    <definedName name="OSRRefP22_7x_0" localSheetId="78">'406'!$P$50</definedName>
    <definedName name="OSRRefP22_7x_0" localSheetId="79">'411'!$P$49</definedName>
    <definedName name="OSRRefP22_7x_0" localSheetId="80">'412'!$P$51</definedName>
    <definedName name="OSRRefP22_7x_0" localSheetId="82">'413'!$P$50</definedName>
    <definedName name="OSRRefP22_7x_0" localSheetId="83">'414'!$P$50</definedName>
    <definedName name="OSRRefP22_7x_0" localSheetId="84">'415'!$P$51</definedName>
    <definedName name="OSRRefP22_7x_0" localSheetId="85">'418'!$P$51</definedName>
    <definedName name="OSRRefP22_7x_0" localSheetId="81">'420'!$P$49</definedName>
    <definedName name="OSRRefP22_7x_0" localSheetId="87">'424'!$P$46</definedName>
    <definedName name="OSRRefP22_7x_0" localSheetId="88">'425'!$P$54</definedName>
    <definedName name="OSRRefP22_7x_0" localSheetId="91">'430'!$P$43</definedName>
    <definedName name="OSRRefP22_7x_0" localSheetId="92">'433'!$P$53</definedName>
    <definedName name="OSRRefP22_7x_0" localSheetId="93">'435'!$P$43</definedName>
    <definedName name="OSRRefP22_7x_0" localSheetId="94">'444'!$P$52</definedName>
    <definedName name="OSRRefP22_7x_0" localSheetId="96">'450'!$P$52</definedName>
    <definedName name="OSRRefP22_7x_0" localSheetId="76">'491'!$P$64</definedName>
    <definedName name="OSRRefP22_7x_0" localSheetId="90">'492'!$P$56</definedName>
    <definedName name="OSRRefP22_7x_0" localSheetId="98">'501'!$P$48</definedName>
    <definedName name="OSRRefP22_7x_0" localSheetId="39">'Div 2'!$P$51</definedName>
    <definedName name="OSRRefP22_7x_0" localSheetId="48">'Div 3'!$P$210</definedName>
    <definedName name="OSRRefP22_7x_0" localSheetId="74">'Div 4'!$P$65</definedName>
    <definedName name="OSRRefP22_7x_0" localSheetId="97">'Div 5'!$P$48</definedName>
    <definedName name="OSRRefP22_7x_0" localSheetId="65">'Div 6'!$P$85:$P$86</definedName>
    <definedName name="OSRRefP22_7x_0" localSheetId="2">Summary!$P$247</definedName>
    <definedName name="OSRRefP22_8x_0" localSheetId="41">'201'!$P$46</definedName>
    <definedName name="OSRRefP22_8x_0" localSheetId="42">'202'!$P$48</definedName>
    <definedName name="OSRRefP22_8x_0" localSheetId="43">'203'!$P$49</definedName>
    <definedName name="OSRRefP22_8x_0" localSheetId="44">'204'!$P$54:$P$55</definedName>
    <definedName name="OSRRefP22_8x_0" localSheetId="45">'205'!$P$46</definedName>
    <definedName name="OSRRefP22_8x_0" localSheetId="46">'206'!$P$49</definedName>
    <definedName name="OSRRefP22_8x_0" localSheetId="49">'300'!$P$207</definedName>
    <definedName name="OSRRefP22_8x_0" localSheetId="50">'300 &amp; 317'!$P$233</definedName>
    <definedName name="OSRRefP22_8x_0" localSheetId="51">'301'!$P$53</definedName>
    <definedName name="OSRRefP22_8x_0" localSheetId="52">'306'!$P$50:$P$54</definedName>
    <definedName name="OSRRefP22_8x_0" localSheetId="54">'307'!$P$128</definedName>
    <definedName name="OSRRefP22_8x_0" localSheetId="56">'308'!$P$98:$P$106</definedName>
    <definedName name="OSRRefP22_8x_0" localSheetId="68">'309'!$P$51</definedName>
    <definedName name="OSRRefP22_8x_0" localSheetId="67">'310'!$P$63</definedName>
    <definedName name="OSRRefP22_8x_0" localSheetId="75">'310 &amp; 491'!$P$75</definedName>
    <definedName name="OSRRefP22_8x_0" localSheetId="57">'311'!$P$96:$P$104</definedName>
    <definedName name="OSRRefP22_8x_0" localSheetId="69">'313'!$P$60</definedName>
    <definedName name="OSRRefP22_8x_0" localSheetId="55">'314'!$P$92:$P$94</definedName>
    <definedName name="OSRRefP22_8x_0" localSheetId="60">'315'!$P$93</definedName>
    <definedName name="OSRRefP22_8x_0" localSheetId="63">'316'!$P$62:$P$63</definedName>
    <definedName name="OSRRefP22_8x_0" localSheetId="66">'317'!$P$88</definedName>
    <definedName name="OSRRefP22_8x_0" localSheetId="64">'320'!$P$64</definedName>
    <definedName name="OSRRefP22_8x_0" localSheetId="70">'321'!$P$52</definedName>
    <definedName name="OSRRefP22_8x_0" localSheetId="71">'322'!$P$51</definedName>
    <definedName name="OSRRefP22_8x_0" localSheetId="72">'325'!$P$53</definedName>
    <definedName name="OSRRefP22_8x_0" localSheetId="61">'326'!$P$89</definedName>
    <definedName name="OSRRefP22_8x_0" localSheetId="53">'330'!$P$116:$P$137</definedName>
    <definedName name="OSRRefP22_8x_0" localSheetId="59">'331'!$P$105:$P$106</definedName>
    <definedName name="OSRRefP22_8x_0" localSheetId="62">'332'!$P$75:$P$77</definedName>
    <definedName name="OSRRefP22_8x_0" localSheetId="77">'405'!$P$52</definedName>
    <definedName name="OSRRefP22_8x_0" localSheetId="78">'406'!$P$52</definedName>
    <definedName name="OSRRefP22_8x_0" localSheetId="79">'411'!$P$51</definedName>
    <definedName name="OSRRefP22_8x_0" localSheetId="80">'412'!$P$53</definedName>
    <definedName name="OSRRefP22_8x_0" localSheetId="82">'413'!$P$52:$P$54</definedName>
    <definedName name="OSRRefP22_8x_0" localSheetId="83">'414'!$P$52</definedName>
    <definedName name="OSRRefP22_8x_0" localSheetId="84">'415'!$P$53</definedName>
    <definedName name="OSRRefP22_8x_0" localSheetId="85">'418'!$P$53</definedName>
    <definedName name="OSRRefP22_8x_0" localSheetId="87">'424'!$P$48</definedName>
    <definedName name="OSRRefP22_8x_0" localSheetId="88">'425'!$P$56</definedName>
    <definedName name="OSRRefP22_8x_0" localSheetId="91">'430'!$P$45</definedName>
    <definedName name="OSRRefP22_8x_0" localSheetId="92">'433'!$P$55</definedName>
    <definedName name="OSRRefP22_8x_0" localSheetId="93">'435'!$P$45:$P$48</definedName>
    <definedName name="OSRRefP22_8x_0" localSheetId="94">'444'!$P$54</definedName>
    <definedName name="OSRRefP22_8x_0" localSheetId="96">'450'!$P$54</definedName>
    <definedName name="OSRRefP22_8x_0" localSheetId="76">'491'!$P$66</definedName>
    <definedName name="OSRRefP22_8x_0" localSheetId="90">'492'!$P$58</definedName>
    <definedName name="OSRRefP22_8x_0" localSheetId="98">'501'!$P$50</definedName>
    <definedName name="OSRRefP22_8x_0" localSheetId="39">'Div 2'!$P$53</definedName>
    <definedName name="OSRRefP22_8x_0" localSheetId="48">'Div 3'!$P$212</definedName>
    <definedName name="OSRRefP22_8x_0" localSheetId="74">'Div 4'!$P$67</definedName>
    <definedName name="OSRRefP22_8x_0" localSheetId="97">'Div 5'!$P$50</definedName>
    <definedName name="OSRRefP22_8x_0" localSheetId="65">'Div 6'!$P$88</definedName>
    <definedName name="OSRRefP22_8x_0" localSheetId="2">Summary!$P$249</definedName>
    <definedName name="OSRRefP22_9x_0" localSheetId="41">'201'!$P$48</definedName>
    <definedName name="OSRRefP22_9x_0" localSheetId="42">'202'!$P$50</definedName>
    <definedName name="OSRRefP22_9x_0" localSheetId="43">'203'!$P$51:$P$53</definedName>
    <definedName name="OSRRefP22_9x_0" localSheetId="44">'204'!$P$57:$P$58</definedName>
    <definedName name="OSRRefP22_9x_0" localSheetId="49">'300'!$P$209</definedName>
    <definedName name="OSRRefP22_9x_0" localSheetId="50">'300 &amp; 317'!$P$235</definedName>
    <definedName name="OSRRefP22_9x_0" localSheetId="51">'301'!$P$55</definedName>
    <definedName name="OSRRefP22_9x_0" localSheetId="52">'306'!$P$56</definedName>
    <definedName name="OSRRefP22_9x_0" localSheetId="54">'307'!$P$130:$P$131</definedName>
    <definedName name="OSRRefP22_9x_0" localSheetId="56">'308'!$P$108:$P$110</definedName>
    <definedName name="OSRRefP22_9x_0" localSheetId="68">'309'!$P$53:$P$54</definedName>
    <definedName name="OSRRefP22_9x_0" localSheetId="67">'310'!$P$65:$P$66</definedName>
    <definedName name="OSRRefP22_9x_0" localSheetId="75">'310 &amp; 491'!$P$77</definedName>
    <definedName name="OSRRefP22_9x_0" localSheetId="57">'311'!$P$106:$P$108</definedName>
    <definedName name="OSRRefP22_9x_0" localSheetId="69">'313'!$P$62:$P$64</definedName>
    <definedName name="OSRRefP22_9x_0" localSheetId="55">'314'!$P$96</definedName>
    <definedName name="OSRRefP22_9x_0" localSheetId="60">'315'!$P$95:$P$97</definedName>
    <definedName name="OSRRefP22_9x_0" localSheetId="63">'316'!$P$65</definedName>
    <definedName name="OSRRefP22_9x_0" localSheetId="66">'317'!$P$90:$P$97</definedName>
    <definedName name="OSRRefP22_9x_0" localSheetId="70">'321'!$P$54:$P$56</definedName>
    <definedName name="OSRRefP22_9x_0" localSheetId="71">'322'!$P$53</definedName>
    <definedName name="OSRRefP22_9x_0" localSheetId="72">'325'!$P$55</definedName>
    <definedName name="OSRRefP22_9x_0" localSheetId="61">'326'!$P$91</definedName>
    <definedName name="OSRRefP22_9x_0" localSheetId="53">'330'!$P$139</definedName>
    <definedName name="OSRRefP22_9x_0" localSheetId="59">'331'!$P$108</definedName>
    <definedName name="OSRRefP22_9x_0" localSheetId="62">'332'!$P$79:$P$80</definedName>
    <definedName name="OSRRefP22_9x_0" localSheetId="77">'405'!$P$54</definedName>
    <definedName name="OSRRefP22_9x_0" localSheetId="78">'406'!$P$54:$P$56</definedName>
    <definedName name="OSRRefP22_9x_0" localSheetId="79">'411'!$P$53</definedName>
    <definedName name="OSRRefP22_9x_0" localSheetId="80">'412'!$P$55:$P$57</definedName>
    <definedName name="OSRRefP22_9x_0" localSheetId="82">'413'!$P$56:$P$57</definedName>
    <definedName name="OSRRefP22_9x_0" localSheetId="83">'414'!$P$54:$P$55</definedName>
    <definedName name="OSRRefP22_9x_0" localSheetId="84">'415'!$P$55</definedName>
    <definedName name="OSRRefP22_9x_0" localSheetId="85">'418'!$P$55</definedName>
    <definedName name="OSRRefP22_9x_0" localSheetId="87">'424'!$P$50:$P$51</definedName>
    <definedName name="OSRRefP22_9x_0" localSheetId="88">'425'!$P$58:$P$60</definedName>
    <definedName name="OSRRefP22_9x_0" localSheetId="91">'430'!$P$47</definedName>
    <definedName name="OSRRefP22_9x_0" localSheetId="92">'433'!$P$57</definedName>
    <definedName name="OSRRefP22_9x_0" localSheetId="93">'435'!$P$50</definedName>
    <definedName name="OSRRefP22_9x_0" localSheetId="94">'444'!$P$56</definedName>
    <definedName name="OSRRefP22_9x_0" localSheetId="96">'450'!$P$56</definedName>
    <definedName name="OSRRefP22_9x_0" localSheetId="76">'491'!$P$68</definedName>
    <definedName name="OSRRefP22_9x_0" localSheetId="90">'492'!$P$60</definedName>
    <definedName name="OSRRefP22_9x_0" localSheetId="98">'501'!$P$52</definedName>
    <definedName name="OSRRefP22_9x_0" localSheetId="39">'Div 2'!$P$55</definedName>
    <definedName name="OSRRefP22_9x_0" localSheetId="48">'Div 3'!$P$214</definedName>
    <definedName name="OSRRefP22_9x_0" localSheetId="74">'Div 4'!$P$69</definedName>
    <definedName name="OSRRefP22_9x_0" localSheetId="97">'Div 5'!$P$52</definedName>
    <definedName name="OSRRefP22_9x_0" localSheetId="65">'Div 6'!$P$90:$P$97</definedName>
    <definedName name="OSRRefP22_9x_0" localSheetId="2">Summary!$P$251</definedName>
    <definedName name="OSRRefP22x_0" localSheetId="40">'200'!$P$20:$P$21,'200'!$P$23,'200'!$P$25,'200'!$P$27,'200'!$P$29:$P$30</definedName>
    <definedName name="OSRRefP22x_0" localSheetId="41">'201'!$P$20:$P$28,'201'!$P$30:$P$32,'201'!$P$34,'201'!$P$36,'201'!$P$38,'201'!$P$40,'201'!$P$42,'201'!$P$44,'201'!$P$46,'201'!$P$48,'201'!$P$50:$P$52,'201'!$P$54:$P$56,'201'!$P$58,'201'!$P$60:$P$63,'201'!$P$65,'201'!$P$67,'201'!$P$69:$P$70</definedName>
    <definedName name="OSRRefP22x_0" localSheetId="42">'202'!$P$20:$P$27,'202'!$P$29:$P$34,'202'!$P$36,'202'!$P$38,'202'!$P$40,'202'!$P$42,'202'!$P$44,'202'!$P$46,'202'!$P$48,'202'!$P$50,'202'!$P$52:$P$54,'202'!$P$56,'202'!$P$58,'202'!$P$60:$P$62,'202'!$P$64,'202'!$P$66,'202'!$P$68:$P$69</definedName>
    <definedName name="OSRRefP22x_0" localSheetId="43">'203'!$P$20:$P$29,'203'!$P$31:$P$35,'203'!$P$37,'203'!$P$39,'203'!$P$41,'203'!$P$43,'203'!$P$45,'203'!$P$47,'203'!$P$49,'203'!$P$51:$P$53,'203'!$P$55:$P$56,'203'!$P$58:$P$59,'203'!$P$61:$P$64,'203'!$P$66,'203'!$P$68,'203'!$P$70</definedName>
    <definedName name="OSRRefP22x_0" localSheetId="44">'204'!$P$20:$P$29,'204'!$P$31:$P$36,'204'!$P$38,'204'!$P$40:$P$41,'204'!$P$43,'204'!$P$45,'204'!$P$47:$P$50,'204'!$P$52,'204'!$P$54:$P$55,'204'!$P$57:$P$58,'204'!$P$60,'204'!$P$62:$P$63</definedName>
    <definedName name="OSRRefP22x_0" localSheetId="45">'205'!$P$20:$P$27,'205'!$P$29,'205'!$P$31,'205'!$P$33,'205'!$P$35:$P$37,'205'!$P$39,'205'!$P$41:$P$42,'205'!$P$44,'205'!$P$46</definedName>
    <definedName name="OSRRefP22x_0" localSheetId="46">'206'!$P$20:$P$27,'206'!$P$29:$P$34,'206'!$P$36,'206'!$P$38,'206'!$P$40,'206'!$P$42,'206'!$P$44:$P$45,'206'!$P$47,'206'!$P$49</definedName>
    <definedName name="OSRRefP22x_0" localSheetId="49">'300'!$P$174:$P$182,'300'!$P$184:$P$190,'300'!$P$192,'300'!$P$194:$P$195,'300'!$P$197,'300'!$P$199:$P$200,'300'!$P$202:$P$203,'300'!$P$205,'300'!$P$207,'300'!$P$209,'300'!$P$211:$P$212,'300'!$P$214,'300'!$P$216,'300'!$P$218:$P$251,'300'!$P$253,'300'!$P$255,'300'!$P$257:$P$260,'300'!$P$262:$P$264,'300'!$P$266:$P$269,'300'!$P$271:$P$272,'300'!$P$274:$P$281,'300'!$P$283:$P$284,'300'!$P$286,'300'!$P$288:$P$290,'300'!$P$292</definedName>
    <definedName name="OSRRefP22x_0" localSheetId="50">'300 &amp; 317'!$P$200:$P$208,'300 &amp; 317'!$P$210:$P$216,'300 &amp; 317'!$P$218,'300 &amp; 317'!$P$220:$P$221,'300 &amp; 317'!$P$223,'300 &amp; 317'!$P$225:$P$226,'300 &amp; 317'!$P$228:$P$229,'300 &amp; 317'!$P$231,'300 &amp; 317'!$P$233,'300 &amp; 317'!$P$235,'300 &amp; 317'!$P$237:$P$238,'300 &amp; 317'!$P$240,'300 &amp; 317'!$P$242,'300 &amp; 317'!$P$244:$P$280,'300 &amp; 317'!$P$282,'300 &amp; 317'!$P$284,'300 &amp; 317'!$P$286:$P$289,'300 &amp; 317'!$P$291:$P$293,'300 &amp; 317'!$P$295:$P$298,'300 &amp; 317'!$P$300:$P$301,'300 &amp; 317'!$P$303:$P$310,'300 &amp; 317'!$P$312:$P$313,'300 &amp; 317'!$P$315,'300 &amp; 317'!$P$317:$P$319,'300 &amp; 317'!$P$321</definedName>
    <definedName name="OSRRefP22x_0" localSheetId="51">'301'!$P$21:$P$28,'301'!$P$30:$P$36,'301'!$P$38,'301'!$P$40:$P$41,'301'!$P$43,'301'!$P$45:$P$46,'301'!$P$48:$P$49,'301'!$P$51,'301'!$P$53,'301'!$P$55,'301'!$P$57,'301'!$P$59,'301'!$P$61,'301'!$P$63,'301'!$P$65,'301'!$P$67,'301'!$P$69:$P$72,'301'!$P$74,'301'!$P$76:$P$78,'301'!$P$80:$P$81,'301'!$P$83:$P$89,'301'!$P$91,'301'!$P$93,'301'!$P$95:$P$97,'301'!$P$99</definedName>
    <definedName name="OSRRefP22x_0" localSheetId="52">'306'!$P$20:$P$28,'306'!$P$30:$P$35,'306'!$P$37,'306'!$P$39,'306'!$P$41,'306'!$P$43,'306'!$P$45,'306'!$P$47:$P$48,'306'!$P$50:$P$54,'306'!$P$56,'306'!$P$58</definedName>
    <definedName name="OSRRefP22x_0" localSheetId="54">'307'!$P$80:$P$87,'307'!$P$89:$P$92,'307'!$P$94,'307'!$P$96,'307'!$P$98:$P$99,'307'!$P$101,'307'!$P$103:$P$124,'307'!$P$126,'307'!$P$128,'307'!$P$130:$P$131,'307'!$P$133:$P$134,'307'!$P$136:$P$138,'307'!$P$140,'307'!$P$142,'307'!$P$144</definedName>
    <definedName name="OSRRefP22x_0" localSheetId="56">'308'!$P$68:$P$76,'308'!$P$78:$P$82,'308'!$P$84,'308'!$P$86:$P$87,'308'!$P$89,'308'!$P$91,'308'!$P$93:$P$94,'308'!$P$96,'308'!$P$98:$P$106,'308'!$P$108:$P$110,'308'!$P$112:$P$113,'308'!$P$115:$P$118,'308'!$P$120:$P$121,'308'!$P$123,'308'!$P$125</definedName>
    <definedName name="OSRRefP22x_0" localSheetId="68">'309'!$P$24:$P$31,'309'!$P$33:$P$37,'309'!$P$39,'309'!$P$41,'309'!$P$43,'309'!$P$45,'309'!$P$47,'309'!$P$49,'309'!$P$51,'309'!$P$53:$P$54,'309'!$P$56:$P$58,'309'!$P$60,'309'!$P$62:$P$68,'309'!$P$70</definedName>
    <definedName name="OSRRefP22x_0" localSheetId="67">'310'!$P$34:$P$41,'310'!$P$43:$P$48,'310'!$P$50,'310'!$P$52,'310'!$P$54,'310'!$P$56:$P$57,'310'!$P$59,'310'!$P$61,'310'!$P$63,'310'!$P$65:$P$66,'310'!$P$68,'310'!$P$70,'310'!$P$72,'310'!$P$74,'310'!$P$76:$P$78,'310'!$P$80,'310'!$P$82:$P$85,'310'!$P$87:$P$88,'310'!$P$90:$P$97,'310'!$P$99,'310'!$P$101,'310'!$P$103,'310'!$P$105</definedName>
    <definedName name="OSRRefP22x_0" localSheetId="75">'310 &amp; 491'!$P$43:$P$51,'310 &amp; 491'!$P$53:$P$59,'310 &amp; 491'!$P$61,'310 &amp; 491'!$P$63,'310 &amp; 491'!$P$65,'310 &amp; 491'!$P$67:$P$69,'310 &amp; 491'!$P$71,'310 &amp; 491'!$P$73,'310 &amp; 491'!$P$75,'310 &amp; 491'!$P$77,'310 &amp; 491'!$P$79:$P$80,'310 &amp; 491'!$P$82:$P$83,'310 &amp; 491'!$P$85,'310 &amp; 491'!$P$87,'310 &amp; 491'!$P$89,'310 &amp; 491'!$P$91,'310 &amp; 491'!$P$93:$P$96,'310 &amp; 491'!$P$98:$P$99,'310 &amp; 491'!$P$101:$P$105,'310 &amp; 491'!$P$107:$P$108,'310 &amp; 491'!$P$110:$P$119,'310 &amp; 491'!$P$121,'310 &amp; 491'!$P$123,'310 &amp; 491'!$P$125:$P$127,'310 &amp; 491'!$P$129</definedName>
    <definedName name="OSRRefP22x_0" localSheetId="57">'311'!$P$66:$P$74,'311'!$P$76:$P$80,'311'!$P$82,'311'!$P$84:$P$85,'311'!$P$87,'311'!$P$89,'311'!$P$91:$P$92,'311'!$P$94,'311'!$P$96:$P$104,'311'!$P$106:$P$108,'311'!$P$110:$P$111,'311'!$P$113:$P$116,'311'!$P$118:$P$119,'311'!$P$121,'311'!$P$123</definedName>
    <definedName name="OSRRefP22x_0" localSheetId="69">'313'!$P$31:$P$38,'313'!$P$40:$P$45,'313'!$P$47,'313'!$P$49,'313'!$P$51,'313'!$P$53,'313'!$P$55,'313'!$P$57:$P$58,'313'!$P$60,'313'!$P$62:$P$64,'313'!$P$66:$P$67,'313'!$P$69:$P$70,'313'!$P$72:$P$77,'313'!$P$79,'313'!$P$81</definedName>
    <definedName name="OSRRefP22x_0" localSheetId="55">'314'!$P$56:$P$64,'314'!$P$66:$P$69,'314'!$P$71,'314'!$P$73:$P$74,'314'!$P$76,'314'!$P$78,'314'!$P$80:$P$88,'314'!$P$90,'314'!$P$92:$P$94,'314'!$P$96,'314'!$P$98,'314'!$P$100</definedName>
    <definedName name="OSRRefP22x_0" localSheetId="60">'315'!$P$57:$P$64,'315'!$P$66:$P$71,'315'!$P$73,'315'!$P$75:$P$76,'315'!$P$78,'315'!$P$80:$P$81,'315'!$P$83,'315'!$P$85:$P$91,'315'!$P$93,'315'!$P$95:$P$97,'315'!$P$99:$P$100,'315'!$P$102:$P$103,'315'!$P$105:$P$109,'315'!$P$111,'315'!$P$113,'315'!$P$115:$P$116</definedName>
    <definedName name="OSRRefP22x_0" localSheetId="63">'316'!$P$35:$P$42,'316'!$P$44:$P$47,'316'!$P$49,'316'!$P$51,'316'!$P$53,'316'!$P$55,'316'!$P$57:$P$58,'316'!$P$60,'316'!$P$62:$P$63,'316'!$P$65,'316'!$P$67:$P$71,'316'!$P$73,'316'!$P$75</definedName>
    <definedName name="OSRRefP22x_0" localSheetId="66">'317'!$P$59:$P$67,'317'!$P$69:$P$73,'317'!$P$75,'317'!$P$77,'317'!$P$79,'317'!$P$81,'317'!$P$83,'317'!$P$85:$P$86,'317'!$P$88,'317'!$P$90:$P$97,'317'!$P$99,'317'!$P$101,'317'!$P$103:$P$104,'317'!$P$106,'317'!$P$108,'317'!$P$110:$P$111</definedName>
    <definedName name="OSRRefP22x_0" localSheetId="64">'320'!$P$31:$P$38,'320'!$P$40:$P$45,'320'!$P$47,'320'!$P$49,'320'!$P$51:$P$52,'320'!$P$54,'320'!$P$56:$P$58,'320'!$P$60:$P$62,'320'!$P$64</definedName>
    <definedName name="OSRRefP22x_0" localSheetId="70">'321'!$P$24:$P$30,'321'!$P$32:$P$36,'321'!$P$38,'321'!$P$40,'321'!$P$42,'321'!$P$44,'321'!$P$46,'321'!$P$48:$P$50,'321'!$P$52,'321'!$P$54:$P$56,'321'!$P$58:$P$63,'321'!$P$65,'321'!$P$67,'321'!$P$69</definedName>
    <definedName name="OSRRefP22x_0" localSheetId="71">'322'!$P$24:$P$31,'322'!$P$33:$P$37,'322'!$P$39,'322'!$P$41,'322'!$P$43,'322'!$P$45,'322'!$P$47,'322'!$P$49,'322'!$P$51,'322'!$P$53,'322'!$P$55,'322'!$P$57:$P$58,'322'!$P$60:$P$62,'322'!$P$64,'322'!$P$66:$P$72,'322'!$P$74,'322'!$P$76,'322'!$P$78</definedName>
    <definedName name="OSRRefP22x_0" localSheetId="58">'324'!$P$26</definedName>
    <definedName name="OSRRefP22x_0" localSheetId="72">'325'!$P$24:$P$31,'325'!$P$33:$P$38,'325'!$P$40,'325'!$P$42,'325'!$P$44,'325'!$P$46:$P$47,'325'!$P$49,'325'!$P$51,'325'!$P$53,'325'!$P$55,'325'!$P$57,'325'!$P$59:$P$61,'325'!$P$63:$P$66,'325'!$P$68:$P$69,'325'!$P$71:$P$76,'325'!$P$78,'325'!$P$80,'325'!$P$82</definedName>
    <definedName name="OSRRefP22x_0" localSheetId="61">'326'!$P$62:$P$69,'326'!$P$71:$P$75,'326'!$P$77,'326'!$P$79,'326'!$P$81,'326'!$P$83,'326'!$P$85,'326'!$P$87,'326'!$P$89,'326'!$P$91,'326'!$P$93:$P$107,'326'!$P$109,'326'!$P$111,'326'!$P$113:$P$114,'326'!$P$116:$P$118,'326'!$P$120:$P$121,'326'!$P$123:$P$127,'326'!$P$129,'326'!$P$131,'326'!$P$133,'326'!$P$135</definedName>
    <definedName name="OSRRefP22x_0" localSheetId="73">'327'!$P$22,'327'!$P$24,'327'!$P$26</definedName>
    <definedName name="OSRRefP22x_0" localSheetId="53">'330'!$P$87:$P$95,'330'!$P$97:$P$101,'330'!$P$103,'330'!$P$105,'330'!$P$107:$P$108,'330'!$P$110,'330'!$P$112,'330'!$P$114,'330'!$P$116:$P$137,'330'!$P$139,'330'!$P$141,'330'!$P$143:$P$144,'330'!$P$146:$P$147,'330'!$P$149,'330'!$P$151:$P$153,'330'!$P$155,'330'!$P$157,'330'!$P$159</definedName>
    <definedName name="OSRRefP22x_0" localSheetId="59">'331'!$P$76:$P$83,'331'!$P$85:$P$90,'331'!$P$92,'331'!$P$94,'331'!$P$96,'331'!$P$98:$P$99,'331'!$P$101,'331'!$P$103,'331'!$P$105:$P$106,'331'!$P$108,'331'!$P$110,'331'!$P$112:$P$126,'331'!$P$128,'331'!$P$130,'331'!$P$132:$P$134,'331'!$P$136:$P$137,'331'!$P$139:$P$141,'331'!$P$143:$P$144,'331'!$P$146:$P$151,'331'!$P$153,'331'!$P$155,'331'!$P$157:$P$158,'331'!$P$160</definedName>
    <definedName name="OSRRefP22x_0" localSheetId="62">'332'!$P$46:$P$53,'332'!$P$55:$P$60,'332'!$P$62,'332'!$P$64,'332'!$P$66,'332'!$P$68,'332'!$P$70:$P$71,'332'!$P$73,'332'!$P$75:$P$77,'332'!$P$79:$P$80,'332'!$P$82,'332'!$P$84:$P$88,'332'!$P$90,'332'!$P$92</definedName>
    <definedName name="OSRRefP22x_0" localSheetId="77">'405'!$P$24:$P$31,'405'!$P$33:$P$37,'405'!$P$39,'405'!$P$41,'405'!$P$43,'405'!$P$45:$P$46,'405'!$P$48,'405'!$P$50,'405'!$P$52,'405'!$P$54,'405'!$P$56:$P$57,'405'!$P$59,'405'!$P$61:$P$63,'405'!$P$65:$P$66,'405'!$P$68:$P$74,'405'!$P$76,'405'!$P$78,'405'!$P$80,'405'!$P$82</definedName>
    <definedName name="OSRRefP22x_0" localSheetId="78">'406'!$P$24:$P$31,'406'!$P$33:$P$38,'406'!$P$40,'406'!$P$42,'406'!$P$44,'406'!$P$46,'406'!$P$48,'406'!$P$50,'406'!$P$52,'406'!$P$54:$P$56,'406'!$P$58:$P$59,'406'!$P$61:$P$66,'406'!$P$68,'406'!$P$70,'406'!$P$72:$P$73</definedName>
    <definedName name="OSRRefP22x_0" localSheetId="79">'411'!$P$20:$P$28,'411'!$P$30:$P$35,'411'!$P$37,'411'!$P$39,'411'!$P$41:$P$43,'411'!$P$45,'411'!$P$47,'411'!$P$49,'411'!$P$51,'411'!$P$53,'411'!$P$55,'411'!$P$57,'411'!$P$59:$P$62,'411'!$P$64:$P$68,'411'!$P$70:$P$71,'411'!$P$73:$P$81,'411'!$P$83,'411'!$P$85,'411'!$P$87:$P$89,'411'!$P$91</definedName>
    <definedName name="OSRRefP22x_0" localSheetId="80">'412'!$P$25:$P$32,'412'!$P$34:$P$39,'412'!$P$41,'412'!$P$43,'412'!$P$45,'412'!$P$47,'412'!$P$49,'412'!$P$51,'412'!$P$53,'412'!$P$55:$P$57,'412'!$P$59,'412'!$P$61:$P$63,'412'!$P$65:$P$72,'412'!$P$74,'412'!$P$76</definedName>
    <definedName name="OSRRefP22x_0" localSheetId="82">'413'!$P$24:$P$31,'413'!$P$33:$P$38,'413'!$P$40,'413'!$P$42,'413'!$P$44,'413'!$P$46,'413'!$P$48,'413'!$P$50,'413'!$P$52:$P$54,'413'!$P$56:$P$57,'413'!$P$59:$P$64,'413'!$P$66,'413'!$P$68,'413'!$P$70</definedName>
    <definedName name="OSRRefP22x_0" localSheetId="83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4">'415'!$P$24:$P$31,'415'!$P$33:$P$38,'415'!$P$40,'415'!$P$42,'415'!$P$44,'415'!$P$46:$P$47,'415'!$P$49,'415'!$P$51,'415'!$P$53,'415'!$P$55,'415'!$P$57,'415'!$P$59:$P$62,'415'!$P$64:$P$68,'415'!$P$70:$P$71,'415'!$P$73:$P$81,'415'!$P$83,'415'!$P$85,'415'!$P$87,'415'!$P$89</definedName>
    <definedName name="OSRRefP22x_0" localSheetId="85">'418'!$P$24:$P$31,'418'!$P$33:$P$38,'418'!$P$40,'418'!$P$42,'418'!$P$44,'418'!$P$46:$P$47,'418'!$P$49,'418'!$P$51,'418'!$P$53,'418'!$P$55,'418'!$P$57,'418'!$P$59:$P$60,'418'!$P$62:$P$64,'418'!$P$66:$P$68,'418'!$P$70:$P$71,'418'!$P$73:$P$80,'418'!$P$82,'418'!$P$84</definedName>
    <definedName name="OSRRefP22x_0" localSheetId="81">'420'!$P$24:$P$31,'420'!$P$33:$P$36,'420'!$P$38,'420'!$P$40,'420'!$P$42,'420'!$P$44,'420'!$P$46:$P$47,'420'!$P$49</definedName>
    <definedName name="OSRRefP22x_0" localSheetId="86">'423'!$P$21:$P$28,'423'!$P$30:$P$31,'423'!$P$33,'423'!$P$35,'423'!$P$37,'423'!$P$39,'423'!$P$41</definedName>
    <definedName name="OSRRefP22x_0" localSheetId="87">'424'!$P$26:$P$28,'424'!$P$30:$P$34,'424'!$P$36,'424'!$P$38,'424'!$P$40,'424'!$P$42,'424'!$P$44,'424'!$P$46,'424'!$P$48,'424'!$P$50:$P$51,'424'!$P$53,'424'!$P$55,'424'!$P$57:$P$63,'424'!$P$65</definedName>
    <definedName name="OSRRefP22x_0" localSheetId="88">'425'!$P$27:$P$35,'425'!$P$37:$P$42,'425'!$P$44,'425'!$P$46,'425'!$P$48,'425'!$P$50,'425'!$P$52,'425'!$P$54,'425'!$P$56,'425'!$P$58:$P$60,'425'!$P$62,'425'!$P$64:$P$66,'425'!$P$68:$P$74,'425'!$P$76,'425'!$P$78,'425'!$P$80:$P$81</definedName>
    <definedName name="OSRRefP22x_0" localSheetId="91">'430'!$P$20:$P$27,'430'!$P$29,'430'!$P$31,'430'!$P$33,'430'!$P$35,'430'!$P$37,'430'!$P$39:$P$41,'430'!$P$43,'430'!$P$45,'430'!$P$47</definedName>
    <definedName name="OSRRefP22x_0" localSheetId="92">'433'!$P$26:$P$34,'433'!$P$36:$P$41,'433'!$P$43,'433'!$P$45,'433'!$P$47,'433'!$P$49,'433'!$P$51,'433'!$P$53,'433'!$P$55,'433'!$P$57,'433'!$P$59:$P$61,'433'!$P$63:$P$65,'433'!$P$67:$P$74,'433'!$P$76,'433'!$P$78,'433'!$P$80:$P$81</definedName>
    <definedName name="OSRRefP22x_0" localSheetId="93">'435'!$P$25:$P$27,'435'!$P$29:$P$31,'435'!$P$33,'435'!$P$35,'435'!$P$37,'435'!$P$39,'435'!$P$41,'435'!$P$43,'435'!$P$45:$P$48,'435'!$P$50</definedName>
    <definedName name="OSRRefP22x_0" localSheetId="94">'444'!$P$25:$P$33,'444'!$P$35:$P$40,'444'!$P$42,'444'!$P$44,'444'!$P$46,'444'!$P$48,'444'!$P$50,'444'!$P$52,'444'!$P$54,'444'!$P$56,'444'!$P$58,'444'!$P$60:$P$62,'444'!$P$64:$P$66,'444'!$P$68:$P$75,'444'!$P$77,'444'!$P$79,'444'!$P$81</definedName>
    <definedName name="OSRRefP22x_0" localSheetId="95">'445'!$P$21</definedName>
    <definedName name="OSRRefP22x_0" localSheetId="96">'450'!$P$25:$P$33,'450'!$P$35:$P$40,'450'!$P$42,'450'!$P$44,'450'!$P$46,'450'!$P$48,'450'!$P$50,'450'!$P$52,'450'!$P$54,'450'!$P$56,'450'!$P$58,'450'!$P$60,'450'!$P$62:$P$64,'450'!$P$66:$P$68,'450'!$P$70:$P$76,'450'!$P$78,'450'!$P$80,'450'!$P$82:$P$83</definedName>
    <definedName name="OSRRefP22x_0" localSheetId="89">'455'!$P$20:$P$26,'455'!$P$28:$P$29,'455'!$P$31</definedName>
    <definedName name="OSRRefP22x_0" localSheetId="76">'491'!$P$34:$P$42,'491'!$P$44:$P$50,'491'!$P$52,'491'!$P$54,'491'!$P$56,'491'!$P$58:$P$60,'491'!$P$62,'491'!$P$64,'491'!$P$66,'491'!$P$68,'491'!$P$70,'491'!$P$72:$P$73,'491'!$P$75,'491'!$P$77,'491'!$P$79,'491'!$P$81,'491'!$P$83:$P$86,'491'!$P$88:$P$89,'491'!$P$91:$P$95,'491'!$P$97:$P$98,'491'!$P$100:$P$109,'491'!$P$111,'491'!$P$113,'491'!$P$115:$P$117,'491'!$P$119</definedName>
    <definedName name="OSRRefP22x_0" localSheetId="90">'492'!$P$28:$P$36,'492'!$P$38:$P$44,'492'!$P$46,'492'!$P$48,'492'!$P$50,'492'!$P$52,'492'!$P$54,'492'!$P$56,'492'!$P$58,'492'!$P$60,'492'!$P$62,'492'!$P$64,'492'!$P$66,'492'!$P$68:$P$70,'492'!$P$72:$P$74,'492'!$P$76:$P$84,'492'!$P$86,'492'!$P$88,'492'!$P$90:$P$91</definedName>
    <definedName name="OSRRefP22x_0" localSheetId="98">'501'!$P$21:$P$28,'501'!$P$30:$P$35,'501'!$P$37,'501'!$P$39,'501'!$P$41,'501'!$P$43:$P$44,'501'!$P$46,'501'!$P$48,'501'!$P$50,'501'!$P$52,'501'!$P$54:$P$56,'501'!$P$58,'501'!$P$60:$P$63,'501'!$P$65,'501'!$P$67</definedName>
    <definedName name="OSRRefP22x_0" localSheetId="39">'Div 2'!$P$20:$P$30,'Div 2'!$P$32:$P$38,'Div 2'!$P$40,'Div 2'!$P$42,'Div 2'!$P$44,'Div 2'!$P$46:$P$47,'Div 2'!$P$49,'Div 2'!$P$51,'Div 2'!$P$53,'Div 2'!$P$55,'Div 2'!$P$57,'Div 2'!$P$59,'Div 2'!$P$61:$P$64,'Div 2'!$P$66:$P$69,'Div 2'!$P$71:$P$72,'Div 2'!$P$74:$P$75,'Div 2'!$P$77:$P$81,'Div 2'!$P$83:$P$84,'Div 2'!$P$86,'Div 2'!$P$88:$P$89</definedName>
    <definedName name="OSRRefP22x_0" localSheetId="48">'Div 3'!$P$179:$P$187,'Div 3'!$P$189:$P$195,'Div 3'!$P$197,'Div 3'!$P$199:$P$200,'Div 3'!$P$202,'Div 3'!$P$204:$P$205,'Div 3'!$P$207:$P$208,'Div 3'!$P$210,'Div 3'!$P$212,'Div 3'!$P$214,'Div 3'!$P$216:$P$217,'Div 3'!$P$219,'Div 3'!$P$221,'Div 3'!$P$223,'Div 3'!$P$225:$P$258,'Div 3'!$P$260,'Div 3'!$P$262,'Div 3'!$P$264:$P$267,'Div 3'!$P$269:$P$271,'Div 3'!$P$273:$P$277,'Div 3'!$P$279:$P$280,'Div 3'!$P$282:$P$290,'Div 3'!$P$292:$P$293,'Div 3'!$P$295,'Div 3'!$P$297:$P$299,'Div 3'!$P$301</definedName>
    <definedName name="OSRRefP22x_0" localSheetId="74">'Div 4'!$P$35:$P$43,'Div 4'!$P$45:$P$51,'Div 4'!$P$53,'Div 4'!$P$55,'Div 4'!$P$57,'Div 4'!$P$59:$P$61,'Div 4'!$P$63,'Div 4'!$P$65,'Div 4'!$P$67,'Div 4'!$P$69,'Div 4'!$P$71,'Div 4'!$P$73:$P$74,'Div 4'!$P$76,'Div 4'!$P$78,'Div 4'!$P$80,'Div 4'!$P$82,'Div 4'!$P$84,'Div 4'!$P$86:$P$89,'Div 4'!$P$91:$P$92,'Div 4'!$P$94:$P$98,'Div 4'!$P$100:$P$101,'Div 4'!$P$103:$P$112,'Div 4'!$P$114,'Div 4'!$P$116,'Div 4'!$P$118:$P$120,'Div 4'!$P$122</definedName>
    <definedName name="OSRRefP22x_0" localSheetId="97">'Div 5'!$P$21:$P$28,'Div 5'!$P$30:$P$35,'Div 5'!$P$37,'Div 5'!$P$39,'Div 5'!$P$41,'Div 5'!$P$43:$P$44,'Div 5'!$P$46,'Div 5'!$P$48,'Div 5'!$P$50,'Div 5'!$P$52,'Div 5'!$P$54:$P$56,'Div 5'!$P$58,'Div 5'!$P$60:$P$63,'Div 5'!$P$65,'Div 5'!$P$67</definedName>
    <definedName name="OSRRefP22x_0" localSheetId="65">'Div 6'!$P$59:$P$67,'Div 6'!$P$69:$P$73,'Div 6'!$P$75,'Div 6'!$P$77,'Div 6'!$P$79,'Div 6'!$P$81,'Div 6'!$P$83,'Div 6'!$P$85:$P$86,'Div 6'!$P$88,'Div 6'!$P$90:$P$97,'Div 6'!$P$99,'Div 6'!$P$101,'Div 6'!$P$103:$P$104,'Div 6'!$P$106,'Div 6'!$P$108,'Div 6'!$P$110:$P$111</definedName>
    <definedName name="OSRRefP22x_0" localSheetId="2">Summary!$P$215:$P$223,Summary!$P$225:$P$231,Summary!$P$233,Summary!$P$235:$P$236,Summary!$P$238,Summary!$P$240:$P$242,Summary!$P$244:$P$245,Summary!$P$247,Summary!$P$249,Summary!$P$251,Summary!$P$253:$P$254,Summary!$P$256:$P$257,Summary!$P$259,Summary!$P$261,Summary!$P$263:$P$299,Summary!$P$301,Summary!$P$303,Summary!$P$305,Summary!$P$307:$P$310,Summary!$P$312:$P$314,Summary!$P$316:$P$320,Summary!$P$322:$P$323,Summary!$P$325:$P$334,Summary!$P$336:$P$337,Summary!$P$339,Summary!$P$341:$P$343,Summary!$P$345</definedName>
    <definedName name="OSRRefP25x_0" localSheetId="49">'300'!$P$295:$P$303</definedName>
    <definedName name="OSRRefP25x_0" localSheetId="50">'300 &amp; 317'!$P$324:$P$335</definedName>
    <definedName name="OSRRefP25x_0" localSheetId="51">'301'!$P$102:$P$104</definedName>
    <definedName name="OSRRefP25x_0" localSheetId="54">'307'!$P$147</definedName>
    <definedName name="OSRRefP25x_0" localSheetId="56">'308'!$P$128:$P$130</definedName>
    <definedName name="OSRRefP25x_0" localSheetId="75">'310 &amp; 491'!$P$132:$P$134</definedName>
    <definedName name="OSRRefP25x_0" localSheetId="57">'311'!$P$126:$P$128</definedName>
    <definedName name="OSRRefP25x_0" localSheetId="60">'315'!$P$119</definedName>
    <definedName name="OSRRefP25x_0" localSheetId="63">'316'!$P$78</definedName>
    <definedName name="OSRRefP25x_0" localSheetId="66">'317'!$P$114:$P$117</definedName>
    <definedName name="OSRRefP25x_0" localSheetId="64">'320'!$P$67:$P$71</definedName>
    <definedName name="OSRRefP25x_0" localSheetId="53">'330'!$P$162</definedName>
    <definedName name="OSRRefP25x_0" localSheetId="59">'331'!$P$163</definedName>
    <definedName name="OSRRefP25x_0" localSheetId="62">'332'!$P$95:$P$100</definedName>
    <definedName name="OSRRefP25x_0" localSheetId="79">'411'!$P$94:$P$95</definedName>
    <definedName name="OSRRefP25x_0" localSheetId="82">'413'!$P$73</definedName>
    <definedName name="OSRRefP25x_0" localSheetId="84">'415'!$P$92</definedName>
    <definedName name="OSRRefP25x_0" localSheetId="85">'418'!$P$87</definedName>
    <definedName name="OSRRefP25x_0" localSheetId="86">'423'!$P$44</definedName>
    <definedName name="OSRRefP25x_0" localSheetId="87">'424'!$P$68</definedName>
    <definedName name="OSRRefP25x_0" localSheetId="88">'425'!$P$84</definedName>
    <definedName name="OSRRefP25x_0" localSheetId="89">'455'!$P$34:$P$35</definedName>
    <definedName name="OSRRefP25x_0" localSheetId="76">'491'!$P$122:$P$124</definedName>
    <definedName name="OSRRefP25x_0" localSheetId="98">'501'!$P$70:$P$71</definedName>
    <definedName name="OSRRefP25x_0" localSheetId="48">'Div 3'!$P$304:$P$312</definedName>
    <definedName name="OSRRefP25x_0" localSheetId="74">'Div 4'!$P$125:$P$127</definedName>
    <definedName name="OSRRefP25x_0" localSheetId="97">'Div 5'!$P$70:$P$71</definedName>
    <definedName name="OSRRefP25x_0" localSheetId="65">'Div 6'!$P$114:$P$117</definedName>
    <definedName name="OSRRefP25x_0" localSheetId="2">Summary!$P$348:$P$360</definedName>
    <definedName name="OSRRefT13x_0" localSheetId="49">'300'!$T$13:$T$115</definedName>
    <definedName name="OSRRefT13x_0" localSheetId="50">'300 &amp; 317'!$T$13:$T$133</definedName>
    <definedName name="OSRRefT13x_0" localSheetId="54">'307'!$T$13:$T$51</definedName>
    <definedName name="OSRRefT13x_0" localSheetId="56">'308'!$T$13:$T$44</definedName>
    <definedName name="OSRRefT13x_0" localSheetId="68">'309'!$T$13:$T$14</definedName>
    <definedName name="OSRRefT13x_0" localSheetId="67">'310'!$T$13:$T$24</definedName>
    <definedName name="OSRRefT13x_0" localSheetId="75">'310 &amp; 491'!$T$13:$T$33</definedName>
    <definedName name="OSRRefT13x_0" localSheetId="57">'311'!$T$13:$T$42</definedName>
    <definedName name="OSRRefT13x_0" localSheetId="69">'313'!$T$13:$T$21</definedName>
    <definedName name="OSRRefT13x_0" localSheetId="55">'314'!$T$13:$T$33</definedName>
    <definedName name="OSRRefT13x_0" localSheetId="60">'315'!$T$13:$T$33</definedName>
    <definedName name="OSRRefT13x_0" localSheetId="63">'316'!$T$13:$T$27</definedName>
    <definedName name="OSRRefT13x_0" localSheetId="66">'317'!$T$13:$T$36</definedName>
    <definedName name="OSRRefT13x_0" localSheetId="64">'320'!$T$13:$T$18</definedName>
    <definedName name="OSRRefT13x_0" localSheetId="70">'321'!$T$13:$T$14</definedName>
    <definedName name="OSRRefT13x_0" localSheetId="71">'322'!$T$13:$T$14</definedName>
    <definedName name="OSRRefT13x_0" localSheetId="58">'324'!$T$13:$T$16</definedName>
    <definedName name="OSRRefT13x_0" localSheetId="72">'325'!$T$13:$T$14</definedName>
    <definedName name="OSRRefT13x_0" localSheetId="61">'326'!$T$13:$T$36</definedName>
    <definedName name="OSRRefT13x_0" localSheetId="73">'327'!$T$13</definedName>
    <definedName name="OSRRefT13x_0" localSheetId="53">'330'!$T$13:$T$55</definedName>
    <definedName name="OSRRefT13x_0" localSheetId="59">'331'!$T$13:$T$44</definedName>
    <definedName name="OSRRefT13x_0" localSheetId="62">'332'!$T$13:$T$33</definedName>
    <definedName name="OSRRefT13x_0" localSheetId="77">'405'!$T$13:$T$14</definedName>
    <definedName name="OSRRefT13x_0" localSheetId="78">'406'!$T$13:$T$14</definedName>
    <definedName name="OSRRefT13x_0" localSheetId="80">'412'!$T$13:$T$15</definedName>
    <definedName name="OSRRefT13x_0" localSheetId="82">'413'!$T$13:$T$14</definedName>
    <definedName name="OSRRefT13x_0" localSheetId="83">'414'!$T$13:$T$14</definedName>
    <definedName name="OSRRefT13x_0" localSheetId="84">'415'!$T$13:$T$14</definedName>
    <definedName name="OSRRefT13x_0" localSheetId="85">'418'!$T$13:$T$14</definedName>
    <definedName name="OSRRefT13x_0" localSheetId="81">'420'!$T$13:$T$14</definedName>
    <definedName name="OSRRefT13x_0" localSheetId="87">'424'!$T$13:$T$16</definedName>
    <definedName name="OSRRefT13x_0" localSheetId="88">'425'!$T$13:$T$17</definedName>
    <definedName name="OSRRefT13x_0" localSheetId="92">'433'!$T$13:$T$16</definedName>
    <definedName name="OSRRefT13x_0" localSheetId="93">'435'!$T$13:$T$15</definedName>
    <definedName name="OSRRefT13x_0" localSheetId="94">'444'!$T$13:$T$15</definedName>
    <definedName name="OSRRefT13x_0" localSheetId="96">'450'!$T$13:$T$15</definedName>
    <definedName name="OSRRefT13x_0" localSheetId="76">'491'!$T$13:$T$24</definedName>
    <definedName name="OSRRefT13x_0" localSheetId="90">'492'!$T$13:$T$18</definedName>
    <definedName name="OSRRefT13x_0" localSheetId="98">'501'!$T$13</definedName>
    <definedName name="OSRRefT13x_0" localSheetId="48">'Div 3'!$T$13:$T$118</definedName>
    <definedName name="OSRRefT13x_0" localSheetId="74">'Div 4'!$T$13:$T$25</definedName>
    <definedName name="OSRRefT13x_0" localSheetId="97">'Div 5'!$T$13</definedName>
    <definedName name="OSRRefT13x_0" localSheetId="65">'Div 6'!$T$13:$T$36</definedName>
    <definedName name="OSRRefT13x_0" localSheetId="2">Summary!$T$13:$T$146</definedName>
    <definedName name="OSRRefT16x_0" localSheetId="49">'300'!$T$118:$T$168</definedName>
    <definedName name="OSRRefT16x_0" localSheetId="50">'300 &amp; 317'!$T$136:$T$194</definedName>
    <definedName name="OSRRefT16x_0" localSheetId="51">'301'!$T$15</definedName>
    <definedName name="OSRRefT16x_0" localSheetId="54">'307'!$T$54:$T$74</definedName>
    <definedName name="OSRRefT16x_0" localSheetId="56">'308'!$T$47:$T$62</definedName>
    <definedName name="OSRRefT16x_0" localSheetId="68">'309'!$T$17:$T$18</definedName>
    <definedName name="OSRRefT16x_0" localSheetId="67">'310'!$T$27:$T$28</definedName>
    <definedName name="OSRRefT16x_0" localSheetId="75">'310 &amp; 491'!$T$36:$T$37</definedName>
    <definedName name="OSRRefT16x_0" localSheetId="57">'311'!$T$45:$T$60</definedName>
    <definedName name="OSRRefT16x_0" localSheetId="69">'313'!$T$24:$T$25</definedName>
    <definedName name="OSRRefT16x_0" localSheetId="55">'314'!$T$36:$T$50</definedName>
    <definedName name="OSRRefT16x_0" localSheetId="60">'315'!$T$36:$T$51</definedName>
    <definedName name="OSRRefT16x_0" localSheetId="66">'317'!$T$39:$T$53</definedName>
    <definedName name="OSRRefT16x_0" localSheetId="64">'320'!$T$21:$T$25</definedName>
    <definedName name="OSRRefT16x_0" localSheetId="70">'321'!$T$17:$T$18</definedName>
    <definedName name="OSRRefT16x_0" localSheetId="71">'322'!$T$17:$T$18</definedName>
    <definedName name="OSRRefT16x_0" localSheetId="58">'324'!$T$19:$T$20</definedName>
    <definedName name="OSRRefT16x_0" localSheetId="72">'325'!$T$17:$T$18</definedName>
    <definedName name="OSRRefT16x_0" localSheetId="61">'326'!$T$39:$T$56</definedName>
    <definedName name="OSRRefT16x_0" localSheetId="73">'327'!$T$16</definedName>
    <definedName name="OSRRefT16x_0" localSheetId="53">'330'!$T$58:$T$81</definedName>
    <definedName name="OSRRefT16x_0" localSheetId="59">'331'!$T$47:$T$70</definedName>
    <definedName name="OSRRefT16x_0" localSheetId="62">'332'!$T$36:$T$40</definedName>
    <definedName name="OSRRefT16x_0" localSheetId="77">'405'!$T$17:$T$18</definedName>
    <definedName name="OSRRefT16x_0" localSheetId="78">'406'!$T$17:$T$18</definedName>
    <definedName name="OSRRefT16x_0" localSheetId="80">'412'!$T$18:$T$19</definedName>
    <definedName name="OSRRefT16x_0" localSheetId="82">'413'!$T$17:$T$18</definedName>
    <definedName name="OSRRefT16x_0" localSheetId="83">'414'!$T$17:$T$18</definedName>
    <definedName name="OSRRefT16x_0" localSheetId="84">'415'!$T$17:$T$18</definedName>
    <definedName name="OSRRefT16x_0" localSheetId="85">'418'!$T$17:$T$18</definedName>
    <definedName name="OSRRefT16x_0" localSheetId="81">'420'!$T$17:$T$18</definedName>
    <definedName name="OSRRefT16x_0" localSheetId="86">'423'!$T$15</definedName>
    <definedName name="OSRRefT16x_0" localSheetId="87">'424'!$T$19:$T$20</definedName>
    <definedName name="OSRRefT16x_0" localSheetId="88">'425'!$T$20:$T$21</definedName>
    <definedName name="OSRRefT16x_0" localSheetId="92">'433'!$T$19:$T$20</definedName>
    <definedName name="OSRRefT16x_0" localSheetId="93">'435'!$T$18:$T$19</definedName>
    <definedName name="OSRRefT16x_0" localSheetId="94">'444'!$T$18:$T$19</definedName>
    <definedName name="OSRRefT16x_0" localSheetId="95">'445'!$T$15</definedName>
    <definedName name="OSRRefT16x_0" localSheetId="96">'450'!$T$18:$T$19</definedName>
    <definedName name="OSRRefT16x_0" localSheetId="76">'491'!$T$27:$T$28</definedName>
    <definedName name="OSRRefT16x_0" localSheetId="90">'492'!$T$21:$T$22</definedName>
    <definedName name="OSRRefT16x_0" localSheetId="48">'Div 3'!$T$121:$T$173</definedName>
    <definedName name="OSRRefT16x_0" localSheetId="74">'Div 4'!$T$28:$T$29</definedName>
    <definedName name="OSRRefT16x_0" localSheetId="65">'Div 6'!$T$39:$T$53</definedName>
    <definedName name="OSRRefT16x_0" localSheetId="2">Summary!$T$149:$T$209</definedName>
    <definedName name="OSRRefT22_0x_0" localSheetId="40">'200'!$T$20:$T$21</definedName>
    <definedName name="OSRRefT22_0x_0" localSheetId="41">'201'!$T$20:$T$28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9">'300'!$T$174:$T$182</definedName>
    <definedName name="OSRRefT22_0x_0" localSheetId="50">'300 &amp; 317'!$T$200:$T$208</definedName>
    <definedName name="OSRRefT22_0x_0" localSheetId="51">'301'!$T$21:$T$28</definedName>
    <definedName name="OSRRefT22_0x_0" localSheetId="52">'306'!$T$20:$T$28</definedName>
    <definedName name="OSRRefT22_0x_0" localSheetId="54">'307'!$T$80:$T$87</definedName>
    <definedName name="OSRRefT22_0x_0" localSheetId="56">'308'!$T$68:$T$76</definedName>
    <definedName name="OSRRefT22_0x_0" localSheetId="68">'309'!$T$24:$T$31</definedName>
    <definedName name="OSRRefT22_0x_0" localSheetId="67">'310'!$T$34:$T$41</definedName>
    <definedName name="OSRRefT22_0x_0" localSheetId="75">'310 &amp; 491'!$T$43:$T$51</definedName>
    <definedName name="OSRRefT22_0x_0" localSheetId="57">'311'!$T$66:$T$74</definedName>
    <definedName name="OSRRefT22_0x_0" localSheetId="69">'313'!$T$31:$T$38</definedName>
    <definedName name="OSRRefT22_0x_0" localSheetId="55">'314'!$T$56:$T$64</definedName>
    <definedName name="OSRRefT22_0x_0" localSheetId="60">'315'!$T$57:$T$64</definedName>
    <definedName name="OSRRefT22_0x_0" localSheetId="63">'316'!$T$35:$T$42</definedName>
    <definedName name="OSRRefT22_0x_0" localSheetId="66">'317'!$T$59:$T$67</definedName>
    <definedName name="OSRRefT22_0x_0" localSheetId="64">'320'!$T$31:$T$38</definedName>
    <definedName name="OSRRefT22_0x_0" localSheetId="70">'321'!$T$24:$T$30</definedName>
    <definedName name="OSRRefT22_0x_0" localSheetId="71">'322'!$T$24:$T$31</definedName>
    <definedName name="OSRRefT22_0x_0" localSheetId="58">'324'!$T$26</definedName>
    <definedName name="OSRRefT22_0x_0" localSheetId="72">'325'!$T$24:$T$31</definedName>
    <definedName name="OSRRefT22_0x_0" localSheetId="61">'326'!$T$62:$T$69</definedName>
    <definedName name="OSRRefT22_0x_0" localSheetId="73">'327'!$T$22</definedName>
    <definedName name="OSRRefT22_0x_0" localSheetId="53">'330'!$T$87:$T$95</definedName>
    <definedName name="OSRRefT22_0x_0" localSheetId="59">'331'!$T$76:$T$83</definedName>
    <definedName name="OSRRefT22_0x_0" localSheetId="62">'332'!$T$46:$T$53</definedName>
    <definedName name="OSRRefT22_0x_0" localSheetId="77">'405'!$T$24:$T$31</definedName>
    <definedName name="OSRRefT22_0x_0" localSheetId="78">'406'!$T$24:$T$31</definedName>
    <definedName name="OSRRefT22_0x_0" localSheetId="79">'411'!$T$20:$T$28</definedName>
    <definedName name="OSRRefT22_0x_0" localSheetId="80">'412'!$T$25:$T$32</definedName>
    <definedName name="OSRRefT22_0x_0" localSheetId="82">'413'!$T$24:$T$31</definedName>
    <definedName name="OSRRefT22_0x_0" localSheetId="83">'414'!$T$24:$T$31</definedName>
    <definedName name="OSRRefT22_0x_0" localSheetId="84">'415'!$T$24:$T$31</definedName>
    <definedName name="OSRRefT22_0x_0" localSheetId="85">'418'!$T$24:$T$31</definedName>
    <definedName name="OSRRefT22_0x_0" localSheetId="81">'420'!$T$24:$T$31</definedName>
    <definedName name="OSRRefT22_0x_0" localSheetId="86">'423'!$T$21:$T$28</definedName>
    <definedName name="OSRRefT22_0x_0" localSheetId="87">'424'!$T$26:$T$28</definedName>
    <definedName name="OSRRefT22_0x_0" localSheetId="88">'425'!$T$27:$T$35</definedName>
    <definedName name="OSRRefT22_0x_0" localSheetId="91">'430'!$T$20:$T$27</definedName>
    <definedName name="OSRRefT22_0x_0" localSheetId="92">'433'!$T$26:$T$34</definedName>
    <definedName name="OSRRefT22_0x_0" localSheetId="93">'435'!$T$25:$T$27</definedName>
    <definedName name="OSRRefT22_0x_0" localSheetId="94">'444'!$T$25:$T$33</definedName>
    <definedName name="OSRRefT22_0x_0" localSheetId="95">'445'!$T$21</definedName>
    <definedName name="OSRRefT22_0x_0" localSheetId="96">'450'!$T$25:$T$33</definedName>
    <definedName name="OSRRefT22_0x_0" localSheetId="89">'455'!$T$20:$T$26</definedName>
    <definedName name="OSRRefT22_0x_0" localSheetId="76">'491'!$T$34:$T$42</definedName>
    <definedName name="OSRRefT22_0x_0" localSheetId="90">'492'!$T$28:$T$36</definedName>
    <definedName name="OSRRefT22_0x_0" localSheetId="98">'501'!$T$21:$T$28</definedName>
    <definedName name="OSRRefT22_0x_0" localSheetId="39">'Div 2'!$T$20:$T$30</definedName>
    <definedName name="OSRRefT22_0x_0" localSheetId="48">'Div 3'!$T$179:$T$187</definedName>
    <definedName name="OSRRefT22_0x_0" localSheetId="74">'Div 4'!$T$35:$T$43</definedName>
    <definedName name="OSRRefT22_0x_0" localSheetId="97">'Div 5'!$T$21:$T$28</definedName>
    <definedName name="OSRRefT22_0x_0" localSheetId="65">'Div 6'!$T$59:$T$67</definedName>
    <definedName name="OSRRefT22_0x_0" localSheetId="2">Summary!$T$215:$T$223</definedName>
    <definedName name="OSRRefT22_10x_0" localSheetId="41">'201'!$T$50:$T$52</definedName>
    <definedName name="OSRRefT22_10x_0" localSheetId="42">'202'!$T$52:$T$54</definedName>
    <definedName name="OSRRefT22_10x_0" localSheetId="43">'203'!$T$55:$T$56</definedName>
    <definedName name="OSRRefT22_10x_0" localSheetId="44">'204'!$T$60</definedName>
    <definedName name="OSRRefT22_10x_0" localSheetId="49">'300'!$T$211:$T$212</definedName>
    <definedName name="OSRRefT22_10x_0" localSheetId="50">'300 &amp; 317'!$T$237:$T$238</definedName>
    <definedName name="OSRRefT22_10x_0" localSheetId="51">'301'!$T$57</definedName>
    <definedName name="OSRRefT22_10x_0" localSheetId="52">'306'!$T$58</definedName>
    <definedName name="OSRRefT22_10x_0" localSheetId="54">'307'!$T$133:$T$134</definedName>
    <definedName name="OSRRefT22_10x_0" localSheetId="56">'308'!$T$112:$T$113</definedName>
    <definedName name="OSRRefT22_10x_0" localSheetId="68">'309'!$T$56:$T$58</definedName>
    <definedName name="OSRRefT22_10x_0" localSheetId="67">'310'!$T$68</definedName>
    <definedName name="OSRRefT22_10x_0" localSheetId="75">'310 &amp; 491'!$T$79:$T$80</definedName>
    <definedName name="OSRRefT22_10x_0" localSheetId="57">'311'!$T$110:$T$111</definedName>
    <definedName name="OSRRefT22_10x_0" localSheetId="69">'313'!$T$66:$T$67</definedName>
    <definedName name="OSRRefT22_10x_0" localSheetId="55">'314'!$T$98</definedName>
    <definedName name="OSRRefT22_10x_0" localSheetId="60">'315'!$T$99:$T$100</definedName>
    <definedName name="OSRRefT22_10x_0" localSheetId="63">'316'!$T$67:$T$71</definedName>
    <definedName name="OSRRefT22_10x_0" localSheetId="66">'317'!$T$99</definedName>
    <definedName name="OSRRefT22_10x_0" localSheetId="70">'321'!$T$58:$T$63</definedName>
    <definedName name="OSRRefT22_10x_0" localSheetId="71">'322'!$T$55</definedName>
    <definedName name="OSRRefT22_10x_0" localSheetId="72">'325'!$T$57</definedName>
    <definedName name="OSRRefT22_10x_0" localSheetId="61">'326'!$T$93:$T$107</definedName>
    <definedName name="OSRRefT22_10x_0" localSheetId="53">'330'!$T$141</definedName>
    <definedName name="OSRRefT22_10x_0" localSheetId="59">'331'!$T$110</definedName>
    <definedName name="OSRRefT22_10x_0" localSheetId="62">'332'!$T$82</definedName>
    <definedName name="OSRRefT22_10x_0" localSheetId="77">'405'!$T$56:$T$57</definedName>
    <definedName name="OSRRefT22_10x_0" localSheetId="78">'406'!$T$58:$T$59</definedName>
    <definedName name="OSRRefT22_10x_0" localSheetId="79">'411'!$T$55</definedName>
    <definedName name="OSRRefT22_10x_0" localSheetId="80">'412'!$T$59</definedName>
    <definedName name="OSRRefT22_10x_0" localSheetId="82">'413'!$T$59:$T$64</definedName>
    <definedName name="OSRRefT22_10x_0" localSheetId="83">'414'!$T$57</definedName>
    <definedName name="OSRRefT22_10x_0" localSheetId="84">'415'!$T$57</definedName>
    <definedName name="OSRRefT22_10x_0" localSheetId="85">'418'!$T$57</definedName>
    <definedName name="OSRRefT22_10x_0" localSheetId="87">'424'!$T$53</definedName>
    <definedName name="OSRRefT22_10x_0" localSheetId="88">'425'!$T$62</definedName>
    <definedName name="OSRRefT22_10x_0" localSheetId="92">'433'!$T$59:$T$61</definedName>
    <definedName name="OSRRefT22_10x_0" localSheetId="94">'444'!$T$58</definedName>
    <definedName name="OSRRefT22_10x_0" localSheetId="96">'450'!$T$58</definedName>
    <definedName name="OSRRefT22_10x_0" localSheetId="76">'491'!$T$70</definedName>
    <definedName name="OSRRefT22_10x_0" localSheetId="90">'492'!$T$62</definedName>
    <definedName name="OSRRefT22_10x_0" localSheetId="98">'501'!$T$54:$T$56</definedName>
    <definedName name="OSRRefT22_10x_0" localSheetId="39">'Div 2'!$T$57</definedName>
    <definedName name="OSRRefT22_10x_0" localSheetId="48">'Div 3'!$T$216:$T$217</definedName>
    <definedName name="OSRRefT22_10x_0" localSheetId="74">'Div 4'!$T$71</definedName>
    <definedName name="OSRRefT22_10x_0" localSheetId="97">'Div 5'!$T$54:$T$56</definedName>
    <definedName name="OSRRefT22_10x_0" localSheetId="65">'Div 6'!$T$99</definedName>
    <definedName name="OSRRefT22_10x_0" localSheetId="2">Summary!$T$253:$T$254</definedName>
    <definedName name="OSRRefT22_11x_0" localSheetId="41">'201'!$T$54:$T$56</definedName>
    <definedName name="OSRRefT22_11x_0" localSheetId="42">'202'!$T$56</definedName>
    <definedName name="OSRRefT22_11x_0" localSheetId="43">'203'!$T$58:$T$59</definedName>
    <definedName name="OSRRefT22_11x_0" localSheetId="44">'204'!$T$62:$T$63</definedName>
    <definedName name="OSRRefT22_11x_0" localSheetId="49">'300'!$T$214</definedName>
    <definedName name="OSRRefT22_11x_0" localSheetId="50">'300 &amp; 317'!$T$240</definedName>
    <definedName name="OSRRefT22_11x_0" localSheetId="51">'301'!$T$59</definedName>
    <definedName name="OSRRefT22_11x_0" localSheetId="54">'307'!$T$136:$T$138</definedName>
    <definedName name="OSRRefT22_11x_0" localSheetId="56">'308'!$T$115:$T$118</definedName>
    <definedName name="OSRRefT22_11x_0" localSheetId="68">'309'!$T$60</definedName>
    <definedName name="OSRRefT22_11x_0" localSheetId="67">'310'!$T$70</definedName>
    <definedName name="OSRRefT22_11x_0" localSheetId="75">'310 &amp; 491'!$T$82:$T$83</definedName>
    <definedName name="OSRRefT22_11x_0" localSheetId="57">'311'!$T$113:$T$116</definedName>
    <definedName name="OSRRefT22_11x_0" localSheetId="69">'313'!$T$69:$T$70</definedName>
    <definedName name="OSRRefT22_11x_0" localSheetId="55">'314'!$T$100</definedName>
    <definedName name="OSRRefT22_11x_0" localSheetId="60">'315'!$T$102:$T$103</definedName>
    <definedName name="OSRRefT22_11x_0" localSheetId="63">'316'!$T$73</definedName>
    <definedName name="OSRRefT22_11x_0" localSheetId="66">'317'!$T$101</definedName>
    <definedName name="OSRRefT22_11x_0" localSheetId="70">'321'!$T$65</definedName>
    <definedName name="OSRRefT22_11x_0" localSheetId="71">'322'!$T$57:$T$58</definedName>
    <definedName name="OSRRefT22_11x_0" localSheetId="72">'325'!$T$59:$T$61</definedName>
    <definedName name="OSRRefT22_11x_0" localSheetId="61">'326'!$T$109</definedName>
    <definedName name="OSRRefT22_11x_0" localSheetId="53">'330'!$T$143:$T$144</definedName>
    <definedName name="OSRRefT22_11x_0" localSheetId="59">'331'!$T$112:$T$126</definedName>
    <definedName name="OSRRefT22_11x_0" localSheetId="62">'332'!$T$84:$T$88</definedName>
    <definedName name="OSRRefT22_11x_0" localSheetId="77">'405'!$T$59</definedName>
    <definedName name="OSRRefT22_11x_0" localSheetId="78">'406'!$T$61:$T$66</definedName>
    <definedName name="OSRRefT22_11x_0" localSheetId="79">'411'!$T$57</definedName>
    <definedName name="OSRRefT22_11x_0" localSheetId="80">'412'!$T$61:$T$63</definedName>
    <definedName name="OSRRefT22_11x_0" localSheetId="82">'413'!$T$66</definedName>
    <definedName name="OSRRefT22_11x_0" localSheetId="83">'414'!$T$59</definedName>
    <definedName name="OSRRefT22_11x_0" localSheetId="84">'415'!$T$59:$T$62</definedName>
    <definedName name="OSRRefT22_11x_0" localSheetId="85">'418'!$T$59:$T$60</definedName>
    <definedName name="OSRRefT22_11x_0" localSheetId="87">'424'!$T$55</definedName>
    <definedName name="OSRRefT22_11x_0" localSheetId="88">'425'!$T$64:$T$66</definedName>
    <definedName name="OSRRefT22_11x_0" localSheetId="92">'433'!$T$63:$T$65</definedName>
    <definedName name="OSRRefT22_11x_0" localSheetId="94">'444'!$T$60:$T$62</definedName>
    <definedName name="OSRRefT22_11x_0" localSheetId="96">'450'!$T$60</definedName>
    <definedName name="OSRRefT22_11x_0" localSheetId="76">'491'!$T$72:$T$73</definedName>
    <definedName name="OSRRefT22_11x_0" localSheetId="90">'492'!$T$64</definedName>
    <definedName name="OSRRefT22_11x_0" localSheetId="98">'501'!$T$58</definedName>
    <definedName name="OSRRefT22_11x_0" localSheetId="39">'Div 2'!$T$59</definedName>
    <definedName name="OSRRefT22_11x_0" localSheetId="48">'Div 3'!$T$219</definedName>
    <definedName name="OSRRefT22_11x_0" localSheetId="74">'Div 4'!$T$73:$T$74</definedName>
    <definedName name="OSRRefT22_11x_0" localSheetId="97">'Div 5'!$T$58</definedName>
    <definedName name="OSRRefT22_11x_0" localSheetId="65">'Div 6'!$T$101</definedName>
    <definedName name="OSRRefT22_11x_0" localSheetId="2">Summary!$T$256:$T$257</definedName>
    <definedName name="OSRRefT22_12x_0" localSheetId="41">'201'!$T$58</definedName>
    <definedName name="OSRRefT22_12x_0" localSheetId="42">'202'!$T$58</definedName>
    <definedName name="OSRRefT22_12x_0" localSheetId="43">'203'!$T$61:$T$64</definedName>
    <definedName name="OSRRefT22_12x_0" localSheetId="49">'300'!$T$216</definedName>
    <definedName name="OSRRefT22_12x_0" localSheetId="50">'300 &amp; 317'!$T$242</definedName>
    <definedName name="OSRRefT22_12x_0" localSheetId="51">'301'!$T$61</definedName>
    <definedName name="OSRRefT22_12x_0" localSheetId="54">'307'!$T$140</definedName>
    <definedName name="OSRRefT22_12x_0" localSheetId="56">'308'!$T$120:$T$121</definedName>
    <definedName name="OSRRefT22_12x_0" localSheetId="68">'309'!$T$62:$T$68</definedName>
    <definedName name="OSRRefT22_12x_0" localSheetId="67">'310'!$T$72</definedName>
    <definedName name="OSRRefT22_12x_0" localSheetId="75">'310 &amp; 491'!$T$85</definedName>
    <definedName name="OSRRefT22_12x_0" localSheetId="57">'311'!$T$118:$T$119</definedName>
    <definedName name="OSRRefT22_12x_0" localSheetId="69">'313'!$T$72:$T$77</definedName>
    <definedName name="OSRRefT22_12x_0" localSheetId="60">'315'!$T$105:$T$109</definedName>
    <definedName name="OSRRefT22_12x_0" localSheetId="63">'316'!$T$75</definedName>
    <definedName name="OSRRefT22_12x_0" localSheetId="66">'317'!$T$103:$T$104</definedName>
    <definedName name="OSRRefT22_12x_0" localSheetId="70">'321'!$T$67</definedName>
    <definedName name="OSRRefT22_12x_0" localSheetId="71">'322'!$T$60:$T$62</definedName>
    <definedName name="OSRRefT22_12x_0" localSheetId="72">'325'!$T$63:$T$66</definedName>
    <definedName name="OSRRefT22_12x_0" localSheetId="61">'326'!$T$111</definedName>
    <definedName name="OSRRefT22_12x_0" localSheetId="53">'330'!$T$146:$T$147</definedName>
    <definedName name="OSRRefT22_12x_0" localSheetId="59">'331'!$T$128</definedName>
    <definedName name="OSRRefT22_12x_0" localSheetId="62">'332'!$T$90</definedName>
    <definedName name="OSRRefT22_12x_0" localSheetId="77">'405'!$T$61:$T$63</definedName>
    <definedName name="OSRRefT22_12x_0" localSheetId="78">'406'!$T$68</definedName>
    <definedName name="OSRRefT22_12x_0" localSheetId="79">'411'!$T$59:$T$62</definedName>
    <definedName name="OSRRefT22_12x_0" localSheetId="80">'412'!$T$65:$T$72</definedName>
    <definedName name="OSRRefT22_12x_0" localSheetId="82">'413'!$T$68</definedName>
    <definedName name="OSRRefT22_12x_0" localSheetId="83">'414'!$T$61</definedName>
    <definedName name="OSRRefT22_12x_0" localSheetId="84">'415'!$T$64:$T$68</definedName>
    <definedName name="OSRRefT22_12x_0" localSheetId="85">'418'!$T$62:$T$64</definedName>
    <definedName name="OSRRefT22_12x_0" localSheetId="87">'424'!$T$57:$T$63</definedName>
    <definedName name="OSRRefT22_12x_0" localSheetId="88">'425'!$T$68:$T$74</definedName>
    <definedName name="OSRRefT22_12x_0" localSheetId="92">'433'!$T$67:$T$74</definedName>
    <definedName name="OSRRefT22_12x_0" localSheetId="94">'444'!$T$64:$T$66</definedName>
    <definedName name="OSRRefT22_12x_0" localSheetId="96">'450'!$T$62:$T$64</definedName>
    <definedName name="OSRRefT22_12x_0" localSheetId="76">'491'!$T$75</definedName>
    <definedName name="OSRRefT22_12x_0" localSheetId="90">'492'!$T$66</definedName>
    <definedName name="OSRRefT22_12x_0" localSheetId="98">'501'!$T$60:$T$63</definedName>
    <definedName name="OSRRefT22_12x_0" localSheetId="39">'Div 2'!$T$61:$T$64</definedName>
    <definedName name="OSRRefT22_12x_0" localSheetId="48">'Div 3'!$T$221</definedName>
    <definedName name="OSRRefT22_12x_0" localSheetId="74">'Div 4'!$T$76</definedName>
    <definedName name="OSRRefT22_12x_0" localSheetId="97">'Div 5'!$T$60:$T$63</definedName>
    <definedName name="OSRRefT22_12x_0" localSheetId="65">'Div 6'!$T$103:$T$104</definedName>
    <definedName name="OSRRefT22_12x_0" localSheetId="2">Summary!$T$259</definedName>
    <definedName name="OSRRefT22_13x_0" localSheetId="41">'201'!$T$60:$T$63</definedName>
    <definedName name="OSRRefT22_13x_0" localSheetId="42">'202'!$T$60:$T$62</definedName>
    <definedName name="OSRRefT22_13x_0" localSheetId="43">'203'!$T$66</definedName>
    <definedName name="OSRRefT22_13x_0" localSheetId="49">'300'!$T$218:$T$251</definedName>
    <definedName name="OSRRefT22_13x_0" localSheetId="50">'300 &amp; 317'!$T$244:$T$280</definedName>
    <definedName name="OSRRefT22_13x_0" localSheetId="51">'301'!$T$63</definedName>
    <definedName name="OSRRefT22_13x_0" localSheetId="54">'307'!$T$142</definedName>
    <definedName name="OSRRefT22_13x_0" localSheetId="56">'308'!$T$123</definedName>
    <definedName name="OSRRefT22_13x_0" localSheetId="68">'309'!$T$70</definedName>
    <definedName name="OSRRefT22_13x_0" localSheetId="67">'310'!$T$74</definedName>
    <definedName name="OSRRefT22_13x_0" localSheetId="75">'310 &amp; 491'!$T$87</definedName>
    <definedName name="OSRRefT22_13x_0" localSheetId="57">'311'!$T$121</definedName>
    <definedName name="OSRRefT22_13x_0" localSheetId="69">'313'!$T$79</definedName>
    <definedName name="OSRRefT22_13x_0" localSheetId="60">'315'!$T$111</definedName>
    <definedName name="OSRRefT22_13x_0" localSheetId="66">'317'!$T$106</definedName>
    <definedName name="OSRRefT22_13x_0" localSheetId="70">'321'!$T$69</definedName>
    <definedName name="OSRRefT22_13x_0" localSheetId="71">'322'!$T$64</definedName>
    <definedName name="OSRRefT22_13x_0" localSheetId="72">'325'!$T$68:$T$69</definedName>
    <definedName name="OSRRefT22_13x_0" localSheetId="61">'326'!$T$113:$T$114</definedName>
    <definedName name="OSRRefT22_13x_0" localSheetId="53">'330'!$T$149</definedName>
    <definedName name="OSRRefT22_13x_0" localSheetId="59">'331'!$T$130</definedName>
    <definedName name="OSRRefT22_13x_0" localSheetId="62">'332'!$T$92</definedName>
    <definedName name="OSRRefT22_13x_0" localSheetId="77">'405'!$T$65:$T$66</definedName>
    <definedName name="OSRRefT22_13x_0" localSheetId="78">'406'!$T$70</definedName>
    <definedName name="OSRRefT22_13x_0" localSheetId="79">'411'!$T$64:$T$68</definedName>
    <definedName name="OSRRefT22_13x_0" localSheetId="80">'412'!$T$74</definedName>
    <definedName name="OSRRefT22_13x_0" localSheetId="82">'413'!$T$70</definedName>
    <definedName name="OSRRefT22_13x_0" localSheetId="83">'414'!$T$63:$T$69</definedName>
    <definedName name="OSRRefT22_13x_0" localSheetId="84">'415'!$T$70:$T$71</definedName>
    <definedName name="OSRRefT22_13x_0" localSheetId="85">'418'!$T$66:$T$68</definedName>
    <definedName name="OSRRefT22_13x_0" localSheetId="87">'424'!$T$65</definedName>
    <definedName name="OSRRefT22_13x_0" localSheetId="88">'425'!$T$76</definedName>
    <definedName name="OSRRefT22_13x_0" localSheetId="92">'433'!$T$76</definedName>
    <definedName name="OSRRefT22_13x_0" localSheetId="94">'444'!$T$68:$T$75</definedName>
    <definedName name="OSRRefT22_13x_0" localSheetId="96">'450'!$T$66:$T$68</definedName>
    <definedName name="OSRRefT22_13x_0" localSheetId="76">'491'!$T$77</definedName>
    <definedName name="OSRRefT22_13x_0" localSheetId="90">'492'!$T$68:$T$70</definedName>
    <definedName name="OSRRefT22_13x_0" localSheetId="98">'501'!$T$65</definedName>
    <definedName name="OSRRefT22_13x_0" localSheetId="39">'Div 2'!$T$66:$T$69</definedName>
    <definedName name="OSRRefT22_13x_0" localSheetId="48">'Div 3'!$T$223</definedName>
    <definedName name="OSRRefT22_13x_0" localSheetId="74">'Div 4'!$T$78</definedName>
    <definedName name="OSRRefT22_13x_0" localSheetId="97">'Div 5'!$T$65</definedName>
    <definedName name="OSRRefT22_13x_0" localSheetId="65">'Div 6'!$T$106</definedName>
    <definedName name="OSRRefT22_13x_0" localSheetId="2">Summary!$T$261</definedName>
    <definedName name="OSRRefT22_14x_0" localSheetId="41">'201'!$T$65</definedName>
    <definedName name="OSRRefT22_14x_0" localSheetId="42">'202'!$T$64</definedName>
    <definedName name="OSRRefT22_14x_0" localSheetId="43">'203'!$T$68</definedName>
    <definedName name="OSRRefT22_14x_0" localSheetId="49">'300'!$T$253</definedName>
    <definedName name="OSRRefT22_14x_0" localSheetId="50">'300 &amp; 317'!$T$282</definedName>
    <definedName name="OSRRefT22_14x_0" localSheetId="51">'301'!$T$65</definedName>
    <definedName name="OSRRefT22_14x_0" localSheetId="54">'307'!$T$144</definedName>
    <definedName name="OSRRefT22_14x_0" localSheetId="56">'308'!$T$125</definedName>
    <definedName name="OSRRefT22_14x_0" localSheetId="67">'310'!$T$76:$T$78</definedName>
    <definedName name="OSRRefT22_14x_0" localSheetId="75">'310 &amp; 491'!$T$89</definedName>
    <definedName name="OSRRefT22_14x_0" localSheetId="57">'311'!$T$123</definedName>
    <definedName name="OSRRefT22_14x_0" localSheetId="69">'313'!$T$81</definedName>
    <definedName name="OSRRefT22_14x_0" localSheetId="60">'315'!$T$113</definedName>
    <definedName name="OSRRefT22_14x_0" localSheetId="66">'317'!$T$108</definedName>
    <definedName name="OSRRefT22_14x_0" localSheetId="71">'322'!$T$66:$T$72</definedName>
    <definedName name="OSRRefT22_14x_0" localSheetId="72">'325'!$T$71:$T$76</definedName>
    <definedName name="OSRRefT22_14x_0" localSheetId="61">'326'!$T$116:$T$118</definedName>
    <definedName name="OSRRefT22_14x_0" localSheetId="53">'330'!$T$151:$T$153</definedName>
    <definedName name="OSRRefT22_14x_0" localSheetId="59">'331'!$T$132:$T$134</definedName>
    <definedName name="OSRRefT22_14x_0" localSheetId="77">'405'!$T$68:$T$74</definedName>
    <definedName name="OSRRefT22_14x_0" localSheetId="78">'406'!$T$72:$T$73</definedName>
    <definedName name="OSRRefT22_14x_0" localSheetId="79">'411'!$T$70:$T$71</definedName>
    <definedName name="OSRRefT22_14x_0" localSheetId="80">'412'!$T$76</definedName>
    <definedName name="OSRRefT22_14x_0" localSheetId="83">'414'!$T$71</definedName>
    <definedName name="OSRRefT22_14x_0" localSheetId="84">'415'!$T$73:$T$81</definedName>
    <definedName name="OSRRefT22_14x_0" localSheetId="85">'418'!$T$70:$T$71</definedName>
    <definedName name="OSRRefT22_14x_0" localSheetId="88">'425'!$T$78</definedName>
    <definedName name="OSRRefT22_14x_0" localSheetId="92">'433'!$T$78</definedName>
    <definedName name="OSRRefT22_14x_0" localSheetId="94">'444'!$T$77</definedName>
    <definedName name="OSRRefT22_14x_0" localSheetId="96">'450'!$T$70:$T$76</definedName>
    <definedName name="OSRRefT22_14x_0" localSheetId="76">'491'!$T$79</definedName>
    <definedName name="OSRRefT22_14x_0" localSheetId="90">'492'!$T$72:$T$74</definedName>
    <definedName name="OSRRefT22_14x_0" localSheetId="98">'501'!$T$67</definedName>
    <definedName name="OSRRefT22_14x_0" localSheetId="39">'Div 2'!$T$71:$T$72</definedName>
    <definedName name="OSRRefT22_14x_0" localSheetId="48">'Div 3'!$T$225:$T$258</definedName>
    <definedName name="OSRRefT22_14x_0" localSheetId="74">'Div 4'!$T$80</definedName>
    <definedName name="OSRRefT22_14x_0" localSheetId="97">'Div 5'!$T$67</definedName>
    <definedName name="OSRRefT22_14x_0" localSheetId="65">'Div 6'!$T$108</definedName>
    <definedName name="OSRRefT22_14x_0" localSheetId="2">Summary!$T$263:$T$299</definedName>
    <definedName name="OSRRefT22_15x_0" localSheetId="41">'201'!$T$67</definedName>
    <definedName name="OSRRefT22_15x_0" localSheetId="42">'202'!$T$66</definedName>
    <definedName name="OSRRefT22_15x_0" localSheetId="43">'203'!$T$70</definedName>
    <definedName name="OSRRefT22_15x_0" localSheetId="49">'300'!$T$255</definedName>
    <definedName name="OSRRefT22_15x_0" localSheetId="50">'300 &amp; 317'!$T$284</definedName>
    <definedName name="OSRRefT22_15x_0" localSheetId="51">'301'!$T$67</definedName>
    <definedName name="OSRRefT22_15x_0" localSheetId="67">'310'!$T$80</definedName>
    <definedName name="OSRRefT22_15x_0" localSheetId="75">'310 &amp; 491'!$T$91</definedName>
    <definedName name="OSRRefT22_15x_0" localSheetId="60">'315'!$T$115:$T$116</definedName>
    <definedName name="OSRRefT22_15x_0" localSheetId="66">'317'!$T$110:$T$111</definedName>
    <definedName name="OSRRefT22_15x_0" localSheetId="71">'322'!$T$74</definedName>
    <definedName name="OSRRefT22_15x_0" localSheetId="72">'325'!$T$78</definedName>
    <definedName name="OSRRefT22_15x_0" localSheetId="61">'326'!$T$120:$T$121</definedName>
    <definedName name="OSRRefT22_15x_0" localSheetId="53">'330'!$T$155</definedName>
    <definedName name="OSRRefT22_15x_0" localSheetId="59">'331'!$T$136:$T$137</definedName>
    <definedName name="OSRRefT22_15x_0" localSheetId="77">'405'!$T$76</definedName>
    <definedName name="OSRRefT22_15x_0" localSheetId="79">'411'!$T$73:$T$81</definedName>
    <definedName name="OSRRefT22_15x_0" localSheetId="83">'414'!$T$73</definedName>
    <definedName name="OSRRefT22_15x_0" localSheetId="84">'415'!$T$83</definedName>
    <definedName name="OSRRefT22_15x_0" localSheetId="85">'418'!$T$73:$T$80</definedName>
    <definedName name="OSRRefT22_15x_0" localSheetId="88">'425'!$T$80:$T$81</definedName>
    <definedName name="OSRRefT22_15x_0" localSheetId="92">'433'!$T$80:$T$81</definedName>
    <definedName name="OSRRefT22_15x_0" localSheetId="94">'444'!$T$79</definedName>
    <definedName name="OSRRefT22_15x_0" localSheetId="96">'450'!$T$78</definedName>
    <definedName name="OSRRefT22_15x_0" localSheetId="76">'491'!$T$81</definedName>
    <definedName name="OSRRefT22_15x_0" localSheetId="90">'492'!$T$76:$T$84</definedName>
    <definedName name="OSRRefT22_15x_0" localSheetId="39">'Div 2'!$T$74:$T$75</definedName>
    <definedName name="OSRRefT22_15x_0" localSheetId="48">'Div 3'!$T$260</definedName>
    <definedName name="OSRRefT22_15x_0" localSheetId="74">'Div 4'!$T$82</definedName>
    <definedName name="OSRRefT22_15x_0" localSheetId="65">'Div 6'!$T$110:$T$111</definedName>
    <definedName name="OSRRefT22_15x_0" localSheetId="2">Summary!$T$301</definedName>
    <definedName name="OSRRefT22_16x_0" localSheetId="41">'201'!$T$69:$T$70</definedName>
    <definedName name="OSRRefT22_16x_0" localSheetId="42">'202'!$T$68:$T$69</definedName>
    <definedName name="OSRRefT22_16x_0" localSheetId="49">'300'!$T$257:$T$260</definedName>
    <definedName name="OSRRefT22_16x_0" localSheetId="50">'300 &amp; 317'!$T$286:$T$289</definedName>
    <definedName name="OSRRefT22_16x_0" localSheetId="51">'301'!$T$69:$T$72</definedName>
    <definedName name="OSRRefT22_16x_0" localSheetId="67">'310'!$T$82:$T$85</definedName>
    <definedName name="OSRRefT22_16x_0" localSheetId="75">'310 &amp; 491'!$T$93:$T$96</definedName>
    <definedName name="OSRRefT22_16x_0" localSheetId="71">'322'!$T$76</definedName>
    <definedName name="OSRRefT22_16x_0" localSheetId="72">'325'!$T$80</definedName>
    <definedName name="OSRRefT22_16x_0" localSheetId="61">'326'!$T$123:$T$127</definedName>
    <definedName name="OSRRefT22_16x_0" localSheetId="53">'330'!$T$157</definedName>
    <definedName name="OSRRefT22_16x_0" localSheetId="59">'331'!$T$139:$T$141</definedName>
    <definedName name="OSRRefT22_16x_0" localSheetId="77">'405'!$T$78</definedName>
    <definedName name="OSRRefT22_16x_0" localSheetId="79">'411'!$T$83</definedName>
    <definedName name="OSRRefT22_16x_0" localSheetId="84">'415'!$T$85</definedName>
    <definedName name="OSRRefT22_16x_0" localSheetId="85">'418'!$T$82</definedName>
    <definedName name="OSRRefT22_16x_0" localSheetId="94">'444'!$T$81</definedName>
    <definedName name="OSRRefT22_16x_0" localSheetId="96">'450'!$T$80</definedName>
    <definedName name="OSRRefT22_16x_0" localSheetId="76">'491'!$T$83:$T$86</definedName>
    <definedName name="OSRRefT22_16x_0" localSheetId="90">'492'!$T$86</definedName>
    <definedName name="OSRRefT22_16x_0" localSheetId="39">'Div 2'!$T$77:$T$81</definedName>
    <definedName name="OSRRefT22_16x_0" localSheetId="48">'Div 3'!$T$262</definedName>
    <definedName name="OSRRefT22_16x_0" localSheetId="74">'Div 4'!$T$84</definedName>
    <definedName name="OSRRefT22_16x_0" localSheetId="2">Summary!$T$303</definedName>
    <definedName name="OSRRefT22_17x_0" localSheetId="49">'300'!$T$262:$T$264</definedName>
    <definedName name="OSRRefT22_17x_0" localSheetId="50">'300 &amp; 317'!$T$291:$T$293</definedName>
    <definedName name="OSRRefT22_17x_0" localSheetId="51">'301'!$T$74</definedName>
    <definedName name="OSRRefT22_17x_0" localSheetId="67">'310'!$T$87:$T$88</definedName>
    <definedName name="OSRRefT22_17x_0" localSheetId="75">'310 &amp; 491'!$T$98:$T$99</definedName>
    <definedName name="OSRRefT22_17x_0" localSheetId="71">'322'!$T$78</definedName>
    <definedName name="OSRRefT22_17x_0" localSheetId="72">'325'!$T$82</definedName>
    <definedName name="OSRRefT22_17x_0" localSheetId="61">'326'!$T$129</definedName>
    <definedName name="OSRRefT22_17x_0" localSheetId="53">'330'!$T$159</definedName>
    <definedName name="OSRRefT22_17x_0" localSheetId="59">'331'!$T$143:$T$144</definedName>
    <definedName name="OSRRefT22_17x_0" localSheetId="77">'405'!$T$80</definedName>
    <definedName name="OSRRefT22_17x_0" localSheetId="79">'411'!$T$85</definedName>
    <definedName name="OSRRefT22_17x_0" localSheetId="84">'415'!$T$87</definedName>
    <definedName name="OSRRefT22_17x_0" localSheetId="85">'418'!$T$84</definedName>
    <definedName name="OSRRefT22_17x_0" localSheetId="96">'450'!$T$82:$T$83</definedName>
    <definedName name="OSRRefT22_17x_0" localSheetId="76">'491'!$T$88:$T$89</definedName>
    <definedName name="OSRRefT22_17x_0" localSheetId="90">'492'!$T$88</definedName>
    <definedName name="OSRRefT22_17x_0" localSheetId="39">'Div 2'!$T$83:$T$84</definedName>
    <definedName name="OSRRefT22_17x_0" localSheetId="48">'Div 3'!$T$264:$T$267</definedName>
    <definedName name="OSRRefT22_17x_0" localSheetId="74">'Div 4'!$T$86:$T$89</definedName>
    <definedName name="OSRRefT22_17x_0" localSheetId="2">Summary!$T$305</definedName>
    <definedName name="OSRRefT22_18x_0" localSheetId="49">'300'!$T$266:$T$269</definedName>
    <definedName name="OSRRefT22_18x_0" localSheetId="50">'300 &amp; 317'!$T$295:$T$298</definedName>
    <definedName name="OSRRefT22_18x_0" localSheetId="51">'301'!$T$76:$T$78</definedName>
    <definedName name="OSRRefT22_18x_0" localSheetId="67">'310'!$T$90:$T$97</definedName>
    <definedName name="OSRRefT22_18x_0" localSheetId="75">'310 &amp; 491'!$T$101:$T$105</definedName>
    <definedName name="OSRRefT22_18x_0" localSheetId="61">'326'!$T$131</definedName>
    <definedName name="OSRRefT22_18x_0" localSheetId="59">'331'!$T$146:$T$151</definedName>
    <definedName name="OSRRefT22_18x_0" localSheetId="77">'405'!$T$82</definedName>
    <definedName name="OSRRefT22_18x_0" localSheetId="79">'411'!$T$87:$T$89</definedName>
    <definedName name="OSRRefT22_18x_0" localSheetId="84">'415'!$T$89</definedName>
    <definedName name="OSRRefT22_18x_0" localSheetId="76">'491'!$T$91:$T$95</definedName>
    <definedName name="OSRRefT22_18x_0" localSheetId="90">'492'!$T$90:$T$91</definedName>
    <definedName name="OSRRefT22_18x_0" localSheetId="39">'Div 2'!$T$86</definedName>
    <definedName name="OSRRefT22_18x_0" localSheetId="48">'Div 3'!$T$269:$T$271</definedName>
    <definedName name="OSRRefT22_18x_0" localSheetId="74">'Div 4'!$T$91:$T$92</definedName>
    <definedName name="OSRRefT22_18x_0" localSheetId="2">Summary!$T$307:$T$310</definedName>
    <definedName name="OSRRefT22_19x_0" localSheetId="49">'300'!$T$271:$T$272</definedName>
    <definedName name="OSRRefT22_19x_0" localSheetId="50">'300 &amp; 317'!$T$300:$T$301</definedName>
    <definedName name="OSRRefT22_19x_0" localSheetId="51">'301'!$T$80:$T$81</definedName>
    <definedName name="OSRRefT22_19x_0" localSheetId="67">'310'!$T$99</definedName>
    <definedName name="OSRRefT22_19x_0" localSheetId="75">'310 &amp; 491'!$T$107:$T$108</definedName>
    <definedName name="OSRRefT22_19x_0" localSheetId="61">'326'!$T$133</definedName>
    <definedName name="OSRRefT22_19x_0" localSheetId="59">'331'!$T$153</definedName>
    <definedName name="OSRRefT22_19x_0" localSheetId="79">'411'!$T$91</definedName>
    <definedName name="OSRRefT22_19x_0" localSheetId="76">'491'!$T$97:$T$98</definedName>
    <definedName name="OSRRefT22_19x_0" localSheetId="39">'Div 2'!$T$88:$T$89</definedName>
    <definedName name="OSRRefT22_19x_0" localSheetId="48">'Div 3'!$T$273:$T$277</definedName>
    <definedName name="OSRRefT22_19x_0" localSheetId="74">'Div 4'!$T$94:$T$98</definedName>
    <definedName name="OSRRefT22_19x_0" localSheetId="2">Summary!$T$312:$T$314</definedName>
    <definedName name="OSRRefT22_1x_0" localSheetId="40">'200'!$T$23</definedName>
    <definedName name="OSRRefT22_1x_0" localSheetId="41">'201'!$T$30:$T$32</definedName>
    <definedName name="OSRRefT22_1x_0" localSheetId="42">'202'!$T$29:$T$34</definedName>
    <definedName name="OSRRefT22_1x_0" localSheetId="43">'203'!$T$31:$T$35</definedName>
    <definedName name="OSRRefT22_1x_0" localSheetId="44">'204'!$T$31:$T$36</definedName>
    <definedName name="OSRRefT22_1x_0" localSheetId="45">'205'!$T$29</definedName>
    <definedName name="OSRRefT22_1x_0" localSheetId="46">'206'!$T$29:$T$34</definedName>
    <definedName name="OSRRefT22_1x_0" localSheetId="49">'300'!$T$184:$T$190</definedName>
    <definedName name="OSRRefT22_1x_0" localSheetId="50">'300 &amp; 317'!$T$210:$T$216</definedName>
    <definedName name="OSRRefT22_1x_0" localSheetId="51">'301'!$T$30:$T$36</definedName>
    <definedName name="OSRRefT22_1x_0" localSheetId="52">'306'!$T$30:$T$35</definedName>
    <definedName name="OSRRefT22_1x_0" localSheetId="54">'307'!$T$89:$T$92</definedName>
    <definedName name="OSRRefT22_1x_0" localSheetId="56">'308'!$T$78:$T$82</definedName>
    <definedName name="OSRRefT22_1x_0" localSheetId="68">'309'!$T$33:$T$37</definedName>
    <definedName name="OSRRefT22_1x_0" localSheetId="67">'310'!$T$43:$T$48</definedName>
    <definedName name="OSRRefT22_1x_0" localSheetId="75">'310 &amp; 491'!$T$53:$T$59</definedName>
    <definedName name="OSRRefT22_1x_0" localSheetId="57">'311'!$T$76:$T$80</definedName>
    <definedName name="OSRRefT22_1x_0" localSheetId="69">'313'!$T$40:$T$45</definedName>
    <definedName name="OSRRefT22_1x_0" localSheetId="55">'314'!$T$66:$T$69</definedName>
    <definedName name="OSRRefT22_1x_0" localSheetId="60">'315'!$T$66:$T$71</definedName>
    <definedName name="OSRRefT22_1x_0" localSheetId="63">'316'!$T$44:$T$47</definedName>
    <definedName name="OSRRefT22_1x_0" localSheetId="66">'317'!$T$69:$T$73</definedName>
    <definedName name="OSRRefT22_1x_0" localSheetId="64">'320'!$T$40:$T$45</definedName>
    <definedName name="OSRRefT22_1x_0" localSheetId="70">'321'!$T$32:$T$36</definedName>
    <definedName name="OSRRefT22_1x_0" localSheetId="71">'322'!$T$33:$T$37</definedName>
    <definedName name="OSRRefT22_1x_0" localSheetId="72">'325'!$T$33:$T$38</definedName>
    <definedName name="OSRRefT22_1x_0" localSheetId="61">'326'!$T$71:$T$75</definedName>
    <definedName name="OSRRefT22_1x_0" localSheetId="73">'327'!$T$24</definedName>
    <definedName name="OSRRefT22_1x_0" localSheetId="53">'330'!$T$97:$T$101</definedName>
    <definedName name="OSRRefT22_1x_0" localSheetId="59">'331'!$T$85:$T$90</definedName>
    <definedName name="OSRRefT22_1x_0" localSheetId="62">'332'!$T$55:$T$60</definedName>
    <definedName name="OSRRefT22_1x_0" localSheetId="77">'405'!$T$33:$T$37</definedName>
    <definedName name="OSRRefT22_1x_0" localSheetId="78">'406'!$T$33:$T$38</definedName>
    <definedName name="OSRRefT22_1x_0" localSheetId="79">'411'!$T$30:$T$35</definedName>
    <definedName name="OSRRefT22_1x_0" localSheetId="80">'412'!$T$34:$T$39</definedName>
    <definedName name="OSRRefT22_1x_0" localSheetId="82">'413'!$T$33:$T$38</definedName>
    <definedName name="OSRRefT22_1x_0" localSheetId="83">'414'!$T$33:$T$38</definedName>
    <definedName name="OSRRefT22_1x_0" localSheetId="84">'415'!$T$33:$T$38</definedName>
    <definedName name="OSRRefT22_1x_0" localSheetId="85">'418'!$T$33:$T$38</definedName>
    <definedName name="OSRRefT22_1x_0" localSheetId="81">'420'!$T$33:$T$36</definedName>
    <definedName name="OSRRefT22_1x_0" localSheetId="86">'423'!$T$30:$T$31</definedName>
    <definedName name="OSRRefT22_1x_0" localSheetId="87">'424'!$T$30:$T$34</definedName>
    <definedName name="OSRRefT22_1x_0" localSheetId="88">'425'!$T$37:$T$42</definedName>
    <definedName name="OSRRefT22_1x_0" localSheetId="91">'430'!$T$29</definedName>
    <definedName name="OSRRefT22_1x_0" localSheetId="92">'433'!$T$36:$T$41</definedName>
    <definedName name="OSRRefT22_1x_0" localSheetId="93">'435'!$T$29:$T$31</definedName>
    <definedName name="OSRRefT22_1x_0" localSheetId="94">'444'!$T$35:$T$40</definedName>
    <definedName name="OSRRefT22_1x_0" localSheetId="96">'450'!$T$35:$T$40</definedName>
    <definedName name="OSRRefT22_1x_0" localSheetId="89">'455'!$T$28:$T$29</definedName>
    <definedName name="OSRRefT22_1x_0" localSheetId="76">'491'!$T$44:$T$50</definedName>
    <definedName name="OSRRefT22_1x_0" localSheetId="90">'492'!$T$38:$T$44</definedName>
    <definedName name="OSRRefT22_1x_0" localSheetId="98">'501'!$T$30:$T$35</definedName>
    <definedName name="OSRRefT22_1x_0" localSheetId="39">'Div 2'!$T$32:$T$38</definedName>
    <definedName name="OSRRefT22_1x_0" localSheetId="48">'Div 3'!$T$189:$T$195</definedName>
    <definedName name="OSRRefT22_1x_0" localSheetId="74">'Div 4'!$T$45:$T$51</definedName>
    <definedName name="OSRRefT22_1x_0" localSheetId="97">'Div 5'!$T$30:$T$35</definedName>
    <definedName name="OSRRefT22_1x_0" localSheetId="65">'Div 6'!$T$69:$T$73</definedName>
    <definedName name="OSRRefT22_1x_0" localSheetId="2">Summary!$T$225:$T$231</definedName>
    <definedName name="OSRRefT22_20x_0" localSheetId="49">'300'!$T$274:$T$281</definedName>
    <definedName name="OSRRefT22_20x_0" localSheetId="50">'300 &amp; 317'!$T$303:$T$310</definedName>
    <definedName name="OSRRefT22_20x_0" localSheetId="51">'301'!$T$83:$T$89</definedName>
    <definedName name="OSRRefT22_20x_0" localSheetId="67">'310'!$T$101</definedName>
    <definedName name="OSRRefT22_20x_0" localSheetId="75">'310 &amp; 491'!$T$110:$T$119</definedName>
    <definedName name="OSRRefT22_20x_0" localSheetId="61">'326'!$T$135</definedName>
    <definedName name="OSRRefT22_20x_0" localSheetId="59">'331'!$T$155</definedName>
    <definedName name="OSRRefT22_20x_0" localSheetId="76">'491'!$T$100:$T$109</definedName>
    <definedName name="OSRRefT22_20x_0" localSheetId="48">'Div 3'!$T$279:$T$280</definedName>
    <definedName name="OSRRefT22_20x_0" localSheetId="74">'Div 4'!$T$100:$T$101</definedName>
    <definedName name="OSRRefT22_20x_0" localSheetId="2">Summary!$T$316:$T$320</definedName>
    <definedName name="OSRRefT22_21x_0" localSheetId="49">'300'!$T$283:$T$284</definedName>
    <definedName name="OSRRefT22_21x_0" localSheetId="50">'300 &amp; 317'!$T$312:$T$313</definedName>
    <definedName name="OSRRefT22_21x_0" localSheetId="51">'301'!$T$91</definedName>
    <definedName name="OSRRefT22_21x_0" localSheetId="67">'310'!$T$103</definedName>
    <definedName name="OSRRefT22_21x_0" localSheetId="75">'310 &amp; 491'!$T$121</definedName>
    <definedName name="OSRRefT22_21x_0" localSheetId="59">'331'!$T$157:$T$158</definedName>
    <definedName name="OSRRefT22_21x_0" localSheetId="76">'491'!$T$111</definedName>
    <definedName name="OSRRefT22_21x_0" localSheetId="48">'Div 3'!$T$282:$T$290</definedName>
    <definedName name="OSRRefT22_21x_0" localSheetId="74">'Div 4'!$T$103:$T$112</definedName>
    <definedName name="OSRRefT22_21x_0" localSheetId="2">Summary!$T$322:$T$323</definedName>
    <definedName name="OSRRefT22_22x_0" localSheetId="49">'300'!$T$286</definedName>
    <definedName name="OSRRefT22_22x_0" localSheetId="50">'300 &amp; 317'!$T$315</definedName>
    <definedName name="OSRRefT22_22x_0" localSheetId="51">'301'!$T$93</definedName>
    <definedName name="OSRRefT22_22x_0" localSheetId="67">'310'!$T$105</definedName>
    <definedName name="OSRRefT22_22x_0" localSheetId="75">'310 &amp; 491'!$T$123</definedName>
    <definedName name="OSRRefT22_22x_0" localSheetId="59">'331'!$T$160</definedName>
    <definedName name="OSRRefT22_22x_0" localSheetId="76">'491'!$T$113</definedName>
    <definedName name="OSRRefT22_22x_0" localSheetId="48">'Div 3'!$T$292:$T$293</definedName>
    <definedName name="OSRRefT22_22x_0" localSheetId="74">'Div 4'!$T$114</definedName>
    <definedName name="OSRRefT22_22x_0" localSheetId="2">Summary!$T$325:$T$334</definedName>
    <definedName name="OSRRefT22_23x_0" localSheetId="49">'300'!$T$288:$T$290</definedName>
    <definedName name="OSRRefT22_23x_0" localSheetId="50">'300 &amp; 317'!$T$317:$T$319</definedName>
    <definedName name="OSRRefT22_23x_0" localSheetId="51">'301'!$T$95:$T$97</definedName>
    <definedName name="OSRRefT22_23x_0" localSheetId="75">'310 &amp; 491'!$T$125:$T$127</definedName>
    <definedName name="OSRRefT22_23x_0" localSheetId="76">'491'!$T$115:$T$117</definedName>
    <definedName name="OSRRefT22_23x_0" localSheetId="48">'Div 3'!$T$295</definedName>
    <definedName name="OSRRefT22_23x_0" localSheetId="74">'Div 4'!$T$116</definedName>
    <definedName name="OSRRefT22_23x_0" localSheetId="2">Summary!$T$336:$T$337</definedName>
    <definedName name="OSRRefT22_24x_0" localSheetId="49">'300'!$T$292</definedName>
    <definedName name="OSRRefT22_24x_0" localSheetId="50">'300 &amp; 317'!$T$321</definedName>
    <definedName name="OSRRefT22_24x_0" localSheetId="51">'301'!$T$99</definedName>
    <definedName name="OSRRefT22_24x_0" localSheetId="75">'310 &amp; 491'!$T$129</definedName>
    <definedName name="OSRRefT22_24x_0" localSheetId="76">'491'!$T$119</definedName>
    <definedName name="OSRRefT22_24x_0" localSheetId="48">'Div 3'!$T$297:$T$299</definedName>
    <definedName name="OSRRefT22_24x_0" localSheetId="74">'Div 4'!$T$118:$T$120</definedName>
    <definedName name="OSRRefT22_24x_0" localSheetId="2">Summary!$T$339</definedName>
    <definedName name="OSRRefT22_25x_0" localSheetId="48">'Div 3'!$T$301</definedName>
    <definedName name="OSRRefT22_25x_0" localSheetId="74">'Div 4'!$T$122</definedName>
    <definedName name="OSRRefT22_25x_0" localSheetId="2">Summary!$T$341:$T$343</definedName>
    <definedName name="OSRRefT22_26x_0" localSheetId="2">Summary!$T$345</definedName>
    <definedName name="OSRRefT22_2x_0" localSheetId="40">'200'!$T$25</definedName>
    <definedName name="OSRRefT22_2x_0" localSheetId="41">'201'!$T$34</definedName>
    <definedName name="OSRRefT22_2x_0" localSheetId="42">'202'!$T$36</definedName>
    <definedName name="OSRRefT22_2x_0" localSheetId="43">'203'!$T$37</definedName>
    <definedName name="OSRRefT22_2x_0" localSheetId="44">'204'!$T$38</definedName>
    <definedName name="OSRRefT22_2x_0" localSheetId="45">'205'!$T$31</definedName>
    <definedName name="OSRRefT22_2x_0" localSheetId="46">'206'!$T$36</definedName>
    <definedName name="OSRRefT22_2x_0" localSheetId="49">'300'!$T$192</definedName>
    <definedName name="OSRRefT22_2x_0" localSheetId="50">'300 &amp; 317'!$T$218</definedName>
    <definedName name="OSRRefT22_2x_0" localSheetId="51">'301'!$T$38</definedName>
    <definedName name="OSRRefT22_2x_0" localSheetId="52">'306'!$T$37</definedName>
    <definedName name="OSRRefT22_2x_0" localSheetId="54">'307'!$T$94</definedName>
    <definedName name="OSRRefT22_2x_0" localSheetId="56">'308'!$T$84</definedName>
    <definedName name="OSRRefT22_2x_0" localSheetId="68">'309'!$T$39</definedName>
    <definedName name="OSRRefT22_2x_0" localSheetId="67">'310'!$T$50</definedName>
    <definedName name="OSRRefT22_2x_0" localSheetId="75">'310 &amp; 491'!$T$61</definedName>
    <definedName name="OSRRefT22_2x_0" localSheetId="57">'311'!$T$82</definedName>
    <definedName name="OSRRefT22_2x_0" localSheetId="69">'313'!$T$47</definedName>
    <definedName name="OSRRefT22_2x_0" localSheetId="55">'314'!$T$71</definedName>
    <definedName name="OSRRefT22_2x_0" localSheetId="60">'315'!$T$73</definedName>
    <definedName name="OSRRefT22_2x_0" localSheetId="63">'316'!$T$49</definedName>
    <definedName name="OSRRefT22_2x_0" localSheetId="66">'317'!$T$75</definedName>
    <definedName name="OSRRefT22_2x_0" localSheetId="64">'320'!$T$47</definedName>
    <definedName name="OSRRefT22_2x_0" localSheetId="70">'321'!$T$38</definedName>
    <definedName name="OSRRefT22_2x_0" localSheetId="71">'322'!$T$39</definedName>
    <definedName name="OSRRefT22_2x_0" localSheetId="72">'325'!$T$40</definedName>
    <definedName name="OSRRefT22_2x_0" localSheetId="61">'326'!$T$77</definedName>
    <definedName name="OSRRefT22_2x_0" localSheetId="73">'327'!$T$26</definedName>
    <definedName name="OSRRefT22_2x_0" localSheetId="53">'330'!$T$103</definedName>
    <definedName name="OSRRefT22_2x_0" localSheetId="59">'331'!$T$92</definedName>
    <definedName name="OSRRefT22_2x_0" localSheetId="62">'332'!$T$62</definedName>
    <definedName name="OSRRefT22_2x_0" localSheetId="77">'405'!$T$39</definedName>
    <definedName name="OSRRefT22_2x_0" localSheetId="78">'406'!$T$40</definedName>
    <definedName name="OSRRefT22_2x_0" localSheetId="79">'411'!$T$37</definedName>
    <definedName name="OSRRefT22_2x_0" localSheetId="80">'412'!$T$41</definedName>
    <definedName name="OSRRefT22_2x_0" localSheetId="82">'413'!$T$40</definedName>
    <definedName name="OSRRefT22_2x_0" localSheetId="83">'414'!$T$40</definedName>
    <definedName name="OSRRefT22_2x_0" localSheetId="84">'415'!$T$40</definedName>
    <definedName name="OSRRefT22_2x_0" localSheetId="85">'418'!$T$40</definedName>
    <definedName name="OSRRefT22_2x_0" localSheetId="81">'420'!$T$38</definedName>
    <definedName name="OSRRefT22_2x_0" localSheetId="86">'423'!$T$33</definedName>
    <definedName name="OSRRefT22_2x_0" localSheetId="87">'424'!$T$36</definedName>
    <definedName name="OSRRefT22_2x_0" localSheetId="88">'425'!$T$44</definedName>
    <definedName name="OSRRefT22_2x_0" localSheetId="91">'430'!$T$31</definedName>
    <definedName name="OSRRefT22_2x_0" localSheetId="92">'433'!$T$43</definedName>
    <definedName name="OSRRefT22_2x_0" localSheetId="93">'435'!$T$33</definedName>
    <definedName name="OSRRefT22_2x_0" localSheetId="94">'444'!$T$42</definedName>
    <definedName name="OSRRefT22_2x_0" localSheetId="96">'450'!$T$42</definedName>
    <definedName name="OSRRefT22_2x_0" localSheetId="89">'455'!$T$31</definedName>
    <definedName name="OSRRefT22_2x_0" localSheetId="76">'491'!$T$52</definedName>
    <definedName name="OSRRefT22_2x_0" localSheetId="90">'492'!$T$46</definedName>
    <definedName name="OSRRefT22_2x_0" localSheetId="98">'501'!$T$37</definedName>
    <definedName name="OSRRefT22_2x_0" localSheetId="39">'Div 2'!$T$40</definedName>
    <definedName name="OSRRefT22_2x_0" localSheetId="48">'Div 3'!$T$197</definedName>
    <definedName name="OSRRefT22_2x_0" localSheetId="74">'Div 4'!$T$53</definedName>
    <definedName name="OSRRefT22_2x_0" localSheetId="97">'Div 5'!$T$37</definedName>
    <definedName name="OSRRefT22_2x_0" localSheetId="65">'Div 6'!$T$75</definedName>
    <definedName name="OSRRefT22_2x_0" localSheetId="2">Summary!$T$233</definedName>
    <definedName name="OSRRefT22_3x_0" localSheetId="40">'200'!$T$27</definedName>
    <definedName name="OSRRefT22_3x_0" localSheetId="41">'201'!$T$36</definedName>
    <definedName name="OSRRefT22_3x_0" localSheetId="42">'202'!$T$38</definedName>
    <definedName name="OSRRefT22_3x_0" localSheetId="43">'203'!$T$39</definedName>
    <definedName name="OSRRefT22_3x_0" localSheetId="44">'204'!$T$40:$T$41</definedName>
    <definedName name="OSRRefT22_3x_0" localSheetId="45">'205'!$T$33</definedName>
    <definedName name="OSRRefT22_3x_0" localSheetId="46">'206'!$T$38</definedName>
    <definedName name="OSRRefT22_3x_0" localSheetId="49">'300'!$T$194:$T$195</definedName>
    <definedName name="OSRRefT22_3x_0" localSheetId="50">'300 &amp; 317'!$T$220:$T$221</definedName>
    <definedName name="OSRRefT22_3x_0" localSheetId="51">'301'!$T$40:$T$41</definedName>
    <definedName name="OSRRefT22_3x_0" localSheetId="52">'306'!$T$39</definedName>
    <definedName name="OSRRefT22_3x_0" localSheetId="54">'307'!$T$96</definedName>
    <definedName name="OSRRefT22_3x_0" localSheetId="56">'308'!$T$86:$T$87</definedName>
    <definedName name="OSRRefT22_3x_0" localSheetId="68">'309'!$T$41</definedName>
    <definedName name="OSRRefT22_3x_0" localSheetId="67">'310'!$T$52</definedName>
    <definedName name="OSRRefT22_3x_0" localSheetId="75">'310 &amp; 491'!$T$63</definedName>
    <definedName name="OSRRefT22_3x_0" localSheetId="57">'311'!$T$84:$T$85</definedName>
    <definedName name="OSRRefT22_3x_0" localSheetId="69">'313'!$T$49</definedName>
    <definedName name="OSRRefT22_3x_0" localSheetId="55">'314'!$T$73:$T$74</definedName>
    <definedName name="OSRRefT22_3x_0" localSheetId="60">'315'!$T$75:$T$76</definedName>
    <definedName name="OSRRefT22_3x_0" localSheetId="63">'316'!$T$51</definedName>
    <definedName name="OSRRefT22_3x_0" localSheetId="66">'317'!$T$77</definedName>
    <definedName name="OSRRefT22_3x_0" localSheetId="64">'320'!$T$49</definedName>
    <definedName name="OSRRefT22_3x_0" localSheetId="70">'321'!$T$40</definedName>
    <definedName name="OSRRefT22_3x_0" localSheetId="71">'322'!$T$41</definedName>
    <definedName name="OSRRefT22_3x_0" localSheetId="72">'325'!$T$42</definedName>
    <definedName name="OSRRefT22_3x_0" localSheetId="61">'326'!$T$79</definedName>
    <definedName name="OSRRefT22_3x_0" localSheetId="53">'330'!$T$105</definedName>
    <definedName name="OSRRefT22_3x_0" localSheetId="59">'331'!$T$94</definedName>
    <definedName name="OSRRefT22_3x_0" localSheetId="62">'332'!$T$64</definedName>
    <definedName name="OSRRefT22_3x_0" localSheetId="77">'405'!$T$41</definedName>
    <definedName name="OSRRefT22_3x_0" localSheetId="78">'406'!$T$42</definedName>
    <definedName name="OSRRefT22_3x_0" localSheetId="79">'411'!$T$39</definedName>
    <definedName name="OSRRefT22_3x_0" localSheetId="80">'412'!$T$43</definedName>
    <definedName name="OSRRefT22_3x_0" localSheetId="82">'413'!$T$42</definedName>
    <definedName name="OSRRefT22_3x_0" localSheetId="83">'414'!$T$42</definedName>
    <definedName name="OSRRefT22_3x_0" localSheetId="84">'415'!$T$42</definedName>
    <definedName name="OSRRefT22_3x_0" localSheetId="85">'418'!$T$42</definedName>
    <definedName name="OSRRefT22_3x_0" localSheetId="81">'420'!$T$40</definedName>
    <definedName name="OSRRefT22_3x_0" localSheetId="86">'423'!$T$35</definedName>
    <definedName name="OSRRefT22_3x_0" localSheetId="87">'424'!$T$38</definedName>
    <definedName name="OSRRefT22_3x_0" localSheetId="88">'425'!$T$46</definedName>
    <definedName name="OSRRefT22_3x_0" localSheetId="91">'430'!$T$33</definedName>
    <definedName name="OSRRefT22_3x_0" localSheetId="92">'433'!$T$45</definedName>
    <definedName name="OSRRefT22_3x_0" localSheetId="93">'435'!$T$35</definedName>
    <definedName name="OSRRefT22_3x_0" localSheetId="94">'444'!$T$44</definedName>
    <definedName name="OSRRefT22_3x_0" localSheetId="96">'450'!$T$44</definedName>
    <definedName name="OSRRefT22_3x_0" localSheetId="76">'491'!$T$54</definedName>
    <definedName name="OSRRefT22_3x_0" localSheetId="90">'492'!$T$48</definedName>
    <definedName name="OSRRefT22_3x_0" localSheetId="98">'501'!$T$39</definedName>
    <definedName name="OSRRefT22_3x_0" localSheetId="39">'Div 2'!$T$42</definedName>
    <definedName name="OSRRefT22_3x_0" localSheetId="48">'Div 3'!$T$199:$T$200</definedName>
    <definedName name="OSRRefT22_3x_0" localSheetId="74">'Div 4'!$T$55</definedName>
    <definedName name="OSRRefT22_3x_0" localSheetId="97">'Div 5'!$T$39</definedName>
    <definedName name="OSRRefT22_3x_0" localSheetId="65">'Div 6'!$T$77</definedName>
    <definedName name="OSRRefT22_3x_0" localSheetId="2">Summary!$T$235:$T$236</definedName>
    <definedName name="OSRRefT22_4x_0" localSheetId="40">'200'!$T$29:$T$30</definedName>
    <definedName name="OSRRefT22_4x_0" localSheetId="41">'201'!$T$38</definedName>
    <definedName name="OSRRefT22_4x_0" localSheetId="42">'202'!$T$40</definedName>
    <definedName name="OSRRefT22_4x_0" localSheetId="43">'203'!$T$41</definedName>
    <definedName name="OSRRefT22_4x_0" localSheetId="44">'204'!$T$43</definedName>
    <definedName name="OSRRefT22_4x_0" localSheetId="45">'205'!$T$35:$T$37</definedName>
    <definedName name="OSRRefT22_4x_0" localSheetId="46">'206'!$T$40</definedName>
    <definedName name="OSRRefT22_4x_0" localSheetId="49">'300'!$T$197</definedName>
    <definedName name="OSRRefT22_4x_0" localSheetId="50">'300 &amp; 317'!$T$223</definedName>
    <definedName name="OSRRefT22_4x_0" localSheetId="51">'301'!$T$43</definedName>
    <definedName name="OSRRefT22_4x_0" localSheetId="52">'306'!$T$41</definedName>
    <definedName name="OSRRefT22_4x_0" localSheetId="54">'307'!$T$98:$T$99</definedName>
    <definedName name="OSRRefT22_4x_0" localSheetId="56">'308'!$T$89</definedName>
    <definedName name="OSRRefT22_4x_0" localSheetId="68">'309'!$T$43</definedName>
    <definedName name="OSRRefT22_4x_0" localSheetId="67">'310'!$T$54</definedName>
    <definedName name="OSRRefT22_4x_0" localSheetId="75">'310 &amp; 491'!$T$65</definedName>
    <definedName name="OSRRefT22_4x_0" localSheetId="57">'311'!$T$87</definedName>
    <definedName name="OSRRefT22_4x_0" localSheetId="69">'313'!$T$51</definedName>
    <definedName name="OSRRefT22_4x_0" localSheetId="55">'314'!$T$76</definedName>
    <definedName name="OSRRefT22_4x_0" localSheetId="60">'315'!$T$78</definedName>
    <definedName name="OSRRefT22_4x_0" localSheetId="63">'316'!$T$53</definedName>
    <definedName name="OSRRefT22_4x_0" localSheetId="66">'317'!$T$79</definedName>
    <definedName name="OSRRefT22_4x_0" localSheetId="64">'320'!$T$51:$T$52</definedName>
    <definedName name="OSRRefT22_4x_0" localSheetId="70">'321'!$T$42</definedName>
    <definedName name="OSRRefT22_4x_0" localSheetId="71">'322'!$T$43</definedName>
    <definedName name="OSRRefT22_4x_0" localSheetId="72">'325'!$T$44</definedName>
    <definedName name="OSRRefT22_4x_0" localSheetId="61">'326'!$T$81</definedName>
    <definedName name="OSRRefT22_4x_0" localSheetId="53">'330'!$T$107:$T$108</definedName>
    <definedName name="OSRRefT22_4x_0" localSheetId="59">'331'!$T$96</definedName>
    <definedName name="OSRRefT22_4x_0" localSheetId="62">'332'!$T$66</definedName>
    <definedName name="OSRRefT22_4x_0" localSheetId="77">'405'!$T$43</definedName>
    <definedName name="OSRRefT22_4x_0" localSheetId="78">'406'!$T$44</definedName>
    <definedName name="OSRRefT22_4x_0" localSheetId="79">'411'!$T$41:$T$43</definedName>
    <definedName name="OSRRefT22_4x_0" localSheetId="80">'412'!$T$45</definedName>
    <definedName name="OSRRefT22_4x_0" localSheetId="82">'413'!$T$44</definedName>
    <definedName name="OSRRefT22_4x_0" localSheetId="83">'414'!$T$44</definedName>
    <definedName name="OSRRefT22_4x_0" localSheetId="84">'415'!$T$44</definedName>
    <definedName name="OSRRefT22_4x_0" localSheetId="85">'418'!$T$44</definedName>
    <definedName name="OSRRefT22_4x_0" localSheetId="81">'420'!$T$42</definedName>
    <definedName name="OSRRefT22_4x_0" localSheetId="86">'423'!$T$37</definedName>
    <definedName name="OSRRefT22_4x_0" localSheetId="87">'424'!$T$40</definedName>
    <definedName name="OSRRefT22_4x_0" localSheetId="88">'425'!$T$48</definedName>
    <definedName name="OSRRefT22_4x_0" localSheetId="91">'430'!$T$35</definedName>
    <definedName name="OSRRefT22_4x_0" localSheetId="92">'433'!$T$47</definedName>
    <definedName name="OSRRefT22_4x_0" localSheetId="93">'435'!$T$37</definedName>
    <definedName name="OSRRefT22_4x_0" localSheetId="94">'444'!$T$46</definedName>
    <definedName name="OSRRefT22_4x_0" localSheetId="96">'450'!$T$46</definedName>
    <definedName name="OSRRefT22_4x_0" localSheetId="76">'491'!$T$56</definedName>
    <definedName name="OSRRefT22_4x_0" localSheetId="90">'492'!$T$50</definedName>
    <definedName name="OSRRefT22_4x_0" localSheetId="98">'501'!$T$41</definedName>
    <definedName name="OSRRefT22_4x_0" localSheetId="39">'Div 2'!$T$44</definedName>
    <definedName name="OSRRefT22_4x_0" localSheetId="48">'Div 3'!$T$202</definedName>
    <definedName name="OSRRefT22_4x_0" localSheetId="74">'Div 4'!$T$57</definedName>
    <definedName name="OSRRefT22_4x_0" localSheetId="97">'Div 5'!$T$41</definedName>
    <definedName name="OSRRefT22_4x_0" localSheetId="65">'Div 6'!$T$79</definedName>
    <definedName name="OSRRefT22_4x_0" localSheetId="2">Summary!$T$238</definedName>
    <definedName name="OSRRefT22_5x_0" localSheetId="41">'201'!$T$40</definedName>
    <definedName name="OSRRefT22_5x_0" localSheetId="42">'202'!$T$42</definedName>
    <definedName name="OSRRefT22_5x_0" localSheetId="43">'203'!$T$43</definedName>
    <definedName name="OSRRefT22_5x_0" localSheetId="44">'204'!$T$45</definedName>
    <definedName name="OSRRefT22_5x_0" localSheetId="45">'205'!$T$39</definedName>
    <definedName name="OSRRefT22_5x_0" localSheetId="46">'206'!$T$42</definedName>
    <definedName name="OSRRefT22_5x_0" localSheetId="49">'300'!$T$199:$T$200</definedName>
    <definedName name="OSRRefT22_5x_0" localSheetId="50">'300 &amp; 317'!$T$225:$T$226</definedName>
    <definedName name="OSRRefT22_5x_0" localSheetId="51">'301'!$T$45:$T$46</definedName>
    <definedName name="OSRRefT22_5x_0" localSheetId="52">'306'!$T$43</definedName>
    <definedName name="OSRRefT22_5x_0" localSheetId="54">'307'!$T$101</definedName>
    <definedName name="OSRRefT22_5x_0" localSheetId="56">'308'!$T$91</definedName>
    <definedName name="OSRRefT22_5x_0" localSheetId="68">'309'!$T$45</definedName>
    <definedName name="OSRRefT22_5x_0" localSheetId="67">'310'!$T$56:$T$57</definedName>
    <definedName name="OSRRefT22_5x_0" localSheetId="75">'310 &amp; 491'!$T$67:$T$69</definedName>
    <definedName name="OSRRefT22_5x_0" localSheetId="57">'311'!$T$89</definedName>
    <definedName name="OSRRefT22_5x_0" localSheetId="69">'313'!$T$53</definedName>
    <definedName name="OSRRefT22_5x_0" localSheetId="55">'314'!$T$78</definedName>
    <definedName name="OSRRefT22_5x_0" localSheetId="60">'315'!$T$80:$T$81</definedName>
    <definedName name="OSRRefT22_5x_0" localSheetId="63">'316'!$T$55</definedName>
    <definedName name="OSRRefT22_5x_0" localSheetId="66">'317'!$T$81</definedName>
    <definedName name="OSRRefT22_5x_0" localSheetId="64">'320'!$T$54</definedName>
    <definedName name="OSRRefT22_5x_0" localSheetId="70">'321'!$T$44</definedName>
    <definedName name="OSRRefT22_5x_0" localSheetId="71">'322'!$T$45</definedName>
    <definedName name="OSRRefT22_5x_0" localSheetId="72">'325'!$T$46:$T$47</definedName>
    <definedName name="OSRRefT22_5x_0" localSheetId="61">'326'!$T$83</definedName>
    <definedName name="OSRRefT22_5x_0" localSheetId="53">'330'!$T$110</definedName>
    <definedName name="OSRRefT22_5x_0" localSheetId="59">'331'!$T$98:$T$99</definedName>
    <definedName name="OSRRefT22_5x_0" localSheetId="62">'332'!$T$68</definedName>
    <definedName name="OSRRefT22_5x_0" localSheetId="77">'405'!$T$45:$T$46</definedName>
    <definedName name="OSRRefT22_5x_0" localSheetId="78">'406'!$T$46</definedName>
    <definedName name="OSRRefT22_5x_0" localSheetId="79">'411'!$T$45</definedName>
    <definedName name="OSRRefT22_5x_0" localSheetId="80">'412'!$T$47</definedName>
    <definedName name="OSRRefT22_5x_0" localSheetId="82">'413'!$T$46</definedName>
    <definedName name="OSRRefT22_5x_0" localSheetId="83">'414'!$T$46</definedName>
    <definedName name="OSRRefT22_5x_0" localSheetId="84">'415'!$T$46:$T$47</definedName>
    <definedName name="OSRRefT22_5x_0" localSheetId="85">'418'!$T$46:$T$47</definedName>
    <definedName name="OSRRefT22_5x_0" localSheetId="81">'420'!$T$44</definedName>
    <definedName name="OSRRefT22_5x_0" localSheetId="86">'423'!$T$39</definedName>
    <definedName name="OSRRefT22_5x_0" localSheetId="87">'424'!$T$42</definedName>
    <definedName name="OSRRefT22_5x_0" localSheetId="88">'425'!$T$50</definedName>
    <definedName name="OSRRefT22_5x_0" localSheetId="91">'430'!$T$37</definedName>
    <definedName name="OSRRefT22_5x_0" localSheetId="92">'433'!$T$49</definedName>
    <definedName name="OSRRefT22_5x_0" localSheetId="93">'435'!$T$39</definedName>
    <definedName name="OSRRefT22_5x_0" localSheetId="94">'444'!$T$48</definedName>
    <definedName name="OSRRefT22_5x_0" localSheetId="96">'450'!$T$48</definedName>
    <definedName name="OSRRefT22_5x_0" localSheetId="76">'491'!$T$58:$T$60</definedName>
    <definedName name="OSRRefT22_5x_0" localSheetId="90">'492'!$T$52</definedName>
    <definedName name="OSRRefT22_5x_0" localSheetId="98">'501'!$T$43:$T$44</definedName>
    <definedName name="OSRRefT22_5x_0" localSheetId="39">'Div 2'!$T$46:$T$47</definedName>
    <definedName name="OSRRefT22_5x_0" localSheetId="48">'Div 3'!$T$204:$T$205</definedName>
    <definedName name="OSRRefT22_5x_0" localSheetId="74">'Div 4'!$T$59:$T$61</definedName>
    <definedName name="OSRRefT22_5x_0" localSheetId="97">'Div 5'!$T$43:$T$44</definedName>
    <definedName name="OSRRefT22_5x_0" localSheetId="65">'Div 6'!$T$81</definedName>
    <definedName name="OSRRefT22_5x_0" localSheetId="2">Summary!$T$240:$T$242</definedName>
    <definedName name="OSRRefT22_6x_0" localSheetId="41">'201'!$T$42</definedName>
    <definedName name="OSRRefT22_6x_0" localSheetId="42">'202'!$T$44</definedName>
    <definedName name="OSRRefT22_6x_0" localSheetId="43">'203'!$T$45</definedName>
    <definedName name="OSRRefT22_6x_0" localSheetId="44">'204'!$T$47:$T$50</definedName>
    <definedName name="OSRRefT22_6x_0" localSheetId="45">'205'!$T$41:$T$42</definedName>
    <definedName name="OSRRefT22_6x_0" localSheetId="46">'206'!$T$44:$T$45</definedName>
    <definedName name="OSRRefT22_6x_0" localSheetId="49">'300'!$T$202:$T$203</definedName>
    <definedName name="OSRRefT22_6x_0" localSheetId="50">'300 &amp; 317'!$T$228:$T$229</definedName>
    <definedName name="OSRRefT22_6x_0" localSheetId="51">'301'!$T$48:$T$49</definedName>
    <definedName name="OSRRefT22_6x_0" localSheetId="52">'306'!$T$45</definedName>
    <definedName name="OSRRefT22_6x_0" localSheetId="54">'307'!$T$103:$T$124</definedName>
    <definedName name="OSRRefT22_6x_0" localSheetId="56">'308'!$T$93:$T$94</definedName>
    <definedName name="OSRRefT22_6x_0" localSheetId="68">'309'!$T$47</definedName>
    <definedName name="OSRRefT22_6x_0" localSheetId="67">'310'!$T$59</definedName>
    <definedName name="OSRRefT22_6x_0" localSheetId="75">'310 &amp; 491'!$T$71</definedName>
    <definedName name="OSRRefT22_6x_0" localSheetId="57">'311'!$T$91:$T$92</definedName>
    <definedName name="OSRRefT22_6x_0" localSheetId="69">'313'!$T$55</definedName>
    <definedName name="OSRRefT22_6x_0" localSheetId="55">'314'!$T$80:$T$88</definedName>
    <definedName name="OSRRefT22_6x_0" localSheetId="60">'315'!$T$83</definedName>
    <definedName name="OSRRefT22_6x_0" localSheetId="63">'316'!$T$57:$T$58</definedName>
    <definedName name="OSRRefT22_6x_0" localSheetId="66">'317'!$T$83</definedName>
    <definedName name="OSRRefT22_6x_0" localSheetId="64">'320'!$T$56:$T$58</definedName>
    <definedName name="OSRRefT22_6x_0" localSheetId="70">'321'!$T$46</definedName>
    <definedName name="OSRRefT22_6x_0" localSheetId="71">'322'!$T$47</definedName>
    <definedName name="OSRRefT22_6x_0" localSheetId="72">'325'!$T$49</definedName>
    <definedName name="OSRRefT22_6x_0" localSheetId="61">'326'!$T$85</definedName>
    <definedName name="OSRRefT22_6x_0" localSheetId="53">'330'!$T$112</definedName>
    <definedName name="OSRRefT22_6x_0" localSheetId="59">'331'!$T$101</definedName>
    <definedName name="OSRRefT22_6x_0" localSheetId="62">'332'!$T$70:$T$71</definedName>
    <definedName name="OSRRefT22_6x_0" localSheetId="77">'405'!$T$48</definedName>
    <definedName name="OSRRefT22_6x_0" localSheetId="78">'406'!$T$48</definedName>
    <definedName name="OSRRefT22_6x_0" localSheetId="79">'411'!$T$47</definedName>
    <definedName name="OSRRefT22_6x_0" localSheetId="80">'412'!$T$49</definedName>
    <definedName name="OSRRefT22_6x_0" localSheetId="82">'413'!$T$48</definedName>
    <definedName name="OSRRefT22_6x_0" localSheetId="83">'414'!$T$48</definedName>
    <definedName name="OSRRefT22_6x_0" localSheetId="84">'415'!$T$49</definedName>
    <definedName name="OSRRefT22_6x_0" localSheetId="85">'418'!$T$49</definedName>
    <definedName name="OSRRefT22_6x_0" localSheetId="81">'420'!$T$46:$T$47</definedName>
    <definedName name="OSRRefT22_6x_0" localSheetId="86">'423'!$T$41</definedName>
    <definedName name="OSRRefT22_6x_0" localSheetId="87">'424'!$T$44</definedName>
    <definedName name="OSRRefT22_6x_0" localSheetId="88">'425'!$T$52</definedName>
    <definedName name="OSRRefT22_6x_0" localSheetId="91">'430'!$T$39:$T$41</definedName>
    <definedName name="OSRRefT22_6x_0" localSheetId="92">'433'!$T$51</definedName>
    <definedName name="OSRRefT22_6x_0" localSheetId="93">'435'!$T$41</definedName>
    <definedName name="OSRRefT22_6x_0" localSheetId="94">'444'!$T$50</definedName>
    <definedName name="OSRRefT22_6x_0" localSheetId="96">'450'!$T$50</definedName>
    <definedName name="OSRRefT22_6x_0" localSheetId="76">'491'!$T$62</definedName>
    <definedName name="OSRRefT22_6x_0" localSheetId="90">'492'!$T$54</definedName>
    <definedName name="OSRRefT22_6x_0" localSheetId="98">'501'!$T$46</definedName>
    <definedName name="OSRRefT22_6x_0" localSheetId="39">'Div 2'!$T$49</definedName>
    <definedName name="OSRRefT22_6x_0" localSheetId="48">'Div 3'!$T$207:$T$208</definedName>
    <definedName name="OSRRefT22_6x_0" localSheetId="74">'Div 4'!$T$63</definedName>
    <definedName name="OSRRefT22_6x_0" localSheetId="97">'Div 5'!$T$46</definedName>
    <definedName name="OSRRefT22_6x_0" localSheetId="65">'Div 6'!$T$83</definedName>
    <definedName name="OSRRefT22_6x_0" localSheetId="2">Summary!$T$244:$T$245</definedName>
    <definedName name="OSRRefT22_7x_0" localSheetId="41">'201'!$T$44</definedName>
    <definedName name="OSRRefT22_7x_0" localSheetId="42">'202'!$T$46</definedName>
    <definedName name="OSRRefT22_7x_0" localSheetId="43">'203'!$T$47</definedName>
    <definedName name="OSRRefT22_7x_0" localSheetId="44">'204'!$T$52</definedName>
    <definedName name="OSRRefT22_7x_0" localSheetId="45">'205'!$T$44</definedName>
    <definedName name="OSRRefT22_7x_0" localSheetId="46">'206'!$T$47</definedName>
    <definedName name="OSRRefT22_7x_0" localSheetId="49">'300'!$T$205</definedName>
    <definedName name="OSRRefT22_7x_0" localSheetId="50">'300 &amp; 317'!$T$231</definedName>
    <definedName name="OSRRefT22_7x_0" localSheetId="51">'301'!$T$51</definedName>
    <definedName name="OSRRefT22_7x_0" localSheetId="52">'306'!$T$47:$T$48</definedName>
    <definedName name="OSRRefT22_7x_0" localSheetId="54">'307'!$T$126</definedName>
    <definedName name="OSRRefT22_7x_0" localSheetId="56">'308'!$T$96</definedName>
    <definedName name="OSRRefT22_7x_0" localSheetId="68">'309'!$T$49</definedName>
    <definedName name="OSRRefT22_7x_0" localSheetId="67">'310'!$T$61</definedName>
    <definedName name="OSRRefT22_7x_0" localSheetId="75">'310 &amp; 491'!$T$73</definedName>
    <definedName name="OSRRefT22_7x_0" localSheetId="57">'311'!$T$94</definedName>
    <definedName name="OSRRefT22_7x_0" localSheetId="69">'313'!$T$57:$T$58</definedName>
    <definedName name="OSRRefT22_7x_0" localSheetId="55">'314'!$T$90</definedName>
    <definedName name="OSRRefT22_7x_0" localSheetId="60">'315'!$T$85:$T$91</definedName>
    <definedName name="OSRRefT22_7x_0" localSheetId="63">'316'!$T$60</definedName>
    <definedName name="OSRRefT22_7x_0" localSheetId="66">'317'!$T$85:$T$86</definedName>
    <definedName name="OSRRefT22_7x_0" localSheetId="64">'320'!$T$60:$T$62</definedName>
    <definedName name="OSRRefT22_7x_0" localSheetId="70">'321'!$T$48:$T$50</definedName>
    <definedName name="OSRRefT22_7x_0" localSheetId="71">'322'!$T$49</definedName>
    <definedName name="OSRRefT22_7x_0" localSheetId="72">'325'!$T$51</definedName>
    <definedName name="OSRRefT22_7x_0" localSheetId="61">'326'!$T$87</definedName>
    <definedName name="OSRRefT22_7x_0" localSheetId="53">'330'!$T$114</definedName>
    <definedName name="OSRRefT22_7x_0" localSheetId="59">'331'!$T$103</definedName>
    <definedName name="OSRRefT22_7x_0" localSheetId="62">'332'!$T$73</definedName>
    <definedName name="OSRRefT22_7x_0" localSheetId="77">'405'!$T$50</definedName>
    <definedName name="OSRRefT22_7x_0" localSheetId="78">'406'!$T$50</definedName>
    <definedName name="OSRRefT22_7x_0" localSheetId="79">'411'!$T$49</definedName>
    <definedName name="OSRRefT22_7x_0" localSheetId="80">'412'!$T$51</definedName>
    <definedName name="OSRRefT22_7x_0" localSheetId="82">'413'!$T$50</definedName>
    <definedName name="OSRRefT22_7x_0" localSheetId="83">'414'!$T$50</definedName>
    <definedName name="OSRRefT22_7x_0" localSheetId="84">'415'!$T$51</definedName>
    <definedName name="OSRRefT22_7x_0" localSheetId="85">'418'!$T$51</definedName>
    <definedName name="OSRRefT22_7x_0" localSheetId="81">'420'!$T$49</definedName>
    <definedName name="OSRRefT22_7x_0" localSheetId="87">'424'!$T$46</definedName>
    <definedName name="OSRRefT22_7x_0" localSheetId="88">'425'!$T$54</definedName>
    <definedName name="OSRRefT22_7x_0" localSheetId="91">'430'!$T$43</definedName>
    <definedName name="OSRRefT22_7x_0" localSheetId="92">'433'!$T$53</definedName>
    <definedName name="OSRRefT22_7x_0" localSheetId="93">'435'!$T$43</definedName>
    <definedName name="OSRRefT22_7x_0" localSheetId="94">'444'!$T$52</definedName>
    <definedName name="OSRRefT22_7x_0" localSheetId="96">'450'!$T$52</definedName>
    <definedName name="OSRRefT22_7x_0" localSheetId="76">'491'!$T$64</definedName>
    <definedName name="OSRRefT22_7x_0" localSheetId="90">'492'!$T$56</definedName>
    <definedName name="OSRRefT22_7x_0" localSheetId="98">'501'!$T$48</definedName>
    <definedName name="OSRRefT22_7x_0" localSheetId="39">'Div 2'!$T$51</definedName>
    <definedName name="OSRRefT22_7x_0" localSheetId="48">'Div 3'!$T$210</definedName>
    <definedName name="OSRRefT22_7x_0" localSheetId="74">'Div 4'!$T$65</definedName>
    <definedName name="OSRRefT22_7x_0" localSheetId="97">'Div 5'!$T$48</definedName>
    <definedName name="OSRRefT22_7x_0" localSheetId="65">'Div 6'!$T$85:$T$86</definedName>
    <definedName name="OSRRefT22_7x_0" localSheetId="2">Summary!$T$247</definedName>
    <definedName name="OSRRefT22_8x_0" localSheetId="41">'201'!$T$46</definedName>
    <definedName name="OSRRefT22_8x_0" localSheetId="42">'202'!$T$48</definedName>
    <definedName name="OSRRefT22_8x_0" localSheetId="43">'203'!$T$49</definedName>
    <definedName name="OSRRefT22_8x_0" localSheetId="44">'204'!$T$54:$T$55</definedName>
    <definedName name="OSRRefT22_8x_0" localSheetId="45">'205'!$T$46</definedName>
    <definedName name="OSRRefT22_8x_0" localSheetId="46">'206'!$T$49</definedName>
    <definedName name="OSRRefT22_8x_0" localSheetId="49">'300'!$T$207</definedName>
    <definedName name="OSRRefT22_8x_0" localSheetId="50">'300 &amp; 317'!$T$233</definedName>
    <definedName name="OSRRefT22_8x_0" localSheetId="51">'301'!$T$53</definedName>
    <definedName name="OSRRefT22_8x_0" localSheetId="52">'306'!$T$50:$T$54</definedName>
    <definedName name="OSRRefT22_8x_0" localSheetId="54">'307'!$T$128</definedName>
    <definedName name="OSRRefT22_8x_0" localSheetId="56">'308'!$T$98:$T$106</definedName>
    <definedName name="OSRRefT22_8x_0" localSheetId="68">'309'!$T$51</definedName>
    <definedName name="OSRRefT22_8x_0" localSheetId="67">'310'!$T$63</definedName>
    <definedName name="OSRRefT22_8x_0" localSheetId="75">'310 &amp; 491'!$T$75</definedName>
    <definedName name="OSRRefT22_8x_0" localSheetId="57">'311'!$T$96:$T$104</definedName>
    <definedName name="OSRRefT22_8x_0" localSheetId="69">'313'!$T$60</definedName>
    <definedName name="OSRRefT22_8x_0" localSheetId="55">'314'!$T$92:$T$94</definedName>
    <definedName name="OSRRefT22_8x_0" localSheetId="60">'315'!$T$93</definedName>
    <definedName name="OSRRefT22_8x_0" localSheetId="63">'316'!$T$62:$T$63</definedName>
    <definedName name="OSRRefT22_8x_0" localSheetId="66">'317'!$T$88</definedName>
    <definedName name="OSRRefT22_8x_0" localSheetId="64">'320'!$T$64</definedName>
    <definedName name="OSRRefT22_8x_0" localSheetId="70">'321'!$T$52</definedName>
    <definedName name="OSRRefT22_8x_0" localSheetId="71">'322'!$T$51</definedName>
    <definedName name="OSRRefT22_8x_0" localSheetId="72">'325'!$T$53</definedName>
    <definedName name="OSRRefT22_8x_0" localSheetId="61">'326'!$T$89</definedName>
    <definedName name="OSRRefT22_8x_0" localSheetId="53">'330'!$T$116:$T$137</definedName>
    <definedName name="OSRRefT22_8x_0" localSheetId="59">'331'!$T$105:$T$106</definedName>
    <definedName name="OSRRefT22_8x_0" localSheetId="62">'332'!$T$75:$T$77</definedName>
    <definedName name="OSRRefT22_8x_0" localSheetId="77">'405'!$T$52</definedName>
    <definedName name="OSRRefT22_8x_0" localSheetId="78">'406'!$T$52</definedName>
    <definedName name="OSRRefT22_8x_0" localSheetId="79">'411'!$T$51</definedName>
    <definedName name="OSRRefT22_8x_0" localSheetId="80">'412'!$T$53</definedName>
    <definedName name="OSRRefT22_8x_0" localSheetId="82">'413'!$T$52:$T$54</definedName>
    <definedName name="OSRRefT22_8x_0" localSheetId="83">'414'!$T$52</definedName>
    <definedName name="OSRRefT22_8x_0" localSheetId="84">'415'!$T$53</definedName>
    <definedName name="OSRRefT22_8x_0" localSheetId="85">'418'!$T$53</definedName>
    <definedName name="OSRRefT22_8x_0" localSheetId="87">'424'!$T$48</definedName>
    <definedName name="OSRRefT22_8x_0" localSheetId="88">'425'!$T$56</definedName>
    <definedName name="OSRRefT22_8x_0" localSheetId="91">'430'!$T$45</definedName>
    <definedName name="OSRRefT22_8x_0" localSheetId="92">'433'!$T$55</definedName>
    <definedName name="OSRRefT22_8x_0" localSheetId="93">'435'!$T$45:$T$48</definedName>
    <definedName name="OSRRefT22_8x_0" localSheetId="94">'444'!$T$54</definedName>
    <definedName name="OSRRefT22_8x_0" localSheetId="96">'450'!$T$54</definedName>
    <definedName name="OSRRefT22_8x_0" localSheetId="76">'491'!$T$66</definedName>
    <definedName name="OSRRefT22_8x_0" localSheetId="90">'492'!$T$58</definedName>
    <definedName name="OSRRefT22_8x_0" localSheetId="98">'501'!$T$50</definedName>
    <definedName name="OSRRefT22_8x_0" localSheetId="39">'Div 2'!$T$53</definedName>
    <definedName name="OSRRefT22_8x_0" localSheetId="48">'Div 3'!$T$212</definedName>
    <definedName name="OSRRefT22_8x_0" localSheetId="74">'Div 4'!$T$67</definedName>
    <definedName name="OSRRefT22_8x_0" localSheetId="97">'Div 5'!$T$50</definedName>
    <definedName name="OSRRefT22_8x_0" localSheetId="65">'Div 6'!$T$88</definedName>
    <definedName name="OSRRefT22_8x_0" localSheetId="2">Summary!$T$249</definedName>
    <definedName name="OSRRefT22_9x_0" localSheetId="41">'201'!$T$48</definedName>
    <definedName name="OSRRefT22_9x_0" localSheetId="42">'202'!$T$50</definedName>
    <definedName name="OSRRefT22_9x_0" localSheetId="43">'203'!$T$51:$T$53</definedName>
    <definedName name="OSRRefT22_9x_0" localSheetId="44">'204'!$T$57:$T$58</definedName>
    <definedName name="OSRRefT22_9x_0" localSheetId="49">'300'!$T$209</definedName>
    <definedName name="OSRRefT22_9x_0" localSheetId="50">'300 &amp; 317'!$T$235</definedName>
    <definedName name="OSRRefT22_9x_0" localSheetId="51">'301'!$T$55</definedName>
    <definedName name="OSRRefT22_9x_0" localSheetId="52">'306'!$T$56</definedName>
    <definedName name="OSRRefT22_9x_0" localSheetId="54">'307'!$T$130:$T$131</definedName>
    <definedName name="OSRRefT22_9x_0" localSheetId="56">'308'!$T$108:$T$110</definedName>
    <definedName name="OSRRefT22_9x_0" localSheetId="68">'309'!$T$53:$T$54</definedName>
    <definedName name="OSRRefT22_9x_0" localSheetId="67">'310'!$T$65:$T$66</definedName>
    <definedName name="OSRRefT22_9x_0" localSheetId="75">'310 &amp; 491'!$T$77</definedName>
    <definedName name="OSRRefT22_9x_0" localSheetId="57">'311'!$T$106:$T$108</definedName>
    <definedName name="OSRRefT22_9x_0" localSheetId="69">'313'!$T$62:$T$64</definedName>
    <definedName name="OSRRefT22_9x_0" localSheetId="55">'314'!$T$96</definedName>
    <definedName name="OSRRefT22_9x_0" localSheetId="60">'315'!$T$95:$T$97</definedName>
    <definedName name="OSRRefT22_9x_0" localSheetId="63">'316'!$T$65</definedName>
    <definedName name="OSRRefT22_9x_0" localSheetId="66">'317'!$T$90:$T$97</definedName>
    <definedName name="OSRRefT22_9x_0" localSheetId="70">'321'!$T$54:$T$56</definedName>
    <definedName name="OSRRefT22_9x_0" localSheetId="71">'322'!$T$53</definedName>
    <definedName name="OSRRefT22_9x_0" localSheetId="72">'325'!$T$55</definedName>
    <definedName name="OSRRefT22_9x_0" localSheetId="61">'326'!$T$91</definedName>
    <definedName name="OSRRefT22_9x_0" localSheetId="53">'330'!$T$139</definedName>
    <definedName name="OSRRefT22_9x_0" localSheetId="59">'331'!$T$108</definedName>
    <definedName name="OSRRefT22_9x_0" localSheetId="62">'332'!$T$79:$T$80</definedName>
    <definedName name="OSRRefT22_9x_0" localSheetId="77">'405'!$T$54</definedName>
    <definedName name="OSRRefT22_9x_0" localSheetId="78">'406'!$T$54:$T$56</definedName>
    <definedName name="OSRRefT22_9x_0" localSheetId="79">'411'!$T$53</definedName>
    <definedName name="OSRRefT22_9x_0" localSheetId="80">'412'!$T$55:$T$57</definedName>
    <definedName name="OSRRefT22_9x_0" localSheetId="82">'413'!$T$56:$T$57</definedName>
    <definedName name="OSRRefT22_9x_0" localSheetId="83">'414'!$T$54:$T$55</definedName>
    <definedName name="OSRRefT22_9x_0" localSheetId="84">'415'!$T$55</definedName>
    <definedName name="OSRRefT22_9x_0" localSheetId="85">'418'!$T$55</definedName>
    <definedName name="OSRRefT22_9x_0" localSheetId="87">'424'!$T$50:$T$51</definedName>
    <definedName name="OSRRefT22_9x_0" localSheetId="88">'425'!$T$58:$T$60</definedName>
    <definedName name="OSRRefT22_9x_0" localSheetId="91">'430'!$T$47</definedName>
    <definedName name="OSRRefT22_9x_0" localSheetId="92">'433'!$T$57</definedName>
    <definedName name="OSRRefT22_9x_0" localSheetId="93">'435'!$T$50</definedName>
    <definedName name="OSRRefT22_9x_0" localSheetId="94">'444'!$T$56</definedName>
    <definedName name="OSRRefT22_9x_0" localSheetId="96">'450'!$T$56</definedName>
    <definedName name="OSRRefT22_9x_0" localSheetId="76">'491'!$T$68</definedName>
    <definedName name="OSRRefT22_9x_0" localSheetId="90">'492'!$T$60</definedName>
    <definedName name="OSRRefT22_9x_0" localSheetId="98">'501'!$T$52</definedName>
    <definedName name="OSRRefT22_9x_0" localSheetId="39">'Div 2'!$T$55</definedName>
    <definedName name="OSRRefT22_9x_0" localSheetId="48">'Div 3'!$T$214</definedName>
    <definedName name="OSRRefT22_9x_0" localSheetId="74">'Div 4'!$T$69</definedName>
    <definedName name="OSRRefT22_9x_0" localSheetId="97">'Div 5'!$T$52</definedName>
    <definedName name="OSRRefT22_9x_0" localSheetId="65">'Div 6'!$T$90:$T$97</definedName>
    <definedName name="OSRRefT22_9x_0" localSheetId="2">Summary!$T$251</definedName>
    <definedName name="OSRRefT22x_0" localSheetId="40">'200'!$T$20:$T$21,'200'!$T$23,'200'!$T$25,'200'!$T$27,'200'!$T$29:$T$30</definedName>
    <definedName name="OSRRefT22x_0" localSheetId="41">'201'!$T$20:$T$28,'201'!$T$30:$T$32,'201'!$T$34,'201'!$T$36,'201'!$T$38,'201'!$T$40,'201'!$T$42,'201'!$T$44,'201'!$T$46,'201'!$T$48,'201'!$T$50:$T$52,'201'!$T$54:$T$56,'201'!$T$58,'201'!$T$60:$T$63,'201'!$T$65,'201'!$T$67,'201'!$T$69:$T$70</definedName>
    <definedName name="OSRRefT22x_0" localSheetId="42">'202'!$T$20:$T$27,'202'!$T$29:$T$34,'202'!$T$36,'202'!$T$38,'202'!$T$40,'202'!$T$42,'202'!$T$44,'202'!$T$46,'202'!$T$48,'202'!$T$50,'202'!$T$52:$T$54,'202'!$T$56,'202'!$T$58,'202'!$T$60:$T$62,'202'!$T$64,'202'!$T$66,'202'!$T$68:$T$69</definedName>
    <definedName name="OSRRefT22x_0" localSheetId="43">'203'!$T$20:$T$29,'203'!$T$31:$T$35,'203'!$T$37,'203'!$T$39,'203'!$T$41,'203'!$T$43,'203'!$T$45,'203'!$T$47,'203'!$T$49,'203'!$T$51:$T$53,'203'!$T$55:$T$56,'203'!$T$58:$T$59,'203'!$T$61:$T$64,'203'!$T$66,'203'!$T$68,'203'!$T$70</definedName>
    <definedName name="OSRRefT22x_0" localSheetId="44">'204'!$T$20:$T$29,'204'!$T$31:$T$36,'204'!$T$38,'204'!$T$40:$T$41,'204'!$T$43,'204'!$T$45,'204'!$T$47:$T$50,'204'!$T$52,'204'!$T$54:$T$55,'204'!$T$57:$T$58,'204'!$T$60,'204'!$T$62:$T$63</definedName>
    <definedName name="OSRRefT22x_0" localSheetId="45">'205'!$T$20:$T$27,'205'!$T$29,'205'!$T$31,'205'!$T$33,'205'!$T$35:$T$37,'205'!$T$39,'205'!$T$41:$T$42,'205'!$T$44,'205'!$T$46</definedName>
    <definedName name="OSRRefT22x_0" localSheetId="46">'206'!$T$20:$T$27,'206'!$T$29:$T$34,'206'!$T$36,'206'!$T$38,'206'!$T$40,'206'!$T$42,'206'!$T$44:$T$45,'206'!$T$47,'206'!$T$49</definedName>
    <definedName name="OSRRefT22x_0" localSheetId="49">'300'!$T$174:$T$182,'300'!$T$184:$T$190,'300'!$T$192,'300'!$T$194:$T$195,'300'!$T$197,'300'!$T$199:$T$200,'300'!$T$202:$T$203,'300'!$T$205,'300'!$T$207,'300'!$T$209,'300'!$T$211:$T$212,'300'!$T$214,'300'!$T$216,'300'!$T$218:$T$251,'300'!$T$253,'300'!$T$255,'300'!$T$257:$T$260,'300'!$T$262:$T$264,'300'!$T$266:$T$269,'300'!$T$271:$T$272,'300'!$T$274:$T$281,'300'!$T$283:$T$284,'300'!$T$286,'300'!$T$288:$T$290,'300'!$T$292</definedName>
    <definedName name="OSRRefT22x_0" localSheetId="50">'300 &amp; 317'!$T$200:$T$208,'300 &amp; 317'!$T$210:$T$216,'300 &amp; 317'!$T$218,'300 &amp; 317'!$T$220:$T$221,'300 &amp; 317'!$T$223,'300 &amp; 317'!$T$225:$T$226,'300 &amp; 317'!$T$228:$T$229,'300 &amp; 317'!$T$231,'300 &amp; 317'!$T$233,'300 &amp; 317'!$T$235,'300 &amp; 317'!$T$237:$T$238,'300 &amp; 317'!$T$240,'300 &amp; 317'!$T$242,'300 &amp; 317'!$T$244:$T$280,'300 &amp; 317'!$T$282,'300 &amp; 317'!$T$284,'300 &amp; 317'!$T$286:$T$289,'300 &amp; 317'!$T$291:$T$293,'300 &amp; 317'!$T$295:$T$298,'300 &amp; 317'!$T$300:$T$301,'300 &amp; 317'!$T$303:$T$310,'300 &amp; 317'!$T$312:$T$313,'300 &amp; 317'!$T$315,'300 &amp; 317'!$T$317:$T$319,'300 &amp; 317'!$T$321</definedName>
    <definedName name="OSRRefT22x_0" localSheetId="51">'301'!$T$21:$T$28,'301'!$T$30:$T$36,'301'!$T$38,'301'!$T$40:$T$41,'301'!$T$43,'301'!$T$45:$T$46,'301'!$T$48:$T$49,'301'!$T$51,'301'!$T$53,'301'!$T$55,'301'!$T$57,'301'!$T$59,'301'!$T$61,'301'!$T$63,'301'!$T$65,'301'!$T$67,'301'!$T$69:$T$72,'301'!$T$74,'301'!$T$76:$T$78,'301'!$T$80:$T$81,'301'!$T$83:$T$89,'301'!$T$91,'301'!$T$93,'301'!$T$95:$T$97,'301'!$T$99</definedName>
    <definedName name="OSRRefT22x_0" localSheetId="52">'306'!$T$20:$T$28,'306'!$T$30:$T$35,'306'!$T$37,'306'!$T$39,'306'!$T$41,'306'!$T$43,'306'!$T$45,'306'!$T$47:$T$48,'306'!$T$50:$T$54,'306'!$T$56,'306'!$T$58</definedName>
    <definedName name="OSRRefT22x_0" localSheetId="54">'307'!$T$80:$T$87,'307'!$T$89:$T$92,'307'!$T$94,'307'!$T$96,'307'!$T$98:$T$99,'307'!$T$101,'307'!$T$103:$T$124,'307'!$T$126,'307'!$T$128,'307'!$T$130:$T$131,'307'!$T$133:$T$134,'307'!$T$136:$T$138,'307'!$T$140,'307'!$T$142,'307'!$T$144</definedName>
    <definedName name="OSRRefT22x_0" localSheetId="56">'308'!$T$68:$T$76,'308'!$T$78:$T$82,'308'!$T$84,'308'!$T$86:$T$87,'308'!$T$89,'308'!$T$91,'308'!$T$93:$T$94,'308'!$T$96,'308'!$T$98:$T$106,'308'!$T$108:$T$110,'308'!$T$112:$T$113,'308'!$T$115:$T$118,'308'!$T$120:$T$121,'308'!$T$123,'308'!$T$125</definedName>
    <definedName name="OSRRefT22x_0" localSheetId="68">'309'!$T$24:$T$31,'309'!$T$33:$T$37,'309'!$T$39,'309'!$T$41,'309'!$T$43,'309'!$T$45,'309'!$T$47,'309'!$T$49,'309'!$T$51,'309'!$T$53:$T$54,'309'!$T$56:$T$58,'309'!$T$60,'309'!$T$62:$T$68,'309'!$T$70</definedName>
    <definedName name="OSRRefT22x_0" localSheetId="67">'310'!$T$34:$T$41,'310'!$T$43:$T$48,'310'!$T$50,'310'!$T$52,'310'!$T$54,'310'!$T$56:$T$57,'310'!$T$59,'310'!$T$61,'310'!$T$63,'310'!$T$65:$T$66,'310'!$T$68,'310'!$T$70,'310'!$T$72,'310'!$T$74,'310'!$T$76:$T$78,'310'!$T$80,'310'!$T$82:$T$85,'310'!$T$87:$T$88,'310'!$T$90:$T$97,'310'!$T$99,'310'!$T$101,'310'!$T$103,'310'!$T$105</definedName>
    <definedName name="OSRRefT22x_0" localSheetId="75">'310 &amp; 491'!$T$43:$T$51,'310 &amp; 491'!$T$53:$T$59,'310 &amp; 491'!$T$61,'310 &amp; 491'!$T$63,'310 &amp; 491'!$T$65,'310 &amp; 491'!$T$67:$T$69,'310 &amp; 491'!$T$71,'310 &amp; 491'!$T$73,'310 &amp; 491'!$T$75,'310 &amp; 491'!$T$77,'310 &amp; 491'!$T$79:$T$80,'310 &amp; 491'!$T$82:$T$83,'310 &amp; 491'!$T$85,'310 &amp; 491'!$T$87,'310 &amp; 491'!$T$89,'310 &amp; 491'!$T$91,'310 &amp; 491'!$T$93:$T$96,'310 &amp; 491'!$T$98:$T$99,'310 &amp; 491'!$T$101:$T$105,'310 &amp; 491'!$T$107:$T$108,'310 &amp; 491'!$T$110:$T$119,'310 &amp; 491'!$T$121,'310 &amp; 491'!$T$123,'310 &amp; 491'!$T$125:$T$127,'310 &amp; 491'!$T$129</definedName>
    <definedName name="OSRRefT22x_0" localSheetId="57">'311'!$T$66:$T$74,'311'!$T$76:$T$80,'311'!$T$82,'311'!$T$84:$T$85,'311'!$T$87,'311'!$T$89,'311'!$T$91:$T$92,'311'!$T$94,'311'!$T$96:$T$104,'311'!$T$106:$T$108,'311'!$T$110:$T$111,'311'!$T$113:$T$116,'311'!$T$118:$T$119,'311'!$T$121,'311'!$T$123</definedName>
    <definedName name="OSRRefT22x_0" localSheetId="69">'313'!$T$31:$T$38,'313'!$T$40:$T$45,'313'!$T$47,'313'!$T$49,'313'!$T$51,'313'!$T$53,'313'!$T$55,'313'!$T$57:$T$58,'313'!$T$60,'313'!$T$62:$T$64,'313'!$T$66:$T$67,'313'!$T$69:$T$70,'313'!$T$72:$T$77,'313'!$T$79,'313'!$T$81</definedName>
    <definedName name="OSRRefT22x_0" localSheetId="55">'314'!$T$56:$T$64,'314'!$T$66:$T$69,'314'!$T$71,'314'!$T$73:$T$74,'314'!$T$76,'314'!$T$78,'314'!$T$80:$T$88,'314'!$T$90,'314'!$T$92:$T$94,'314'!$T$96,'314'!$T$98,'314'!$T$100</definedName>
    <definedName name="OSRRefT22x_0" localSheetId="60">'315'!$T$57:$T$64,'315'!$T$66:$T$71,'315'!$T$73,'315'!$T$75:$T$76,'315'!$T$78,'315'!$T$80:$T$81,'315'!$T$83,'315'!$T$85:$T$91,'315'!$T$93,'315'!$T$95:$T$97,'315'!$T$99:$T$100,'315'!$T$102:$T$103,'315'!$T$105:$T$109,'315'!$T$111,'315'!$T$113,'315'!$T$115:$T$116</definedName>
    <definedName name="OSRRefT22x_0" localSheetId="63">'316'!$T$35:$T$42,'316'!$T$44:$T$47,'316'!$T$49,'316'!$T$51,'316'!$T$53,'316'!$T$55,'316'!$T$57:$T$58,'316'!$T$60,'316'!$T$62:$T$63,'316'!$T$65,'316'!$T$67:$T$71,'316'!$T$73,'316'!$T$75</definedName>
    <definedName name="OSRRefT22x_0" localSheetId="66">'317'!$T$59:$T$67,'317'!$T$69:$T$73,'317'!$T$75,'317'!$T$77,'317'!$T$79,'317'!$T$81,'317'!$T$83,'317'!$T$85:$T$86,'317'!$T$88,'317'!$T$90:$T$97,'317'!$T$99,'317'!$T$101,'317'!$T$103:$T$104,'317'!$T$106,'317'!$T$108,'317'!$T$110:$T$111</definedName>
    <definedName name="OSRRefT22x_0" localSheetId="64">'320'!$T$31:$T$38,'320'!$T$40:$T$45,'320'!$T$47,'320'!$T$49,'320'!$T$51:$T$52,'320'!$T$54,'320'!$T$56:$T$58,'320'!$T$60:$T$62,'320'!$T$64</definedName>
    <definedName name="OSRRefT22x_0" localSheetId="70">'321'!$T$24:$T$30,'321'!$T$32:$T$36,'321'!$T$38,'321'!$T$40,'321'!$T$42,'321'!$T$44,'321'!$T$46,'321'!$T$48:$T$50,'321'!$T$52,'321'!$T$54:$T$56,'321'!$T$58:$T$63,'321'!$T$65,'321'!$T$67,'321'!$T$69</definedName>
    <definedName name="OSRRefT22x_0" localSheetId="71">'322'!$T$24:$T$31,'322'!$T$33:$T$37,'322'!$T$39,'322'!$T$41,'322'!$T$43,'322'!$T$45,'322'!$T$47,'322'!$T$49,'322'!$T$51,'322'!$T$53,'322'!$T$55,'322'!$T$57:$T$58,'322'!$T$60:$T$62,'322'!$T$64,'322'!$T$66:$T$72,'322'!$T$74,'322'!$T$76,'322'!$T$78</definedName>
    <definedName name="OSRRefT22x_0" localSheetId="58">'324'!$T$26</definedName>
    <definedName name="OSRRefT22x_0" localSheetId="72">'325'!$T$24:$T$31,'325'!$T$33:$T$38,'325'!$T$40,'325'!$T$42,'325'!$T$44,'325'!$T$46:$T$47,'325'!$T$49,'325'!$T$51,'325'!$T$53,'325'!$T$55,'325'!$T$57,'325'!$T$59:$T$61,'325'!$T$63:$T$66,'325'!$T$68:$T$69,'325'!$T$71:$T$76,'325'!$T$78,'325'!$T$80,'325'!$T$82</definedName>
    <definedName name="OSRRefT22x_0" localSheetId="61">'326'!$T$62:$T$69,'326'!$T$71:$T$75,'326'!$T$77,'326'!$T$79,'326'!$T$81,'326'!$T$83,'326'!$T$85,'326'!$T$87,'326'!$T$89,'326'!$T$91,'326'!$T$93:$T$107,'326'!$T$109,'326'!$T$111,'326'!$T$113:$T$114,'326'!$T$116:$T$118,'326'!$T$120:$T$121,'326'!$T$123:$T$127,'326'!$T$129,'326'!$T$131,'326'!$T$133,'326'!$T$135</definedName>
    <definedName name="OSRRefT22x_0" localSheetId="73">'327'!$T$22,'327'!$T$24,'327'!$T$26</definedName>
    <definedName name="OSRRefT22x_0" localSheetId="53">'330'!$T$87:$T$95,'330'!$T$97:$T$101,'330'!$T$103,'330'!$T$105,'330'!$T$107:$T$108,'330'!$T$110,'330'!$T$112,'330'!$T$114,'330'!$T$116:$T$137,'330'!$T$139,'330'!$T$141,'330'!$T$143:$T$144,'330'!$T$146:$T$147,'330'!$T$149,'330'!$T$151:$T$153,'330'!$T$155,'330'!$T$157,'330'!$T$159</definedName>
    <definedName name="OSRRefT22x_0" localSheetId="59">'331'!$T$76:$T$83,'331'!$T$85:$T$90,'331'!$T$92,'331'!$T$94,'331'!$T$96,'331'!$T$98:$T$99,'331'!$T$101,'331'!$T$103,'331'!$T$105:$T$106,'331'!$T$108,'331'!$T$110,'331'!$T$112:$T$126,'331'!$T$128,'331'!$T$130,'331'!$T$132:$T$134,'331'!$T$136:$T$137,'331'!$T$139:$T$141,'331'!$T$143:$T$144,'331'!$T$146:$T$151,'331'!$T$153,'331'!$T$155,'331'!$T$157:$T$158,'331'!$T$160</definedName>
    <definedName name="OSRRefT22x_0" localSheetId="62">'332'!$T$46:$T$53,'332'!$T$55:$T$60,'332'!$T$62,'332'!$T$64,'332'!$T$66,'332'!$T$68,'332'!$T$70:$T$71,'332'!$T$73,'332'!$T$75:$T$77,'332'!$T$79:$T$80,'332'!$T$82,'332'!$T$84:$T$88,'332'!$T$90,'332'!$T$92</definedName>
    <definedName name="OSRRefT22x_0" localSheetId="77">'405'!$T$24:$T$31,'405'!$T$33:$T$37,'405'!$T$39,'405'!$T$41,'405'!$T$43,'405'!$T$45:$T$46,'405'!$T$48,'405'!$T$50,'405'!$T$52,'405'!$T$54,'405'!$T$56:$T$57,'405'!$T$59,'405'!$T$61:$T$63,'405'!$T$65:$T$66,'405'!$T$68:$T$74,'405'!$T$76,'405'!$T$78,'405'!$T$80,'405'!$T$82</definedName>
    <definedName name="OSRRefT22x_0" localSheetId="78">'406'!$T$24:$T$31,'406'!$T$33:$T$38,'406'!$T$40,'406'!$T$42,'406'!$T$44,'406'!$T$46,'406'!$T$48,'406'!$T$50,'406'!$T$52,'406'!$T$54:$T$56,'406'!$T$58:$T$59,'406'!$T$61:$T$66,'406'!$T$68,'406'!$T$70,'406'!$T$72:$T$73</definedName>
    <definedName name="OSRRefT22x_0" localSheetId="79">'411'!$T$20:$T$28,'411'!$T$30:$T$35,'411'!$T$37,'411'!$T$39,'411'!$T$41:$T$43,'411'!$T$45,'411'!$T$47,'411'!$T$49,'411'!$T$51,'411'!$T$53,'411'!$T$55,'411'!$T$57,'411'!$T$59:$T$62,'411'!$T$64:$T$68,'411'!$T$70:$T$71,'411'!$T$73:$T$81,'411'!$T$83,'411'!$T$85,'411'!$T$87:$T$89,'411'!$T$91</definedName>
    <definedName name="OSRRefT22x_0" localSheetId="80">'412'!$T$25:$T$32,'412'!$T$34:$T$39,'412'!$T$41,'412'!$T$43,'412'!$T$45,'412'!$T$47,'412'!$T$49,'412'!$T$51,'412'!$T$53,'412'!$T$55:$T$57,'412'!$T$59,'412'!$T$61:$T$63,'412'!$T$65:$T$72,'412'!$T$74,'412'!$T$76</definedName>
    <definedName name="OSRRefT22x_0" localSheetId="82">'413'!$T$24:$T$31,'413'!$T$33:$T$38,'413'!$T$40,'413'!$T$42,'413'!$T$44,'413'!$T$46,'413'!$T$48,'413'!$T$50,'413'!$T$52:$T$54,'413'!$T$56:$T$57,'413'!$T$59:$T$64,'413'!$T$66,'413'!$T$68,'413'!$T$70</definedName>
    <definedName name="OSRRefT22x_0" localSheetId="83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4">'415'!$T$24:$T$31,'415'!$T$33:$T$38,'415'!$T$40,'415'!$T$42,'415'!$T$44,'415'!$T$46:$T$47,'415'!$T$49,'415'!$T$51,'415'!$T$53,'415'!$T$55,'415'!$T$57,'415'!$T$59:$T$62,'415'!$T$64:$T$68,'415'!$T$70:$T$71,'415'!$T$73:$T$81,'415'!$T$83,'415'!$T$85,'415'!$T$87,'415'!$T$89</definedName>
    <definedName name="OSRRefT22x_0" localSheetId="85">'418'!$T$24:$T$31,'418'!$T$33:$T$38,'418'!$T$40,'418'!$T$42,'418'!$T$44,'418'!$T$46:$T$47,'418'!$T$49,'418'!$T$51,'418'!$T$53,'418'!$T$55,'418'!$T$57,'418'!$T$59:$T$60,'418'!$T$62:$T$64,'418'!$T$66:$T$68,'418'!$T$70:$T$71,'418'!$T$73:$T$80,'418'!$T$82,'418'!$T$84</definedName>
    <definedName name="OSRRefT22x_0" localSheetId="81">'420'!$T$24:$T$31,'420'!$T$33:$T$36,'420'!$T$38,'420'!$T$40,'420'!$T$42,'420'!$T$44,'420'!$T$46:$T$47,'420'!$T$49</definedName>
    <definedName name="OSRRefT22x_0" localSheetId="86">'423'!$T$21:$T$28,'423'!$T$30:$T$31,'423'!$T$33,'423'!$T$35,'423'!$T$37,'423'!$T$39,'423'!$T$41</definedName>
    <definedName name="OSRRefT22x_0" localSheetId="87">'424'!$T$26:$T$28,'424'!$T$30:$T$34,'424'!$T$36,'424'!$T$38,'424'!$T$40,'424'!$T$42,'424'!$T$44,'424'!$T$46,'424'!$T$48,'424'!$T$50:$T$51,'424'!$T$53,'424'!$T$55,'424'!$T$57:$T$63,'424'!$T$65</definedName>
    <definedName name="OSRRefT22x_0" localSheetId="88">'425'!$T$27:$T$35,'425'!$T$37:$T$42,'425'!$T$44,'425'!$T$46,'425'!$T$48,'425'!$T$50,'425'!$T$52,'425'!$T$54,'425'!$T$56,'425'!$T$58:$T$60,'425'!$T$62,'425'!$T$64:$T$66,'425'!$T$68:$T$74,'425'!$T$76,'425'!$T$78,'425'!$T$80:$T$81</definedName>
    <definedName name="OSRRefT22x_0" localSheetId="91">'430'!$T$20:$T$27,'430'!$T$29,'430'!$T$31,'430'!$T$33,'430'!$T$35,'430'!$T$37,'430'!$T$39:$T$41,'430'!$T$43,'430'!$T$45,'430'!$T$47</definedName>
    <definedName name="OSRRefT22x_0" localSheetId="92">'433'!$T$26:$T$34,'433'!$T$36:$T$41,'433'!$T$43,'433'!$T$45,'433'!$T$47,'433'!$T$49,'433'!$T$51,'433'!$T$53,'433'!$T$55,'433'!$T$57,'433'!$T$59:$T$61,'433'!$T$63:$T$65,'433'!$T$67:$T$74,'433'!$T$76,'433'!$T$78,'433'!$T$80:$T$81</definedName>
    <definedName name="OSRRefT22x_0" localSheetId="93">'435'!$T$25:$T$27,'435'!$T$29:$T$31,'435'!$T$33,'435'!$T$35,'435'!$T$37,'435'!$T$39,'435'!$T$41,'435'!$T$43,'435'!$T$45:$T$48,'435'!$T$50</definedName>
    <definedName name="OSRRefT22x_0" localSheetId="94">'444'!$T$25:$T$33,'444'!$T$35:$T$40,'444'!$T$42,'444'!$T$44,'444'!$T$46,'444'!$T$48,'444'!$T$50,'444'!$T$52,'444'!$T$54,'444'!$T$56,'444'!$T$58,'444'!$T$60:$T$62,'444'!$T$64:$T$66,'444'!$T$68:$T$75,'444'!$T$77,'444'!$T$79,'444'!$T$81</definedName>
    <definedName name="OSRRefT22x_0" localSheetId="95">'445'!$T$21</definedName>
    <definedName name="OSRRefT22x_0" localSheetId="96">'450'!$T$25:$T$33,'450'!$T$35:$T$40,'450'!$T$42,'450'!$T$44,'450'!$T$46,'450'!$T$48,'450'!$T$50,'450'!$T$52,'450'!$T$54,'450'!$T$56,'450'!$T$58,'450'!$T$60,'450'!$T$62:$T$64,'450'!$T$66:$T$68,'450'!$T$70:$T$76,'450'!$T$78,'450'!$T$80,'450'!$T$82:$T$83</definedName>
    <definedName name="OSRRefT22x_0" localSheetId="89">'455'!$T$20:$T$26,'455'!$T$28:$T$29,'455'!$T$31</definedName>
    <definedName name="OSRRefT22x_0" localSheetId="76">'491'!$T$34:$T$42,'491'!$T$44:$T$50,'491'!$T$52,'491'!$T$54,'491'!$T$56,'491'!$T$58:$T$60,'491'!$T$62,'491'!$T$64,'491'!$T$66,'491'!$T$68,'491'!$T$70,'491'!$T$72:$T$73,'491'!$T$75,'491'!$T$77,'491'!$T$79,'491'!$T$81,'491'!$T$83:$T$86,'491'!$T$88:$T$89,'491'!$T$91:$T$95,'491'!$T$97:$T$98,'491'!$T$100:$T$109,'491'!$T$111,'491'!$T$113,'491'!$T$115:$T$117,'491'!$T$119</definedName>
    <definedName name="OSRRefT22x_0" localSheetId="90">'492'!$T$28:$T$36,'492'!$T$38:$T$44,'492'!$T$46,'492'!$T$48,'492'!$T$50,'492'!$T$52,'492'!$T$54,'492'!$T$56,'492'!$T$58,'492'!$T$60,'492'!$T$62,'492'!$T$64,'492'!$T$66,'492'!$T$68:$T$70,'492'!$T$72:$T$74,'492'!$T$76:$T$84,'492'!$T$86,'492'!$T$88,'492'!$T$90:$T$91</definedName>
    <definedName name="OSRRefT22x_0" localSheetId="98">'501'!$T$21:$T$28,'501'!$T$30:$T$35,'501'!$T$37,'501'!$T$39,'501'!$T$41,'501'!$T$43:$T$44,'501'!$T$46,'501'!$T$48,'501'!$T$50,'501'!$T$52,'501'!$T$54:$T$56,'501'!$T$58,'501'!$T$60:$T$63,'501'!$T$65,'501'!$T$67</definedName>
    <definedName name="OSRRefT22x_0" localSheetId="39">'Div 2'!$T$20:$T$30,'Div 2'!$T$32:$T$38,'Div 2'!$T$40,'Div 2'!$T$42,'Div 2'!$T$44,'Div 2'!$T$46:$T$47,'Div 2'!$T$49,'Div 2'!$T$51,'Div 2'!$T$53,'Div 2'!$T$55,'Div 2'!$T$57,'Div 2'!$T$59,'Div 2'!$T$61:$T$64,'Div 2'!$T$66:$T$69,'Div 2'!$T$71:$T$72,'Div 2'!$T$74:$T$75,'Div 2'!$T$77:$T$81,'Div 2'!$T$83:$T$84,'Div 2'!$T$86,'Div 2'!$T$88:$T$89</definedName>
    <definedName name="OSRRefT22x_0" localSheetId="48">'Div 3'!$T$179:$T$187,'Div 3'!$T$189:$T$195,'Div 3'!$T$197,'Div 3'!$T$199:$T$200,'Div 3'!$T$202,'Div 3'!$T$204:$T$205,'Div 3'!$T$207:$T$208,'Div 3'!$T$210,'Div 3'!$T$212,'Div 3'!$T$214,'Div 3'!$T$216:$T$217,'Div 3'!$T$219,'Div 3'!$T$221,'Div 3'!$T$223,'Div 3'!$T$225:$T$258,'Div 3'!$T$260,'Div 3'!$T$262,'Div 3'!$T$264:$T$267,'Div 3'!$T$269:$T$271,'Div 3'!$T$273:$T$277,'Div 3'!$T$279:$T$280,'Div 3'!$T$282:$T$290,'Div 3'!$T$292:$T$293,'Div 3'!$T$295,'Div 3'!$T$297:$T$299,'Div 3'!$T$301</definedName>
    <definedName name="OSRRefT22x_0" localSheetId="74">'Div 4'!$T$35:$T$43,'Div 4'!$T$45:$T$51,'Div 4'!$T$53,'Div 4'!$T$55,'Div 4'!$T$57,'Div 4'!$T$59:$T$61,'Div 4'!$T$63,'Div 4'!$T$65,'Div 4'!$T$67,'Div 4'!$T$69,'Div 4'!$T$71,'Div 4'!$T$73:$T$74,'Div 4'!$T$76,'Div 4'!$T$78,'Div 4'!$T$80,'Div 4'!$T$82,'Div 4'!$T$84,'Div 4'!$T$86:$T$89,'Div 4'!$T$91:$T$92,'Div 4'!$T$94:$T$98,'Div 4'!$T$100:$T$101,'Div 4'!$T$103:$T$112,'Div 4'!$T$114,'Div 4'!$T$116,'Div 4'!$T$118:$T$120,'Div 4'!$T$122</definedName>
    <definedName name="OSRRefT22x_0" localSheetId="97">'Div 5'!$T$21:$T$28,'Div 5'!$T$30:$T$35,'Div 5'!$T$37,'Div 5'!$T$39,'Div 5'!$T$41,'Div 5'!$T$43:$T$44,'Div 5'!$T$46,'Div 5'!$T$48,'Div 5'!$T$50,'Div 5'!$T$52,'Div 5'!$T$54:$T$56,'Div 5'!$T$58,'Div 5'!$T$60:$T$63,'Div 5'!$T$65,'Div 5'!$T$67</definedName>
    <definedName name="OSRRefT22x_0" localSheetId="65">'Div 6'!$T$59:$T$67,'Div 6'!$T$69:$T$73,'Div 6'!$T$75,'Div 6'!$T$77,'Div 6'!$T$79,'Div 6'!$T$81,'Div 6'!$T$83,'Div 6'!$T$85:$T$86,'Div 6'!$T$88,'Div 6'!$T$90:$T$97,'Div 6'!$T$99,'Div 6'!$T$101,'Div 6'!$T$103:$T$104,'Div 6'!$T$106,'Div 6'!$T$108,'Div 6'!$T$110:$T$111</definedName>
    <definedName name="OSRRefT22x_0" localSheetId="2">Summary!$T$215:$T$223,Summary!$T$225:$T$231,Summary!$T$233,Summary!$T$235:$T$236,Summary!$T$238,Summary!$T$240:$T$242,Summary!$T$244:$T$245,Summary!$T$247,Summary!$T$249,Summary!$T$251,Summary!$T$253:$T$254,Summary!$T$256:$T$257,Summary!$T$259,Summary!$T$261,Summary!$T$263:$T$299,Summary!$T$301,Summary!$T$303,Summary!$T$305,Summary!$T$307:$T$310,Summary!$T$312:$T$314,Summary!$T$316:$T$320,Summary!$T$322:$T$323,Summary!$T$325:$T$334,Summary!$T$336:$T$337,Summary!$T$339,Summary!$T$341:$T$343,Summary!$T$345</definedName>
    <definedName name="OSRRefT25x_0" localSheetId="49">'300'!$T$295:$T$303</definedName>
    <definedName name="OSRRefT25x_0" localSheetId="50">'300 &amp; 317'!$T$324:$T$335</definedName>
    <definedName name="OSRRefT25x_0" localSheetId="51">'301'!$T$102:$T$104</definedName>
    <definedName name="OSRRefT25x_0" localSheetId="54">'307'!$T$147</definedName>
    <definedName name="OSRRefT25x_0" localSheetId="56">'308'!$T$128:$T$130</definedName>
    <definedName name="OSRRefT25x_0" localSheetId="75">'310 &amp; 491'!$T$132:$T$134</definedName>
    <definedName name="OSRRefT25x_0" localSheetId="57">'311'!$T$126:$T$128</definedName>
    <definedName name="OSRRefT25x_0" localSheetId="60">'315'!$T$119</definedName>
    <definedName name="OSRRefT25x_0" localSheetId="63">'316'!$T$78</definedName>
    <definedName name="OSRRefT25x_0" localSheetId="66">'317'!$T$114:$T$117</definedName>
    <definedName name="OSRRefT25x_0" localSheetId="64">'320'!$T$67:$T$71</definedName>
    <definedName name="OSRRefT25x_0" localSheetId="53">'330'!$T$162</definedName>
    <definedName name="OSRRefT25x_0" localSheetId="59">'331'!$T$163</definedName>
    <definedName name="OSRRefT25x_0" localSheetId="62">'332'!$T$95:$T$100</definedName>
    <definedName name="OSRRefT25x_0" localSheetId="79">'411'!$T$94:$T$95</definedName>
    <definedName name="OSRRefT25x_0" localSheetId="82">'413'!$T$73</definedName>
    <definedName name="OSRRefT25x_0" localSheetId="84">'415'!$T$92</definedName>
    <definedName name="OSRRefT25x_0" localSheetId="85">'418'!$T$87</definedName>
    <definedName name="OSRRefT25x_0" localSheetId="86">'423'!$T$44</definedName>
    <definedName name="OSRRefT25x_0" localSheetId="87">'424'!$T$68</definedName>
    <definedName name="OSRRefT25x_0" localSheetId="88">'425'!$T$84</definedName>
    <definedName name="OSRRefT25x_0" localSheetId="89">'455'!$T$34:$T$35</definedName>
    <definedName name="OSRRefT25x_0" localSheetId="76">'491'!$T$122:$T$124</definedName>
    <definedName name="OSRRefT25x_0" localSheetId="98">'501'!$T$70:$T$71</definedName>
    <definedName name="OSRRefT25x_0" localSheetId="48">'Div 3'!$T$304:$T$312</definedName>
    <definedName name="OSRRefT25x_0" localSheetId="74">'Div 4'!$T$125:$T$127</definedName>
    <definedName name="OSRRefT25x_0" localSheetId="97">'Div 5'!$T$70:$T$71</definedName>
    <definedName name="OSRRefT25x_0" localSheetId="65">'Div 6'!$T$114:$T$117</definedName>
    <definedName name="OSRRefT25x_0" localSheetId="2">Summary!$T$348:$T$360</definedName>
    <definedName name="_xlnm.Print_Area" localSheetId="38">'100'!$A$1:$Z$34</definedName>
    <definedName name="_xlnm.Print_Area" localSheetId="40">'200'!$A$1:$Z$44</definedName>
    <definedName name="_xlnm.Print_Area" localSheetId="41">'201'!$A$1:$Z$84</definedName>
    <definedName name="_xlnm.Print_Area" localSheetId="42">'202'!$A$1:$Z$83</definedName>
    <definedName name="_xlnm.Print_Area" localSheetId="43">'203'!$A$1:$Z$84</definedName>
    <definedName name="_xlnm.Print_Area" localSheetId="44">'204'!$A$1:$Z$77</definedName>
    <definedName name="_xlnm.Print_Area" localSheetId="45">'205'!$A$1:$Z$60</definedName>
    <definedName name="_xlnm.Print_Area" localSheetId="46">'206'!$A$1:$Z$63</definedName>
    <definedName name="_xlnm.Print_Area" localSheetId="47">'207'!$A$1:$Z$32</definedName>
    <definedName name="_xlnm.Print_Area" localSheetId="49">'300'!$A$1:$Z$315</definedName>
    <definedName name="_xlnm.Print_Area" localSheetId="50">'300 &amp; 317'!$A$1:$Z$347</definedName>
    <definedName name="_xlnm.Print_Area" localSheetId="51">'301'!$A$1:$Z$116</definedName>
    <definedName name="_xlnm.Print_Area" localSheetId="52">'306'!$A$1:$Z$72</definedName>
    <definedName name="_xlnm.Print_Area" localSheetId="54">'307'!$A$1:$Z$159</definedName>
    <definedName name="_xlnm.Print_Area" localSheetId="56">'308'!$A$1:$Z$142</definedName>
    <definedName name="_xlnm.Print_Area" localSheetId="68">'309'!$A$1:$Z$84</definedName>
    <definedName name="_xlnm.Print_Area" localSheetId="67">'310'!$A$1:$Z$119</definedName>
    <definedName name="_xlnm.Print_Area" localSheetId="75">'310 &amp; 491'!$A$1:$Z$146</definedName>
    <definedName name="_xlnm.Print_Area" localSheetId="57">'311'!$A$1:$Z$140</definedName>
    <definedName name="_xlnm.Print_Area" localSheetId="69">'313'!$A$1:$Z$95</definedName>
    <definedName name="_xlnm.Print_Area" localSheetId="55">'314'!$A$1:$Z$114</definedName>
    <definedName name="_xlnm.Print_Area" localSheetId="60">'315'!$A$1:$Z$131</definedName>
    <definedName name="_xlnm.Print_Area" localSheetId="63">'316'!$A$1:$Z$90</definedName>
    <definedName name="_xlnm.Print_Area" localSheetId="66">'317'!$A$1:$Z$129</definedName>
    <definedName name="_xlnm.Print_Area" localSheetId="64">'320'!$A$1:$Z$83</definedName>
    <definedName name="_xlnm.Print_Area" localSheetId="70">'321'!$A$1:$Z$83</definedName>
    <definedName name="_xlnm.Print_Area" localSheetId="71">'322'!$A$1:$Z$92</definedName>
    <definedName name="_xlnm.Print_Area" localSheetId="58">'324'!$A$1:$Z$40</definedName>
    <definedName name="_xlnm.Print_Area" localSheetId="72">'325'!$A$1:$Z$96</definedName>
    <definedName name="_xlnm.Print_Area" localSheetId="61">'326'!$A$1:$Z$149</definedName>
    <definedName name="_xlnm.Print_Area" localSheetId="73">'327'!$A$1:$Z$40</definedName>
    <definedName name="_xlnm.Print_Area" localSheetId="53">'330'!$A$1:$Z$174</definedName>
    <definedName name="_xlnm.Print_Area" localSheetId="59">'331'!$A$1:$Z$175</definedName>
    <definedName name="_xlnm.Print_Area" localSheetId="62">'332'!$A$1:$Z$112</definedName>
    <definedName name="_xlnm.Print_Area" localSheetId="77">'405'!$A$1:$Z$96</definedName>
    <definedName name="_xlnm.Print_Area" localSheetId="78">'406'!$A$1:$Z$87</definedName>
    <definedName name="_xlnm.Print_Area" localSheetId="79">'411'!$A$1:$Z$107</definedName>
    <definedName name="_xlnm.Print_Area" localSheetId="80">'412'!$A$1:$Z$90</definedName>
    <definedName name="_xlnm.Print_Area" localSheetId="82">'413'!$A$1:$Z$85</definedName>
    <definedName name="_xlnm.Print_Area" localSheetId="83">'414'!$A$1:$Z$87</definedName>
    <definedName name="_xlnm.Print_Area" localSheetId="84">'415'!$A$1:$Z$104</definedName>
    <definedName name="_xlnm.Print_Area" localSheetId="85">'418'!$A$1:$Z$99</definedName>
    <definedName name="_xlnm.Print_Area" localSheetId="81">'420'!$A$1:$Z$63</definedName>
    <definedName name="_xlnm.Print_Area" localSheetId="86">'423'!$A$1:$Z$56</definedName>
    <definedName name="_xlnm.Print_Area" localSheetId="87">'424'!$A$1:$Z$80</definedName>
    <definedName name="_xlnm.Print_Area" localSheetId="88">'425'!$A$1:$Z$96</definedName>
    <definedName name="_xlnm.Print_Area" localSheetId="91">'430'!$A$1:$Z$61</definedName>
    <definedName name="_xlnm.Print_Area" localSheetId="92">'433'!$A$1:$Z$95</definedName>
    <definedName name="_xlnm.Print_Area" localSheetId="93">'435'!$A$1:$Z$64</definedName>
    <definedName name="_xlnm.Print_Area" localSheetId="94">'444'!$A$1:$Z$95</definedName>
    <definedName name="_xlnm.Print_Area" localSheetId="95">'445'!$A$1:$Z$35</definedName>
    <definedName name="_xlnm.Print_Area" localSheetId="96">'450'!$A$1:$Z$97</definedName>
    <definedName name="_xlnm.Print_Area" localSheetId="89">'455'!$A$1:$Z$47</definedName>
    <definedName name="_xlnm.Print_Area" localSheetId="76">'491'!$A$1:$Z$136</definedName>
    <definedName name="_xlnm.Print_Area" localSheetId="90">'492'!$A$1:$Z$105</definedName>
    <definedName name="_xlnm.Print_Area" localSheetId="98">'501'!$A$1:$Z$83</definedName>
    <definedName name="_xlnm.Print_Area" localSheetId="99">Dept!$A$1:$Z$39</definedName>
    <definedName name="_xlnm.Print_Area" localSheetId="5">'Div 1'!$A$1:$Z$34</definedName>
    <definedName name="_xlnm.Print_Area" localSheetId="39">'Div 2'!$A$1:$Z$103</definedName>
    <definedName name="_xlnm.Print_Area" localSheetId="48">'Div 3'!$A$1:$Z$324</definedName>
    <definedName name="_xlnm.Print_Area" localSheetId="74">'Div 4'!$A$1:$Z$139</definedName>
    <definedName name="_xlnm.Print_Area" localSheetId="97">'Div 5'!$A$1:$Z$83</definedName>
    <definedName name="_xlnm.Print_Area" localSheetId="65">'Div 6'!$A$1:$Z$129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100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101">'OSR_Summary (...56e5d78f_5JEYZH'!$A$1:$Z$39</definedName>
    <definedName name="_xlnm.Print_Area" localSheetId="3">OSR_Summary_18VAVWG!$A$1:$Z$39</definedName>
    <definedName name="_xlnm.Print_Area" localSheetId="2">Summary!$A$1:$Z$374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7">'207'!$A:$C,'207'!$1:$10</definedName>
    <definedName name="_xlnm.Print_Titles" localSheetId="49">'300'!$A:$C,'300'!$1:$10</definedName>
    <definedName name="_xlnm.Print_Titles" localSheetId="50">'300 &amp; 317'!$A:$C,'300 &amp; 317'!$1:$10</definedName>
    <definedName name="_xlnm.Print_Titles" localSheetId="51">'301'!$A:$C,'301'!$1:$10</definedName>
    <definedName name="_xlnm.Print_Titles" localSheetId="52">'306'!$A:$C,'306'!$1:$10</definedName>
    <definedName name="_xlnm.Print_Titles" localSheetId="54">'307'!$A:$C,'307'!$1:$10</definedName>
    <definedName name="_xlnm.Print_Titles" localSheetId="56">'308'!$A:$C,'308'!$1:$10</definedName>
    <definedName name="_xlnm.Print_Titles" localSheetId="68">'309'!$A:$C,'309'!$1:$10</definedName>
    <definedName name="_xlnm.Print_Titles" localSheetId="67">'310'!$A:$C,'310'!$1:$10</definedName>
    <definedName name="_xlnm.Print_Titles" localSheetId="75">'310 &amp; 491'!$A:$C,'310 &amp; 491'!$1:$10</definedName>
    <definedName name="_xlnm.Print_Titles" localSheetId="57">'311'!$A:$C,'311'!$1:$10</definedName>
    <definedName name="_xlnm.Print_Titles" localSheetId="69">'313'!$A:$C,'313'!$1:$10</definedName>
    <definedName name="_xlnm.Print_Titles" localSheetId="55">'314'!$A:$C,'314'!$1:$10</definedName>
    <definedName name="_xlnm.Print_Titles" localSheetId="60">'315'!$A:$C,'315'!$1:$10</definedName>
    <definedName name="_xlnm.Print_Titles" localSheetId="63">'316'!$A:$C,'316'!$1:$10</definedName>
    <definedName name="_xlnm.Print_Titles" localSheetId="66">'317'!$A:$C,'317'!$1:$10</definedName>
    <definedName name="_xlnm.Print_Titles" localSheetId="64">'320'!$A:$C,'320'!$1:$10</definedName>
    <definedName name="_xlnm.Print_Titles" localSheetId="70">'321'!$A:$C,'321'!$1:$10</definedName>
    <definedName name="_xlnm.Print_Titles" localSheetId="71">'322'!$A:$C,'322'!$1:$10</definedName>
    <definedName name="_xlnm.Print_Titles" localSheetId="58">'324'!$A:$C,'324'!$1:$10</definedName>
    <definedName name="_xlnm.Print_Titles" localSheetId="72">'325'!$A:$C,'325'!$1:$10</definedName>
    <definedName name="_xlnm.Print_Titles" localSheetId="61">'326'!$A:$C,'326'!$1:$10</definedName>
    <definedName name="_xlnm.Print_Titles" localSheetId="73">'327'!$A:$C,'327'!$1:$10</definedName>
    <definedName name="_xlnm.Print_Titles" localSheetId="53">'330'!$A:$C,'330'!$1:$10</definedName>
    <definedName name="_xlnm.Print_Titles" localSheetId="59">'331'!$A:$C,'331'!$1:$10</definedName>
    <definedName name="_xlnm.Print_Titles" localSheetId="62">'332'!$A:$C,'332'!$1:$10</definedName>
    <definedName name="_xlnm.Print_Titles" localSheetId="77">'405'!$A:$C,'405'!$1:$10</definedName>
    <definedName name="_xlnm.Print_Titles" localSheetId="78">'406'!$A:$C,'406'!$1:$10</definedName>
    <definedName name="_xlnm.Print_Titles" localSheetId="79">'411'!$A:$C,'411'!$1:$10</definedName>
    <definedName name="_xlnm.Print_Titles" localSheetId="80">'412'!$A:$C,'412'!$1:$10</definedName>
    <definedName name="_xlnm.Print_Titles" localSheetId="82">'413'!$A:$C,'413'!$1:$10</definedName>
    <definedName name="_xlnm.Print_Titles" localSheetId="83">'414'!$A:$C,'414'!$1:$10</definedName>
    <definedName name="_xlnm.Print_Titles" localSheetId="84">'415'!$A:$C,'415'!$1:$10</definedName>
    <definedName name="_xlnm.Print_Titles" localSheetId="85">'418'!$A:$C,'418'!$1:$10</definedName>
    <definedName name="_xlnm.Print_Titles" localSheetId="81">'420'!$A:$C,'420'!$1:$10</definedName>
    <definedName name="_xlnm.Print_Titles" localSheetId="86">'423'!$A:$C,'423'!$1:$10</definedName>
    <definedName name="_xlnm.Print_Titles" localSheetId="87">'424'!$A:$C,'424'!$1:$10</definedName>
    <definedName name="_xlnm.Print_Titles" localSheetId="88">'425'!$A:$C,'425'!$1:$10</definedName>
    <definedName name="_xlnm.Print_Titles" localSheetId="91">'430'!$A:$C,'430'!$1:$10</definedName>
    <definedName name="_xlnm.Print_Titles" localSheetId="92">'433'!$A:$C,'433'!$1:$10</definedName>
    <definedName name="_xlnm.Print_Titles" localSheetId="93">'435'!$A:$C,'435'!$1:$10</definedName>
    <definedName name="_xlnm.Print_Titles" localSheetId="94">'444'!$A:$C,'444'!$1:$10</definedName>
    <definedName name="_xlnm.Print_Titles" localSheetId="95">'445'!$A:$C,'445'!$1:$10</definedName>
    <definedName name="_xlnm.Print_Titles" localSheetId="96">'450'!$A:$C,'450'!$1:$10</definedName>
    <definedName name="_xlnm.Print_Titles" localSheetId="89">'455'!$A:$C,'455'!$1:$10</definedName>
    <definedName name="_xlnm.Print_Titles" localSheetId="76">'491'!$A:$C,'491'!$1:$10</definedName>
    <definedName name="_xlnm.Print_Titles" localSheetId="90">'492'!$A:$C,'492'!$1:$10</definedName>
    <definedName name="_xlnm.Print_Titles" localSheetId="98">'501'!$A:$C,'501'!$1:$10</definedName>
    <definedName name="_xlnm.Print_Titles" localSheetId="99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8">'Div 3'!$A:$C,'Div 3'!$1:$10</definedName>
    <definedName name="_xlnm.Print_Titles" localSheetId="74">'Div 4'!$A:$C,'Div 4'!$1:$10</definedName>
    <definedName name="_xlnm.Print_Titles" localSheetId="97">'Div 5'!$A:$C,'Div 5'!$1:$10</definedName>
    <definedName name="_xlnm.Print_Titles" localSheetId="65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100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101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5" i="109" l="1"/>
  <c r="Z75" i="109" s="1"/>
  <c r="N75" i="109"/>
  <c r="L75" i="109"/>
  <c r="T71" i="109"/>
  <c r="Z71" i="109" s="1"/>
  <c r="P71" i="109"/>
  <c r="X71" i="109" s="1"/>
  <c r="N71" i="109"/>
  <c r="H71" i="109"/>
  <c r="D71" i="109"/>
  <c r="L71" i="109" s="1"/>
  <c r="B71" i="109"/>
  <c r="T70" i="109"/>
  <c r="P70" i="109"/>
  <c r="L70" i="109"/>
  <c r="H70" i="109"/>
  <c r="D70" i="109"/>
  <c r="D69" i="109" s="1"/>
  <c r="L69" i="109" s="1"/>
  <c r="N69" i="109" s="1"/>
  <c r="B70" i="109"/>
  <c r="T69" i="109"/>
  <c r="H69" i="109"/>
  <c r="Z67" i="109"/>
  <c r="X67" i="109"/>
  <c r="N67" i="109"/>
  <c r="L67" i="109"/>
  <c r="B67" i="109"/>
  <c r="X66" i="109"/>
  <c r="T66" i="109"/>
  <c r="P66" i="109"/>
  <c r="H66" i="109"/>
  <c r="N66" i="109" s="1"/>
  <c r="D66" i="109"/>
  <c r="B66" i="109"/>
  <c r="Z65" i="109"/>
  <c r="X65" i="109"/>
  <c r="L65" i="109"/>
  <c r="N65" i="109" s="1"/>
  <c r="B65" i="109"/>
  <c r="T64" i="109"/>
  <c r="P64" i="109"/>
  <c r="H64" i="109"/>
  <c r="D64" i="109"/>
  <c r="B64" i="109"/>
  <c r="Z63" i="109"/>
  <c r="X63" i="109"/>
  <c r="N63" i="109"/>
  <c r="L63" i="109"/>
  <c r="B63" i="109"/>
  <c r="X62" i="109"/>
  <c r="Z62" i="109" s="1"/>
  <c r="L62" i="109"/>
  <c r="N62" i="109" s="1"/>
  <c r="B62" i="109"/>
  <c r="X61" i="109"/>
  <c r="Z61" i="109" s="1"/>
  <c r="N61" i="109"/>
  <c r="L61" i="109"/>
  <c r="B61" i="109"/>
  <c r="Z60" i="109"/>
  <c r="X60" i="109"/>
  <c r="N60" i="109"/>
  <c r="L60" i="109"/>
  <c r="B60" i="109"/>
  <c r="T59" i="109"/>
  <c r="Z59" i="109" s="1"/>
  <c r="P59" i="109"/>
  <c r="X59" i="109" s="1"/>
  <c r="L59" i="109"/>
  <c r="N59" i="109" s="1"/>
  <c r="H59" i="109"/>
  <c r="D59" i="109"/>
  <c r="B59" i="109"/>
  <c r="X58" i="109"/>
  <c r="Z58" i="109" s="1"/>
  <c r="N58" i="109"/>
  <c r="L58" i="109"/>
  <c r="B58" i="109"/>
  <c r="Z57" i="109"/>
  <c r="X57" i="109"/>
  <c r="T57" i="109"/>
  <c r="P57" i="109"/>
  <c r="H57" i="109"/>
  <c r="N57" i="109" s="1"/>
  <c r="D57" i="109"/>
  <c r="B57" i="109"/>
  <c r="X56" i="109"/>
  <c r="Z56" i="109" s="1"/>
  <c r="N56" i="109"/>
  <c r="L56" i="109"/>
  <c r="B56" i="109"/>
  <c r="Z55" i="109"/>
  <c r="X55" i="109"/>
  <c r="N55" i="109"/>
  <c r="L55" i="109"/>
  <c r="B55" i="109"/>
  <c r="Z54" i="109"/>
  <c r="X54" i="109"/>
  <c r="V54" i="109"/>
  <c r="N54" i="109"/>
  <c r="L54" i="109"/>
  <c r="B54" i="109"/>
  <c r="T53" i="109"/>
  <c r="P53" i="109"/>
  <c r="X53" i="109" s="1"/>
  <c r="Z53" i="109" s="1"/>
  <c r="N53" i="109"/>
  <c r="H53" i="109"/>
  <c r="D53" i="109"/>
  <c r="L53" i="109" s="1"/>
  <c r="B53" i="109"/>
  <c r="X52" i="109"/>
  <c r="Z52" i="109" s="1"/>
  <c r="N52" i="109"/>
  <c r="L52" i="109"/>
  <c r="B52" i="109"/>
  <c r="T51" i="109"/>
  <c r="P51" i="109"/>
  <c r="X51" i="109" s="1"/>
  <c r="Z51" i="109" s="1"/>
  <c r="L51" i="109"/>
  <c r="H51" i="109"/>
  <c r="D51" i="109"/>
  <c r="B51" i="109"/>
  <c r="X50" i="109"/>
  <c r="Z50" i="109" s="1"/>
  <c r="N50" i="109"/>
  <c r="L50" i="109"/>
  <c r="B50" i="109"/>
  <c r="Z49" i="109"/>
  <c r="X49" i="109"/>
  <c r="T49" i="109"/>
  <c r="P49" i="109"/>
  <c r="H49" i="109"/>
  <c r="D49" i="109"/>
  <c r="B49" i="109"/>
  <c r="Z48" i="109"/>
  <c r="X48" i="109"/>
  <c r="L48" i="109"/>
  <c r="N48" i="109" s="1"/>
  <c r="B48" i="109"/>
  <c r="Z47" i="109"/>
  <c r="V47" i="109"/>
  <c r="T47" i="109"/>
  <c r="P47" i="109"/>
  <c r="X47" i="109" s="1"/>
  <c r="H47" i="109"/>
  <c r="D47" i="109"/>
  <c r="L47" i="109" s="1"/>
  <c r="N47" i="109" s="1"/>
  <c r="B47" i="109"/>
  <c r="X46" i="109"/>
  <c r="Z46" i="109" s="1"/>
  <c r="N46" i="109"/>
  <c r="L46" i="109"/>
  <c r="B46" i="109"/>
  <c r="X45" i="109"/>
  <c r="V45" i="109"/>
  <c r="T45" i="109"/>
  <c r="P45" i="109"/>
  <c r="N45" i="109"/>
  <c r="H45" i="109"/>
  <c r="D45" i="109"/>
  <c r="L45" i="109" s="1"/>
  <c r="B45" i="109"/>
  <c r="X44" i="109"/>
  <c r="Z44" i="109" s="1"/>
  <c r="N44" i="109"/>
  <c r="L44" i="109"/>
  <c r="B44" i="109"/>
  <c r="Z43" i="109"/>
  <c r="X43" i="109"/>
  <c r="N43" i="109"/>
  <c r="L43" i="109"/>
  <c r="B43" i="109"/>
  <c r="T42" i="109"/>
  <c r="X42" i="109" s="1"/>
  <c r="P42" i="109"/>
  <c r="N42" i="109"/>
  <c r="H42" i="109"/>
  <c r="L42" i="109" s="1"/>
  <c r="D42" i="109"/>
  <c r="B42" i="109"/>
  <c r="Z41" i="109"/>
  <c r="X41" i="109"/>
  <c r="N41" i="109"/>
  <c r="L41" i="109"/>
  <c r="B41" i="109"/>
  <c r="T40" i="109"/>
  <c r="P40" i="109"/>
  <c r="H40" i="109"/>
  <c r="N40" i="109" s="1"/>
  <c r="D40" i="109"/>
  <c r="L40" i="109" s="1"/>
  <c r="B40" i="109"/>
  <c r="Z39" i="109"/>
  <c r="X39" i="109"/>
  <c r="V39" i="109"/>
  <c r="L39" i="109"/>
  <c r="N39" i="109" s="1"/>
  <c r="B39" i="109"/>
  <c r="T38" i="109"/>
  <c r="P38" i="109"/>
  <c r="X38" i="109" s="1"/>
  <c r="H38" i="109"/>
  <c r="N38" i="109" s="1"/>
  <c r="D38" i="109"/>
  <c r="L38" i="109" s="1"/>
  <c r="B38" i="109"/>
  <c r="Z37" i="109"/>
  <c r="X37" i="109"/>
  <c r="N37" i="109"/>
  <c r="L37" i="109"/>
  <c r="B37" i="109"/>
  <c r="X36" i="109"/>
  <c r="Z36" i="109" s="1"/>
  <c r="T36" i="109"/>
  <c r="P36" i="109"/>
  <c r="H36" i="109"/>
  <c r="L36" i="109" s="1"/>
  <c r="D36" i="109"/>
  <c r="B36" i="109"/>
  <c r="Z35" i="109"/>
  <c r="X35" i="109"/>
  <c r="N35" i="109"/>
  <c r="L35" i="109"/>
  <c r="B35" i="109"/>
  <c r="Z34" i="109"/>
  <c r="X34" i="109"/>
  <c r="L34" i="109"/>
  <c r="N34" i="109" s="1"/>
  <c r="B34" i="109"/>
  <c r="Z33" i="109"/>
  <c r="X33" i="109"/>
  <c r="V33" i="109"/>
  <c r="L33" i="109"/>
  <c r="N33" i="109" s="1"/>
  <c r="B33" i="109"/>
  <c r="Z32" i="109"/>
  <c r="X32" i="109"/>
  <c r="L32" i="109"/>
  <c r="N32" i="109" s="1"/>
  <c r="B32" i="109"/>
  <c r="Z31" i="109"/>
  <c r="X31" i="109"/>
  <c r="V31" i="109"/>
  <c r="N31" i="109"/>
  <c r="L31" i="109"/>
  <c r="B31" i="109"/>
  <c r="Z30" i="109"/>
  <c r="X30" i="109"/>
  <c r="L30" i="109"/>
  <c r="N30" i="109" s="1"/>
  <c r="B30" i="109"/>
  <c r="V29" i="109"/>
  <c r="T29" i="109"/>
  <c r="P29" i="109"/>
  <c r="X29" i="109" s="1"/>
  <c r="Z29" i="109" s="1"/>
  <c r="N29" i="109"/>
  <c r="H29" i="109"/>
  <c r="D29" i="109"/>
  <c r="L29" i="109" s="1"/>
  <c r="B29" i="109"/>
  <c r="X28" i="109"/>
  <c r="Z28" i="109" s="1"/>
  <c r="L28" i="109"/>
  <c r="N28" i="109" s="1"/>
  <c r="F28" i="109"/>
  <c r="B28" i="109"/>
  <c r="X27" i="109"/>
  <c r="Z27" i="109" s="1"/>
  <c r="V27" i="109"/>
  <c r="N27" i="109"/>
  <c r="L27" i="109"/>
  <c r="B27" i="109"/>
  <c r="X26" i="109"/>
  <c r="Z26" i="109" s="1"/>
  <c r="L26" i="109"/>
  <c r="N26" i="109" s="1"/>
  <c r="B26" i="109"/>
  <c r="X25" i="109"/>
  <c r="Z25" i="109" s="1"/>
  <c r="V25" i="109"/>
  <c r="N25" i="109"/>
  <c r="L25" i="109"/>
  <c r="B25" i="109"/>
  <c r="X24" i="109"/>
  <c r="Z24" i="109" s="1"/>
  <c r="L24" i="109"/>
  <c r="N24" i="109" s="1"/>
  <c r="B24" i="109"/>
  <c r="X23" i="109"/>
  <c r="Z23" i="109" s="1"/>
  <c r="V23" i="109"/>
  <c r="N23" i="109"/>
  <c r="L23" i="109"/>
  <c r="B23" i="109"/>
  <c r="X22" i="109"/>
  <c r="Z22" i="109" s="1"/>
  <c r="L22" i="109"/>
  <c r="N22" i="109" s="1"/>
  <c r="B22" i="109"/>
  <c r="X21" i="109"/>
  <c r="Z21" i="109" s="1"/>
  <c r="V21" i="109"/>
  <c r="L21" i="109"/>
  <c r="N21" i="109" s="1"/>
  <c r="B21" i="109"/>
  <c r="X20" i="109"/>
  <c r="T20" i="109"/>
  <c r="P20" i="109"/>
  <c r="H20" i="109"/>
  <c r="D20" i="109"/>
  <c r="L20" i="109" s="1"/>
  <c r="B20" i="109"/>
  <c r="T19" i="109"/>
  <c r="P19" i="109"/>
  <c r="H19" i="109"/>
  <c r="D19" i="109"/>
  <c r="L19" i="109" s="1"/>
  <c r="T15" i="109"/>
  <c r="Z15" i="109" s="1"/>
  <c r="P15" i="109"/>
  <c r="N15" i="109"/>
  <c r="L15" i="109"/>
  <c r="H15" i="109"/>
  <c r="D15" i="109"/>
  <c r="T13" i="109"/>
  <c r="P13" i="109"/>
  <c r="H13" i="109"/>
  <c r="D13" i="109"/>
  <c r="B13" i="109"/>
  <c r="T12" i="109"/>
  <c r="V75" i="109" s="1"/>
  <c r="D12" i="109"/>
  <c r="F57" i="109" s="1"/>
  <c r="D6" i="109"/>
  <c r="D4" i="109"/>
  <c r="V41" i="108"/>
  <c r="Z39" i="108"/>
  <c r="X39" i="108"/>
  <c r="V39" i="108"/>
  <c r="R39" i="108"/>
  <c r="N39" i="108"/>
  <c r="L39" i="108"/>
  <c r="J39" i="108"/>
  <c r="J37" i="108"/>
  <c r="T35" i="108"/>
  <c r="P35" i="108"/>
  <c r="X35" i="108" s="1"/>
  <c r="J35" i="108"/>
  <c r="H35" i="108"/>
  <c r="D35" i="108"/>
  <c r="B35" i="108"/>
  <c r="T34" i="108"/>
  <c r="P34" i="108"/>
  <c r="X34" i="108" s="1"/>
  <c r="Z34" i="108" s="1"/>
  <c r="N34" i="108"/>
  <c r="L34" i="108"/>
  <c r="J34" i="108"/>
  <c r="H34" i="108"/>
  <c r="D34" i="108"/>
  <c r="B34" i="108"/>
  <c r="T33" i="108"/>
  <c r="Z33" i="108" s="1"/>
  <c r="R33" i="108"/>
  <c r="P33" i="108"/>
  <c r="X33" i="108" s="1"/>
  <c r="X31" i="108"/>
  <c r="Z31" i="108" s="1"/>
  <c r="N31" i="108"/>
  <c r="L31" i="108"/>
  <c r="J31" i="108"/>
  <c r="B31" i="108"/>
  <c r="T30" i="108"/>
  <c r="X30" i="108" s="1"/>
  <c r="Z30" i="108" s="1"/>
  <c r="P30" i="108"/>
  <c r="L30" i="108"/>
  <c r="J30" i="108"/>
  <c r="H30" i="108"/>
  <c r="N30" i="108" s="1"/>
  <c r="D30" i="108"/>
  <c r="B30" i="108"/>
  <c r="X29" i="108"/>
  <c r="Z29" i="108" s="1"/>
  <c r="N29" i="108"/>
  <c r="L29" i="108"/>
  <c r="J29" i="108"/>
  <c r="F29" i="108"/>
  <c r="B29" i="108"/>
  <c r="Z28" i="108"/>
  <c r="X28" i="108"/>
  <c r="V28" i="108"/>
  <c r="N28" i="108"/>
  <c r="L28" i="108"/>
  <c r="B28" i="108"/>
  <c r="V27" i="108"/>
  <c r="T27" i="108"/>
  <c r="P27" i="108"/>
  <c r="X27" i="108" s="1"/>
  <c r="Z27" i="108" s="1"/>
  <c r="L27" i="108"/>
  <c r="H27" i="108"/>
  <c r="N27" i="108" s="1"/>
  <c r="D27" i="108"/>
  <c r="B27" i="108"/>
  <c r="Z26" i="108"/>
  <c r="X26" i="108"/>
  <c r="V26" i="108"/>
  <c r="N26" i="108"/>
  <c r="L26" i="108"/>
  <c r="B26" i="108"/>
  <c r="X25" i="108"/>
  <c r="Z25" i="108" s="1"/>
  <c r="V25" i="108"/>
  <c r="R25" i="108"/>
  <c r="L25" i="108"/>
  <c r="N25" i="108" s="1"/>
  <c r="F25" i="108"/>
  <c r="B25" i="108"/>
  <c r="Z24" i="108"/>
  <c r="X24" i="108"/>
  <c r="N24" i="108"/>
  <c r="L24" i="108"/>
  <c r="J24" i="108"/>
  <c r="B24" i="108"/>
  <c r="X23" i="108"/>
  <c r="Z23" i="108" s="1"/>
  <c r="L23" i="108"/>
  <c r="N23" i="108" s="1"/>
  <c r="B23" i="108"/>
  <c r="Z22" i="108"/>
  <c r="X22" i="108"/>
  <c r="V22" i="108"/>
  <c r="N22" i="108"/>
  <c r="L22" i="108"/>
  <c r="B22" i="108"/>
  <c r="X21" i="108"/>
  <c r="Z21" i="108" s="1"/>
  <c r="V21" i="108"/>
  <c r="R21" i="108"/>
  <c r="L21" i="108"/>
  <c r="N21" i="108" s="1"/>
  <c r="F21" i="108"/>
  <c r="B21" i="108"/>
  <c r="Z20" i="108"/>
  <c r="X20" i="108"/>
  <c r="L20" i="108"/>
  <c r="N20" i="108" s="1"/>
  <c r="J20" i="108"/>
  <c r="B20" i="108"/>
  <c r="X19" i="108"/>
  <c r="T19" i="108"/>
  <c r="Z19" i="108" s="1"/>
  <c r="P19" i="108"/>
  <c r="J19" i="108"/>
  <c r="H19" i="108"/>
  <c r="D19" i="108"/>
  <c r="L19" i="108" s="1"/>
  <c r="B19" i="108"/>
  <c r="T18" i="108"/>
  <c r="P18" i="108"/>
  <c r="X18" i="108" s="1"/>
  <c r="Z18" i="108" s="1"/>
  <c r="J18" i="108"/>
  <c r="H18" i="108"/>
  <c r="F18" i="108"/>
  <c r="D18" i="108"/>
  <c r="L18" i="108" s="1"/>
  <c r="P16" i="108"/>
  <c r="J16" i="108"/>
  <c r="F16" i="108"/>
  <c r="Z14" i="108"/>
  <c r="T14" i="108"/>
  <c r="P14" i="108"/>
  <c r="X14" i="108" s="1"/>
  <c r="L14" i="108"/>
  <c r="J14" i="108"/>
  <c r="H14" i="108"/>
  <c r="N14" i="108" s="1"/>
  <c r="F14" i="108"/>
  <c r="D14" i="108"/>
  <c r="D16" i="108" s="1"/>
  <c r="Z12" i="108"/>
  <c r="T12" i="108"/>
  <c r="V23" i="108" s="1"/>
  <c r="P12" i="108"/>
  <c r="R44" i="108" s="1"/>
  <c r="L12" i="108"/>
  <c r="H12" i="108"/>
  <c r="J41" i="108" s="1"/>
  <c r="D12" i="108"/>
  <c r="F34" i="108" s="1"/>
  <c r="D6" i="108"/>
  <c r="D4" i="108"/>
  <c r="Z89" i="107"/>
  <c r="X89" i="107"/>
  <c r="N89" i="107"/>
  <c r="L89" i="107"/>
  <c r="T85" i="107"/>
  <c r="Z85" i="107" s="1"/>
  <c r="P85" i="107"/>
  <c r="X85" i="107" s="1"/>
  <c r="N85" i="107"/>
  <c r="H85" i="107"/>
  <c r="D85" i="107"/>
  <c r="L85" i="107" s="1"/>
  <c r="X83" i="107"/>
  <c r="Z83" i="107" s="1"/>
  <c r="N83" i="107"/>
  <c r="L83" i="107"/>
  <c r="B83" i="107"/>
  <c r="Z82" i="107"/>
  <c r="X82" i="107"/>
  <c r="N82" i="107"/>
  <c r="L82" i="107"/>
  <c r="B82" i="107"/>
  <c r="T81" i="107"/>
  <c r="P81" i="107"/>
  <c r="X81" i="107" s="1"/>
  <c r="Z81" i="107" s="1"/>
  <c r="H81" i="107"/>
  <c r="N81" i="107" s="1"/>
  <c r="D81" i="107"/>
  <c r="L81" i="107" s="1"/>
  <c r="B81" i="107"/>
  <c r="X80" i="107"/>
  <c r="Z80" i="107" s="1"/>
  <c r="N80" i="107"/>
  <c r="L80" i="107"/>
  <c r="B80" i="107"/>
  <c r="Z79" i="107"/>
  <c r="X79" i="107"/>
  <c r="T79" i="107"/>
  <c r="P79" i="107"/>
  <c r="L79" i="107"/>
  <c r="H79" i="107"/>
  <c r="D79" i="107"/>
  <c r="B79" i="107"/>
  <c r="X78" i="107"/>
  <c r="Z78" i="107" s="1"/>
  <c r="N78" i="107"/>
  <c r="L78" i="107"/>
  <c r="B78" i="107"/>
  <c r="Z77" i="107"/>
  <c r="T77" i="107"/>
  <c r="X77" i="107" s="1"/>
  <c r="P77" i="107"/>
  <c r="H77" i="107"/>
  <c r="D77" i="107"/>
  <c r="L77" i="107" s="1"/>
  <c r="B77" i="107"/>
  <c r="X76" i="107"/>
  <c r="Z76" i="107" s="1"/>
  <c r="N76" i="107"/>
  <c r="L76" i="107"/>
  <c r="B76" i="107"/>
  <c r="Z75" i="107"/>
  <c r="X75" i="107"/>
  <c r="N75" i="107"/>
  <c r="L75" i="107"/>
  <c r="B75" i="107"/>
  <c r="Z74" i="107"/>
  <c r="X74" i="107"/>
  <c r="L74" i="107"/>
  <c r="N74" i="107" s="1"/>
  <c r="B74" i="107"/>
  <c r="Z73" i="107"/>
  <c r="X73" i="107"/>
  <c r="L73" i="107"/>
  <c r="N73" i="107" s="1"/>
  <c r="B73" i="107"/>
  <c r="X72" i="107"/>
  <c r="Z72" i="107" s="1"/>
  <c r="L72" i="107"/>
  <c r="N72" i="107" s="1"/>
  <c r="B72" i="107"/>
  <c r="X71" i="107"/>
  <c r="Z71" i="107" s="1"/>
  <c r="N71" i="107"/>
  <c r="L71" i="107"/>
  <c r="B71" i="107"/>
  <c r="Z70" i="107"/>
  <c r="X70" i="107"/>
  <c r="N70" i="107"/>
  <c r="L70" i="107"/>
  <c r="B70" i="107"/>
  <c r="Z69" i="107"/>
  <c r="T69" i="107"/>
  <c r="P69" i="107"/>
  <c r="X69" i="107" s="1"/>
  <c r="H69" i="107"/>
  <c r="D69" i="107"/>
  <c r="L69" i="107" s="1"/>
  <c r="B69" i="107"/>
  <c r="X68" i="107"/>
  <c r="Z68" i="107" s="1"/>
  <c r="N68" i="107"/>
  <c r="L68" i="107"/>
  <c r="B68" i="107"/>
  <c r="X67" i="107"/>
  <c r="Z67" i="107" s="1"/>
  <c r="N67" i="107"/>
  <c r="L67" i="107"/>
  <c r="B67" i="107"/>
  <c r="Z66" i="107"/>
  <c r="X66" i="107"/>
  <c r="N66" i="107"/>
  <c r="L66" i="107"/>
  <c r="B66" i="107"/>
  <c r="T65" i="107"/>
  <c r="P65" i="107"/>
  <c r="L65" i="107"/>
  <c r="N65" i="107" s="1"/>
  <c r="H65" i="107"/>
  <c r="D65" i="107"/>
  <c r="B65" i="107"/>
  <c r="Z64" i="107"/>
  <c r="X64" i="107"/>
  <c r="N64" i="107"/>
  <c r="L64" i="107"/>
  <c r="B64" i="107"/>
  <c r="Z63" i="107"/>
  <c r="X63" i="107"/>
  <c r="L63" i="107"/>
  <c r="N63" i="107" s="1"/>
  <c r="B63" i="107"/>
  <c r="Z62" i="107"/>
  <c r="X62" i="107"/>
  <c r="N62" i="107"/>
  <c r="L62" i="107"/>
  <c r="B62" i="107"/>
  <c r="T61" i="107"/>
  <c r="X61" i="107" s="1"/>
  <c r="P61" i="107"/>
  <c r="H61" i="107"/>
  <c r="D61" i="107"/>
  <c r="L61" i="107" s="1"/>
  <c r="B61" i="107"/>
  <c r="X60" i="107"/>
  <c r="Z60" i="107" s="1"/>
  <c r="L60" i="107"/>
  <c r="N60" i="107" s="1"/>
  <c r="B60" i="107"/>
  <c r="X59" i="107"/>
  <c r="T59" i="107"/>
  <c r="P59" i="107"/>
  <c r="N59" i="107"/>
  <c r="H59" i="107"/>
  <c r="D59" i="107"/>
  <c r="L59" i="107" s="1"/>
  <c r="B59" i="107"/>
  <c r="X58" i="107"/>
  <c r="Z58" i="107" s="1"/>
  <c r="N58" i="107"/>
  <c r="L58" i="107"/>
  <c r="B58" i="107"/>
  <c r="T57" i="107"/>
  <c r="P57" i="107"/>
  <c r="L57" i="107"/>
  <c r="N57" i="107" s="1"/>
  <c r="H57" i="107"/>
  <c r="D57" i="107"/>
  <c r="B57" i="107"/>
  <c r="Z56" i="107"/>
  <c r="X56" i="107"/>
  <c r="N56" i="107"/>
  <c r="L56" i="107"/>
  <c r="B56" i="107"/>
  <c r="T55" i="107"/>
  <c r="P55" i="107"/>
  <c r="N55" i="107"/>
  <c r="H55" i="107"/>
  <c r="L55" i="107" s="1"/>
  <c r="D55" i="107"/>
  <c r="B55" i="107"/>
  <c r="Z54" i="107"/>
  <c r="X54" i="107"/>
  <c r="N54" i="107"/>
  <c r="L54" i="107"/>
  <c r="B54" i="107"/>
  <c r="Z53" i="107"/>
  <c r="T53" i="107"/>
  <c r="P53" i="107"/>
  <c r="X53" i="107" s="1"/>
  <c r="L53" i="107"/>
  <c r="H53" i="107"/>
  <c r="N53" i="107" s="1"/>
  <c r="D53" i="107"/>
  <c r="B53" i="107"/>
  <c r="X52" i="107"/>
  <c r="Z52" i="107" s="1"/>
  <c r="N52" i="107"/>
  <c r="L52" i="107"/>
  <c r="B52" i="107"/>
  <c r="X51" i="107"/>
  <c r="Z51" i="107" s="1"/>
  <c r="T51" i="107"/>
  <c r="P51" i="107"/>
  <c r="H51" i="107"/>
  <c r="D51" i="107"/>
  <c r="B51" i="107"/>
  <c r="X50" i="107"/>
  <c r="Z50" i="107" s="1"/>
  <c r="N50" i="107"/>
  <c r="L50" i="107"/>
  <c r="B50" i="107"/>
  <c r="T49" i="107"/>
  <c r="P49" i="107"/>
  <c r="H49" i="107"/>
  <c r="N49" i="107" s="1"/>
  <c r="D49" i="107"/>
  <c r="B49" i="107"/>
  <c r="Z48" i="107"/>
  <c r="X48" i="107"/>
  <c r="N48" i="107"/>
  <c r="L48" i="107"/>
  <c r="B48" i="107"/>
  <c r="X47" i="107"/>
  <c r="T47" i="107"/>
  <c r="Z47" i="107" s="1"/>
  <c r="P47" i="107"/>
  <c r="N47" i="107"/>
  <c r="H47" i="107"/>
  <c r="D47" i="107"/>
  <c r="L47" i="107" s="1"/>
  <c r="B47" i="107"/>
  <c r="X46" i="107"/>
  <c r="Z46" i="107" s="1"/>
  <c r="N46" i="107"/>
  <c r="L46" i="107"/>
  <c r="B46" i="107"/>
  <c r="T45" i="107"/>
  <c r="P45" i="107"/>
  <c r="N45" i="107"/>
  <c r="L45" i="107"/>
  <c r="H45" i="107"/>
  <c r="D45" i="107"/>
  <c r="B45" i="107"/>
  <c r="Z44" i="107"/>
  <c r="X44" i="107"/>
  <c r="N44" i="107"/>
  <c r="L44" i="107"/>
  <c r="B44" i="107"/>
  <c r="T43" i="107"/>
  <c r="P43" i="107"/>
  <c r="H43" i="107"/>
  <c r="L43" i="107" s="1"/>
  <c r="D43" i="107"/>
  <c r="B43" i="107"/>
  <c r="Z42" i="107"/>
  <c r="X42" i="107"/>
  <c r="L42" i="107"/>
  <c r="N42" i="107" s="1"/>
  <c r="B42" i="107"/>
  <c r="Z41" i="107"/>
  <c r="T41" i="107"/>
  <c r="P41" i="107"/>
  <c r="X41" i="107" s="1"/>
  <c r="H41" i="107"/>
  <c r="D41" i="107"/>
  <c r="B41" i="107"/>
  <c r="X40" i="107"/>
  <c r="Z40" i="107" s="1"/>
  <c r="N40" i="107"/>
  <c r="L40" i="107"/>
  <c r="B40" i="107"/>
  <c r="X39" i="107"/>
  <c r="Z39" i="107" s="1"/>
  <c r="L39" i="107"/>
  <c r="N39" i="107" s="1"/>
  <c r="B39" i="107"/>
  <c r="X38" i="107"/>
  <c r="Z38" i="107" s="1"/>
  <c r="N38" i="107"/>
  <c r="L38" i="107"/>
  <c r="B38" i="107"/>
  <c r="X37" i="107"/>
  <c r="Z37" i="107" s="1"/>
  <c r="L37" i="107"/>
  <c r="N37" i="107" s="1"/>
  <c r="B37" i="107"/>
  <c r="X36" i="107"/>
  <c r="Z36" i="107" s="1"/>
  <c r="N36" i="107"/>
  <c r="L36" i="107"/>
  <c r="B36" i="107"/>
  <c r="X35" i="107"/>
  <c r="Z35" i="107" s="1"/>
  <c r="L35" i="107"/>
  <c r="N35" i="107" s="1"/>
  <c r="B35" i="107"/>
  <c r="T34" i="107"/>
  <c r="P34" i="107"/>
  <c r="X34" i="107" s="1"/>
  <c r="Z34" i="107" s="1"/>
  <c r="L34" i="107"/>
  <c r="N34" i="107" s="1"/>
  <c r="H34" i="107"/>
  <c r="D34" i="107"/>
  <c r="B34" i="107"/>
  <c r="Z33" i="107"/>
  <c r="X33" i="107"/>
  <c r="N33" i="107"/>
  <c r="L33" i="107"/>
  <c r="B33" i="107"/>
  <c r="Z32" i="107"/>
  <c r="X32" i="107"/>
  <c r="N32" i="107"/>
  <c r="L32" i="107"/>
  <c r="B32" i="107"/>
  <c r="X31" i="107"/>
  <c r="Z31" i="107" s="1"/>
  <c r="L31" i="107"/>
  <c r="N31" i="107" s="1"/>
  <c r="B31" i="107"/>
  <c r="X30" i="107"/>
  <c r="Z30" i="107" s="1"/>
  <c r="N30" i="107"/>
  <c r="L30" i="107"/>
  <c r="B30" i="107"/>
  <c r="Z29" i="107"/>
  <c r="X29" i="107"/>
  <c r="N29" i="107"/>
  <c r="L29" i="107"/>
  <c r="B29" i="107"/>
  <c r="Z28" i="107"/>
  <c r="X28" i="107"/>
  <c r="N28" i="107"/>
  <c r="L28" i="107"/>
  <c r="B28" i="107"/>
  <c r="X27" i="107"/>
  <c r="Z27" i="107" s="1"/>
  <c r="L27" i="107"/>
  <c r="N27" i="107" s="1"/>
  <c r="B27" i="107"/>
  <c r="X26" i="107"/>
  <c r="Z26" i="107" s="1"/>
  <c r="N26" i="107"/>
  <c r="L26" i="107"/>
  <c r="B26" i="107"/>
  <c r="Z25" i="107"/>
  <c r="X25" i="107"/>
  <c r="N25" i="107"/>
  <c r="L25" i="107"/>
  <c r="B25" i="107"/>
  <c r="T24" i="107"/>
  <c r="P24" i="107"/>
  <c r="X24" i="107" s="1"/>
  <c r="L24" i="107"/>
  <c r="H24" i="107"/>
  <c r="N24" i="107" s="1"/>
  <c r="D24" i="107"/>
  <c r="B24" i="107"/>
  <c r="T23" i="107"/>
  <c r="P23" i="107"/>
  <c r="H23" i="107"/>
  <c r="D23" i="107"/>
  <c r="X19" i="107"/>
  <c r="Z19" i="107" s="1"/>
  <c r="L19" i="107"/>
  <c r="N19" i="107" s="1"/>
  <c r="B19" i="107"/>
  <c r="Z18" i="107"/>
  <c r="X18" i="107"/>
  <c r="L18" i="107"/>
  <c r="N18" i="107" s="1"/>
  <c r="B18" i="107"/>
  <c r="T17" i="107"/>
  <c r="Z17" i="107" s="1"/>
  <c r="P17" i="107"/>
  <c r="X17" i="107" s="1"/>
  <c r="H17" i="107"/>
  <c r="D17" i="107"/>
  <c r="L17" i="107" s="1"/>
  <c r="T15" i="107"/>
  <c r="P15" i="107"/>
  <c r="N15" i="107"/>
  <c r="H15" i="107"/>
  <c r="D15" i="107"/>
  <c r="L15" i="107" s="1"/>
  <c r="B15" i="107"/>
  <c r="T14" i="107"/>
  <c r="P14" i="107"/>
  <c r="X14" i="107" s="1"/>
  <c r="H14" i="107"/>
  <c r="D14" i="107"/>
  <c r="B14" i="107"/>
  <c r="T13" i="107"/>
  <c r="P13" i="107"/>
  <c r="L13" i="107"/>
  <c r="H13" i="107"/>
  <c r="N13" i="107" s="1"/>
  <c r="D13" i="107"/>
  <c r="B13" i="107"/>
  <c r="D6" i="107"/>
  <c r="D4" i="107"/>
  <c r="V32" i="106"/>
  <c r="R32" i="106"/>
  <c r="V29" i="106"/>
  <c r="J29" i="106"/>
  <c r="Z27" i="106"/>
  <c r="X27" i="106"/>
  <c r="V27" i="106"/>
  <c r="N27" i="106"/>
  <c r="L27" i="106"/>
  <c r="V25" i="106"/>
  <c r="Z23" i="106"/>
  <c r="V23" i="106"/>
  <c r="T23" i="106"/>
  <c r="P23" i="106"/>
  <c r="X23" i="106" s="1"/>
  <c r="N23" i="106"/>
  <c r="H23" i="106"/>
  <c r="F23" i="106"/>
  <c r="D23" i="106"/>
  <c r="L23" i="106" s="1"/>
  <c r="X21" i="106"/>
  <c r="Z21" i="106" s="1"/>
  <c r="V21" i="106"/>
  <c r="N21" i="106"/>
  <c r="L21" i="106"/>
  <c r="B21" i="106"/>
  <c r="V20" i="106"/>
  <c r="T20" i="106"/>
  <c r="P20" i="106"/>
  <c r="X20" i="106" s="1"/>
  <c r="N20" i="106"/>
  <c r="H20" i="106"/>
  <c r="D20" i="106"/>
  <c r="L20" i="106" s="1"/>
  <c r="B20" i="106"/>
  <c r="Z19" i="106"/>
  <c r="V19" i="106"/>
  <c r="T19" i="106"/>
  <c r="P19" i="106"/>
  <c r="X19" i="106" s="1"/>
  <c r="L19" i="106"/>
  <c r="H19" i="106"/>
  <c r="N19" i="106" s="1"/>
  <c r="F19" i="106"/>
  <c r="D19" i="106"/>
  <c r="V17" i="106"/>
  <c r="T17" i="106"/>
  <c r="T25" i="106" s="1"/>
  <c r="R17" i="106"/>
  <c r="Z15" i="106"/>
  <c r="X15" i="106"/>
  <c r="V15" i="106"/>
  <c r="R15" i="106"/>
  <c r="L15" i="106"/>
  <c r="N15" i="106" s="1"/>
  <c r="B15" i="106"/>
  <c r="T14" i="106"/>
  <c r="P14" i="106"/>
  <c r="X14" i="106" s="1"/>
  <c r="Z14" i="106" s="1"/>
  <c r="N14" i="106"/>
  <c r="H14" i="106"/>
  <c r="D14" i="106"/>
  <c r="L14" i="106" s="1"/>
  <c r="Z12" i="106"/>
  <c r="X12" i="106"/>
  <c r="T12" i="106"/>
  <c r="V14" i="106" s="1"/>
  <c r="P12" i="106"/>
  <c r="R14" i="106" s="1"/>
  <c r="H12" i="106"/>
  <c r="D12" i="106"/>
  <c r="D6" i="106"/>
  <c r="D4" i="106"/>
  <c r="X87" i="105"/>
  <c r="Z87" i="105" s="1"/>
  <c r="L87" i="105"/>
  <c r="N87" i="105" s="1"/>
  <c r="Z83" i="105"/>
  <c r="T83" i="105"/>
  <c r="P83" i="105"/>
  <c r="X83" i="105" s="1"/>
  <c r="N83" i="105"/>
  <c r="H83" i="105"/>
  <c r="D83" i="105"/>
  <c r="L83" i="105" s="1"/>
  <c r="Z81" i="105"/>
  <c r="X81" i="105"/>
  <c r="N81" i="105"/>
  <c r="L81" i="105"/>
  <c r="B81" i="105"/>
  <c r="T80" i="105"/>
  <c r="Z80" i="105" s="1"/>
  <c r="P80" i="105"/>
  <c r="N80" i="105"/>
  <c r="H80" i="105"/>
  <c r="L80" i="105" s="1"/>
  <c r="D80" i="105"/>
  <c r="B80" i="105"/>
  <c r="X79" i="105"/>
  <c r="Z79" i="105" s="1"/>
  <c r="N79" i="105"/>
  <c r="L79" i="105"/>
  <c r="B79" i="105"/>
  <c r="T78" i="105"/>
  <c r="P78" i="105"/>
  <c r="X78" i="105" s="1"/>
  <c r="Z78" i="105" s="1"/>
  <c r="L78" i="105"/>
  <c r="N78" i="105" s="1"/>
  <c r="H78" i="105"/>
  <c r="D78" i="105"/>
  <c r="B78" i="105"/>
  <c r="X77" i="105"/>
  <c r="Z77" i="105" s="1"/>
  <c r="N77" i="105"/>
  <c r="L77" i="105"/>
  <c r="B77" i="105"/>
  <c r="X76" i="105"/>
  <c r="Z76" i="105" s="1"/>
  <c r="T76" i="105"/>
  <c r="P76" i="105"/>
  <c r="H76" i="105"/>
  <c r="L76" i="105" s="1"/>
  <c r="N76" i="105" s="1"/>
  <c r="D76" i="105"/>
  <c r="B76" i="105"/>
  <c r="X75" i="105"/>
  <c r="Z75" i="105" s="1"/>
  <c r="N75" i="105"/>
  <c r="L75" i="105"/>
  <c r="B75" i="105"/>
  <c r="Z74" i="105"/>
  <c r="X74" i="105"/>
  <c r="N74" i="105"/>
  <c r="L74" i="105"/>
  <c r="B74" i="105"/>
  <c r="Z73" i="105"/>
  <c r="X73" i="105"/>
  <c r="N73" i="105"/>
  <c r="L73" i="105"/>
  <c r="B73" i="105"/>
  <c r="Z72" i="105"/>
  <c r="X72" i="105"/>
  <c r="L72" i="105"/>
  <c r="N72" i="105" s="1"/>
  <c r="B72" i="105"/>
  <c r="X71" i="105"/>
  <c r="Z71" i="105" s="1"/>
  <c r="L71" i="105"/>
  <c r="N71" i="105" s="1"/>
  <c r="B71" i="105"/>
  <c r="Z70" i="105"/>
  <c r="X70" i="105"/>
  <c r="N70" i="105"/>
  <c r="L70" i="105"/>
  <c r="B70" i="105"/>
  <c r="Z69" i="105"/>
  <c r="X69" i="105"/>
  <c r="L69" i="105"/>
  <c r="N69" i="105" s="1"/>
  <c r="B69" i="105"/>
  <c r="Z68" i="105"/>
  <c r="X68" i="105"/>
  <c r="N68" i="105"/>
  <c r="L68" i="105"/>
  <c r="B68" i="105"/>
  <c r="T67" i="105"/>
  <c r="P67" i="105"/>
  <c r="X67" i="105" s="1"/>
  <c r="Z67" i="105" s="1"/>
  <c r="N67" i="105"/>
  <c r="H67" i="105"/>
  <c r="D67" i="105"/>
  <c r="L67" i="105" s="1"/>
  <c r="B67" i="105"/>
  <c r="Z66" i="105"/>
  <c r="X66" i="105"/>
  <c r="N66" i="105"/>
  <c r="L66" i="105"/>
  <c r="B66" i="105"/>
  <c r="X65" i="105"/>
  <c r="Z65" i="105" s="1"/>
  <c r="L65" i="105"/>
  <c r="N65" i="105" s="1"/>
  <c r="B65" i="105"/>
  <c r="X64" i="105"/>
  <c r="Z64" i="105" s="1"/>
  <c r="N64" i="105"/>
  <c r="L64" i="105"/>
  <c r="B64" i="105"/>
  <c r="X63" i="105"/>
  <c r="T63" i="105"/>
  <c r="P63" i="105"/>
  <c r="H63" i="105"/>
  <c r="D63" i="105"/>
  <c r="L63" i="105" s="1"/>
  <c r="B63" i="105"/>
  <c r="Z62" i="105"/>
  <c r="X62" i="105"/>
  <c r="N62" i="105"/>
  <c r="L62" i="105"/>
  <c r="B62" i="105"/>
  <c r="X61" i="105"/>
  <c r="Z61" i="105" s="1"/>
  <c r="N61" i="105"/>
  <c r="L61" i="105"/>
  <c r="B61" i="105"/>
  <c r="X60" i="105"/>
  <c r="Z60" i="105" s="1"/>
  <c r="N60" i="105"/>
  <c r="L60" i="105"/>
  <c r="J60" i="105"/>
  <c r="B60" i="105"/>
  <c r="Z59" i="105"/>
  <c r="X59" i="105"/>
  <c r="T59" i="105"/>
  <c r="P59" i="105"/>
  <c r="H59" i="105"/>
  <c r="D59" i="105"/>
  <c r="B59" i="105"/>
  <c r="Z58" i="105"/>
  <c r="X58" i="105"/>
  <c r="N58" i="105"/>
  <c r="L58" i="105"/>
  <c r="B58" i="105"/>
  <c r="T57" i="105"/>
  <c r="P57" i="105"/>
  <c r="H57" i="105"/>
  <c r="D57" i="105"/>
  <c r="L57" i="105" s="1"/>
  <c r="N57" i="105" s="1"/>
  <c r="B57" i="105"/>
  <c r="X56" i="105"/>
  <c r="Z56" i="105" s="1"/>
  <c r="N56" i="105"/>
  <c r="L56" i="105"/>
  <c r="B56" i="105"/>
  <c r="T55" i="105"/>
  <c r="P55" i="105"/>
  <c r="X55" i="105" s="1"/>
  <c r="H55" i="105"/>
  <c r="N55" i="105" s="1"/>
  <c r="D55" i="105"/>
  <c r="L55" i="105" s="1"/>
  <c r="B55" i="105"/>
  <c r="Z54" i="105"/>
  <c r="X54" i="105"/>
  <c r="N54" i="105"/>
  <c r="L54" i="105"/>
  <c r="B54" i="105"/>
  <c r="T53" i="105"/>
  <c r="P53" i="105"/>
  <c r="N53" i="105"/>
  <c r="H53" i="105"/>
  <c r="D53" i="105"/>
  <c r="L53" i="105" s="1"/>
  <c r="B53" i="105"/>
  <c r="Z52" i="105"/>
  <c r="X52" i="105"/>
  <c r="L52" i="105"/>
  <c r="N52" i="105" s="1"/>
  <c r="B52" i="105"/>
  <c r="T51" i="105"/>
  <c r="P51" i="105"/>
  <c r="X51" i="105" s="1"/>
  <c r="Z51" i="105" s="1"/>
  <c r="N51" i="105"/>
  <c r="H51" i="105"/>
  <c r="D51" i="105"/>
  <c r="L51" i="105" s="1"/>
  <c r="B51" i="105"/>
  <c r="Z50" i="105"/>
  <c r="X50" i="105"/>
  <c r="L50" i="105"/>
  <c r="N50" i="105" s="1"/>
  <c r="B50" i="105"/>
  <c r="T49" i="105"/>
  <c r="P49" i="105"/>
  <c r="H49" i="105"/>
  <c r="D49" i="105"/>
  <c r="L49" i="105" s="1"/>
  <c r="N49" i="105" s="1"/>
  <c r="B49" i="105"/>
  <c r="X48" i="105"/>
  <c r="Z48" i="105" s="1"/>
  <c r="N48" i="105"/>
  <c r="L48" i="105"/>
  <c r="B48" i="105"/>
  <c r="X47" i="105"/>
  <c r="Z47" i="105" s="1"/>
  <c r="T47" i="105"/>
  <c r="P47" i="105"/>
  <c r="H47" i="105"/>
  <c r="D47" i="105"/>
  <c r="B47" i="105"/>
  <c r="Z46" i="105"/>
  <c r="X46" i="105"/>
  <c r="N46" i="105"/>
  <c r="L46" i="105"/>
  <c r="B46" i="105"/>
  <c r="T45" i="105"/>
  <c r="P45" i="105"/>
  <c r="X45" i="105" s="1"/>
  <c r="Z45" i="105" s="1"/>
  <c r="L45" i="105"/>
  <c r="N45" i="105" s="1"/>
  <c r="H45" i="105"/>
  <c r="D45" i="105"/>
  <c r="B45" i="105"/>
  <c r="X44" i="105"/>
  <c r="Z44" i="105" s="1"/>
  <c r="L44" i="105"/>
  <c r="N44" i="105" s="1"/>
  <c r="B44" i="105"/>
  <c r="T43" i="105"/>
  <c r="P43" i="105"/>
  <c r="X43" i="105" s="1"/>
  <c r="H43" i="105"/>
  <c r="D43" i="105"/>
  <c r="B43" i="105"/>
  <c r="X42" i="105"/>
  <c r="Z42" i="105" s="1"/>
  <c r="N42" i="105"/>
  <c r="L42" i="105"/>
  <c r="B42" i="105"/>
  <c r="T41" i="105"/>
  <c r="P41" i="105"/>
  <c r="L41" i="105"/>
  <c r="N41" i="105" s="1"/>
  <c r="H41" i="105"/>
  <c r="D41" i="105"/>
  <c r="B41" i="105"/>
  <c r="Z40" i="105"/>
  <c r="X40" i="105"/>
  <c r="L40" i="105"/>
  <c r="N40" i="105" s="1"/>
  <c r="B40" i="105"/>
  <c r="Z39" i="105"/>
  <c r="X39" i="105"/>
  <c r="L39" i="105"/>
  <c r="N39" i="105" s="1"/>
  <c r="B39" i="105"/>
  <c r="Z38" i="105"/>
  <c r="X38" i="105"/>
  <c r="N38" i="105"/>
  <c r="L38" i="105"/>
  <c r="B38" i="105"/>
  <c r="Z37" i="105"/>
  <c r="X37" i="105"/>
  <c r="L37" i="105"/>
  <c r="N37" i="105" s="1"/>
  <c r="B37" i="105"/>
  <c r="Z36" i="105"/>
  <c r="X36" i="105"/>
  <c r="R36" i="105"/>
  <c r="L36" i="105"/>
  <c r="N36" i="105" s="1"/>
  <c r="B36" i="105"/>
  <c r="X35" i="105"/>
  <c r="Z35" i="105" s="1"/>
  <c r="L35" i="105"/>
  <c r="N35" i="105" s="1"/>
  <c r="B35" i="105"/>
  <c r="T34" i="105"/>
  <c r="P34" i="105"/>
  <c r="H34" i="105"/>
  <c r="D34" i="105"/>
  <c r="L34" i="105" s="1"/>
  <c r="N34" i="105" s="1"/>
  <c r="B34" i="105"/>
  <c r="X33" i="105"/>
  <c r="Z33" i="105" s="1"/>
  <c r="L33" i="105"/>
  <c r="N33" i="105" s="1"/>
  <c r="B33" i="105"/>
  <c r="X32" i="105"/>
  <c r="Z32" i="105" s="1"/>
  <c r="L32" i="105"/>
  <c r="N32" i="105" s="1"/>
  <c r="B32" i="105"/>
  <c r="X31" i="105"/>
  <c r="Z31" i="105" s="1"/>
  <c r="L31" i="105"/>
  <c r="N31" i="105" s="1"/>
  <c r="B31" i="105"/>
  <c r="Z30" i="105"/>
  <c r="X30" i="105"/>
  <c r="L30" i="105"/>
  <c r="N30" i="105" s="1"/>
  <c r="B30" i="105"/>
  <c r="X29" i="105"/>
  <c r="Z29" i="105" s="1"/>
  <c r="N29" i="105"/>
  <c r="L29" i="105"/>
  <c r="B29" i="105"/>
  <c r="X28" i="105"/>
  <c r="Z28" i="105" s="1"/>
  <c r="N28" i="105"/>
  <c r="L28" i="105"/>
  <c r="B28" i="105"/>
  <c r="X27" i="105"/>
  <c r="Z27" i="105" s="1"/>
  <c r="N27" i="105"/>
  <c r="L27" i="105"/>
  <c r="B27" i="105"/>
  <c r="Z26" i="105"/>
  <c r="X26" i="105"/>
  <c r="L26" i="105"/>
  <c r="N26" i="105" s="1"/>
  <c r="B26" i="105"/>
  <c r="X25" i="105"/>
  <c r="Z25" i="105" s="1"/>
  <c r="L25" i="105"/>
  <c r="N25" i="105" s="1"/>
  <c r="B25" i="105"/>
  <c r="X24" i="105"/>
  <c r="Z24" i="105" s="1"/>
  <c r="T24" i="105"/>
  <c r="P24" i="105"/>
  <c r="H24" i="105"/>
  <c r="D24" i="105"/>
  <c r="L24" i="105" s="1"/>
  <c r="N24" i="105" s="1"/>
  <c r="B24" i="105"/>
  <c r="T23" i="105"/>
  <c r="P23" i="105"/>
  <c r="X23" i="105" s="1"/>
  <c r="H23" i="105"/>
  <c r="D23" i="105"/>
  <c r="X19" i="105"/>
  <c r="Z19" i="105" s="1"/>
  <c r="R19" i="105"/>
  <c r="L19" i="105"/>
  <c r="N19" i="105" s="1"/>
  <c r="B19" i="105"/>
  <c r="X18" i="105"/>
  <c r="Z18" i="105" s="1"/>
  <c r="N18" i="105"/>
  <c r="L18" i="105"/>
  <c r="B18" i="105"/>
  <c r="T17" i="105"/>
  <c r="P17" i="105"/>
  <c r="X17" i="105" s="1"/>
  <c r="H17" i="105"/>
  <c r="D17" i="105"/>
  <c r="L17" i="105" s="1"/>
  <c r="N17" i="105" s="1"/>
  <c r="X15" i="105"/>
  <c r="T15" i="105"/>
  <c r="P15" i="105"/>
  <c r="H15" i="105"/>
  <c r="D15" i="105"/>
  <c r="L15" i="105" s="1"/>
  <c r="N15" i="105" s="1"/>
  <c r="B15" i="105"/>
  <c r="T14" i="105"/>
  <c r="T12" i="105" s="1"/>
  <c r="P14" i="105"/>
  <c r="H14" i="105"/>
  <c r="H12" i="105" s="1"/>
  <c r="D14" i="105"/>
  <c r="L14" i="105" s="1"/>
  <c r="N14" i="105" s="1"/>
  <c r="B14" i="105"/>
  <c r="X13" i="105"/>
  <c r="Z13" i="105" s="1"/>
  <c r="T13" i="105"/>
  <c r="P13" i="105"/>
  <c r="P12" i="105" s="1"/>
  <c r="H13" i="105"/>
  <c r="D13" i="105"/>
  <c r="B13" i="105"/>
  <c r="D6" i="105"/>
  <c r="D4" i="105"/>
  <c r="Z56" i="104"/>
  <c r="X56" i="104"/>
  <c r="N56" i="104"/>
  <c r="L56" i="104"/>
  <c r="J54" i="104"/>
  <c r="X52" i="104"/>
  <c r="T52" i="104"/>
  <c r="Z52" i="104" s="1"/>
  <c r="P52" i="104"/>
  <c r="N52" i="104"/>
  <c r="L52" i="104"/>
  <c r="J52" i="104"/>
  <c r="H52" i="104"/>
  <c r="D52" i="104"/>
  <c r="X50" i="104"/>
  <c r="Z50" i="104" s="1"/>
  <c r="N50" i="104"/>
  <c r="L50" i="104"/>
  <c r="B50" i="104"/>
  <c r="T49" i="104"/>
  <c r="P49" i="104"/>
  <c r="X49" i="104" s="1"/>
  <c r="Z49" i="104" s="1"/>
  <c r="H49" i="104"/>
  <c r="D49" i="104"/>
  <c r="L49" i="104" s="1"/>
  <c r="B49" i="104"/>
  <c r="Z48" i="104"/>
  <c r="X48" i="104"/>
  <c r="N48" i="104"/>
  <c r="L48" i="104"/>
  <c r="B48" i="104"/>
  <c r="Z47" i="104"/>
  <c r="X47" i="104"/>
  <c r="N47" i="104"/>
  <c r="L47" i="104"/>
  <c r="B47" i="104"/>
  <c r="Z46" i="104"/>
  <c r="X46" i="104"/>
  <c r="N46" i="104"/>
  <c r="L46" i="104"/>
  <c r="B46" i="104"/>
  <c r="X45" i="104"/>
  <c r="Z45" i="104" s="1"/>
  <c r="N45" i="104"/>
  <c r="L45" i="104"/>
  <c r="B45" i="104"/>
  <c r="X44" i="104"/>
  <c r="T44" i="104"/>
  <c r="Z44" i="104" s="1"/>
  <c r="P44" i="104"/>
  <c r="H44" i="104"/>
  <c r="N44" i="104" s="1"/>
  <c r="D44" i="104"/>
  <c r="L44" i="104" s="1"/>
  <c r="B44" i="104"/>
  <c r="Z43" i="104"/>
  <c r="X43" i="104"/>
  <c r="N43" i="104"/>
  <c r="L43" i="104"/>
  <c r="B43" i="104"/>
  <c r="Z42" i="104"/>
  <c r="X42" i="104"/>
  <c r="T42" i="104"/>
  <c r="P42" i="104"/>
  <c r="N42" i="104"/>
  <c r="H42" i="104"/>
  <c r="D42" i="104"/>
  <c r="L42" i="104" s="1"/>
  <c r="B42" i="104"/>
  <c r="Z41" i="104"/>
  <c r="X41" i="104"/>
  <c r="N41" i="104"/>
  <c r="L41" i="104"/>
  <c r="B41" i="104"/>
  <c r="X40" i="104"/>
  <c r="V40" i="104"/>
  <c r="T40" i="104"/>
  <c r="Z40" i="104" s="1"/>
  <c r="P40" i="104"/>
  <c r="H40" i="104"/>
  <c r="N40" i="104" s="1"/>
  <c r="D40" i="104"/>
  <c r="L40" i="104" s="1"/>
  <c r="B40" i="104"/>
  <c r="Z39" i="104"/>
  <c r="X39" i="104"/>
  <c r="N39" i="104"/>
  <c r="L39" i="104"/>
  <c r="B39" i="104"/>
  <c r="T38" i="104"/>
  <c r="Z38" i="104" s="1"/>
  <c r="P38" i="104"/>
  <c r="X38" i="104" s="1"/>
  <c r="N38" i="104"/>
  <c r="L38" i="104"/>
  <c r="H38" i="104"/>
  <c r="D38" i="104"/>
  <c r="B38" i="104"/>
  <c r="X37" i="104"/>
  <c r="Z37" i="104" s="1"/>
  <c r="V37" i="104"/>
  <c r="N37" i="104"/>
  <c r="L37" i="104"/>
  <c r="B37" i="104"/>
  <c r="T36" i="104"/>
  <c r="P36" i="104"/>
  <c r="X36" i="104" s="1"/>
  <c r="Z36" i="104" s="1"/>
  <c r="N36" i="104"/>
  <c r="L36" i="104"/>
  <c r="H36" i="104"/>
  <c r="D36" i="104"/>
  <c r="B36" i="104"/>
  <c r="X35" i="104"/>
  <c r="Z35" i="104" s="1"/>
  <c r="L35" i="104"/>
  <c r="N35" i="104" s="1"/>
  <c r="B35" i="104"/>
  <c r="X34" i="104"/>
  <c r="T34" i="104"/>
  <c r="Z34" i="104" s="1"/>
  <c r="P34" i="104"/>
  <c r="L34" i="104"/>
  <c r="J34" i="104"/>
  <c r="H34" i="104"/>
  <c r="D34" i="104"/>
  <c r="B34" i="104"/>
  <c r="X33" i="104"/>
  <c r="Z33" i="104" s="1"/>
  <c r="N33" i="104"/>
  <c r="L33" i="104"/>
  <c r="B33" i="104"/>
  <c r="T32" i="104"/>
  <c r="P32" i="104"/>
  <c r="H32" i="104"/>
  <c r="N32" i="104" s="1"/>
  <c r="D32" i="104"/>
  <c r="B32" i="104"/>
  <c r="Z31" i="104"/>
  <c r="X31" i="104"/>
  <c r="N31" i="104"/>
  <c r="L31" i="104"/>
  <c r="B31" i="104"/>
  <c r="Z30" i="104"/>
  <c r="X30" i="104"/>
  <c r="N30" i="104"/>
  <c r="L30" i="104"/>
  <c r="B30" i="104"/>
  <c r="X29" i="104"/>
  <c r="Z29" i="104" s="1"/>
  <c r="V29" i="104"/>
  <c r="N29" i="104"/>
  <c r="L29" i="104"/>
  <c r="B29" i="104"/>
  <c r="T28" i="104"/>
  <c r="P28" i="104"/>
  <c r="X28" i="104" s="1"/>
  <c r="Z28" i="104" s="1"/>
  <c r="N28" i="104"/>
  <c r="H28" i="104"/>
  <c r="D28" i="104"/>
  <c r="L28" i="104" s="1"/>
  <c r="B28" i="104"/>
  <c r="X27" i="104"/>
  <c r="Z27" i="104" s="1"/>
  <c r="L27" i="104"/>
  <c r="N27" i="104" s="1"/>
  <c r="B27" i="104"/>
  <c r="X26" i="104"/>
  <c r="Z26" i="104" s="1"/>
  <c r="V26" i="104"/>
  <c r="N26" i="104"/>
  <c r="L26" i="104"/>
  <c r="B26" i="104"/>
  <c r="Z25" i="104"/>
  <c r="X25" i="104"/>
  <c r="N25" i="104"/>
  <c r="L25" i="104"/>
  <c r="B25" i="104"/>
  <c r="X24" i="104"/>
  <c r="V24" i="104"/>
  <c r="T24" i="104"/>
  <c r="P24" i="104"/>
  <c r="L24" i="104"/>
  <c r="H24" i="104"/>
  <c r="N24" i="104" s="1"/>
  <c r="D24" i="104"/>
  <c r="B24" i="104"/>
  <c r="T23" i="104"/>
  <c r="X23" i="104" s="1"/>
  <c r="Z23" i="104" s="1"/>
  <c r="P23" i="104"/>
  <c r="H23" i="104"/>
  <c r="D23" i="104"/>
  <c r="L23" i="104" s="1"/>
  <c r="Z19" i="104"/>
  <c r="X19" i="104"/>
  <c r="N19" i="104"/>
  <c r="L19" i="104"/>
  <c r="B19" i="104"/>
  <c r="Z18" i="104"/>
  <c r="X18" i="104"/>
  <c r="N18" i="104"/>
  <c r="L18" i="104"/>
  <c r="B18" i="104"/>
  <c r="X17" i="104"/>
  <c r="T17" i="104"/>
  <c r="Z17" i="104" s="1"/>
  <c r="P17" i="104"/>
  <c r="N17" i="104"/>
  <c r="L17" i="104"/>
  <c r="H17" i="104"/>
  <c r="D17" i="104"/>
  <c r="X15" i="104"/>
  <c r="Z15" i="104" s="1"/>
  <c r="T15" i="104"/>
  <c r="P15" i="104"/>
  <c r="H15" i="104"/>
  <c r="N15" i="104" s="1"/>
  <c r="D15" i="104"/>
  <c r="L15" i="104" s="1"/>
  <c r="B15" i="104"/>
  <c r="T14" i="104"/>
  <c r="P14" i="104"/>
  <c r="X14" i="104" s="1"/>
  <c r="Z14" i="104" s="1"/>
  <c r="N14" i="104"/>
  <c r="H14" i="104"/>
  <c r="D14" i="104"/>
  <c r="L14" i="104" s="1"/>
  <c r="B14" i="104"/>
  <c r="Z13" i="104"/>
  <c r="X13" i="104"/>
  <c r="T13" i="104"/>
  <c r="P13" i="104"/>
  <c r="H13" i="104"/>
  <c r="H12" i="104" s="1"/>
  <c r="D13" i="104"/>
  <c r="L13" i="104" s="1"/>
  <c r="B13" i="104"/>
  <c r="T12" i="104"/>
  <c r="V48" i="104" s="1"/>
  <c r="P12" i="104"/>
  <c r="N12" i="104"/>
  <c r="D6" i="104"/>
  <c r="D4" i="104"/>
  <c r="Z87" i="103"/>
  <c r="X87" i="103"/>
  <c r="L87" i="103"/>
  <c r="N87" i="103" s="1"/>
  <c r="T83" i="103"/>
  <c r="Z83" i="103" s="1"/>
  <c r="P83" i="103"/>
  <c r="H83" i="103"/>
  <c r="N83" i="103" s="1"/>
  <c r="D83" i="103"/>
  <c r="L83" i="103" s="1"/>
  <c r="X81" i="103"/>
  <c r="Z81" i="103" s="1"/>
  <c r="N81" i="103"/>
  <c r="L81" i="103"/>
  <c r="B81" i="103"/>
  <c r="Z80" i="103"/>
  <c r="X80" i="103"/>
  <c r="N80" i="103"/>
  <c r="L80" i="103"/>
  <c r="B80" i="103"/>
  <c r="T79" i="103"/>
  <c r="P79" i="103"/>
  <c r="X79" i="103" s="1"/>
  <c r="H79" i="103"/>
  <c r="N79" i="103" s="1"/>
  <c r="D79" i="103"/>
  <c r="B79" i="103"/>
  <c r="X78" i="103"/>
  <c r="Z78" i="103" s="1"/>
  <c r="N78" i="103"/>
  <c r="L78" i="103"/>
  <c r="B78" i="103"/>
  <c r="T77" i="103"/>
  <c r="P77" i="103"/>
  <c r="X77" i="103" s="1"/>
  <c r="Z77" i="103" s="1"/>
  <c r="N77" i="103"/>
  <c r="H77" i="103"/>
  <c r="D77" i="103"/>
  <c r="L77" i="103" s="1"/>
  <c r="B77" i="103"/>
  <c r="X76" i="103"/>
  <c r="Z76" i="103" s="1"/>
  <c r="L76" i="103"/>
  <c r="N76" i="103" s="1"/>
  <c r="B76" i="103"/>
  <c r="X75" i="103"/>
  <c r="T75" i="103"/>
  <c r="Z75" i="103" s="1"/>
  <c r="P75" i="103"/>
  <c r="L75" i="103"/>
  <c r="N75" i="103" s="1"/>
  <c r="H75" i="103"/>
  <c r="D75" i="103"/>
  <c r="B75" i="103"/>
  <c r="X74" i="103"/>
  <c r="Z74" i="103" s="1"/>
  <c r="N74" i="103"/>
  <c r="L74" i="103"/>
  <c r="B74" i="103"/>
  <c r="Z73" i="103"/>
  <c r="X73" i="103"/>
  <c r="N73" i="103"/>
  <c r="L73" i="103"/>
  <c r="B73" i="103"/>
  <c r="Z72" i="103"/>
  <c r="X72" i="103"/>
  <c r="N72" i="103"/>
  <c r="L72" i="103"/>
  <c r="B72" i="103"/>
  <c r="Z71" i="103"/>
  <c r="X71" i="103"/>
  <c r="N71" i="103"/>
  <c r="L71" i="103"/>
  <c r="B71" i="103"/>
  <c r="X70" i="103"/>
  <c r="Z70" i="103" s="1"/>
  <c r="L70" i="103"/>
  <c r="N70" i="103" s="1"/>
  <c r="B70" i="103"/>
  <c r="X69" i="103"/>
  <c r="Z69" i="103" s="1"/>
  <c r="N69" i="103"/>
  <c r="L69" i="103"/>
  <c r="B69" i="103"/>
  <c r="Z68" i="103"/>
  <c r="X68" i="103"/>
  <c r="N68" i="103"/>
  <c r="L68" i="103"/>
  <c r="B68" i="103"/>
  <c r="Z67" i="103"/>
  <c r="X67" i="103"/>
  <c r="N67" i="103"/>
  <c r="L67" i="103"/>
  <c r="B67" i="103"/>
  <c r="X66" i="103"/>
  <c r="T66" i="103"/>
  <c r="P66" i="103"/>
  <c r="L66" i="103"/>
  <c r="N66" i="103" s="1"/>
  <c r="H66" i="103"/>
  <c r="D66" i="103"/>
  <c r="B66" i="103"/>
  <c r="Z65" i="103"/>
  <c r="X65" i="103"/>
  <c r="L65" i="103"/>
  <c r="N65" i="103" s="1"/>
  <c r="B65" i="103"/>
  <c r="Z64" i="103"/>
  <c r="X64" i="103"/>
  <c r="L64" i="103"/>
  <c r="N64" i="103" s="1"/>
  <c r="B64" i="103"/>
  <c r="Z63" i="103"/>
  <c r="X63" i="103"/>
  <c r="N63" i="103"/>
  <c r="L63" i="103"/>
  <c r="B63" i="103"/>
  <c r="T62" i="103"/>
  <c r="P62" i="103"/>
  <c r="H62" i="103"/>
  <c r="D62" i="103"/>
  <c r="L62" i="103" s="1"/>
  <c r="B62" i="103"/>
  <c r="X61" i="103"/>
  <c r="Z61" i="103" s="1"/>
  <c r="N61" i="103"/>
  <c r="L61" i="103"/>
  <c r="B61" i="103"/>
  <c r="X60" i="103"/>
  <c r="Z60" i="103" s="1"/>
  <c r="N60" i="103"/>
  <c r="L60" i="103"/>
  <c r="B60" i="103"/>
  <c r="X59" i="103"/>
  <c r="Z59" i="103" s="1"/>
  <c r="N59" i="103"/>
  <c r="L59" i="103"/>
  <c r="B59" i="103"/>
  <c r="T58" i="103"/>
  <c r="P58" i="103"/>
  <c r="X58" i="103" s="1"/>
  <c r="Z58" i="103" s="1"/>
  <c r="H58" i="103"/>
  <c r="N58" i="103" s="1"/>
  <c r="D58" i="103"/>
  <c r="L58" i="103" s="1"/>
  <c r="B58" i="103"/>
  <c r="X57" i="103"/>
  <c r="Z57" i="103" s="1"/>
  <c r="N57" i="103"/>
  <c r="L57" i="103"/>
  <c r="B57" i="103"/>
  <c r="Z56" i="103"/>
  <c r="X56" i="103"/>
  <c r="T56" i="103"/>
  <c r="P56" i="103"/>
  <c r="L56" i="103"/>
  <c r="H56" i="103"/>
  <c r="N56" i="103" s="1"/>
  <c r="D56" i="103"/>
  <c r="B56" i="103"/>
  <c r="Z55" i="103"/>
  <c r="X55" i="103"/>
  <c r="L55" i="103"/>
  <c r="N55" i="103" s="1"/>
  <c r="B55" i="103"/>
  <c r="T54" i="103"/>
  <c r="P54" i="103"/>
  <c r="H54" i="103"/>
  <c r="D54" i="103"/>
  <c r="B54" i="103"/>
  <c r="X53" i="103"/>
  <c r="Z53" i="103" s="1"/>
  <c r="L53" i="103"/>
  <c r="N53" i="103" s="1"/>
  <c r="B53" i="103"/>
  <c r="T52" i="103"/>
  <c r="P52" i="103"/>
  <c r="X52" i="103" s="1"/>
  <c r="H52" i="103"/>
  <c r="D52" i="103"/>
  <c r="L52" i="103" s="1"/>
  <c r="N52" i="103" s="1"/>
  <c r="B52" i="103"/>
  <c r="Z51" i="103"/>
  <c r="X51" i="103"/>
  <c r="N51" i="103"/>
  <c r="L51" i="103"/>
  <c r="B51" i="103"/>
  <c r="X50" i="103"/>
  <c r="T50" i="103"/>
  <c r="Z50" i="103" s="1"/>
  <c r="P50" i="103"/>
  <c r="N50" i="103"/>
  <c r="L50" i="103"/>
  <c r="H50" i="103"/>
  <c r="D50" i="103"/>
  <c r="B50" i="103"/>
  <c r="Z49" i="103"/>
  <c r="X49" i="103"/>
  <c r="N49" i="103"/>
  <c r="L49" i="103"/>
  <c r="B49" i="103"/>
  <c r="T48" i="103"/>
  <c r="P48" i="103"/>
  <c r="X48" i="103" s="1"/>
  <c r="H48" i="103"/>
  <c r="D48" i="103"/>
  <c r="B48" i="103"/>
  <c r="X47" i="103"/>
  <c r="Z47" i="103" s="1"/>
  <c r="N47" i="103"/>
  <c r="L47" i="103"/>
  <c r="B47" i="103"/>
  <c r="T46" i="103"/>
  <c r="P46" i="103"/>
  <c r="X46" i="103" s="1"/>
  <c r="Z46" i="103" s="1"/>
  <c r="H46" i="103"/>
  <c r="D46" i="103"/>
  <c r="B46" i="103"/>
  <c r="Z45" i="103"/>
  <c r="X45" i="103"/>
  <c r="N45" i="103"/>
  <c r="L45" i="103"/>
  <c r="B45" i="103"/>
  <c r="Z44" i="103"/>
  <c r="X44" i="103"/>
  <c r="T44" i="103"/>
  <c r="P44" i="103"/>
  <c r="L44" i="103"/>
  <c r="H44" i="103"/>
  <c r="D44" i="103"/>
  <c r="B44" i="103"/>
  <c r="Z43" i="103"/>
  <c r="X43" i="103"/>
  <c r="L43" i="103"/>
  <c r="N43" i="103" s="1"/>
  <c r="B43" i="103"/>
  <c r="T42" i="103"/>
  <c r="P42" i="103"/>
  <c r="H42" i="103"/>
  <c r="D42" i="103"/>
  <c r="L42" i="103" s="1"/>
  <c r="B42" i="103"/>
  <c r="X41" i="103"/>
  <c r="Z41" i="103" s="1"/>
  <c r="N41" i="103"/>
  <c r="L41" i="103"/>
  <c r="B41" i="103"/>
  <c r="X40" i="103"/>
  <c r="Z40" i="103" s="1"/>
  <c r="L40" i="103"/>
  <c r="N40" i="103" s="1"/>
  <c r="B40" i="103"/>
  <c r="X39" i="103"/>
  <c r="Z39" i="103" s="1"/>
  <c r="N39" i="103"/>
  <c r="L39" i="103"/>
  <c r="B39" i="103"/>
  <c r="Z38" i="103"/>
  <c r="X38" i="103"/>
  <c r="L38" i="103"/>
  <c r="N38" i="103" s="1"/>
  <c r="B38" i="103"/>
  <c r="Z37" i="103"/>
  <c r="X37" i="103"/>
  <c r="N37" i="103"/>
  <c r="L37" i="103"/>
  <c r="B37" i="103"/>
  <c r="X36" i="103"/>
  <c r="Z36" i="103" s="1"/>
  <c r="L36" i="103"/>
  <c r="N36" i="103" s="1"/>
  <c r="B36" i="103"/>
  <c r="X35" i="103"/>
  <c r="T35" i="103"/>
  <c r="Z35" i="103" s="1"/>
  <c r="P35" i="103"/>
  <c r="L35" i="103"/>
  <c r="N35" i="103" s="1"/>
  <c r="H35" i="103"/>
  <c r="D35" i="103"/>
  <c r="B35" i="103"/>
  <c r="X34" i="103"/>
  <c r="Z34" i="103" s="1"/>
  <c r="L34" i="103"/>
  <c r="N34" i="103" s="1"/>
  <c r="B34" i="103"/>
  <c r="X33" i="103"/>
  <c r="Z33" i="103" s="1"/>
  <c r="N33" i="103"/>
  <c r="L33" i="103"/>
  <c r="B33" i="103"/>
  <c r="X32" i="103"/>
  <c r="Z32" i="103" s="1"/>
  <c r="N32" i="103"/>
  <c r="L32" i="103"/>
  <c r="B32" i="103"/>
  <c r="Z31" i="103"/>
  <c r="X31" i="103"/>
  <c r="N31" i="103"/>
  <c r="L31" i="103"/>
  <c r="B31" i="103"/>
  <c r="Z30" i="103"/>
  <c r="X30" i="103"/>
  <c r="N30" i="103"/>
  <c r="L30" i="103"/>
  <c r="B30" i="103"/>
  <c r="X29" i="103"/>
  <c r="Z29" i="103" s="1"/>
  <c r="N29" i="103"/>
  <c r="L29" i="103"/>
  <c r="B29" i="103"/>
  <c r="Z28" i="103"/>
  <c r="X28" i="103"/>
  <c r="N28" i="103"/>
  <c r="L28" i="103"/>
  <c r="B28" i="103"/>
  <c r="Z27" i="103"/>
  <c r="X27" i="103"/>
  <c r="N27" i="103"/>
  <c r="L27" i="103"/>
  <c r="B27" i="103"/>
  <c r="X26" i="103"/>
  <c r="Z26" i="103" s="1"/>
  <c r="L26" i="103"/>
  <c r="N26" i="103" s="1"/>
  <c r="B26" i="103"/>
  <c r="T25" i="103"/>
  <c r="P25" i="103"/>
  <c r="X25" i="103" s="1"/>
  <c r="H25" i="103"/>
  <c r="D25" i="103"/>
  <c r="B25" i="103"/>
  <c r="T24" i="103"/>
  <c r="P24" i="103"/>
  <c r="X24" i="103" s="1"/>
  <c r="H24" i="103"/>
  <c r="D24" i="103"/>
  <c r="Z20" i="103"/>
  <c r="X20" i="103"/>
  <c r="L20" i="103"/>
  <c r="N20" i="103" s="1"/>
  <c r="B20" i="103"/>
  <c r="Z19" i="103"/>
  <c r="X19" i="103"/>
  <c r="L19" i="103"/>
  <c r="N19" i="103" s="1"/>
  <c r="B19" i="103"/>
  <c r="X18" i="103"/>
  <c r="T18" i="103"/>
  <c r="P18" i="103"/>
  <c r="H18" i="103"/>
  <c r="D18" i="103"/>
  <c r="T16" i="103"/>
  <c r="P16" i="103"/>
  <c r="X16" i="103" s="1"/>
  <c r="N16" i="103"/>
  <c r="L16" i="103"/>
  <c r="H16" i="103"/>
  <c r="D16" i="103"/>
  <c r="B16" i="103"/>
  <c r="Z15" i="103"/>
  <c r="T15" i="103"/>
  <c r="X15" i="103" s="1"/>
  <c r="P15" i="103"/>
  <c r="H15" i="103"/>
  <c r="D15" i="103"/>
  <c r="L15" i="103" s="1"/>
  <c r="B15" i="103"/>
  <c r="T14" i="103"/>
  <c r="P14" i="103"/>
  <c r="L14" i="103"/>
  <c r="N14" i="103" s="1"/>
  <c r="H14" i="103"/>
  <c r="D14" i="103"/>
  <c r="B14" i="103"/>
  <c r="T13" i="103"/>
  <c r="P13" i="103"/>
  <c r="H13" i="103"/>
  <c r="D13" i="103"/>
  <c r="D12" i="103" s="1"/>
  <c r="B13" i="103"/>
  <c r="D6" i="103"/>
  <c r="D4" i="103"/>
  <c r="Z53" i="102"/>
  <c r="X53" i="102"/>
  <c r="N53" i="102"/>
  <c r="L53" i="102"/>
  <c r="F51" i="102"/>
  <c r="T49" i="102"/>
  <c r="Z49" i="102" s="1"/>
  <c r="P49" i="102"/>
  <c r="X49" i="102" s="1"/>
  <c r="N49" i="102"/>
  <c r="L49" i="102"/>
  <c r="H49" i="102"/>
  <c r="F49" i="102"/>
  <c r="D49" i="102"/>
  <c r="Z47" i="102"/>
  <c r="X47" i="102"/>
  <c r="N47" i="102"/>
  <c r="L47" i="102"/>
  <c r="J47" i="102"/>
  <c r="F47" i="102"/>
  <c r="B47" i="102"/>
  <c r="T46" i="102"/>
  <c r="P46" i="102"/>
  <c r="N46" i="102"/>
  <c r="J46" i="102"/>
  <c r="H46" i="102"/>
  <c r="L46" i="102" s="1"/>
  <c r="F46" i="102"/>
  <c r="D46" i="102"/>
  <c r="B46" i="102"/>
  <c r="Z45" i="102"/>
  <c r="X45" i="102"/>
  <c r="L45" i="102"/>
  <c r="N45" i="102" s="1"/>
  <c r="J45" i="102"/>
  <c r="F45" i="102"/>
  <c r="B45" i="102"/>
  <c r="T44" i="102"/>
  <c r="P44" i="102"/>
  <c r="X44" i="102" s="1"/>
  <c r="Z44" i="102" s="1"/>
  <c r="J44" i="102"/>
  <c r="H44" i="102"/>
  <c r="F44" i="102"/>
  <c r="D44" i="102"/>
  <c r="B44" i="102"/>
  <c r="X43" i="102"/>
  <c r="Z43" i="102" s="1"/>
  <c r="N43" i="102"/>
  <c r="L43" i="102"/>
  <c r="F43" i="102"/>
  <c r="B43" i="102"/>
  <c r="X42" i="102"/>
  <c r="Z42" i="102" s="1"/>
  <c r="T42" i="102"/>
  <c r="P42" i="102"/>
  <c r="H42" i="102"/>
  <c r="F42" i="102"/>
  <c r="D42" i="102"/>
  <c r="L42" i="102" s="1"/>
  <c r="B42" i="102"/>
  <c r="Z41" i="102"/>
  <c r="X41" i="102"/>
  <c r="N41" i="102"/>
  <c r="L41" i="102"/>
  <c r="J41" i="102"/>
  <c r="B41" i="102"/>
  <c r="X40" i="102"/>
  <c r="Z40" i="102" s="1"/>
  <c r="N40" i="102"/>
  <c r="L40" i="102"/>
  <c r="F40" i="102"/>
  <c r="B40" i="102"/>
  <c r="Z39" i="102"/>
  <c r="X39" i="102"/>
  <c r="N39" i="102"/>
  <c r="L39" i="102"/>
  <c r="J39" i="102"/>
  <c r="F39" i="102"/>
  <c r="B39" i="102"/>
  <c r="T38" i="102"/>
  <c r="P38" i="102"/>
  <c r="N38" i="102"/>
  <c r="J38" i="102"/>
  <c r="H38" i="102"/>
  <c r="L38" i="102" s="1"/>
  <c r="F38" i="102"/>
  <c r="D38" i="102"/>
  <c r="B38" i="102"/>
  <c r="Z37" i="102"/>
  <c r="X37" i="102"/>
  <c r="N37" i="102"/>
  <c r="L37" i="102"/>
  <c r="J37" i="102"/>
  <c r="F37" i="102"/>
  <c r="B37" i="102"/>
  <c r="Z36" i="102"/>
  <c r="T36" i="102"/>
  <c r="P36" i="102"/>
  <c r="X36" i="102" s="1"/>
  <c r="J36" i="102"/>
  <c r="H36" i="102"/>
  <c r="N36" i="102" s="1"/>
  <c r="F36" i="102"/>
  <c r="D36" i="102"/>
  <c r="B36" i="102"/>
  <c r="X35" i="102"/>
  <c r="Z35" i="102" s="1"/>
  <c r="N35" i="102"/>
  <c r="L35" i="102"/>
  <c r="F35" i="102"/>
  <c r="B35" i="102"/>
  <c r="X34" i="102"/>
  <c r="Z34" i="102" s="1"/>
  <c r="T34" i="102"/>
  <c r="P34" i="102"/>
  <c r="H34" i="102"/>
  <c r="N34" i="102" s="1"/>
  <c r="F34" i="102"/>
  <c r="D34" i="102"/>
  <c r="L34" i="102" s="1"/>
  <c r="B34" i="102"/>
  <c r="Z33" i="102"/>
  <c r="X33" i="102"/>
  <c r="N33" i="102"/>
  <c r="L33" i="102"/>
  <c r="J33" i="102"/>
  <c r="B33" i="102"/>
  <c r="T32" i="102"/>
  <c r="X32" i="102" s="1"/>
  <c r="Z32" i="102" s="1"/>
  <c r="P32" i="102"/>
  <c r="H32" i="102"/>
  <c r="N32" i="102" s="1"/>
  <c r="D32" i="102"/>
  <c r="B32" i="102"/>
  <c r="Z31" i="102"/>
  <c r="X31" i="102"/>
  <c r="V31" i="102"/>
  <c r="N31" i="102"/>
  <c r="L31" i="102"/>
  <c r="B31" i="102"/>
  <c r="T30" i="102"/>
  <c r="R30" i="102"/>
  <c r="P30" i="102"/>
  <c r="X30" i="102" s="1"/>
  <c r="N30" i="102"/>
  <c r="H30" i="102"/>
  <c r="D30" i="102"/>
  <c r="L30" i="102" s="1"/>
  <c r="B30" i="102"/>
  <c r="X29" i="102"/>
  <c r="Z29" i="102" s="1"/>
  <c r="N29" i="102"/>
  <c r="L29" i="102"/>
  <c r="F29" i="102"/>
  <c r="B29" i="102"/>
  <c r="X28" i="102"/>
  <c r="T28" i="102"/>
  <c r="P28" i="102"/>
  <c r="L28" i="102"/>
  <c r="N28" i="102" s="1"/>
  <c r="H28" i="102"/>
  <c r="F28" i="102"/>
  <c r="D28" i="102"/>
  <c r="B28" i="102"/>
  <c r="Z27" i="102"/>
  <c r="X27" i="102"/>
  <c r="R27" i="102"/>
  <c r="L27" i="102"/>
  <c r="N27" i="102" s="1"/>
  <c r="J27" i="102"/>
  <c r="F27" i="102"/>
  <c r="B27" i="102"/>
  <c r="X26" i="102"/>
  <c r="Z26" i="102" s="1"/>
  <c r="L26" i="102"/>
  <c r="N26" i="102" s="1"/>
  <c r="J26" i="102"/>
  <c r="F26" i="102"/>
  <c r="B26" i="102"/>
  <c r="Z25" i="102"/>
  <c r="X25" i="102"/>
  <c r="N25" i="102"/>
  <c r="L25" i="102"/>
  <c r="J25" i="102"/>
  <c r="B25" i="102"/>
  <c r="X24" i="102"/>
  <c r="Z24" i="102" s="1"/>
  <c r="V24" i="102"/>
  <c r="N24" i="102"/>
  <c r="L24" i="102"/>
  <c r="F24" i="102"/>
  <c r="B24" i="102"/>
  <c r="Z23" i="102"/>
  <c r="X23" i="102"/>
  <c r="N23" i="102"/>
  <c r="L23" i="102"/>
  <c r="J23" i="102"/>
  <c r="F23" i="102"/>
  <c r="B23" i="102"/>
  <c r="X22" i="102"/>
  <c r="Z22" i="102" s="1"/>
  <c r="R22" i="102"/>
  <c r="L22" i="102"/>
  <c r="N22" i="102" s="1"/>
  <c r="J22" i="102"/>
  <c r="F22" i="102"/>
  <c r="B22" i="102"/>
  <c r="Z21" i="102"/>
  <c r="X21" i="102"/>
  <c r="N21" i="102"/>
  <c r="L21" i="102"/>
  <c r="J21" i="102"/>
  <c r="B21" i="102"/>
  <c r="X20" i="102"/>
  <c r="Z20" i="102" s="1"/>
  <c r="V20" i="102"/>
  <c r="N20" i="102"/>
  <c r="L20" i="102"/>
  <c r="F20" i="102"/>
  <c r="B20" i="102"/>
  <c r="T19" i="102"/>
  <c r="P19" i="102"/>
  <c r="N19" i="102"/>
  <c r="L19" i="102"/>
  <c r="H19" i="102"/>
  <c r="F19" i="102"/>
  <c r="D19" i="102"/>
  <c r="B19" i="102"/>
  <c r="T18" i="102"/>
  <c r="P18" i="102"/>
  <c r="X18" i="102" s="1"/>
  <c r="H18" i="102"/>
  <c r="F18" i="102"/>
  <c r="D18" i="102"/>
  <c r="L18" i="102" s="1"/>
  <c r="N18" i="102" s="1"/>
  <c r="V16" i="102"/>
  <c r="T16" i="102"/>
  <c r="F16" i="102"/>
  <c r="V14" i="102"/>
  <c r="T14" i="102"/>
  <c r="Z14" i="102" s="1"/>
  <c r="R14" i="102"/>
  <c r="P14" i="102"/>
  <c r="X14" i="102" s="1"/>
  <c r="N14" i="102"/>
  <c r="H14" i="102"/>
  <c r="F14" i="102"/>
  <c r="D14" i="102"/>
  <c r="T12" i="102"/>
  <c r="P12" i="102"/>
  <c r="N12" i="102"/>
  <c r="L12" i="102"/>
  <c r="H12" i="102"/>
  <c r="J51" i="102" s="1"/>
  <c r="D12" i="102"/>
  <c r="F53" i="102" s="1"/>
  <c r="D6" i="102"/>
  <c r="D4" i="102"/>
  <c r="X88" i="101"/>
  <c r="Z88" i="101" s="1"/>
  <c r="N88" i="101"/>
  <c r="L88" i="101"/>
  <c r="F88" i="101"/>
  <c r="T84" i="101"/>
  <c r="T83" i="101" s="1"/>
  <c r="P84" i="101"/>
  <c r="H84" i="101"/>
  <c r="D84" i="101"/>
  <c r="B84" i="101"/>
  <c r="X81" i="101"/>
  <c r="Z81" i="101" s="1"/>
  <c r="N81" i="101"/>
  <c r="L81" i="101"/>
  <c r="F81" i="101"/>
  <c r="B81" i="101"/>
  <c r="X80" i="101"/>
  <c r="Z80" i="101" s="1"/>
  <c r="N80" i="101"/>
  <c r="L80" i="101"/>
  <c r="B80" i="101"/>
  <c r="T79" i="101"/>
  <c r="P79" i="101"/>
  <c r="X79" i="101" s="1"/>
  <c r="L79" i="101"/>
  <c r="H79" i="101"/>
  <c r="N79" i="101" s="1"/>
  <c r="D79" i="101"/>
  <c r="B79" i="101"/>
  <c r="X78" i="101"/>
  <c r="Z78" i="101" s="1"/>
  <c r="N78" i="101"/>
  <c r="L78" i="101"/>
  <c r="B78" i="101"/>
  <c r="T77" i="101"/>
  <c r="P77" i="101"/>
  <c r="N77" i="101"/>
  <c r="L77" i="101"/>
  <c r="H77" i="101"/>
  <c r="D77" i="101"/>
  <c r="B77" i="101"/>
  <c r="X76" i="101"/>
  <c r="Z76" i="101" s="1"/>
  <c r="L76" i="101"/>
  <c r="N76" i="101" s="1"/>
  <c r="B76" i="101"/>
  <c r="T75" i="101"/>
  <c r="P75" i="101"/>
  <c r="X75" i="101" s="1"/>
  <c r="Z75" i="101" s="1"/>
  <c r="H75" i="101"/>
  <c r="D75" i="101"/>
  <c r="B75" i="101"/>
  <c r="X74" i="101"/>
  <c r="Z74" i="101" s="1"/>
  <c r="N74" i="101"/>
  <c r="L74" i="101"/>
  <c r="B74" i="101"/>
  <c r="X73" i="101"/>
  <c r="Z73" i="101" s="1"/>
  <c r="N73" i="101"/>
  <c r="L73" i="101"/>
  <c r="B73" i="101"/>
  <c r="X72" i="101"/>
  <c r="Z72" i="101" s="1"/>
  <c r="L72" i="101"/>
  <c r="N72" i="101" s="1"/>
  <c r="B72" i="101"/>
  <c r="X71" i="101"/>
  <c r="Z71" i="101" s="1"/>
  <c r="N71" i="101"/>
  <c r="L71" i="101"/>
  <c r="B71" i="101"/>
  <c r="X70" i="101"/>
  <c r="Z70" i="101" s="1"/>
  <c r="L70" i="101"/>
  <c r="N70" i="101" s="1"/>
  <c r="B70" i="101"/>
  <c r="X69" i="101"/>
  <c r="Z69" i="101" s="1"/>
  <c r="N69" i="101"/>
  <c r="L69" i="101"/>
  <c r="B69" i="101"/>
  <c r="Z68" i="101"/>
  <c r="X68" i="101"/>
  <c r="N68" i="101"/>
  <c r="L68" i="101"/>
  <c r="B68" i="101"/>
  <c r="T67" i="101"/>
  <c r="P67" i="101"/>
  <c r="X67" i="101" s="1"/>
  <c r="L67" i="101"/>
  <c r="H67" i="101"/>
  <c r="N67" i="101" s="1"/>
  <c r="D67" i="101"/>
  <c r="B67" i="101"/>
  <c r="Z66" i="101"/>
  <c r="X66" i="101"/>
  <c r="N66" i="101"/>
  <c r="L66" i="101"/>
  <c r="B66" i="101"/>
  <c r="Z65" i="101"/>
  <c r="X65" i="101"/>
  <c r="N65" i="101"/>
  <c r="L65" i="101"/>
  <c r="B65" i="101"/>
  <c r="X64" i="101"/>
  <c r="Z64" i="101" s="1"/>
  <c r="N64" i="101"/>
  <c r="L64" i="101"/>
  <c r="B64" i="101"/>
  <c r="X63" i="101"/>
  <c r="Z63" i="101" s="1"/>
  <c r="T63" i="101"/>
  <c r="P63" i="101"/>
  <c r="H63" i="101"/>
  <c r="D63" i="101"/>
  <c r="B63" i="101"/>
  <c r="Z62" i="101"/>
  <c r="X62" i="101"/>
  <c r="L62" i="101"/>
  <c r="N62" i="101" s="1"/>
  <c r="B62" i="101"/>
  <c r="T61" i="101"/>
  <c r="P61" i="101"/>
  <c r="H61" i="101"/>
  <c r="D61" i="101"/>
  <c r="L61" i="101" s="1"/>
  <c r="N61" i="101" s="1"/>
  <c r="B61" i="101"/>
  <c r="Z60" i="101"/>
  <c r="X60" i="101"/>
  <c r="L60" i="101"/>
  <c r="N60" i="101" s="1"/>
  <c r="F60" i="101"/>
  <c r="B60" i="101"/>
  <c r="X59" i="101"/>
  <c r="Z59" i="101" s="1"/>
  <c r="N59" i="101"/>
  <c r="L59" i="101"/>
  <c r="B59" i="101"/>
  <c r="Z58" i="101"/>
  <c r="X58" i="101"/>
  <c r="N58" i="101"/>
  <c r="L58" i="101"/>
  <c r="B58" i="101"/>
  <c r="X57" i="101"/>
  <c r="T57" i="101"/>
  <c r="Z57" i="101" s="1"/>
  <c r="P57" i="101"/>
  <c r="H57" i="101"/>
  <c r="D57" i="101"/>
  <c r="L57" i="101" s="1"/>
  <c r="B57" i="101"/>
  <c r="X56" i="101"/>
  <c r="Z56" i="101" s="1"/>
  <c r="L56" i="101"/>
  <c r="N56" i="101" s="1"/>
  <c r="B56" i="101"/>
  <c r="Z55" i="101"/>
  <c r="X55" i="101"/>
  <c r="T55" i="101"/>
  <c r="P55" i="101"/>
  <c r="N55" i="101"/>
  <c r="H55" i="101"/>
  <c r="D55" i="101"/>
  <c r="L55" i="101" s="1"/>
  <c r="B55" i="101"/>
  <c r="Z54" i="101"/>
  <c r="X54" i="101"/>
  <c r="N54" i="101"/>
  <c r="L54" i="101"/>
  <c r="B54" i="101"/>
  <c r="X53" i="101"/>
  <c r="Z53" i="101" s="1"/>
  <c r="T53" i="101"/>
  <c r="P53" i="101"/>
  <c r="N53" i="101"/>
  <c r="H53" i="101"/>
  <c r="D53" i="101"/>
  <c r="L53" i="101" s="1"/>
  <c r="B53" i="101"/>
  <c r="X52" i="101"/>
  <c r="Z52" i="101" s="1"/>
  <c r="L52" i="101"/>
  <c r="N52" i="101" s="1"/>
  <c r="B52" i="101"/>
  <c r="T51" i="101"/>
  <c r="P51" i="101"/>
  <c r="X51" i="101" s="1"/>
  <c r="L51" i="101"/>
  <c r="H51" i="101"/>
  <c r="N51" i="101" s="1"/>
  <c r="F51" i="101"/>
  <c r="D51" i="101"/>
  <c r="B51" i="101"/>
  <c r="X50" i="101"/>
  <c r="Z50" i="101" s="1"/>
  <c r="N50" i="101"/>
  <c r="L50" i="101"/>
  <c r="B50" i="101"/>
  <c r="T49" i="101"/>
  <c r="P49" i="101"/>
  <c r="L49" i="101"/>
  <c r="N49" i="101" s="1"/>
  <c r="H49" i="101"/>
  <c r="D49" i="101"/>
  <c r="B49" i="101"/>
  <c r="X48" i="101"/>
  <c r="Z48" i="101" s="1"/>
  <c r="N48" i="101"/>
  <c r="L48" i="101"/>
  <c r="B48" i="101"/>
  <c r="Z47" i="101"/>
  <c r="T47" i="101"/>
  <c r="P47" i="101"/>
  <c r="X47" i="101" s="1"/>
  <c r="H47" i="101"/>
  <c r="D47" i="101"/>
  <c r="B47" i="101"/>
  <c r="X46" i="101"/>
  <c r="Z46" i="101" s="1"/>
  <c r="L46" i="101"/>
  <c r="N46" i="101" s="1"/>
  <c r="B46" i="101"/>
  <c r="X45" i="101"/>
  <c r="T45" i="101"/>
  <c r="Z45" i="101" s="1"/>
  <c r="P45" i="101"/>
  <c r="L45" i="101"/>
  <c r="H45" i="101"/>
  <c r="D45" i="101"/>
  <c r="B45" i="101"/>
  <c r="X44" i="101"/>
  <c r="Z44" i="101" s="1"/>
  <c r="L44" i="101"/>
  <c r="N44" i="101" s="1"/>
  <c r="B44" i="101"/>
  <c r="Z43" i="101"/>
  <c r="X43" i="101"/>
  <c r="T43" i="101"/>
  <c r="P43" i="101"/>
  <c r="H43" i="101"/>
  <c r="D43" i="101"/>
  <c r="L43" i="101" s="1"/>
  <c r="N43" i="101" s="1"/>
  <c r="B43" i="101"/>
  <c r="Z42" i="101"/>
  <c r="X42" i="101"/>
  <c r="L42" i="101"/>
  <c r="N42" i="101" s="1"/>
  <c r="B42" i="101"/>
  <c r="Z41" i="101"/>
  <c r="X41" i="101"/>
  <c r="L41" i="101"/>
  <c r="N41" i="101" s="1"/>
  <c r="B41" i="101"/>
  <c r="X40" i="101"/>
  <c r="Z40" i="101" s="1"/>
  <c r="L40" i="101"/>
  <c r="N40" i="101" s="1"/>
  <c r="B40" i="101"/>
  <c r="Z39" i="101"/>
  <c r="X39" i="101"/>
  <c r="L39" i="101"/>
  <c r="N39" i="101" s="1"/>
  <c r="B39" i="101"/>
  <c r="Z38" i="101"/>
  <c r="X38" i="101"/>
  <c r="N38" i="101"/>
  <c r="L38" i="101"/>
  <c r="B38" i="101"/>
  <c r="X37" i="101"/>
  <c r="Z37" i="101" s="1"/>
  <c r="L37" i="101"/>
  <c r="N37" i="101" s="1"/>
  <c r="B37" i="101"/>
  <c r="T36" i="101"/>
  <c r="P36" i="101"/>
  <c r="H36" i="101"/>
  <c r="D36" i="101"/>
  <c r="L36" i="101" s="1"/>
  <c r="N36" i="101" s="1"/>
  <c r="B36" i="101"/>
  <c r="X35" i="101"/>
  <c r="Z35" i="101" s="1"/>
  <c r="N35" i="101"/>
  <c r="L35" i="101"/>
  <c r="B35" i="101"/>
  <c r="X34" i="101"/>
  <c r="Z34" i="101" s="1"/>
  <c r="L34" i="101"/>
  <c r="N34" i="101" s="1"/>
  <c r="B34" i="101"/>
  <c r="X33" i="101"/>
  <c r="Z33" i="101" s="1"/>
  <c r="N33" i="101"/>
  <c r="L33" i="101"/>
  <c r="B33" i="101"/>
  <c r="Z32" i="101"/>
  <c r="X32" i="101"/>
  <c r="N32" i="101"/>
  <c r="L32" i="101"/>
  <c r="B32" i="101"/>
  <c r="X31" i="101"/>
  <c r="Z31" i="101" s="1"/>
  <c r="N31" i="101"/>
  <c r="L31" i="101"/>
  <c r="B31" i="101"/>
  <c r="X30" i="101"/>
  <c r="Z30" i="101" s="1"/>
  <c r="N30" i="101"/>
  <c r="L30" i="101"/>
  <c r="B30" i="101"/>
  <c r="X29" i="101"/>
  <c r="Z29" i="101" s="1"/>
  <c r="N29" i="101"/>
  <c r="L29" i="101"/>
  <c r="B29" i="101"/>
  <c r="Z28" i="101"/>
  <c r="X28" i="101"/>
  <c r="L28" i="101"/>
  <c r="N28" i="101" s="1"/>
  <c r="F28" i="101"/>
  <c r="B28" i="101"/>
  <c r="X27" i="101"/>
  <c r="Z27" i="101" s="1"/>
  <c r="N27" i="101"/>
  <c r="L27" i="101"/>
  <c r="B27" i="101"/>
  <c r="T26" i="101"/>
  <c r="P26" i="101"/>
  <c r="X26" i="101" s="1"/>
  <c r="H26" i="101"/>
  <c r="D26" i="101"/>
  <c r="L26" i="101" s="1"/>
  <c r="N26" i="101" s="1"/>
  <c r="B26" i="101"/>
  <c r="T25" i="101"/>
  <c r="P25" i="101"/>
  <c r="H25" i="101"/>
  <c r="L25" i="101" s="1"/>
  <c r="D25" i="101"/>
  <c r="Z21" i="101"/>
  <c r="X21" i="101"/>
  <c r="N21" i="101"/>
  <c r="L21" i="101"/>
  <c r="B21" i="101"/>
  <c r="Z20" i="101"/>
  <c r="X20" i="101"/>
  <c r="L20" i="101"/>
  <c r="N20" i="101" s="1"/>
  <c r="B20" i="101"/>
  <c r="T19" i="101"/>
  <c r="Z19" i="101" s="1"/>
  <c r="P19" i="101"/>
  <c r="X19" i="101" s="1"/>
  <c r="H19" i="101"/>
  <c r="D19" i="101"/>
  <c r="X17" i="101"/>
  <c r="Z17" i="101" s="1"/>
  <c r="T17" i="101"/>
  <c r="P17" i="101"/>
  <c r="H17" i="101"/>
  <c r="D17" i="101"/>
  <c r="B17" i="101"/>
  <c r="T16" i="101"/>
  <c r="P16" i="101"/>
  <c r="X16" i="101" s="1"/>
  <c r="Z16" i="101" s="1"/>
  <c r="N16" i="101"/>
  <c r="H16" i="101"/>
  <c r="D16" i="101"/>
  <c r="B16" i="101"/>
  <c r="T15" i="101"/>
  <c r="P15" i="101"/>
  <c r="N15" i="101"/>
  <c r="L15" i="101"/>
  <c r="H15" i="101"/>
  <c r="D15" i="101"/>
  <c r="D12" i="101" s="1"/>
  <c r="F84" i="101" s="1"/>
  <c r="B15" i="101"/>
  <c r="T14" i="101"/>
  <c r="P14" i="101"/>
  <c r="X14" i="101" s="1"/>
  <c r="Z14" i="101" s="1"/>
  <c r="L14" i="101"/>
  <c r="H14" i="101"/>
  <c r="D14" i="101"/>
  <c r="B14" i="101"/>
  <c r="T13" i="101"/>
  <c r="P13" i="101"/>
  <c r="X13" i="101" s="1"/>
  <c r="Z13" i="101" s="1"/>
  <c r="N13" i="101"/>
  <c r="L13" i="101"/>
  <c r="H13" i="101"/>
  <c r="D13" i="101"/>
  <c r="B13" i="101"/>
  <c r="D6" i="101"/>
  <c r="D4" i="101"/>
  <c r="X72" i="100"/>
  <c r="Z72" i="100" s="1"/>
  <c r="N72" i="100"/>
  <c r="L72" i="100"/>
  <c r="T68" i="100"/>
  <c r="P68" i="100"/>
  <c r="N68" i="100"/>
  <c r="L68" i="100"/>
  <c r="H68" i="100"/>
  <c r="D68" i="100"/>
  <c r="B68" i="100"/>
  <c r="R67" i="100"/>
  <c r="P67" i="100"/>
  <c r="N67" i="100"/>
  <c r="L67" i="100"/>
  <c r="H67" i="100"/>
  <c r="D67" i="100"/>
  <c r="X65" i="100"/>
  <c r="Z65" i="100" s="1"/>
  <c r="L65" i="100"/>
  <c r="N65" i="100" s="1"/>
  <c r="B65" i="100"/>
  <c r="T64" i="100"/>
  <c r="P64" i="100"/>
  <c r="X64" i="100" s="1"/>
  <c r="Z64" i="100" s="1"/>
  <c r="H64" i="100"/>
  <c r="D64" i="100"/>
  <c r="B64" i="100"/>
  <c r="Z63" i="100"/>
  <c r="X63" i="100"/>
  <c r="N63" i="100"/>
  <c r="L63" i="100"/>
  <c r="B63" i="100"/>
  <c r="Z62" i="100"/>
  <c r="X62" i="100"/>
  <c r="N62" i="100"/>
  <c r="L62" i="100"/>
  <c r="B62" i="100"/>
  <c r="X61" i="100"/>
  <c r="Z61" i="100" s="1"/>
  <c r="R61" i="100"/>
  <c r="N61" i="100"/>
  <c r="L61" i="100"/>
  <c r="B61" i="100"/>
  <c r="X60" i="100"/>
  <c r="Z60" i="100" s="1"/>
  <c r="N60" i="100"/>
  <c r="L60" i="100"/>
  <c r="B60" i="100"/>
  <c r="Z59" i="100"/>
  <c r="X59" i="100"/>
  <c r="L59" i="100"/>
  <c r="N59" i="100" s="1"/>
  <c r="B59" i="100"/>
  <c r="Z58" i="100"/>
  <c r="X58" i="100"/>
  <c r="N58" i="100"/>
  <c r="L58" i="100"/>
  <c r="B58" i="100"/>
  <c r="X57" i="100"/>
  <c r="Z57" i="100" s="1"/>
  <c r="R57" i="100"/>
  <c r="N57" i="100"/>
  <c r="L57" i="100"/>
  <c r="B57" i="100"/>
  <c r="T56" i="100"/>
  <c r="Z56" i="100" s="1"/>
  <c r="P56" i="100"/>
  <c r="X56" i="100" s="1"/>
  <c r="H56" i="100"/>
  <c r="D56" i="100"/>
  <c r="L56" i="100" s="1"/>
  <c r="N56" i="100" s="1"/>
  <c r="B56" i="100"/>
  <c r="X55" i="100"/>
  <c r="Z55" i="100" s="1"/>
  <c r="L55" i="100"/>
  <c r="N55" i="100" s="1"/>
  <c r="B55" i="100"/>
  <c r="T54" i="100"/>
  <c r="P54" i="100"/>
  <c r="L54" i="100"/>
  <c r="N54" i="100" s="1"/>
  <c r="H54" i="100"/>
  <c r="D54" i="100"/>
  <c r="B54" i="100"/>
  <c r="Z53" i="100"/>
  <c r="X53" i="100"/>
  <c r="L53" i="100"/>
  <c r="N53" i="100" s="1"/>
  <c r="B53" i="100"/>
  <c r="T52" i="100"/>
  <c r="P52" i="100"/>
  <c r="X52" i="100" s="1"/>
  <c r="Z52" i="100" s="1"/>
  <c r="H52" i="100"/>
  <c r="D52" i="100"/>
  <c r="B52" i="100"/>
  <c r="Z51" i="100"/>
  <c r="X51" i="100"/>
  <c r="N51" i="100"/>
  <c r="L51" i="100"/>
  <c r="B51" i="100"/>
  <c r="Z50" i="100"/>
  <c r="X50" i="100"/>
  <c r="N50" i="100"/>
  <c r="L50" i="100"/>
  <c r="B50" i="100"/>
  <c r="V49" i="100"/>
  <c r="T49" i="100"/>
  <c r="P49" i="100"/>
  <c r="X49" i="100" s="1"/>
  <c r="N49" i="100"/>
  <c r="H49" i="100"/>
  <c r="D49" i="100"/>
  <c r="L49" i="100" s="1"/>
  <c r="B49" i="100"/>
  <c r="X48" i="100"/>
  <c r="Z48" i="100" s="1"/>
  <c r="N48" i="100"/>
  <c r="L48" i="100"/>
  <c r="B48" i="100"/>
  <c r="T47" i="100"/>
  <c r="P47" i="100"/>
  <c r="L47" i="100"/>
  <c r="N47" i="100" s="1"/>
  <c r="H47" i="100"/>
  <c r="D47" i="100"/>
  <c r="B47" i="100"/>
  <c r="Z46" i="100"/>
  <c r="X46" i="100"/>
  <c r="R46" i="100"/>
  <c r="N46" i="100"/>
  <c r="L46" i="100"/>
  <c r="B46" i="100"/>
  <c r="T45" i="100"/>
  <c r="P45" i="100"/>
  <c r="X45" i="100" s="1"/>
  <c r="N45" i="100"/>
  <c r="L45" i="100"/>
  <c r="H45" i="100"/>
  <c r="D45" i="100"/>
  <c r="B45" i="100"/>
  <c r="X44" i="100"/>
  <c r="Z44" i="100" s="1"/>
  <c r="N44" i="100"/>
  <c r="L44" i="100"/>
  <c r="B44" i="100"/>
  <c r="T43" i="100"/>
  <c r="P43" i="100"/>
  <c r="X43" i="100" s="1"/>
  <c r="Z43" i="100" s="1"/>
  <c r="H43" i="100"/>
  <c r="N43" i="100" s="1"/>
  <c r="D43" i="100"/>
  <c r="L43" i="100" s="1"/>
  <c r="B43" i="100"/>
  <c r="Z42" i="100"/>
  <c r="X42" i="100"/>
  <c r="N42" i="100"/>
  <c r="L42" i="100"/>
  <c r="B42" i="100"/>
  <c r="Z41" i="100"/>
  <c r="X41" i="100"/>
  <c r="T41" i="100"/>
  <c r="P41" i="100"/>
  <c r="N41" i="100"/>
  <c r="H41" i="100"/>
  <c r="D41" i="100"/>
  <c r="L41" i="100" s="1"/>
  <c r="B41" i="100"/>
  <c r="Z40" i="100"/>
  <c r="X40" i="100"/>
  <c r="N40" i="100"/>
  <c r="L40" i="100"/>
  <c r="B40" i="100"/>
  <c r="Z39" i="100"/>
  <c r="X39" i="100"/>
  <c r="T39" i="100"/>
  <c r="P39" i="100"/>
  <c r="H39" i="100"/>
  <c r="N39" i="100" s="1"/>
  <c r="D39" i="100"/>
  <c r="L39" i="100" s="1"/>
  <c r="B39" i="100"/>
  <c r="Z38" i="100"/>
  <c r="X38" i="100"/>
  <c r="N38" i="100"/>
  <c r="L38" i="100"/>
  <c r="B38" i="100"/>
  <c r="T37" i="100"/>
  <c r="P37" i="100"/>
  <c r="N37" i="100"/>
  <c r="H37" i="100"/>
  <c r="D37" i="100"/>
  <c r="L37" i="100" s="1"/>
  <c r="B37" i="100"/>
  <c r="X36" i="100"/>
  <c r="Z36" i="100" s="1"/>
  <c r="N36" i="100"/>
  <c r="L36" i="100"/>
  <c r="B36" i="100"/>
  <c r="T35" i="100"/>
  <c r="R35" i="100"/>
  <c r="P35" i="100"/>
  <c r="X35" i="100" s="1"/>
  <c r="Z35" i="100" s="1"/>
  <c r="N35" i="100"/>
  <c r="L35" i="100"/>
  <c r="H35" i="100"/>
  <c r="D35" i="100"/>
  <c r="B35" i="100"/>
  <c r="Z34" i="100"/>
  <c r="X34" i="100"/>
  <c r="R34" i="100"/>
  <c r="N34" i="100"/>
  <c r="L34" i="100"/>
  <c r="B34" i="100"/>
  <c r="Z33" i="100"/>
  <c r="X33" i="100"/>
  <c r="N33" i="100"/>
  <c r="L33" i="100"/>
  <c r="B33" i="100"/>
  <c r="Z32" i="100"/>
  <c r="X32" i="100"/>
  <c r="L32" i="100"/>
  <c r="N32" i="100" s="1"/>
  <c r="B32" i="100"/>
  <c r="Z31" i="100"/>
  <c r="X31" i="100"/>
  <c r="N31" i="100"/>
  <c r="L31" i="100"/>
  <c r="B31" i="100"/>
  <c r="Z30" i="100"/>
  <c r="X30" i="100"/>
  <c r="R30" i="100"/>
  <c r="N30" i="100"/>
  <c r="L30" i="100"/>
  <c r="B30" i="100"/>
  <c r="T29" i="100"/>
  <c r="Z29" i="100" s="1"/>
  <c r="P29" i="100"/>
  <c r="X29" i="100" s="1"/>
  <c r="L29" i="100"/>
  <c r="N29" i="100" s="1"/>
  <c r="H29" i="100"/>
  <c r="D29" i="100"/>
  <c r="B29" i="100"/>
  <c r="X28" i="100"/>
  <c r="Z28" i="100" s="1"/>
  <c r="N28" i="100"/>
  <c r="L28" i="100"/>
  <c r="B28" i="100"/>
  <c r="Z27" i="100"/>
  <c r="X27" i="100"/>
  <c r="N27" i="100"/>
  <c r="L27" i="100"/>
  <c r="B27" i="100"/>
  <c r="Z26" i="100"/>
  <c r="X26" i="100"/>
  <c r="L26" i="100"/>
  <c r="N26" i="100" s="1"/>
  <c r="B26" i="100"/>
  <c r="V25" i="100"/>
  <c r="T25" i="100"/>
  <c r="P25" i="100"/>
  <c r="X25" i="100" s="1"/>
  <c r="H25" i="100"/>
  <c r="D25" i="100"/>
  <c r="L25" i="100" s="1"/>
  <c r="N25" i="100" s="1"/>
  <c r="B25" i="100"/>
  <c r="T24" i="100"/>
  <c r="X24" i="100" s="1"/>
  <c r="Z24" i="100" s="1"/>
  <c r="P24" i="100"/>
  <c r="H24" i="100"/>
  <c r="D24" i="100"/>
  <c r="X20" i="100"/>
  <c r="Z20" i="100" s="1"/>
  <c r="N20" i="100"/>
  <c r="L20" i="100"/>
  <c r="B20" i="100"/>
  <c r="X19" i="100"/>
  <c r="Z19" i="100" s="1"/>
  <c r="L19" i="100"/>
  <c r="N19" i="100" s="1"/>
  <c r="B19" i="100"/>
  <c r="T18" i="100"/>
  <c r="R18" i="100"/>
  <c r="P18" i="100"/>
  <c r="L18" i="100"/>
  <c r="N18" i="100" s="1"/>
  <c r="H18" i="100"/>
  <c r="D18" i="100"/>
  <c r="T16" i="100"/>
  <c r="Z16" i="100" s="1"/>
  <c r="P16" i="100"/>
  <c r="X16" i="100" s="1"/>
  <c r="N16" i="100"/>
  <c r="H16" i="100"/>
  <c r="D16" i="100"/>
  <c r="L16" i="100" s="1"/>
  <c r="B16" i="100"/>
  <c r="X15" i="100"/>
  <c r="T15" i="100"/>
  <c r="Z15" i="100" s="1"/>
  <c r="P15" i="100"/>
  <c r="H15" i="100"/>
  <c r="N15" i="100" s="1"/>
  <c r="D15" i="100"/>
  <c r="L15" i="100" s="1"/>
  <c r="B15" i="100"/>
  <c r="X14" i="100"/>
  <c r="T14" i="100"/>
  <c r="P14" i="100"/>
  <c r="N14" i="100"/>
  <c r="L14" i="100"/>
  <c r="H14" i="100"/>
  <c r="D14" i="100"/>
  <c r="B14" i="100"/>
  <c r="X13" i="100"/>
  <c r="Z13" i="100" s="1"/>
  <c r="T13" i="100"/>
  <c r="T12" i="100" s="1"/>
  <c r="P13" i="100"/>
  <c r="N13" i="100"/>
  <c r="L13" i="100"/>
  <c r="H13" i="100"/>
  <c r="D13" i="100"/>
  <c r="B13" i="100"/>
  <c r="P12" i="100"/>
  <c r="R54" i="100" s="1"/>
  <c r="D12" i="100"/>
  <c r="D6" i="100"/>
  <c r="D4" i="100"/>
  <c r="F53" i="99"/>
  <c r="F50" i="99"/>
  <c r="Z48" i="99"/>
  <c r="X48" i="99"/>
  <c r="N48" i="99"/>
  <c r="L48" i="99"/>
  <c r="F46" i="99"/>
  <c r="X44" i="99"/>
  <c r="Z44" i="99" s="1"/>
  <c r="V44" i="99"/>
  <c r="T44" i="99"/>
  <c r="P44" i="99"/>
  <c r="P43" i="99" s="1"/>
  <c r="H44" i="99"/>
  <c r="F44" i="99"/>
  <c r="D44" i="99"/>
  <c r="B44" i="99"/>
  <c r="X43" i="99"/>
  <c r="Z43" i="99" s="1"/>
  <c r="T43" i="99"/>
  <c r="H43" i="99"/>
  <c r="N43" i="99" s="1"/>
  <c r="D43" i="99"/>
  <c r="L43" i="99" s="1"/>
  <c r="Z41" i="99"/>
  <c r="X41" i="99"/>
  <c r="R41" i="99"/>
  <c r="N41" i="99"/>
  <c r="L41" i="99"/>
  <c r="B41" i="99"/>
  <c r="T40" i="99"/>
  <c r="Z40" i="99" s="1"/>
  <c r="R40" i="99"/>
  <c r="P40" i="99"/>
  <c r="X40" i="99" s="1"/>
  <c r="N40" i="99"/>
  <c r="H40" i="99"/>
  <c r="D40" i="99"/>
  <c r="L40" i="99" s="1"/>
  <c r="B40" i="99"/>
  <c r="X39" i="99"/>
  <c r="Z39" i="99" s="1"/>
  <c r="R39" i="99"/>
  <c r="L39" i="99"/>
  <c r="N39" i="99" s="1"/>
  <c r="B39" i="99"/>
  <c r="T38" i="99"/>
  <c r="R38" i="99"/>
  <c r="P38" i="99"/>
  <c r="X38" i="99" s="1"/>
  <c r="N38" i="99"/>
  <c r="H38" i="99"/>
  <c r="D38" i="99"/>
  <c r="L38" i="99" s="1"/>
  <c r="B38" i="99"/>
  <c r="X37" i="99"/>
  <c r="Z37" i="99" s="1"/>
  <c r="R37" i="99"/>
  <c r="N37" i="99"/>
  <c r="L37" i="99"/>
  <c r="B37" i="99"/>
  <c r="T36" i="99"/>
  <c r="R36" i="99"/>
  <c r="P36" i="99"/>
  <c r="L36" i="99"/>
  <c r="N36" i="99" s="1"/>
  <c r="J36" i="99"/>
  <c r="H36" i="99"/>
  <c r="D36" i="99"/>
  <c r="B36" i="99"/>
  <c r="Z35" i="99"/>
  <c r="X35" i="99"/>
  <c r="R35" i="99"/>
  <c r="N35" i="99"/>
  <c r="L35" i="99"/>
  <c r="F35" i="99"/>
  <c r="B35" i="99"/>
  <c r="T34" i="99"/>
  <c r="P34" i="99"/>
  <c r="X34" i="99" s="1"/>
  <c r="Z34" i="99" s="1"/>
  <c r="N34" i="99"/>
  <c r="H34" i="99"/>
  <c r="F34" i="99"/>
  <c r="D34" i="99"/>
  <c r="L34" i="99" s="1"/>
  <c r="B34" i="99"/>
  <c r="Z33" i="99"/>
  <c r="X33" i="99"/>
  <c r="N33" i="99"/>
  <c r="L33" i="99"/>
  <c r="B33" i="99"/>
  <c r="Z32" i="99"/>
  <c r="T32" i="99"/>
  <c r="P32" i="99"/>
  <c r="X32" i="99" s="1"/>
  <c r="H32" i="99"/>
  <c r="N32" i="99" s="1"/>
  <c r="D32" i="99"/>
  <c r="L32" i="99" s="1"/>
  <c r="B32" i="99"/>
  <c r="Z31" i="99"/>
  <c r="X31" i="99"/>
  <c r="N31" i="99"/>
  <c r="L31" i="99"/>
  <c r="F31" i="99"/>
  <c r="B31" i="99"/>
  <c r="X30" i="99"/>
  <c r="Z30" i="99" s="1"/>
  <c r="N30" i="99"/>
  <c r="L30" i="99"/>
  <c r="B30" i="99"/>
  <c r="T29" i="99"/>
  <c r="R29" i="99"/>
  <c r="P29" i="99"/>
  <c r="X29" i="99" s="1"/>
  <c r="Z29" i="99" s="1"/>
  <c r="L29" i="99"/>
  <c r="N29" i="99" s="1"/>
  <c r="H29" i="99"/>
  <c r="D29" i="99"/>
  <c r="B29" i="99"/>
  <c r="Z28" i="99"/>
  <c r="X28" i="99"/>
  <c r="R28" i="99"/>
  <c r="N28" i="99"/>
  <c r="L28" i="99"/>
  <c r="B28" i="99"/>
  <c r="Z27" i="99"/>
  <c r="X27" i="99"/>
  <c r="R27" i="99"/>
  <c r="L27" i="99"/>
  <c r="N27" i="99" s="1"/>
  <c r="J27" i="99"/>
  <c r="F27" i="99"/>
  <c r="B27" i="99"/>
  <c r="Z26" i="99"/>
  <c r="X26" i="99"/>
  <c r="L26" i="99"/>
  <c r="N26" i="99" s="1"/>
  <c r="B26" i="99"/>
  <c r="X25" i="99"/>
  <c r="Z25" i="99" s="1"/>
  <c r="R25" i="99"/>
  <c r="N25" i="99"/>
  <c r="L25" i="99"/>
  <c r="B25" i="99"/>
  <c r="Z24" i="99"/>
  <c r="X24" i="99"/>
  <c r="R24" i="99"/>
  <c r="N24" i="99"/>
  <c r="L24" i="99"/>
  <c r="F24" i="99"/>
  <c r="B24" i="99"/>
  <c r="Z23" i="99"/>
  <c r="X23" i="99"/>
  <c r="R23" i="99"/>
  <c r="L23" i="99"/>
  <c r="N23" i="99" s="1"/>
  <c r="J23" i="99"/>
  <c r="F23" i="99"/>
  <c r="B23" i="99"/>
  <c r="X22" i="99"/>
  <c r="Z22" i="99" s="1"/>
  <c r="L22" i="99"/>
  <c r="N22" i="99" s="1"/>
  <c r="B22" i="99"/>
  <c r="X21" i="99"/>
  <c r="Z21" i="99" s="1"/>
  <c r="R21" i="99"/>
  <c r="N21" i="99"/>
  <c r="L21" i="99"/>
  <c r="B21" i="99"/>
  <c r="T20" i="99"/>
  <c r="R20" i="99"/>
  <c r="P20" i="99"/>
  <c r="X20" i="99" s="1"/>
  <c r="Z20" i="99" s="1"/>
  <c r="H20" i="99"/>
  <c r="D20" i="99"/>
  <c r="L20" i="99" s="1"/>
  <c r="N20" i="99" s="1"/>
  <c r="B20" i="99"/>
  <c r="T19" i="99"/>
  <c r="R19" i="99"/>
  <c r="P19" i="99"/>
  <c r="H19" i="99"/>
  <c r="F19" i="99"/>
  <c r="D19" i="99"/>
  <c r="L19" i="99" s="1"/>
  <c r="N19" i="99" s="1"/>
  <c r="T17" i="99"/>
  <c r="R17" i="99"/>
  <c r="F17" i="99"/>
  <c r="D17" i="99"/>
  <c r="Z15" i="99"/>
  <c r="X15" i="99"/>
  <c r="V15" i="99"/>
  <c r="R15" i="99"/>
  <c r="N15" i="99"/>
  <c r="L15" i="99"/>
  <c r="B15" i="99"/>
  <c r="Z14" i="99"/>
  <c r="X14" i="99"/>
  <c r="T14" i="99"/>
  <c r="R14" i="99"/>
  <c r="P14" i="99"/>
  <c r="P17" i="99" s="1"/>
  <c r="N14" i="99"/>
  <c r="H14" i="99"/>
  <c r="L14" i="99" s="1"/>
  <c r="D14" i="99"/>
  <c r="X12" i="99"/>
  <c r="T12" i="99"/>
  <c r="P12" i="99"/>
  <c r="R32" i="99" s="1"/>
  <c r="H12" i="99"/>
  <c r="J26" i="99" s="1"/>
  <c r="D12" i="99"/>
  <c r="F39" i="99" s="1"/>
  <c r="D6" i="99"/>
  <c r="D4" i="99"/>
  <c r="Z55" i="98"/>
  <c r="X55" i="98"/>
  <c r="N55" i="98"/>
  <c r="L55" i="98"/>
  <c r="T51" i="98"/>
  <c r="X51" i="98" s="1"/>
  <c r="P51" i="98"/>
  <c r="N51" i="98"/>
  <c r="L51" i="98"/>
  <c r="H51" i="98"/>
  <c r="D51" i="98"/>
  <c r="Z49" i="98"/>
  <c r="X49" i="98"/>
  <c r="N49" i="98"/>
  <c r="L49" i="98"/>
  <c r="B49" i="98"/>
  <c r="X48" i="98"/>
  <c r="T48" i="98"/>
  <c r="Z48" i="98" s="1"/>
  <c r="P48" i="98"/>
  <c r="N48" i="98"/>
  <c r="H48" i="98"/>
  <c r="D48" i="98"/>
  <c r="L48" i="98" s="1"/>
  <c r="B48" i="98"/>
  <c r="Z47" i="98"/>
  <c r="X47" i="98"/>
  <c r="V47" i="98"/>
  <c r="N47" i="98"/>
  <c r="L47" i="98"/>
  <c r="B47" i="98"/>
  <c r="Z46" i="98"/>
  <c r="X46" i="98"/>
  <c r="N46" i="98"/>
  <c r="L46" i="98"/>
  <c r="B46" i="98"/>
  <c r="T45" i="98"/>
  <c r="P45" i="98"/>
  <c r="N45" i="98"/>
  <c r="L45" i="98"/>
  <c r="H45" i="98"/>
  <c r="D45" i="98"/>
  <c r="B45" i="98"/>
  <c r="Z44" i="98"/>
  <c r="X44" i="98"/>
  <c r="V44" i="98"/>
  <c r="N44" i="98"/>
  <c r="L44" i="98"/>
  <c r="B44" i="98"/>
  <c r="Z43" i="98"/>
  <c r="T43" i="98"/>
  <c r="P43" i="98"/>
  <c r="X43" i="98" s="1"/>
  <c r="N43" i="98"/>
  <c r="H43" i="98"/>
  <c r="D43" i="98"/>
  <c r="B43" i="98"/>
  <c r="Z42" i="98"/>
  <c r="X42" i="98"/>
  <c r="N42" i="98"/>
  <c r="L42" i="98"/>
  <c r="B42" i="98"/>
  <c r="Z41" i="98"/>
  <c r="V41" i="98"/>
  <c r="T41" i="98"/>
  <c r="X41" i="98" s="1"/>
  <c r="P41" i="98"/>
  <c r="N41" i="98"/>
  <c r="H41" i="98"/>
  <c r="D41" i="98"/>
  <c r="L41" i="98" s="1"/>
  <c r="B41" i="98"/>
  <c r="Z40" i="98"/>
  <c r="X40" i="98"/>
  <c r="V40" i="98"/>
  <c r="N40" i="98"/>
  <c r="L40" i="98"/>
  <c r="B40" i="98"/>
  <c r="Z39" i="98"/>
  <c r="T39" i="98"/>
  <c r="P39" i="98"/>
  <c r="X39" i="98" s="1"/>
  <c r="H39" i="98"/>
  <c r="D39" i="98"/>
  <c r="B39" i="98"/>
  <c r="Z38" i="98"/>
  <c r="X38" i="98"/>
  <c r="N38" i="98"/>
  <c r="L38" i="98"/>
  <c r="B38" i="98"/>
  <c r="Z37" i="98"/>
  <c r="V37" i="98"/>
  <c r="T37" i="98"/>
  <c r="P37" i="98"/>
  <c r="N37" i="98"/>
  <c r="H37" i="98"/>
  <c r="D37" i="98"/>
  <c r="L37" i="98" s="1"/>
  <c r="B37" i="98"/>
  <c r="Z36" i="98"/>
  <c r="X36" i="98"/>
  <c r="V36" i="98"/>
  <c r="N36" i="98"/>
  <c r="L36" i="98"/>
  <c r="B36" i="98"/>
  <c r="Z35" i="98"/>
  <c r="X35" i="98"/>
  <c r="N35" i="98"/>
  <c r="L35" i="98"/>
  <c r="B35" i="98"/>
  <c r="Z34" i="98"/>
  <c r="X34" i="98"/>
  <c r="N34" i="98"/>
  <c r="L34" i="98"/>
  <c r="B34" i="98"/>
  <c r="Z33" i="98"/>
  <c r="X33" i="98"/>
  <c r="V33" i="98"/>
  <c r="N33" i="98"/>
  <c r="L33" i="98"/>
  <c r="B33" i="98"/>
  <c r="T32" i="98"/>
  <c r="Z32" i="98" s="1"/>
  <c r="R32" i="98"/>
  <c r="P32" i="98"/>
  <c r="X32" i="98" s="1"/>
  <c r="N32" i="98"/>
  <c r="H32" i="98"/>
  <c r="D32" i="98"/>
  <c r="L32" i="98" s="1"/>
  <c r="B32" i="98"/>
  <c r="Z31" i="98"/>
  <c r="X31" i="98"/>
  <c r="N31" i="98"/>
  <c r="L31" i="98"/>
  <c r="B31" i="98"/>
  <c r="Z30" i="98"/>
  <c r="X30" i="98"/>
  <c r="N30" i="98"/>
  <c r="L30" i="98"/>
  <c r="B30" i="98"/>
  <c r="Z29" i="98"/>
  <c r="X29" i="98"/>
  <c r="V29" i="98"/>
  <c r="N29" i="98"/>
  <c r="L29" i="98"/>
  <c r="B29" i="98"/>
  <c r="Z28" i="98"/>
  <c r="X28" i="98"/>
  <c r="V28" i="98"/>
  <c r="N28" i="98"/>
  <c r="L28" i="98"/>
  <c r="B28" i="98"/>
  <c r="Z27" i="98"/>
  <c r="X27" i="98"/>
  <c r="N27" i="98"/>
  <c r="L27" i="98"/>
  <c r="B27" i="98"/>
  <c r="Z26" i="98"/>
  <c r="X26" i="98"/>
  <c r="N26" i="98"/>
  <c r="L26" i="98"/>
  <c r="B26" i="98"/>
  <c r="Z25" i="98"/>
  <c r="X25" i="98"/>
  <c r="V25" i="98"/>
  <c r="N25" i="98"/>
  <c r="L25" i="98"/>
  <c r="B25" i="98"/>
  <c r="Z24" i="98"/>
  <c r="X24" i="98"/>
  <c r="N24" i="98"/>
  <c r="L24" i="98"/>
  <c r="B24" i="98"/>
  <c r="T23" i="98"/>
  <c r="Z23" i="98" s="1"/>
  <c r="P23" i="98"/>
  <c r="X23" i="98" s="1"/>
  <c r="H23" i="98"/>
  <c r="N23" i="98" s="1"/>
  <c r="D23" i="98"/>
  <c r="L23" i="98" s="1"/>
  <c r="B23" i="98"/>
  <c r="T22" i="98"/>
  <c r="P22" i="98"/>
  <c r="H22" i="98"/>
  <c r="N22" i="98" s="1"/>
  <c r="D22" i="98"/>
  <c r="Z18" i="98"/>
  <c r="X18" i="98"/>
  <c r="N18" i="98"/>
  <c r="L18" i="98"/>
  <c r="B18" i="98"/>
  <c r="Z17" i="98"/>
  <c r="X17" i="98"/>
  <c r="V17" i="98"/>
  <c r="R17" i="98"/>
  <c r="N17" i="98"/>
  <c r="L17" i="98"/>
  <c r="B17" i="98"/>
  <c r="T16" i="98"/>
  <c r="T20" i="98" s="1"/>
  <c r="P16" i="98"/>
  <c r="X16" i="98" s="1"/>
  <c r="N16" i="98"/>
  <c r="L16" i="98"/>
  <c r="H16" i="98"/>
  <c r="D16" i="98"/>
  <c r="T14" i="98"/>
  <c r="Z14" i="98" s="1"/>
  <c r="P14" i="98"/>
  <c r="X14" i="98" s="1"/>
  <c r="N14" i="98"/>
  <c r="H14" i="98"/>
  <c r="L14" i="98" s="1"/>
  <c r="D14" i="98"/>
  <c r="B14" i="98"/>
  <c r="Z13" i="98"/>
  <c r="X13" i="98"/>
  <c r="T13" i="98"/>
  <c r="P13" i="98"/>
  <c r="P12" i="98" s="1"/>
  <c r="H13" i="98"/>
  <c r="D13" i="98"/>
  <c r="B13" i="98"/>
  <c r="Z12" i="98"/>
  <c r="T12" i="98"/>
  <c r="V23" i="98" s="1"/>
  <c r="D6" i="98"/>
  <c r="D4" i="98"/>
  <c r="X91" i="97"/>
  <c r="Z91" i="97" s="1"/>
  <c r="N91" i="97"/>
  <c r="L91" i="97"/>
  <c r="T87" i="97"/>
  <c r="P87" i="97"/>
  <c r="X87" i="97" s="1"/>
  <c r="Z87" i="97" s="1"/>
  <c r="N87" i="97"/>
  <c r="L87" i="97"/>
  <c r="H87" i="97"/>
  <c r="H86" i="97" s="1"/>
  <c r="N86" i="97" s="1"/>
  <c r="D87" i="97"/>
  <c r="B87" i="97"/>
  <c r="T86" i="97"/>
  <c r="P86" i="97"/>
  <c r="X86" i="97" s="1"/>
  <c r="L86" i="97"/>
  <c r="D86" i="97"/>
  <c r="X84" i="97"/>
  <c r="Z84" i="97" s="1"/>
  <c r="N84" i="97"/>
  <c r="L84" i="97"/>
  <c r="B84" i="97"/>
  <c r="T83" i="97"/>
  <c r="P83" i="97"/>
  <c r="X83" i="97" s="1"/>
  <c r="Z83" i="97" s="1"/>
  <c r="L83" i="97"/>
  <c r="H83" i="97"/>
  <c r="N83" i="97" s="1"/>
  <c r="D83" i="97"/>
  <c r="B83" i="97"/>
  <c r="X82" i="97"/>
  <c r="Z82" i="97" s="1"/>
  <c r="L82" i="97"/>
  <c r="N82" i="97" s="1"/>
  <c r="B82" i="97"/>
  <c r="Z81" i="97"/>
  <c r="X81" i="97"/>
  <c r="T81" i="97"/>
  <c r="P81" i="97"/>
  <c r="H81" i="97"/>
  <c r="D81" i="97"/>
  <c r="L81" i="97" s="1"/>
  <c r="B81" i="97"/>
  <c r="Z80" i="97"/>
  <c r="X80" i="97"/>
  <c r="N80" i="97"/>
  <c r="L80" i="97"/>
  <c r="B80" i="97"/>
  <c r="Z79" i="97"/>
  <c r="X79" i="97"/>
  <c r="N79" i="97"/>
  <c r="L79" i="97"/>
  <c r="B79" i="97"/>
  <c r="X78" i="97"/>
  <c r="Z78" i="97" s="1"/>
  <c r="L78" i="97"/>
  <c r="N78" i="97" s="1"/>
  <c r="B78" i="97"/>
  <c r="Z77" i="97"/>
  <c r="X77" i="97"/>
  <c r="L77" i="97"/>
  <c r="N77" i="97" s="1"/>
  <c r="B77" i="97"/>
  <c r="Z76" i="97"/>
  <c r="X76" i="97"/>
  <c r="L76" i="97"/>
  <c r="N76" i="97" s="1"/>
  <c r="B76" i="97"/>
  <c r="Z75" i="97"/>
  <c r="X75" i="97"/>
  <c r="N75" i="97"/>
  <c r="L75" i="97"/>
  <c r="B75" i="97"/>
  <c r="X74" i="97"/>
  <c r="Z74" i="97" s="1"/>
  <c r="R74" i="97"/>
  <c r="L74" i="97"/>
  <c r="N74" i="97" s="1"/>
  <c r="B74" i="97"/>
  <c r="Z73" i="97"/>
  <c r="X73" i="97"/>
  <c r="N73" i="97"/>
  <c r="L73" i="97"/>
  <c r="B73" i="97"/>
  <c r="T72" i="97"/>
  <c r="X72" i="97" s="1"/>
  <c r="P72" i="97"/>
  <c r="H72" i="97"/>
  <c r="D72" i="97"/>
  <c r="B72" i="97"/>
  <c r="Z71" i="97"/>
  <c r="X71" i="97"/>
  <c r="L71" i="97"/>
  <c r="N71" i="97" s="1"/>
  <c r="B71" i="97"/>
  <c r="Z70" i="97"/>
  <c r="X70" i="97"/>
  <c r="N70" i="97"/>
  <c r="L70" i="97"/>
  <c r="B70" i="97"/>
  <c r="X69" i="97"/>
  <c r="T69" i="97"/>
  <c r="P69" i="97"/>
  <c r="H69" i="97"/>
  <c r="D69" i="97"/>
  <c r="L69" i="97" s="1"/>
  <c r="N69" i="97" s="1"/>
  <c r="B69" i="97"/>
  <c r="Z68" i="97"/>
  <c r="X68" i="97"/>
  <c r="N68" i="97"/>
  <c r="L68" i="97"/>
  <c r="B68" i="97"/>
  <c r="X67" i="97"/>
  <c r="Z67" i="97" s="1"/>
  <c r="N67" i="97"/>
  <c r="L67" i="97"/>
  <c r="B67" i="97"/>
  <c r="X66" i="97"/>
  <c r="Z66" i="97" s="1"/>
  <c r="L66" i="97"/>
  <c r="N66" i="97" s="1"/>
  <c r="B66" i="97"/>
  <c r="Z65" i="97"/>
  <c r="X65" i="97"/>
  <c r="T65" i="97"/>
  <c r="P65" i="97"/>
  <c r="H65" i="97"/>
  <c r="D65" i="97"/>
  <c r="L65" i="97" s="1"/>
  <c r="B65" i="97"/>
  <c r="Z64" i="97"/>
  <c r="X64" i="97"/>
  <c r="L64" i="97"/>
  <c r="N64" i="97" s="1"/>
  <c r="B64" i="97"/>
  <c r="Z63" i="97"/>
  <c r="X63" i="97"/>
  <c r="N63" i="97"/>
  <c r="L63" i="97"/>
  <c r="B63" i="97"/>
  <c r="X62" i="97"/>
  <c r="Z62" i="97" s="1"/>
  <c r="N62" i="97"/>
  <c r="L62" i="97"/>
  <c r="B62" i="97"/>
  <c r="T61" i="97"/>
  <c r="P61" i="97"/>
  <c r="X61" i="97" s="1"/>
  <c r="Z61" i="97" s="1"/>
  <c r="N61" i="97"/>
  <c r="L61" i="97"/>
  <c r="H61" i="97"/>
  <c r="D61" i="97"/>
  <c r="B61" i="97"/>
  <c r="X60" i="97"/>
  <c r="Z60" i="97" s="1"/>
  <c r="N60" i="97"/>
  <c r="L60" i="97"/>
  <c r="B60" i="97"/>
  <c r="Z59" i="97"/>
  <c r="X59" i="97"/>
  <c r="N59" i="97"/>
  <c r="L59" i="97"/>
  <c r="B59" i="97"/>
  <c r="X58" i="97"/>
  <c r="Z58" i="97" s="1"/>
  <c r="T58" i="97"/>
  <c r="P58" i="97"/>
  <c r="H58" i="97"/>
  <c r="N58" i="97" s="1"/>
  <c r="D58" i="97"/>
  <c r="L58" i="97" s="1"/>
  <c r="B58" i="97"/>
  <c r="Z57" i="97"/>
  <c r="X57" i="97"/>
  <c r="N57" i="97"/>
  <c r="L57" i="97"/>
  <c r="B57" i="97"/>
  <c r="T56" i="97"/>
  <c r="P56" i="97"/>
  <c r="L56" i="97"/>
  <c r="H56" i="97"/>
  <c r="N56" i="97" s="1"/>
  <c r="D56" i="97"/>
  <c r="B56" i="97"/>
  <c r="Z55" i="97"/>
  <c r="X55" i="97"/>
  <c r="N55" i="97"/>
  <c r="L55" i="97"/>
  <c r="B55" i="97"/>
  <c r="T54" i="97"/>
  <c r="P54" i="97"/>
  <c r="X54" i="97" s="1"/>
  <c r="H54" i="97"/>
  <c r="L54" i="97" s="1"/>
  <c r="D54" i="97"/>
  <c r="B54" i="97"/>
  <c r="X53" i="97"/>
  <c r="Z53" i="97" s="1"/>
  <c r="N53" i="97"/>
  <c r="L53" i="97"/>
  <c r="B53" i="97"/>
  <c r="T52" i="97"/>
  <c r="P52" i="97"/>
  <c r="X52" i="97" s="1"/>
  <c r="L52" i="97"/>
  <c r="N52" i="97" s="1"/>
  <c r="H52" i="97"/>
  <c r="D52" i="97"/>
  <c r="B52" i="97"/>
  <c r="X51" i="97"/>
  <c r="Z51" i="97" s="1"/>
  <c r="N51" i="97"/>
  <c r="L51" i="97"/>
  <c r="B51" i="97"/>
  <c r="X50" i="97"/>
  <c r="T50" i="97"/>
  <c r="Z50" i="97" s="1"/>
  <c r="P50" i="97"/>
  <c r="N50" i="97"/>
  <c r="L50" i="97"/>
  <c r="H50" i="97"/>
  <c r="D50" i="97"/>
  <c r="B50" i="97"/>
  <c r="Z49" i="97"/>
  <c r="X49" i="97"/>
  <c r="N49" i="97"/>
  <c r="L49" i="97"/>
  <c r="B49" i="97"/>
  <c r="T48" i="97"/>
  <c r="X48" i="97" s="1"/>
  <c r="P48" i="97"/>
  <c r="H48" i="97"/>
  <c r="N48" i="97" s="1"/>
  <c r="D48" i="97"/>
  <c r="B48" i="97"/>
  <c r="Z47" i="97"/>
  <c r="X47" i="97"/>
  <c r="L47" i="97"/>
  <c r="N47" i="97" s="1"/>
  <c r="B47" i="97"/>
  <c r="X46" i="97"/>
  <c r="Z46" i="97" s="1"/>
  <c r="L46" i="97"/>
  <c r="N46" i="97" s="1"/>
  <c r="B46" i="97"/>
  <c r="X45" i="97"/>
  <c r="T45" i="97"/>
  <c r="P45" i="97"/>
  <c r="H45" i="97"/>
  <c r="D45" i="97"/>
  <c r="L45" i="97" s="1"/>
  <c r="N45" i="97" s="1"/>
  <c r="B45" i="97"/>
  <c r="X44" i="97"/>
  <c r="Z44" i="97" s="1"/>
  <c r="N44" i="97"/>
  <c r="L44" i="97"/>
  <c r="B44" i="97"/>
  <c r="T43" i="97"/>
  <c r="P43" i="97"/>
  <c r="X43" i="97" s="1"/>
  <c r="N43" i="97"/>
  <c r="L43" i="97"/>
  <c r="H43" i="97"/>
  <c r="D43" i="97"/>
  <c r="B43" i="97"/>
  <c r="X42" i="97"/>
  <c r="Z42" i="97" s="1"/>
  <c r="N42" i="97"/>
  <c r="L42" i="97"/>
  <c r="B42" i="97"/>
  <c r="T41" i="97"/>
  <c r="P41" i="97"/>
  <c r="X41" i="97" s="1"/>
  <c r="Z41" i="97" s="1"/>
  <c r="L41" i="97"/>
  <c r="N41" i="97" s="1"/>
  <c r="H41" i="97"/>
  <c r="D41" i="97"/>
  <c r="B41" i="97"/>
  <c r="X40" i="97"/>
  <c r="Z40" i="97" s="1"/>
  <c r="N40" i="97"/>
  <c r="L40" i="97"/>
  <c r="B40" i="97"/>
  <c r="T39" i="97"/>
  <c r="P39" i="97"/>
  <c r="X39" i="97" s="1"/>
  <c r="Z39" i="97" s="1"/>
  <c r="L39" i="97"/>
  <c r="H39" i="97"/>
  <c r="D39" i="97"/>
  <c r="B39" i="97"/>
  <c r="X38" i="97"/>
  <c r="Z38" i="97" s="1"/>
  <c r="N38" i="97"/>
  <c r="L38" i="97"/>
  <c r="B38" i="97"/>
  <c r="Z37" i="97"/>
  <c r="X37" i="97"/>
  <c r="N37" i="97"/>
  <c r="L37" i="97"/>
  <c r="B37" i="97"/>
  <c r="X36" i="97"/>
  <c r="Z36" i="97" s="1"/>
  <c r="N36" i="97"/>
  <c r="L36" i="97"/>
  <c r="B36" i="97"/>
  <c r="X35" i="97"/>
  <c r="Z35" i="97" s="1"/>
  <c r="N35" i="97"/>
  <c r="L35" i="97"/>
  <c r="B35" i="97"/>
  <c r="X34" i="97"/>
  <c r="Z34" i="97" s="1"/>
  <c r="L34" i="97"/>
  <c r="N34" i="97" s="1"/>
  <c r="B34" i="97"/>
  <c r="Z33" i="97"/>
  <c r="X33" i="97"/>
  <c r="N33" i="97"/>
  <c r="L33" i="97"/>
  <c r="B33" i="97"/>
  <c r="T32" i="97"/>
  <c r="P32" i="97"/>
  <c r="L32" i="97"/>
  <c r="H32" i="97"/>
  <c r="N32" i="97" s="1"/>
  <c r="D32" i="97"/>
  <c r="B32" i="97"/>
  <c r="Z31" i="97"/>
  <c r="X31" i="97"/>
  <c r="N31" i="97"/>
  <c r="L31" i="97"/>
  <c r="B31" i="97"/>
  <c r="X30" i="97"/>
  <c r="Z30" i="97" s="1"/>
  <c r="R30" i="97"/>
  <c r="N30" i="97"/>
  <c r="L30" i="97"/>
  <c r="B30" i="97"/>
  <c r="Z29" i="97"/>
  <c r="X29" i="97"/>
  <c r="L29" i="97"/>
  <c r="N29" i="97" s="1"/>
  <c r="B29" i="97"/>
  <c r="Z28" i="97"/>
  <c r="X28" i="97"/>
  <c r="R28" i="97"/>
  <c r="N28" i="97"/>
  <c r="L28" i="97"/>
  <c r="B28" i="97"/>
  <c r="Z27" i="97"/>
  <c r="X27" i="97"/>
  <c r="N27" i="97"/>
  <c r="L27" i="97"/>
  <c r="B27" i="97"/>
  <c r="X26" i="97"/>
  <c r="Z26" i="97" s="1"/>
  <c r="R26" i="97"/>
  <c r="L26" i="97"/>
  <c r="N26" i="97" s="1"/>
  <c r="B26" i="97"/>
  <c r="Z25" i="97"/>
  <c r="X25" i="97"/>
  <c r="L25" i="97"/>
  <c r="N25" i="97" s="1"/>
  <c r="B25" i="97"/>
  <c r="Z24" i="97"/>
  <c r="X24" i="97"/>
  <c r="R24" i="97"/>
  <c r="L24" i="97"/>
  <c r="N24" i="97" s="1"/>
  <c r="B24" i="97"/>
  <c r="Z23" i="97"/>
  <c r="X23" i="97"/>
  <c r="T23" i="97"/>
  <c r="P23" i="97"/>
  <c r="H23" i="97"/>
  <c r="D23" i="97"/>
  <c r="L23" i="97" s="1"/>
  <c r="N23" i="97" s="1"/>
  <c r="B23" i="97"/>
  <c r="T22" i="97"/>
  <c r="Z22" i="97" s="1"/>
  <c r="P22" i="97"/>
  <c r="X22" i="97" s="1"/>
  <c r="H22" i="97"/>
  <c r="D22" i="97"/>
  <c r="L22" i="97" s="1"/>
  <c r="X18" i="97"/>
  <c r="Z18" i="97" s="1"/>
  <c r="L18" i="97"/>
  <c r="N18" i="97" s="1"/>
  <c r="B18" i="97"/>
  <c r="X17" i="97"/>
  <c r="Z17" i="97" s="1"/>
  <c r="N17" i="97"/>
  <c r="L17" i="97"/>
  <c r="B17" i="97"/>
  <c r="T16" i="97"/>
  <c r="P16" i="97"/>
  <c r="H16" i="97"/>
  <c r="D16" i="97"/>
  <c r="L16" i="97" s="1"/>
  <c r="N16" i="97" s="1"/>
  <c r="T14" i="97"/>
  <c r="P14" i="97"/>
  <c r="X14" i="97" s="1"/>
  <c r="H14" i="97"/>
  <c r="D14" i="97"/>
  <c r="L14" i="97" s="1"/>
  <c r="B14" i="97"/>
  <c r="T13" i="97"/>
  <c r="P13" i="97"/>
  <c r="H13" i="97"/>
  <c r="D13" i="97"/>
  <c r="B13" i="97"/>
  <c r="P12" i="97"/>
  <c r="R44" i="97" s="1"/>
  <c r="D6" i="97"/>
  <c r="D4" i="97"/>
  <c r="X96" i="95"/>
  <c r="Z96" i="95" s="1"/>
  <c r="L96" i="95"/>
  <c r="N96" i="95" s="1"/>
  <c r="Z92" i="95"/>
  <c r="T92" i="95"/>
  <c r="T91" i="95" s="1"/>
  <c r="P92" i="95"/>
  <c r="P91" i="95" s="1"/>
  <c r="H92" i="95"/>
  <c r="N92" i="95" s="1"/>
  <c r="D92" i="95"/>
  <c r="L92" i="95" s="1"/>
  <c r="B92" i="95"/>
  <c r="Z91" i="95"/>
  <c r="X91" i="95"/>
  <c r="Z89" i="95"/>
  <c r="X89" i="95"/>
  <c r="N89" i="95"/>
  <c r="L89" i="95"/>
  <c r="B89" i="95"/>
  <c r="T88" i="95"/>
  <c r="P88" i="95"/>
  <c r="X88" i="95" s="1"/>
  <c r="Z88" i="95" s="1"/>
  <c r="H88" i="95"/>
  <c r="D88" i="95"/>
  <c r="L88" i="95" s="1"/>
  <c r="B88" i="95"/>
  <c r="Z87" i="95"/>
  <c r="X87" i="95"/>
  <c r="N87" i="95"/>
  <c r="L87" i="95"/>
  <c r="B87" i="95"/>
  <c r="X86" i="95"/>
  <c r="Z86" i="95" s="1"/>
  <c r="V86" i="95"/>
  <c r="T86" i="95"/>
  <c r="P86" i="95"/>
  <c r="H86" i="95"/>
  <c r="N86" i="95" s="1"/>
  <c r="D86" i="95"/>
  <c r="L86" i="95" s="1"/>
  <c r="B86" i="95"/>
  <c r="X85" i="95"/>
  <c r="Z85" i="95" s="1"/>
  <c r="V85" i="95"/>
  <c r="R85" i="95"/>
  <c r="L85" i="95"/>
  <c r="N85" i="95" s="1"/>
  <c r="B85" i="95"/>
  <c r="T84" i="95"/>
  <c r="P84" i="95"/>
  <c r="X84" i="95" s="1"/>
  <c r="L84" i="95"/>
  <c r="N84" i="95" s="1"/>
  <c r="H84" i="95"/>
  <c r="D84" i="95"/>
  <c r="B84" i="95"/>
  <c r="Z83" i="95"/>
  <c r="X83" i="95"/>
  <c r="N83" i="95"/>
  <c r="L83" i="95"/>
  <c r="F83" i="95"/>
  <c r="B83" i="95"/>
  <c r="T82" i="95"/>
  <c r="P82" i="95"/>
  <c r="H82" i="95"/>
  <c r="N82" i="95" s="1"/>
  <c r="D82" i="95"/>
  <c r="L82" i="95" s="1"/>
  <c r="B82" i="95"/>
  <c r="Z81" i="95"/>
  <c r="X81" i="95"/>
  <c r="N81" i="95"/>
  <c r="L81" i="95"/>
  <c r="B81" i="95"/>
  <c r="X80" i="95"/>
  <c r="Z80" i="95" s="1"/>
  <c r="R80" i="95"/>
  <c r="L80" i="95"/>
  <c r="N80" i="95" s="1"/>
  <c r="B80" i="95"/>
  <c r="Z79" i="95"/>
  <c r="X79" i="95"/>
  <c r="N79" i="95"/>
  <c r="L79" i="95"/>
  <c r="B79" i="95"/>
  <c r="Z78" i="95"/>
  <c r="X78" i="95"/>
  <c r="N78" i="95"/>
  <c r="L78" i="95"/>
  <c r="B78" i="95"/>
  <c r="Z77" i="95"/>
  <c r="X77" i="95"/>
  <c r="V77" i="95"/>
  <c r="R77" i="95"/>
  <c r="L77" i="95"/>
  <c r="N77" i="95" s="1"/>
  <c r="B77" i="95"/>
  <c r="Z76" i="95"/>
  <c r="X76" i="95"/>
  <c r="L76" i="95"/>
  <c r="N76" i="95" s="1"/>
  <c r="J76" i="95"/>
  <c r="F76" i="95"/>
  <c r="B76" i="95"/>
  <c r="Z75" i="95"/>
  <c r="X75" i="95"/>
  <c r="N75" i="95"/>
  <c r="L75" i="95"/>
  <c r="B75" i="95"/>
  <c r="Z74" i="95"/>
  <c r="X74" i="95"/>
  <c r="N74" i="95"/>
  <c r="L74" i="95"/>
  <c r="B74" i="95"/>
  <c r="Z73" i="95"/>
  <c r="X73" i="95"/>
  <c r="R73" i="95"/>
  <c r="N73" i="95"/>
  <c r="L73" i="95"/>
  <c r="B73" i="95"/>
  <c r="T72" i="95"/>
  <c r="P72" i="95"/>
  <c r="X72" i="95" s="1"/>
  <c r="L72" i="95"/>
  <c r="N72" i="95" s="1"/>
  <c r="H72" i="95"/>
  <c r="D72" i="95"/>
  <c r="B72" i="95"/>
  <c r="Z71" i="95"/>
  <c r="X71" i="95"/>
  <c r="L71" i="95"/>
  <c r="N71" i="95" s="1"/>
  <c r="B71" i="95"/>
  <c r="Z70" i="95"/>
  <c r="X70" i="95"/>
  <c r="N70" i="95"/>
  <c r="L70" i="95"/>
  <c r="B70" i="95"/>
  <c r="T69" i="95"/>
  <c r="X69" i="95" s="1"/>
  <c r="Z69" i="95" s="1"/>
  <c r="P69" i="95"/>
  <c r="H69" i="95"/>
  <c r="D69" i="95"/>
  <c r="L69" i="95" s="1"/>
  <c r="N69" i="95" s="1"/>
  <c r="B69" i="95"/>
  <c r="X68" i="95"/>
  <c r="Z68" i="95" s="1"/>
  <c r="L68" i="95"/>
  <c r="N68" i="95" s="1"/>
  <c r="B68" i="95"/>
  <c r="X67" i="95"/>
  <c r="Z67" i="95" s="1"/>
  <c r="V67" i="95"/>
  <c r="N67" i="95"/>
  <c r="L67" i="95"/>
  <c r="B67" i="95"/>
  <c r="X66" i="95"/>
  <c r="Z66" i="95" s="1"/>
  <c r="L66" i="95"/>
  <c r="N66" i="95" s="1"/>
  <c r="B66" i="95"/>
  <c r="Z65" i="95"/>
  <c r="X65" i="95"/>
  <c r="N65" i="95"/>
  <c r="L65" i="95"/>
  <c r="B65" i="95"/>
  <c r="X64" i="95"/>
  <c r="Z64" i="95" s="1"/>
  <c r="N64" i="95"/>
  <c r="L64" i="95"/>
  <c r="B64" i="95"/>
  <c r="X63" i="95"/>
  <c r="Z63" i="95" s="1"/>
  <c r="V63" i="95"/>
  <c r="T63" i="95"/>
  <c r="P63" i="95"/>
  <c r="H63" i="95"/>
  <c r="N63" i="95" s="1"/>
  <c r="D63" i="95"/>
  <c r="L63" i="95" s="1"/>
  <c r="B63" i="95"/>
  <c r="X62" i="95"/>
  <c r="Z62" i="95" s="1"/>
  <c r="N62" i="95"/>
  <c r="L62" i="95"/>
  <c r="B62" i="95"/>
  <c r="Z61" i="95"/>
  <c r="X61" i="95"/>
  <c r="R61" i="95"/>
  <c r="N61" i="95"/>
  <c r="L61" i="95"/>
  <c r="B61" i="95"/>
  <c r="X60" i="95"/>
  <c r="Z60" i="95" s="1"/>
  <c r="N60" i="95"/>
  <c r="L60" i="95"/>
  <c r="J60" i="95"/>
  <c r="B60" i="95"/>
  <c r="Z59" i="95"/>
  <c r="X59" i="95"/>
  <c r="N59" i="95"/>
  <c r="L59" i="95"/>
  <c r="B59" i="95"/>
  <c r="X58" i="95"/>
  <c r="Z58" i="95" s="1"/>
  <c r="T58" i="95"/>
  <c r="P58" i="95"/>
  <c r="H58" i="95"/>
  <c r="N58" i="95" s="1"/>
  <c r="D58" i="95"/>
  <c r="L58" i="95" s="1"/>
  <c r="B58" i="95"/>
  <c r="Z57" i="95"/>
  <c r="X57" i="95"/>
  <c r="N57" i="95"/>
  <c r="L57" i="95"/>
  <c r="B57" i="95"/>
  <c r="T56" i="95"/>
  <c r="P56" i="95"/>
  <c r="H56" i="95"/>
  <c r="D56" i="95"/>
  <c r="L56" i="95" s="1"/>
  <c r="N56" i="95" s="1"/>
  <c r="B56" i="95"/>
  <c r="X55" i="95"/>
  <c r="Z55" i="95" s="1"/>
  <c r="V55" i="95"/>
  <c r="N55" i="95"/>
  <c r="L55" i="95"/>
  <c r="B55" i="95"/>
  <c r="T54" i="95"/>
  <c r="P54" i="95"/>
  <c r="X54" i="95" s="1"/>
  <c r="L54" i="95"/>
  <c r="N54" i="95" s="1"/>
  <c r="H54" i="95"/>
  <c r="D54" i="95"/>
  <c r="B54" i="95"/>
  <c r="Z53" i="95"/>
  <c r="X53" i="95"/>
  <c r="V53" i="95"/>
  <c r="R53" i="95"/>
  <c r="N53" i="95"/>
  <c r="L53" i="95"/>
  <c r="B53" i="95"/>
  <c r="T52" i="95"/>
  <c r="Z52" i="95" s="1"/>
  <c r="P52" i="95"/>
  <c r="X52" i="95" s="1"/>
  <c r="N52" i="95"/>
  <c r="L52" i="95"/>
  <c r="H52" i="95"/>
  <c r="D52" i="95"/>
  <c r="B52" i="95"/>
  <c r="Z51" i="95"/>
  <c r="X51" i="95"/>
  <c r="L51" i="95"/>
  <c r="N51" i="95" s="1"/>
  <c r="B51" i="95"/>
  <c r="T50" i="95"/>
  <c r="P50" i="95"/>
  <c r="X50" i="95" s="1"/>
  <c r="Z50" i="95" s="1"/>
  <c r="J50" i="95"/>
  <c r="H50" i="95"/>
  <c r="D50" i="95"/>
  <c r="B50" i="95"/>
  <c r="Z49" i="95"/>
  <c r="X49" i="95"/>
  <c r="N49" i="95"/>
  <c r="L49" i="95"/>
  <c r="B49" i="95"/>
  <c r="X48" i="95"/>
  <c r="Z48" i="95" s="1"/>
  <c r="T48" i="95"/>
  <c r="P48" i="95"/>
  <c r="H48" i="95"/>
  <c r="N48" i="95" s="1"/>
  <c r="D48" i="95"/>
  <c r="L48" i="95" s="1"/>
  <c r="B48" i="95"/>
  <c r="Z47" i="95"/>
  <c r="X47" i="95"/>
  <c r="N47" i="95"/>
  <c r="L47" i="95"/>
  <c r="B47" i="95"/>
  <c r="Z46" i="95"/>
  <c r="X46" i="95"/>
  <c r="N46" i="95"/>
  <c r="L46" i="95"/>
  <c r="B46" i="95"/>
  <c r="T45" i="95"/>
  <c r="R45" i="95"/>
  <c r="P45" i="95"/>
  <c r="N45" i="95"/>
  <c r="L45" i="95"/>
  <c r="H45" i="95"/>
  <c r="D45" i="95"/>
  <c r="B45" i="95"/>
  <c r="X44" i="95"/>
  <c r="Z44" i="95" s="1"/>
  <c r="V44" i="95"/>
  <c r="R44" i="95"/>
  <c r="L44" i="95"/>
  <c r="N44" i="95" s="1"/>
  <c r="B44" i="95"/>
  <c r="T43" i="95"/>
  <c r="P43" i="95"/>
  <c r="H43" i="95"/>
  <c r="L43" i="95" s="1"/>
  <c r="N43" i="95" s="1"/>
  <c r="D43" i="95"/>
  <c r="B43" i="95"/>
  <c r="Z42" i="95"/>
  <c r="X42" i="95"/>
  <c r="R42" i="95"/>
  <c r="N42" i="95"/>
  <c r="L42" i="95"/>
  <c r="B42" i="95"/>
  <c r="T41" i="95"/>
  <c r="Z41" i="95" s="1"/>
  <c r="P41" i="95"/>
  <c r="X41" i="95" s="1"/>
  <c r="L41" i="95"/>
  <c r="N41" i="95" s="1"/>
  <c r="H41" i="95"/>
  <c r="D41" i="95"/>
  <c r="B41" i="95"/>
  <c r="X40" i="95"/>
  <c r="Z40" i="95" s="1"/>
  <c r="L40" i="95"/>
  <c r="N40" i="95" s="1"/>
  <c r="J40" i="95"/>
  <c r="B40" i="95"/>
  <c r="X39" i="95"/>
  <c r="Z39" i="95" s="1"/>
  <c r="T39" i="95"/>
  <c r="P39" i="95"/>
  <c r="H39" i="95"/>
  <c r="D39" i="95"/>
  <c r="B39" i="95"/>
  <c r="Z38" i="95"/>
  <c r="X38" i="95"/>
  <c r="N38" i="95"/>
  <c r="L38" i="95"/>
  <c r="B38" i="95"/>
  <c r="Z37" i="95"/>
  <c r="X37" i="95"/>
  <c r="N37" i="95"/>
  <c r="L37" i="95"/>
  <c r="B37" i="95"/>
  <c r="X36" i="95"/>
  <c r="Z36" i="95" s="1"/>
  <c r="V36" i="95"/>
  <c r="R36" i="95"/>
  <c r="N36" i="95"/>
  <c r="L36" i="95"/>
  <c r="B36" i="95"/>
  <c r="Z35" i="95"/>
  <c r="X35" i="95"/>
  <c r="L35" i="95"/>
  <c r="N35" i="95" s="1"/>
  <c r="B35" i="95"/>
  <c r="Z34" i="95"/>
  <c r="X34" i="95"/>
  <c r="N34" i="95"/>
  <c r="L34" i="95"/>
  <c r="B34" i="95"/>
  <c r="Z33" i="95"/>
  <c r="X33" i="95"/>
  <c r="N33" i="95"/>
  <c r="L33" i="95"/>
  <c r="B33" i="95"/>
  <c r="T32" i="95"/>
  <c r="P32" i="95"/>
  <c r="H32" i="95"/>
  <c r="D32" i="95"/>
  <c r="L32" i="95" s="1"/>
  <c r="N32" i="95" s="1"/>
  <c r="B32" i="95"/>
  <c r="X31" i="95"/>
  <c r="Z31" i="95" s="1"/>
  <c r="V31" i="95"/>
  <c r="N31" i="95"/>
  <c r="L31" i="95"/>
  <c r="B31" i="95"/>
  <c r="Z30" i="95"/>
  <c r="X30" i="95"/>
  <c r="R30" i="95"/>
  <c r="N30" i="95"/>
  <c r="L30" i="95"/>
  <c r="B30" i="95"/>
  <c r="Z29" i="95"/>
  <c r="X29" i="95"/>
  <c r="N29" i="95"/>
  <c r="L29" i="95"/>
  <c r="F29" i="95"/>
  <c r="B29" i="95"/>
  <c r="X28" i="95"/>
  <c r="Z28" i="95" s="1"/>
  <c r="N28" i="95"/>
  <c r="L28" i="95"/>
  <c r="B28" i="95"/>
  <c r="X27" i="95"/>
  <c r="Z27" i="95" s="1"/>
  <c r="V27" i="95"/>
  <c r="L27" i="95"/>
  <c r="N27" i="95" s="1"/>
  <c r="B27" i="95"/>
  <c r="Z26" i="95"/>
  <c r="X26" i="95"/>
  <c r="R26" i="95"/>
  <c r="N26" i="95"/>
  <c r="L26" i="95"/>
  <c r="B26" i="95"/>
  <c r="Z25" i="95"/>
  <c r="X25" i="95"/>
  <c r="N25" i="95"/>
  <c r="L25" i="95"/>
  <c r="F25" i="95"/>
  <c r="B25" i="95"/>
  <c r="X24" i="95"/>
  <c r="Z24" i="95" s="1"/>
  <c r="V24" i="95"/>
  <c r="L24" i="95"/>
  <c r="N24" i="95" s="1"/>
  <c r="B24" i="95"/>
  <c r="X23" i="95"/>
  <c r="Z23" i="95" s="1"/>
  <c r="V23" i="95"/>
  <c r="T23" i="95"/>
  <c r="P23" i="95"/>
  <c r="H23" i="95"/>
  <c r="D23" i="95"/>
  <c r="L23" i="95" s="1"/>
  <c r="B23" i="95"/>
  <c r="T22" i="95"/>
  <c r="P22" i="95"/>
  <c r="X22" i="95" s="1"/>
  <c r="Z22" i="95" s="1"/>
  <c r="H22" i="95"/>
  <c r="N22" i="95" s="1"/>
  <c r="D22" i="95"/>
  <c r="L22" i="95" s="1"/>
  <c r="T20" i="95"/>
  <c r="Z18" i="95"/>
  <c r="X18" i="95"/>
  <c r="N18" i="95"/>
  <c r="L18" i="95"/>
  <c r="B18" i="95"/>
  <c r="Z17" i="95"/>
  <c r="X17" i="95"/>
  <c r="V17" i="95"/>
  <c r="R17" i="95"/>
  <c r="N17" i="95"/>
  <c r="L17" i="95"/>
  <c r="B17" i="95"/>
  <c r="T16" i="95"/>
  <c r="Z16" i="95" s="1"/>
  <c r="P16" i="95"/>
  <c r="X16" i="95" s="1"/>
  <c r="N16" i="95"/>
  <c r="L16" i="95"/>
  <c r="H16" i="95"/>
  <c r="D16" i="95"/>
  <c r="X14" i="95"/>
  <c r="T14" i="95"/>
  <c r="Z14" i="95" s="1"/>
  <c r="P14" i="95"/>
  <c r="L14" i="95"/>
  <c r="H14" i="95"/>
  <c r="D14" i="95"/>
  <c r="D12" i="95" s="1"/>
  <c r="F65" i="95" s="1"/>
  <c r="B14" i="95"/>
  <c r="Z13" i="95"/>
  <c r="X13" i="95"/>
  <c r="T13" i="95"/>
  <c r="P13" i="95"/>
  <c r="H13" i="95"/>
  <c r="H12" i="95" s="1"/>
  <c r="D13" i="95"/>
  <c r="B13" i="95"/>
  <c r="X12" i="95"/>
  <c r="Z12" i="95" s="1"/>
  <c r="T12" i="95"/>
  <c r="V91" i="95" s="1"/>
  <c r="P12" i="95"/>
  <c r="R91" i="95" s="1"/>
  <c r="D6" i="95"/>
  <c r="D4" i="95"/>
  <c r="X79" i="94"/>
  <c r="Z79" i="94" s="1"/>
  <c r="L79" i="94"/>
  <c r="N79" i="94" s="1"/>
  <c r="T75" i="94"/>
  <c r="Z75" i="94" s="1"/>
  <c r="P75" i="94"/>
  <c r="X75" i="94" s="1"/>
  <c r="N75" i="94"/>
  <c r="L75" i="94"/>
  <c r="H75" i="94"/>
  <c r="D75" i="94"/>
  <c r="X73" i="94"/>
  <c r="Z73" i="94" s="1"/>
  <c r="N73" i="94"/>
  <c r="L73" i="94"/>
  <c r="B73" i="94"/>
  <c r="Z72" i="94"/>
  <c r="X72" i="94"/>
  <c r="T72" i="94"/>
  <c r="P72" i="94"/>
  <c r="H72" i="94"/>
  <c r="N72" i="94" s="1"/>
  <c r="D72" i="94"/>
  <c r="L72" i="94" s="1"/>
  <c r="B72" i="94"/>
  <c r="Z71" i="94"/>
  <c r="X71" i="94"/>
  <c r="L71" i="94"/>
  <c r="N71" i="94" s="1"/>
  <c r="B71" i="94"/>
  <c r="T70" i="94"/>
  <c r="X70" i="94" s="1"/>
  <c r="Z70" i="94" s="1"/>
  <c r="P70" i="94"/>
  <c r="H70" i="94"/>
  <c r="D70" i="94"/>
  <c r="L70" i="94" s="1"/>
  <c r="N70" i="94" s="1"/>
  <c r="B70" i="94"/>
  <c r="X69" i="94"/>
  <c r="Z69" i="94" s="1"/>
  <c r="N69" i="94"/>
  <c r="L69" i="94"/>
  <c r="B69" i="94"/>
  <c r="X68" i="94"/>
  <c r="Z68" i="94" s="1"/>
  <c r="N68" i="94"/>
  <c r="L68" i="94"/>
  <c r="B68" i="94"/>
  <c r="Z67" i="94"/>
  <c r="X67" i="94"/>
  <c r="N67" i="94"/>
  <c r="L67" i="94"/>
  <c r="B67" i="94"/>
  <c r="Z66" i="94"/>
  <c r="X66" i="94"/>
  <c r="N66" i="94"/>
  <c r="L66" i="94"/>
  <c r="B66" i="94"/>
  <c r="X65" i="94"/>
  <c r="Z65" i="94" s="1"/>
  <c r="N65" i="94"/>
  <c r="L65" i="94"/>
  <c r="B65" i="94"/>
  <c r="Z64" i="94"/>
  <c r="X64" i="94"/>
  <c r="N64" i="94"/>
  <c r="L64" i="94"/>
  <c r="B64" i="94"/>
  <c r="X63" i="94"/>
  <c r="Z63" i="94" s="1"/>
  <c r="L63" i="94"/>
  <c r="N63" i="94" s="1"/>
  <c r="B63" i="94"/>
  <c r="T62" i="94"/>
  <c r="P62" i="94"/>
  <c r="X62" i="94" s="1"/>
  <c r="L62" i="94"/>
  <c r="N62" i="94" s="1"/>
  <c r="H62" i="94"/>
  <c r="D62" i="94"/>
  <c r="B62" i="94"/>
  <c r="X61" i="94"/>
  <c r="Z61" i="94" s="1"/>
  <c r="N61" i="94"/>
  <c r="L61" i="94"/>
  <c r="B61" i="94"/>
  <c r="Z60" i="94"/>
  <c r="X60" i="94"/>
  <c r="T60" i="94"/>
  <c r="P60" i="94"/>
  <c r="H60" i="94"/>
  <c r="N60" i="94" s="1"/>
  <c r="D60" i="94"/>
  <c r="B60" i="94"/>
  <c r="Z59" i="94"/>
  <c r="X59" i="94"/>
  <c r="L59" i="94"/>
  <c r="N59" i="94" s="1"/>
  <c r="B59" i="94"/>
  <c r="Z58" i="94"/>
  <c r="T58" i="94"/>
  <c r="X58" i="94" s="1"/>
  <c r="P58" i="94"/>
  <c r="H58" i="94"/>
  <c r="D58" i="94"/>
  <c r="L58" i="94" s="1"/>
  <c r="N58" i="94" s="1"/>
  <c r="B58" i="94"/>
  <c r="X57" i="94"/>
  <c r="Z57" i="94" s="1"/>
  <c r="N57" i="94"/>
  <c r="L57" i="94"/>
  <c r="B57" i="94"/>
  <c r="X56" i="94"/>
  <c r="Z56" i="94" s="1"/>
  <c r="T56" i="94"/>
  <c r="P56" i="94"/>
  <c r="H56" i="94"/>
  <c r="N56" i="94" s="1"/>
  <c r="D56" i="94"/>
  <c r="L56" i="94" s="1"/>
  <c r="B56" i="94"/>
  <c r="X55" i="94"/>
  <c r="Z55" i="94" s="1"/>
  <c r="N55" i="94"/>
  <c r="L55" i="94"/>
  <c r="B55" i="94"/>
  <c r="Z54" i="94"/>
  <c r="X54" i="94"/>
  <c r="N54" i="94"/>
  <c r="L54" i="94"/>
  <c r="B54" i="94"/>
  <c r="T53" i="94"/>
  <c r="P53" i="94"/>
  <c r="X53" i="94" s="1"/>
  <c r="N53" i="94"/>
  <c r="L53" i="94"/>
  <c r="H53" i="94"/>
  <c r="D53" i="94"/>
  <c r="B53" i="94"/>
  <c r="Z52" i="94"/>
  <c r="X52" i="94"/>
  <c r="N52" i="94"/>
  <c r="L52" i="94"/>
  <c r="B52" i="94"/>
  <c r="T51" i="94"/>
  <c r="Z51" i="94" s="1"/>
  <c r="P51" i="94"/>
  <c r="X51" i="94" s="1"/>
  <c r="H51" i="94"/>
  <c r="N51" i="94" s="1"/>
  <c r="D51" i="94"/>
  <c r="B51" i="94"/>
  <c r="Z50" i="94"/>
  <c r="X50" i="94"/>
  <c r="N50" i="94"/>
  <c r="L50" i="94"/>
  <c r="B50" i="94"/>
  <c r="X49" i="94"/>
  <c r="Z49" i="94" s="1"/>
  <c r="T49" i="94"/>
  <c r="P49" i="94"/>
  <c r="H49" i="94"/>
  <c r="D49" i="94"/>
  <c r="B49" i="94"/>
  <c r="Z48" i="94"/>
  <c r="X48" i="94"/>
  <c r="N48" i="94"/>
  <c r="L48" i="94"/>
  <c r="B48" i="94"/>
  <c r="X47" i="94"/>
  <c r="Z47" i="94" s="1"/>
  <c r="T47" i="94"/>
  <c r="P47" i="94"/>
  <c r="H47" i="94"/>
  <c r="D47" i="94"/>
  <c r="L47" i="94" s="1"/>
  <c r="B47" i="94"/>
  <c r="Z46" i="94"/>
  <c r="X46" i="94"/>
  <c r="N46" i="94"/>
  <c r="L46" i="94"/>
  <c r="B46" i="94"/>
  <c r="T45" i="94"/>
  <c r="P45" i="94"/>
  <c r="X45" i="94" s="1"/>
  <c r="H45" i="94"/>
  <c r="D45" i="94"/>
  <c r="L45" i="94" s="1"/>
  <c r="B45" i="94"/>
  <c r="X44" i="94"/>
  <c r="Z44" i="94" s="1"/>
  <c r="N44" i="94"/>
  <c r="L44" i="94"/>
  <c r="B44" i="94"/>
  <c r="T43" i="94"/>
  <c r="P43" i="94"/>
  <c r="X43" i="94" s="1"/>
  <c r="L43" i="94"/>
  <c r="N43" i="94" s="1"/>
  <c r="H43" i="94"/>
  <c r="D43" i="94"/>
  <c r="B43" i="94"/>
  <c r="Z42" i="94"/>
  <c r="X42" i="94"/>
  <c r="N42" i="94"/>
  <c r="L42" i="94"/>
  <c r="B42" i="94"/>
  <c r="T41" i="94"/>
  <c r="P41" i="94"/>
  <c r="X41" i="94" s="1"/>
  <c r="L41" i="94"/>
  <c r="H41" i="94"/>
  <c r="N41" i="94" s="1"/>
  <c r="D41" i="94"/>
  <c r="B41" i="94"/>
  <c r="Z40" i="94"/>
  <c r="X40" i="94"/>
  <c r="N40" i="94"/>
  <c r="L40" i="94"/>
  <c r="B40" i="94"/>
  <c r="T39" i="94"/>
  <c r="P39" i="94"/>
  <c r="H39" i="94"/>
  <c r="D39" i="94"/>
  <c r="B39" i="94"/>
  <c r="Z38" i="94"/>
  <c r="X38" i="94"/>
  <c r="N38" i="94"/>
  <c r="L38" i="94"/>
  <c r="B38" i="94"/>
  <c r="X37" i="94"/>
  <c r="Z37" i="94" s="1"/>
  <c r="L37" i="94"/>
  <c r="N37" i="94" s="1"/>
  <c r="B37" i="94"/>
  <c r="Z36" i="94"/>
  <c r="X36" i="94"/>
  <c r="N36" i="94"/>
  <c r="L36" i="94"/>
  <c r="B36" i="94"/>
  <c r="X35" i="94"/>
  <c r="Z35" i="94" s="1"/>
  <c r="L35" i="94"/>
  <c r="N35" i="94" s="1"/>
  <c r="B35" i="94"/>
  <c r="Z34" i="94"/>
  <c r="X34" i="94"/>
  <c r="N34" i="94"/>
  <c r="L34" i="94"/>
  <c r="B34" i="94"/>
  <c r="X33" i="94"/>
  <c r="Z33" i="94" s="1"/>
  <c r="N33" i="94"/>
  <c r="L33" i="94"/>
  <c r="B33" i="94"/>
  <c r="Z32" i="94"/>
  <c r="X32" i="94"/>
  <c r="T32" i="94"/>
  <c r="P32" i="94"/>
  <c r="H32" i="94"/>
  <c r="D32" i="94"/>
  <c r="L32" i="94" s="1"/>
  <c r="B32" i="94"/>
  <c r="X31" i="94"/>
  <c r="Z31" i="94" s="1"/>
  <c r="N31" i="94"/>
  <c r="L31" i="94"/>
  <c r="B31" i="94"/>
  <c r="Z30" i="94"/>
  <c r="X30" i="94"/>
  <c r="N30" i="94"/>
  <c r="L30" i="94"/>
  <c r="B30" i="94"/>
  <c r="X29" i="94"/>
  <c r="Z29" i="94" s="1"/>
  <c r="L29" i="94"/>
  <c r="N29" i="94" s="1"/>
  <c r="B29" i="94"/>
  <c r="X28" i="94"/>
  <c r="Z28" i="94" s="1"/>
  <c r="N28" i="94"/>
  <c r="L28" i="94"/>
  <c r="B28" i="94"/>
  <c r="Z27" i="94"/>
  <c r="X27" i="94"/>
  <c r="N27" i="94"/>
  <c r="L27" i="94"/>
  <c r="B27" i="94"/>
  <c r="Z26" i="94"/>
  <c r="X26" i="94"/>
  <c r="N26" i="94"/>
  <c r="L26" i="94"/>
  <c r="B26" i="94"/>
  <c r="X25" i="94"/>
  <c r="Z25" i="94" s="1"/>
  <c r="L25" i="94"/>
  <c r="N25" i="94" s="1"/>
  <c r="B25" i="94"/>
  <c r="Z24" i="94"/>
  <c r="X24" i="94"/>
  <c r="N24" i="94"/>
  <c r="L24" i="94"/>
  <c r="B24" i="94"/>
  <c r="X23" i="94"/>
  <c r="T23" i="94"/>
  <c r="Z23" i="94" s="1"/>
  <c r="P23" i="94"/>
  <c r="L23" i="94"/>
  <c r="H23" i="94"/>
  <c r="N23" i="94" s="1"/>
  <c r="D23" i="94"/>
  <c r="B23" i="94"/>
  <c r="T22" i="94"/>
  <c r="X22" i="94" s="1"/>
  <c r="P22" i="94"/>
  <c r="H22" i="94"/>
  <c r="D22" i="94"/>
  <c r="X18" i="94"/>
  <c r="Z18" i="94" s="1"/>
  <c r="N18" i="94"/>
  <c r="L18" i="94"/>
  <c r="B18" i="94"/>
  <c r="Z17" i="94"/>
  <c r="X17" i="94"/>
  <c r="L17" i="94"/>
  <c r="N17" i="94" s="1"/>
  <c r="B17" i="94"/>
  <c r="Z16" i="94"/>
  <c r="T16" i="94"/>
  <c r="P16" i="94"/>
  <c r="X16" i="94" s="1"/>
  <c r="L16" i="94"/>
  <c r="H16" i="94"/>
  <c r="N16" i="94" s="1"/>
  <c r="D16" i="94"/>
  <c r="T14" i="94"/>
  <c r="P14" i="94"/>
  <c r="H14" i="94"/>
  <c r="N14" i="94" s="1"/>
  <c r="D14" i="94"/>
  <c r="L14" i="94" s="1"/>
  <c r="B14" i="94"/>
  <c r="Z13" i="94"/>
  <c r="T13" i="94"/>
  <c r="P13" i="94"/>
  <c r="X13" i="94" s="1"/>
  <c r="H13" i="94"/>
  <c r="N13" i="94" s="1"/>
  <c r="D13" i="94"/>
  <c r="B13" i="94"/>
  <c r="D6" i="94"/>
  <c r="D4" i="94"/>
  <c r="Z77" i="93"/>
  <c r="X77" i="93"/>
  <c r="L77" i="93"/>
  <c r="N77" i="93" s="1"/>
  <c r="T73" i="93"/>
  <c r="X73" i="93" s="1"/>
  <c r="P73" i="93"/>
  <c r="H73" i="93"/>
  <c r="D73" i="93"/>
  <c r="L73" i="93" s="1"/>
  <c r="B73" i="93"/>
  <c r="P72" i="93"/>
  <c r="D72" i="93"/>
  <c r="Z70" i="93"/>
  <c r="X70" i="93"/>
  <c r="N70" i="93"/>
  <c r="L70" i="93"/>
  <c r="B70" i="93"/>
  <c r="T69" i="93"/>
  <c r="Z69" i="93" s="1"/>
  <c r="P69" i="93"/>
  <c r="X69" i="93" s="1"/>
  <c r="N69" i="93"/>
  <c r="H69" i="93"/>
  <c r="F69" i="93"/>
  <c r="D69" i="93"/>
  <c r="L69" i="93" s="1"/>
  <c r="B69" i="93"/>
  <c r="Z68" i="93"/>
  <c r="X68" i="93"/>
  <c r="N68" i="93"/>
  <c r="L68" i="93"/>
  <c r="B68" i="93"/>
  <c r="Z67" i="93"/>
  <c r="X67" i="93"/>
  <c r="T67" i="93"/>
  <c r="P67" i="93"/>
  <c r="L67" i="93"/>
  <c r="H67" i="93"/>
  <c r="N67" i="93" s="1"/>
  <c r="D67" i="93"/>
  <c r="B67" i="93"/>
  <c r="Z66" i="93"/>
  <c r="X66" i="93"/>
  <c r="N66" i="93"/>
  <c r="L66" i="93"/>
  <c r="B66" i="93"/>
  <c r="T65" i="93"/>
  <c r="P65" i="93"/>
  <c r="H65" i="93"/>
  <c r="L65" i="93" s="1"/>
  <c r="D65" i="93"/>
  <c r="B65" i="93"/>
  <c r="X64" i="93"/>
  <c r="Z64" i="93" s="1"/>
  <c r="V64" i="93"/>
  <c r="N64" i="93"/>
  <c r="L64" i="93"/>
  <c r="B64" i="93"/>
  <c r="Z63" i="93"/>
  <c r="X63" i="93"/>
  <c r="N63" i="93"/>
  <c r="L63" i="93"/>
  <c r="B63" i="93"/>
  <c r="Z62" i="93"/>
  <c r="X62" i="93"/>
  <c r="N62" i="93"/>
  <c r="L62" i="93"/>
  <c r="B62" i="93"/>
  <c r="X61" i="93"/>
  <c r="Z61" i="93" s="1"/>
  <c r="N61" i="93"/>
  <c r="L61" i="93"/>
  <c r="B61" i="93"/>
  <c r="X60" i="93"/>
  <c r="Z60" i="93" s="1"/>
  <c r="V60" i="93"/>
  <c r="N60" i="93"/>
  <c r="L60" i="93"/>
  <c r="B60" i="93"/>
  <c r="Z59" i="93"/>
  <c r="X59" i="93"/>
  <c r="L59" i="93"/>
  <c r="N59" i="93" s="1"/>
  <c r="B59" i="93"/>
  <c r="T58" i="93"/>
  <c r="P58" i="93"/>
  <c r="X58" i="93" s="1"/>
  <c r="Z58" i="93" s="1"/>
  <c r="L58" i="93"/>
  <c r="N58" i="93" s="1"/>
  <c r="H58" i="93"/>
  <c r="D58" i="93"/>
  <c r="B58" i="93"/>
  <c r="X57" i="93"/>
  <c r="Z57" i="93" s="1"/>
  <c r="N57" i="93"/>
  <c r="L57" i="93"/>
  <c r="B57" i="93"/>
  <c r="X56" i="93"/>
  <c r="Z56" i="93" s="1"/>
  <c r="N56" i="93"/>
  <c r="L56" i="93"/>
  <c r="B56" i="93"/>
  <c r="X55" i="93"/>
  <c r="Z55" i="93" s="1"/>
  <c r="T55" i="93"/>
  <c r="P55" i="93"/>
  <c r="L55" i="93"/>
  <c r="H55" i="93"/>
  <c r="N55" i="93" s="1"/>
  <c r="D55" i="93"/>
  <c r="B55" i="93"/>
  <c r="Z54" i="93"/>
  <c r="X54" i="93"/>
  <c r="N54" i="93"/>
  <c r="L54" i="93"/>
  <c r="B54" i="93"/>
  <c r="Z53" i="93"/>
  <c r="X53" i="93"/>
  <c r="V53" i="93"/>
  <c r="L53" i="93"/>
  <c r="N53" i="93" s="1"/>
  <c r="B53" i="93"/>
  <c r="Z52" i="93"/>
  <c r="X52" i="93"/>
  <c r="N52" i="93"/>
  <c r="L52" i="93"/>
  <c r="B52" i="93"/>
  <c r="T51" i="93"/>
  <c r="X51" i="93" s="1"/>
  <c r="P51" i="93"/>
  <c r="H51" i="93"/>
  <c r="D51" i="93"/>
  <c r="L51" i="93" s="1"/>
  <c r="B51" i="93"/>
  <c r="Z50" i="93"/>
  <c r="X50" i="93"/>
  <c r="N50" i="93"/>
  <c r="L50" i="93"/>
  <c r="F50" i="93"/>
  <c r="B50" i="93"/>
  <c r="T49" i="93"/>
  <c r="Z49" i="93" s="1"/>
  <c r="P49" i="93"/>
  <c r="X49" i="93" s="1"/>
  <c r="N49" i="93"/>
  <c r="H49" i="93"/>
  <c r="D49" i="93"/>
  <c r="L49" i="93" s="1"/>
  <c r="B49" i="93"/>
  <c r="X48" i="93"/>
  <c r="Z48" i="93" s="1"/>
  <c r="N48" i="93"/>
  <c r="L48" i="93"/>
  <c r="B48" i="93"/>
  <c r="X47" i="93"/>
  <c r="Z47" i="93" s="1"/>
  <c r="T47" i="93"/>
  <c r="P47" i="93"/>
  <c r="L47" i="93"/>
  <c r="H47" i="93"/>
  <c r="N47" i="93" s="1"/>
  <c r="D47" i="93"/>
  <c r="B47" i="93"/>
  <c r="Z46" i="93"/>
  <c r="X46" i="93"/>
  <c r="N46" i="93"/>
  <c r="L46" i="93"/>
  <c r="B46" i="93"/>
  <c r="V45" i="93"/>
  <c r="T45" i="93"/>
  <c r="P45" i="93"/>
  <c r="H45" i="93"/>
  <c r="L45" i="93" s="1"/>
  <c r="D45" i="93"/>
  <c r="B45" i="93"/>
  <c r="X44" i="93"/>
  <c r="Z44" i="93" s="1"/>
  <c r="V44" i="93"/>
  <c r="L44" i="93"/>
  <c r="N44" i="93" s="1"/>
  <c r="B44" i="93"/>
  <c r="T43" i="93"/>
  <c r="Z43" i="93" s="1"/>
  <c r="P43" i="93"/>
  <c r="X43" i="93" s="1"/>
  <c r="H43" i="93"/>
  <c r="N43" i="93" s="1"/>
  <c r="D43" i="93"/>
  <c r="L43" i="93" s="1"/>
  <c r="B43" i="93"/>
  <c r="X42" i="93"/>
  <c r="Z42" i="93" s="1"/>
  <c r="N42" i="93"/>
  <c r="L42" i="93"/>
  <c r="B42" i="93"/>
  <c r="X41" i="93"/>
  <c r="T41" i="93"/>
  <c r="Z41" i="93" s="1"/>
  <c r="P41" i="93"/>
  <c r="N41" i="93"/>
  <c r="L41" i="93"/>
  <c r="H41" i="93"/>
  <c r="D41" i="93"/>
  <c r="B41" i="93"/>
  <c r="Z40" i="93"/>
  <c r="X40" i="93"/>
  <c r="L40" i="93"/>
  <c r="N40" i="93" s="1"/>
  <c r="B40" i="93"/>
  <c r="T39" i="93"/>
  <c r="X39" i="93" s="1"/>
  <c r="P39" i="93"/>
  <c r="H39" i="93"/>
  <c r="D39" i="93"/>
  <c r="B39" i="93"/>
  <c r="Z38" i="93"/>
  <c r="X38" i="93"/>
  <c r="V38" i="93"/>
  <c r="N38" i="93"/>
  <c r="L38" i="93"/>
  <c r="F38" i="93"/>
  <c r="B38" i="93"/>
  <c r="X37" i="93"/>
  <c r="Z37" i="93" s="1"/>
  <c r="N37" i="93"/>
  <c r="L37" i="93"/>
  <c r="B37" i="93"/>
  <c r="X36" i="93"/>
  <c r="Z36" i="93" s="1"/>
  <c r="V36" i="93"/>
  <c r="N36" i="93"/>
  <c r="L36" i="93"/>
  <c r="B36" i="93"/>
  <c r="Z35" i="93"/>
  <c r="X35" i="93"/>
  <c r="V35" i="93"/>
  <c r="L35" i="93"/>
  <c r="N35" i="93" s="1"/>
  <c r="B35" i="93"/>
  <c r="Z34" i="93"/>
  <c r="X34" i="93"/>
  <c r="V34" i="93"/>
  <c r="N34" i="93"/>
  <c r="L34" i="93"/>
  <c r="B34" i="93"/>
  <c r="X33" i="93"/>
  <c r="Z33" i="93" s="1"/>
  <c r="L33" i="93"/>
  <c r="N33" i="93" s="1"/>
  <c r="B33" i="93"/>
  <c r="X32" i="93"/>
  <c r="Z32" i="93" s="1"/>
  <c r="V32" i="93"/>
  <c r="T32" i="93"/>
  <c r="P32" i="93"/>
  <c r="H32" i="93"/>
  <c r="D32" i="93"/>
  <c r="L32" i="93" s="1"/>
  <c r="N32" i="93" s="1"/>
  <c r="B32" i="93"/>
  <c r="Z31" i="93"/>
  <c r="X31" i="93"/>
  <c r="N31" i="93"/>
  <c r="L31" i="93"/>
  <c r="B31" i="93"/>
  <c r="X30" i="93"/>
  <c r="Z30" i="93" s="1"/>
  <c r="N30" i="93"/>
  <c r="L30" i="93"/>
  <c r="B30" i="93"/>
  <c r="X29" i="93"/>
  <c r="Z29" i="93" s="1"/>
  <c r="N29" i="93"/>
  <c r="L29" i="93"/>
  <c r="F29" i="93"/>
  <c r="B29" i="93"/>
  <c r="X28" i="93"/>
  <c r="Z28" i="93" s="1"/>
  <c r="N28" i="93"/>
  <c r="L28" i="93"/>
  <c r="B28" i="93"/>
  <c r="X27" i="93"/>
  <c r="Z27" i="93" s="1"/>
  <c r="N27" i="93"/>
  <c r="L27" i="93"/>
  <c r="B27" i="93"/>
  <c r="X26" i="93"/>
  <c r="Z26" i="93" s="1"/>
  <c r="N26" i="93"/>
  <c r="L26" i="93"/>
  <c r="B26" i="93"/>
  <c r="X25" i="93"/>
  <c r="Z25" i="93" s="1"/>
  <c r="N25" i="93"/>
  <c r="L25" i="93"/>
  <c r="B25" i="93"/>
  <c r="X24" i="93"/>
  <c r="Z24" i="93" s="1"/>
  <c r="N24" i="93"/>
  <c r="L24" i="93"/>
  <c r="B24" i="93"/>
  <c r="X23" i="93"/>
  <c r="Z23" i="93" s="1"/>
  <c r="T23" i="93"/>
  <c r="P23" i="93"/>
  <c r="L23" i="93"/>
  <c r="H23" i="93"/>
  <c r="N23" i="93" s="1"/>
  <c r="D23" i="93"/>
  <c r="B23" i="93"/>
  <c r="T22" i="93"/>
  <c r="P22" i="93"/>
  <c r="X22" i="93" s="1"/>
  <c r="Z22" i="93" s="1"/>
  <c r="H22" i="93"/>
  <c r="D22" i="93"/>
  <c r="L22" i="93" s="1"/>
  <c r="Z18" i="93"/>
  <c r="X18" i="93"/>
  <c r="N18" i="93"/>
  <c r="L18" i="93"/>
  <c r="B18" i="93"/>
  <c r="Z17" i="93"/>
  <c r="X17" i="93"/>
  <c r="V17" i="93"/>
  <c r="N17" i="93"/>
  <c r="L17" i="93"/>
  <c r="B17" i="93"/>
  <c r="T16" i="93"/>
  <c r="P16" i="93"/>
  <c r="X16" i="93" s="1"/>
  <c r="N16" i="93"/>
  <c r="H16" i="93"/>
  <c r="D16" i="93"/>
  <c r="L16" i="93" s="1"/>
  <c r="T14" i="93"/>
  <c r="P14" i="93"/>
  <c r="X14" i="93" s="1"/>
  <c r="Z14" i="93" s="1"/>
  <c r="L14" i="93"/>
  <c r="H14" i="93"/>
  <c r="N14" i="93" s="1"/>
  <c r="D14" i="93"/>
  <c r="B14" i="93"/>
  <c r="T13" i="93"/>
  <c r="P13" i="93"/>
  <c r="X13" i="93" s="1"/>
  <c r="Z13" i="93" s="1"/>
  <c r="H13" i="93"/>
  <c r="D13" i="93"/>
  <c r="D12" i="93" s="1"/>
  <c r="F57" i="93" s="1"/>
  <c r="B13" i="93"/>
  <c r="T12" i="93"/>
  <c r="V68" i="93" s="1"/>
  <c r="D6" i="93"/>
  <c r="D4" i="93"/>
  <c r="X82" i="92"/>
  <c r="Z82" i="92" s="1"/>
  <c r="L82" i="92"/>
  <c r="N82" i="92" s="1"/>
  <c r="T78" i="92"/>
  <c r="Z78" i="92" s="1"/>
  <c r="P78" i="92"/>
  <c r="N78" i="92"/>
  <c r="H78" i="92"/>
  <c r="D78" i="92"/>
  <c r="L78" i="92" s="1"/>
  <c r="Z76" i="92"/>
  <c r="X76" i="92"/>
  <c r="N76" i="92"/>
  <c r="L76" i="92"/>
  <c r="B76" i="92"/>
  <c r="T75" i="92"/>
  <c r="X75" i="92" s="1"/>
  <c r="P75" i="92"/>
  <c r="N75" i="92"/>
  <c r="H75" i="92"/>
  <c r="D75" i="92"/>
  <c r="L75" i="92" s="1"/>
  <c r="B75" i="92"/>
  <c r="Z74" i="92"/>
  <c r="X74" i="92"/>
  <c r="L74" i="92"/>
  <c r="N74" i="92" s="1"/>
  <c r="B74" i="92"/>
  <c r="T73" i="92"/>
  <c r="Z73" i="92" s="1"/>
  <c r="P73" i="92"/>
  <c r="X73" i="92" s="1"/>
  <c r="H73" i="92"/>
  <c r="D73" i="92"/>
  <c r="L73" i="92" s="1"/>
  <c r="B73" i="92"/>
  <c r="X72" i="92"/>
  <c r="Z72" i="92" s="1"/>
  <c r="N72" i="92"/>
  <c r="L72" i="92"/>
  <c r="B72" i="92"/>
  <c r="Z71" i="92"/>
  <c r="X71" i="92"/>
  <c r="N71" i="92"/>
  <c r="L71" i="92"/>
  <c r="B71" i="92"/>
  <c r="X70" i="92"/>
  <c r="Z70" i="92" s="1"/>
  <c r="N70" i="92"/>
  <c r="L70" i="92"/>
  <c r="B70" i="92"/>
  <c r="X69" i="92"/>
  <c r="Z69" i="92" s="1"/>
  <c r="N69" i="92"/>
  <c r="L69" i="92"/>
  <c r="B69" i="92"/>
  <c r="X68" i="92"/>
  <c r="Z68" i="92" s="1"/>
  <c r="N68" i="92"/>
  <c r="L68" i="92"/>
  <c r="B68" i="92"/>
  <c r="Z67" i="92"/>
  <c r="X67" i="92"/>
  <c r="N67" i="92"/>
  <c r="L67" i="92"/>
  <c r="B67" i="92"/>
  <c r="X66" i="92"/>
  <c r="Z66" i="92" s="1"/>
  <c r="N66" i="92"/>
  <c r="L66" i="92"/>
  <c r="B66" i="92"/>
  <c r="X65" i="92"/>
  <c r="Z65" i="92" s="1"/>
  <c r="N65" i="92"/>
  <c r="L65" i="92"/>
  <c r="B65" i="92"/>
  <c r="X64" i="92"/>
  <c r="Z64" i="92" s="1"/>
  <c r="T64" i="92"/>
  <c r="P64" i="92"/>
  <c r="H64" i="92"/>
  <c r="D64" i="92"/>
  <c r="B64" i="92"/>
  <c r="Z63" i="92"/>
  <c r="X63" i="92"/>
  <c r="N63" i="92"/>
  <c r="L63" i="92"/>
  <c r="B63" i="92"/>
  <c r="Z62" i="92"/>
  <c r="X62" i="92"/>
  <c r="N62" i="92"/>
  <c r="L62" i="92"/>
  <c r="B62" i="92"/>
  <c r="Z61" i="92"/>
  <c r="X61" i="92"/>
  <c r="L61" i="92"/>
  <c r="N61" i="92" s="1"/>
  <c r="B61" i="92"/>
  <c r="T60" i="92"/>
  <c r="P60" i="92"/>
  <c r="H60" i="92"/>
  <c r="D60" i="92"/>
  <c r="L60" i="92" s="1"/>
  <c r="N60" i="92" s="1"/>
  <c r="B60" i="92"/>
  <c r="Z59" i="92"/>
  <c r="X59" i="92"/>
  <c r="N59" i="92"/>
  <c r="L59" i="92"/>
  <c r="B59" i="92"/>
  <c r="T58" i="92"/>
  <c r="P58" i="92"/>
  <c r="X58" i="92" s="1"/>
  <c r="Z58" i="92" s="1"/>
  <c r="N58" i="92"/>
  <c r="H58" i="92"/>
  <c r="D58" i="92"/>
  <c r="L58" i="92" s="1"/>
  <c r="B58" i="92"/>
  <c r="X57" i="92"/>
  <c r="Z57" i="92" s="1"/>
  <c r="N57" i="92"/>
  <c r="L57" i="92"/>
  <c r="B57" i="92"/>
  <c r="X56" i="92"/>
  <c r="Z56" i="92" s="1"/>
  <c r="N56" i="92"/>
  <c r="L56" i="92"/>
  <c r="B56" i="92"/>
  <c r="Z55" i="92"/>
  <c r="X55" i="92"/>
  <c r="N55" i="92"/>
  <c r="L55" i="92"/>
  <c r="B55" i="92"/>
  <c r="T54" i="92"/>
  <c r="P54" i="92"/>
  <c r="L54" i="92"/>
  <c r="H54" i="92"/>
  <c r="D54" i="92"/>
  <c r="B54" i="92"/>
  <c r="Z53" i="92"/>
  <c r="X53" i="92"/>
  <c r="L53" i="92"/>
  <c r="N53" i="92" s="1"/>
  <c r="B53" i="92"/>
  <c r="T52" i="92"/>
  <c r="P52" i="92"/>
  <c r="H52" i="92"/>
  <c r="D52" i="92"/>
  <c r="L52" i="92" s="1"/>
  <c r="N52" i="92" s="1"/>
  <c r="B52" i="92"/>
  <c r="Z51" i="92"/>
  <c r="X51" i="92"/>
  <c r="L51" i="92"/>
  <c r="N51" i="92" s="1"/>
  <c r="B51" i="92"/>
  <c r="T50" i="92"/>
  <c r="P50" i="92"/>
  <c r="X50" i="92" s="1"/>
  <c r="Z50" i="92" s="1"/>
  <c r="H50" i="92"/>
  <c r="D50" i="92"/>
  <c r="L50" i="92" s="1"/>
  <c r="N50" i="92" s="1"/>
  <c r="B50" i="92"/>
  <c r="X49" i="92"/>
  <c r="Z49" i="92" s="1"/>
  <c r="N49" i="92"/>
  <c r="L49" i="92"/>
  <c r="B49" i="92"/>
  <c r="X48" i="92"/>
  <c r="T48" i="92"/>
  <c r="P48" i="92"/>
  <c r="L48" i="92"/>
  <c r="H48" i="92"/>
  <c r="D48" i="92"/>
  <c r="B48" i="92"/>
  <c r="Z47" i="92"/>
  <c r="X47" i="92"/>
  <c r="N47" i="92"/>
  <c r="L47" i="92"/>
  <c r="B47" i="92"/>
  <c r="T46" i="92"/>
  <c r="P46" i="92"/>
  <c r="X46" i="92" s="1"/>
  <c r="Z46" i="92" s="1"/>
  <c r="H46" i="92"/>
  <c r="D46" i="92"/>
  <c r="B46" i="92"/>
  <c r="Z45" i="92"/>
  <c r="X45" i="92"/>
  <c r="L45" i="92"/>
  <c r="N45" i="92" s="1"/>
  <c r="B45" i="92"/>
  <c r="X44" i="92"/>
  <c r="Z44" i="92" s="1"/>
  <c r="T44" i="92"/>
  <c r="P44" i="92"/>
  <c r="H44" i="92"/>
  <c r="D44" i="92"/>
  <c r="L44" i="92" s="1"/>
  <c r="N44" i="92" s="1"/>
  <c r="B44" i="92"/>
  <c r="Z43" i="92"/>
  <c r="X43" i="92"/>
  <c r="N43" i="92"/>
  <c r="L43" i="92"/>
  <c r="B43" i="92"/>
  <c r="X42" i="92"/>
  <c r="T42" i="92"/>
  <c r="P42" i="92"/>
  <c r="L42" i="92"/>
  <c r="H42" i="92"/>
  <c r="D42" i="92"/>
  <c r="B42" i="92"/>
  <c r="Z41" i="92"/>
  <c r="X41" i="92"/>
  <c r="N41" i="92"/>
  <c r="L41" i="92"/>
  <c r="B41" i="92"/>
  <c r="Z40" i="92"/>
  <c r="T40" i="92"/>
  <c r="P40" i="92"/>
  <c r="X40" i="92" s="1"/>
  <c r="H40" i="92"/>
  <c r="D40" i="92"/>
  <c r="L40" i="92" s="1"/>
  <c r="N40" i="92" s="1"/>
  <c r="B40" i="92"/>
  <c r="Z39" i="92"/>
  <c r="X39" i="92"/>
  <c r="N39" i="92"/>
  <c r="L39" i="92"/>
  <c r="B39" i="92"/>
  <c r="Z38" i="92"/>
  <c r="X38" i="92"/>
  <c r="L38" i="92"/>
  <c r="N38" i="92" s="1"/>
  <c r="B38" i="92"/>
  <c r="Z37" i="92"/>
  <c r="X37" i="92"/>
  <c r="L37" i="92"/>
  <c r="N37" i="92" s="1"/>
  <c r="B37" i="92"/>
  <c r="X36" i="92"/>
  <c r="Z36" i="92" s="1"/>
  <c r="L36" i="92"/>
  <c r="N36" i="92" s="1"/>
  <c r="B36" i="92"/>
  <c r="Z35" i="92"/>
  <c r="X35" i="92"/>
  <c r="N35" i="92"/>
  <c r="L35" i="92"/>
  <c r="B35" i="92"/>
  <c r="X34" i="92"/>
  <c r="Z34" i="92" s="1"/>
  <c r="L34" i="92"/>
  <c r="N34" i="92" s="1"/>
  <c r="B34" i="92"/>
  <c r="T33" i="92"/>
  <c r="P33" i="92"/>
  <c r="H33" i="92"/>
  <c r="D33" i="92"/>
  <c r="L33" i="92" s="1"/>
  <c r="B33" i="92"/>
  <c r="X32" i="92"/>
  <c r="Z32" i="92" s="1"/>
  <c r="L32" i="92"/>
  <c r="N32" i="92" s="1"/>
  <c r="B32" i="92"/>
  <c r="Z31" i="92"/>
  <c r="X31" i="92"/>
  <c r="N31" i="92"/>
  <c r="L31" i="92"/>
  <c r="B31" i="92"/>
  <c r="X30" i="92"/>
  <c r="Z30" i="92" s="1"/>
  <c r="L30" i="92"/>
  <c r="N30" i="92" s="1"/>
  <c r="B30" i="92"/>
  <c r="Z29" i="92"/>
  <c r="X29" i="92"/>
  <c r="N29" i="92"/>
  <c r="L29" i="92"/>
  <c r="B29" i="92"/>
  <c r="X28" i="92"/>
  <c r="Z28" i="92" s="1"/>
  <c r="N28" i="92"/>
  <c r="L28" i="92"/>
  <c r="B28" i="92"/>
  <c r="Z27" i="92"/>
  <c r="X27" i="92"/>
  <c r="N27" i="92"/>
  <c r="L27" i="92"/>
  <c r="B27" i="92"/>
  <c r="X26" i="92"/>
  <c r="Z26" i="92" s="1"/>
  <c r="N26" i="92"/>
  <c r="L26" i="92"/>
  <c r="B26" i="92"/>
  <c r="Z25" i="92"/>
  <c r="X25" i="92"/>
  <c r="L25" i="92"/>
  <c r="N25" i="92" s="1"/>
  <c r="B25" i="92"/>
  <c r="T24" i="92"/>
  <c r="Z24" i="92" s="1"/>
  <c r="P24" i="92"/>
  <c r="X24" i="92" s="1"/>
  <c r="H24" i="92"/>
  <c r="D24" i="92"/>
  <c r="B24" i="92"/>
  <c r="T23" i="92"/>
  <c r="X23" i="92" s="1"/>
  <c r="P23" i="92"/>
  <c r="H23" i="92"/>
  <c r="D23" i="92"/>
  <c r="Z19" i="92"/>
  <c r="X19" i="92"/>
  <c r="N19" i="92"/>
  <c r="L19" i="92"/>
  <c r="B19" i="92"/>
  <c r="Z18" i="92"/>
  <c r="X18" i="92"/>
  <c r="L18" i="92"/>
  <c r="N18" i="92" s="1"/>
  <c r="B18" i="92"/>
  <c r="T17" i="92"/>
  <c r="P17" i="92"/>
  <c r="X17" i="92" s="1"/>
  <c r="H17" i="92"/>
  <c r="D17" i="92"/>
  <c r="L17" i="92" s="1"/>
  <c r="T15" i="92"/>
  <c r="P15" i="92"/>
  <c r="N15" i="92"/>
  <c r="L15" i="92"/>
  <c r="H15" i="92"/>
  <c r="D15" i="92"/>
  <c r="B15" i="92"/>
  <c r="T14" i="92"/>
  <c r="P14" i="92"/>
  <c r="X14" i="92" s="1"/>
  <c r="Z14" i="92" s="1"/>
  <c r="L14" i="92"/>
  <c r="H14" i="92"/>
  <c r="D14" i="92"/>
  <c r="D12" i="92" s="1"/>
  <c r="B14" i="92"/>
  <c r="T13" i="92"/>
  <c r="P13" i="92"/>
  <c r="X13" i="92" s="1"/>
  <c r="H13" i="92"/>
  <c r="N13" i="92" s="1"/>
  <c r="D13" i="92"/>
  <c r="L13" i="92" s="1"/>
  <c r="B13" i="92"/>
  <c r="D6" i="92"/>
  <c r="D4" i="92"/>
  <c r="V104" i="91"/>
  <c r="V101" i="91"/>
  <c r="Z99" i="91"/>
  <c r="X99" i="91"/>
  <c r="V99" i="91"/>
  <c r="N99" i="91"/>
  <c r="L99" i="91"/>
  <c r="T95" i="91"/>
  <c r="P95" i="91"/>
  <c r="X95" i="91" s="1"/>
  <c r="Z95" i="91" s="1"/>
  <c r="N95" i="91"/>
  <c r="L95" i="91"/>
  <c r="H95" i="91"/>
  <c r="D95" i="91"/>
  <c r="B95" i="91"/>
  <c r="T94" i="91"/>
  <c r="P94" i="91"/>
  <c r="H94" i="91"/>
  <c r="D94" i="91"/>
  <c r="D93" i="91" s="1"/>
  <c r="L93" i="91" s="1"/>
  <c r="N93" i="91" s="1"/>
  <c r="B94" i="91"/>
  <c r="T93" i="91"/>
  <c r="H93" i="91"/>
  <c r="F93" i="91"/>
  <c r="X91" i="91"/>
  <c r="Z91" i="91" s="1"/>
  <c r="N91" i="91"/>
  <c r="L91" i="91"/>
  <c r="B91" i="91"/>
  <c r="X90" i="91"/>
  <c r="Z90" i="91" s="1"/>
  <c r="T90" i="91"/>
  <c r="P90" i="91"/>
  <c r="N90" i="91"/>
  <c r="L90" i="91"/>
  <c r="H90" i="91"/>
  <c r="D90" i="91"/>
  <c r="B90" i="91"/>
  <c r="Z89" i="91"/>
  <c r="X89" i="91"/>
  <c r="L89" i="91"/>
  <c r="N89" i="91" s="1"/>
  <c r="B89" i="91"/>
  <c r="Z88" i="91"/>
  <c r="X88" i="91"/>
  <c r="N88" i="91"/>
  <c r="L88" i="91"/>
  <c r="B88" i="91"/>
  <c r="Z87" i="91"/>
  <c r="X87" i="91"/>
  <c r="V87" i="91"/>
  <c r="N87" i="91"/>
  <c r="L87" i="91"/>
  <c r="B87" i="91"/>
  <c r="V86" i="91"/>
  <c r="T86" i="91"/>
  <c r="P86" i="91"/>
  <c r="H86" i="91"/>
  <c r="D86" i="91"/>
  <c r="L86" i="91" s="1"/>
  <c r="B86" i="91"/>
  <c r="X85" i="91"/>
  <c r="Z85" i="91" s="1"/>
  <c r="V85" i="91"/>
  <c r="N85" i="91"/>
  <c r="L85" i="91"/>
  <c r="B85" i="91"/>
  <c r="T84" i="91"/>
  <c r="P84" i="91"/>
  <c r="X84" i="91" s="1"/>
  <c r="Z84" i="91" s="1"/>
  <c r="N84" i="91"/>
  <c r="H84" i="91"/>
  <c r="D84" i="91"/>
  <c r="L84" i="91" s="1"/>
  <c r="B84" i="91"/>
  <c r="X83" i="91"/>
  <c r="Z83" i="91" s="1"/>
  <c r="N83" i="91"/>
  <c r="L83" i="91"/>
  <c r="B83" i="91"/>
  <c r="X82" i="91"/>
  <c r="Z82" i="91" s="1"/>
  <c r="T82" i="91"/>
  <c r="P82" i="91"/>
  <c r="L82" i="91"/>
  <c r="N82" i="91" s="1"/>
  <c r="H82" i="91"/>
  <c r="D82" i="91"/>
  <c r="B82" i="91"/>
  <c r="Z81" i="91"/>
  <c r="X81" i="91"/>
  <c r="N81" i="91"/>
  <c r="L81" i="91"/>
  <c r="B81" i="91"/>
  <c r="Z80" i="91"/>
  <c r="X80" i="91"/>
  <c r="R80" i="91"/>
  <c r="N80" i="91"/>
  <c r="L80" i="91"/>
  <c r="B80" i="91"/>
  <c r="Z79" i="91"/>
  <c r="X79" i="91"/>
  <c r="V79" i="91"/>
  <c r="N79" i="91"/>
  <c r="L79" i="91"/>
  <c r="B79" i="91"/>
  <c r="Z78" i="91"/>
  <c r="X78" i="91"/>
  <c r="V78" i="91"/>
  <c r="N78" i="91"/>
  <c r="L78" i="91"/>
  <c r="B78" i="91"/>
  <c r="Z77" i="91"/>
  <c r="X77" i="91"/>
  <c r="L77" i="91"/>
  <c r="N77" i="91" s="1"/>
  <c r="B77" i="91"/>
  <c r="Z76" i="91"/>
  <c r="X76" i="91"/>
  <c r="R76" i="91"/>
  <c r="N76" i="91"/>
  <c r="L76" i="91"/>
  <c r="B76" i="91"/>
  <c r="Z75" i="91"/>
  <c r="X75" i="91"/>
  <c r="V75" i="91"/>
  <c r="L75" i="91"/>
  <c r="N75" i="91" s="1"/>
  <c r="B75" i="91"/>
  <c r="Z74" i="91"/>
  <c r="X74" i="91"/>
  <c r="V74" i="91"/>
  <c r="N74" i="91"/>
  <c r="L74" i="91"/>
  <c r="B74" i="91"/>
  <c r="Z73" i="91"/>
  <c r="X73" i="91"/>
  <c r="N73" i="91"/>
  <c r="L73" i="91"/>
  <c r="B73" i="91"/>
  <c r="T72" i="91"/>
  <c r="P72" i="91"/>
  <c r="H72" i="91"/>
  <c r="D72" i="91"/>
  <c r="L72" i="91" s="1"/>
  <c r="B72" i="91"/>
  <c r="X71" i="91"/>
  <c r="Z71" i="91" s="1"/>
  <c r="V71" i="91"/>
  <c r="N71" i="91"/>
  <c r="L71" i="91"/>
  <c r="F71" i="91"/>
  <c r="B71" i="91"/>
  <c r="Z70" i="91"/>
  <c r="X70" i="91"/>
  <c r="N70" i="91"/>
  <c r="L70" i="91"/>
  <c r="B70" i="91"/>
  <c r="X69" i="91"/>
  <c r="V69" i="91"/>
  <c r="T69" i="91"/>
  <c r="Z69" i="91" s="1"/>
  <c r="P69" i="91"/>
  <c r="H69" i="91"/>
  <c r="N69" i="91" s="1"/>
  <c r="D69" i="91"/>
  <c r="L69" i="91" s="1"/>
  <c r="B69" i="91"/>
  <c r="X68" i="91"/>
  <c r="Z68" i="91" s="1"/>
  <c r="N68" i="91"/>
  <c r="L68" i="91"/>
  <c r="F68" i="91"/>
  <c r="B68" i="91"/>
  <c r="X67" i="91"/>
  <c r="Z67" i="91" s="1"/>
  <c r="N67" i="91"/>
  <c r="L67" i="91"/>
  <c r="J67" i="91"/>
  <c r="B67" i="91"/>
  <c r="X66" i="91"/>
  <c r="Z66" i="91" s="1"/>
  <c r="N66" i="91"/>
  <c r="L66" i="91"/>
  <c r="F66" i="91"/>
  <c r="B66" i="91"/>
  <c r="Z65" i="91"/>
  <c r="X65" i="91"/>
  <c r="N65" i="91"/>
  <c r="L65" i="91"/>
  <c r="F65" i="91"/>
  <c r="B65" i="91"/>
  <c r="X64" i="91"/>
  <c r="Z64" i="91" s="1"/>
  <c r="N64" i="91"/>
  <c r="L64" i="91"/>
  <c r="F64" i="91"/>
  <c r="B64" i="91"/>
  <c r="T63" i="91"/>
  <c r="P63" i="91"/>
  <c r="N63" i="91"/>
  <c r="H63" i="91"/>
  <c r="F63" i="91"/>
  <c r="D63" i="91"/>
  <c r="L63" i="91" s="1"/>
  <c r="B63" i="91"/>
  <c r="Z62" i="91"/>
  <c r="X62" i="91"/>
  <c r="V62" i="91"/>
  <c r="L62" i="91"/>
  <c r="N62" i="91" s="1"/>
  <c r="B62" i="91"/>
  <c r="Z61" i="91"/>
  <c r="X61" i="91"/>
  <c r="L61" i="91"/>
  <c r="N61" i="91" s="1"/>
  <c r="B61" i="91"/>
  <c r="Z60" i="91"/>
  <c r="X60" i="91"/>
  <c r="N60" i="91"/>
  <c r="L60" i="91"/>
  <c r="B60" i="91"/>
  <c r="Z59" i="91"/>
  <c r="X59" i="91"/>
  <c r="V59" i="91"/>
  <c r="N59" i="91"/>
  <c r="L59" i="91"/>
  <c r="B59" i="91"/>
  <c r="V58" i="91"/>
  <c r="T58" i="91"/>
  <c r="P58" i="91"/>
  <c r="X58" i="91" s="1"/>
  <c r="Z58" i="91" s="1"/>
  <c r="H58" i="91"/>
  <c r="D58" i="91"/>
  <c r="L58" i="91" s="1"/>
  <c r="B58" i="91"/>
  <c r="Z57" i="91"/>
  <c r="X57" i="91"/>
  <c r="V57" i="91"/>
  <c r="N57" i="91"/>
  <c r="L57" i="91"/>
  <c r="F57" i="91"/>
  <c r="B57" i="91"/>
  <c r="Z56" i="91"/>
  <c r="V56" i="91"/>
  <c r="T56" i="91"/>
  <c r="R56" i="91"/>
  <c r="P56" i="91"/>
  <c r="X56" i="91" s="1"/>
  <c r="N56" i="91"/>
  <c r="L56" i="91"/>
  <c r="H56" i="91"/>
  <c r="F56" i="91"/>
  <c r="D56" i="91"/>
  <c r="B56" i="91"/>
  <c r="X55" i="91"/>
  <c r="Z55" i="91" s="1"/>
  <c r="N55" i="91"/>
  <c r="L55" i="91"/>
  <c r="J55" i="91"/>
  <c r="B55" i="91"/>
  <c r="X54" i="91"/>
  <c r="Z54" i="91" s="1"/>
  <c r="T54" i="91"/>
  <c r="P54" i="91"/>
  <c r="L54" i="91"/>
  <c r="H54" i="91"/>
  <c r="N54" i="91" s="1"/>
  <c r="D54" i="91"/>
  <c r="B54" i="91"/>
  <c r="Z53" i="91"/>
  <c r="X53" i="91"/>
  <c r="R53" i="91"/>
  <c r="N53" i="91"/>
  <c r="L53" i="91"/>
  <c r="B53" i="91"/>
  <c r="V52" i="91"/>
  <c r="T52" i="91"/>
  <c r="P52" i="91"/>
  <c r="H52" i="91"/>
  <c r="N52" i="91" s="1"/>
  <c r="F52" i="91"/>
  <c r="D52" i="91"/>
  <c r="L52" i="91" s="1"/>
  <c r="B52" i="91"/>
  <c r="X51" i="91"/>
  <c r="Z51" i="91" s="1"/>
  <c r="V51" i="91"/>
  <c r="N51" i="91"/>
  <c r="L51" i="91"/>
  <c r="F51" i="91"/>
  <c r="B51" i="91"/>
  <c r="T50" i="91"/>
  <c r="P50" i="91"/>
  <c r="X50" i="91" s="1"/>
  <c r="Z50" i="91" s="1"/>
  <c r="N50" i="91"/>
  <c r="H50" i="91"/>
  <c r="F50" i="91"/>
  <c r="D50" i="91"/>
  <c r="L50" i="91" s="1"/>
  <c r="B50" i="91"/>
  <c r="Z49" i="91"/>
  <c r="X49" i="91"/>
  <c r="N49" i="91"/>
  <c r="L49" i="91"/>
  <c r="F49" i="91"/>
  <c r="B49" i="91"/>
  <c r="Z48" i="91"/>
  <c r="X48" i="91"/>
  <c r="V48" i="91"/>
  <c r="T48" i="91"/>
  <c r="P48" i="91"/>
  <c r="L48" i="91"/>
  <c r="N48" i="91" s="1"/>
  <c r="H48" i="91"/>
  <c r="F48" i="91"/>
  <c r="D48" i="91"/>
  <c r="B48" i="91"/>
  <c r="Z47" i="91"/>
  <c r="X47" i="91"/>
  <c r="V47" i="91"/>
  <c r="L47" i="91"/>
  <c r="N47" i="91" s="1"/>
  <c r="F47" i="91"/>
  <c r="B47" i="91"/>
  <c r="V46" i="91"/>
  <c r="T46" i="91"/>
  <c r="P46" i="91"/>
  <c r="H46" i="91"/>
  <c r="F46" i="91"/>
  <c r="D46" i="91"/>
  <c r="L46" i="91" s="1"/>
  <c r="B46" i="91"/>
  <c r="X45" i="91"/>
  <c r="Z45" i="91" s="1"/>
  <c r="V45" i="91"/>
  <c r="N45" i="91"/>
  <c r="L45" i="91"/>
  <c r="F45" i="91"/>
  <c r="B45" i="91"/>
  <c r="V44" i="91"/>
  <c r="T44" i="91"/>
  <c r="P44" i="91"/>
  <c r="X44" i="91" s="1"/>
  <c r="N44" i="91"/>
  <c r="L44" i="91"/>
  <c r="H44" i="91"/>
  <c r="F44" i="91"/>
  <c r="D44" i="91"/>
  <c r="B44" i="91"/>
  <c r="X43" i="91"/>
  <c r="Z43" i="91" s="1"/>
  <c r="V43" i="91"/>
  <c r="N43" i="91"/>
  <c r="L43" i="91"/>
  <c r="B43" i="91"/>
  <c r="X42" i="91"/>
  <c r="Z42" i="91" s="1"/>
  <c r="V42" i="91"/>
  <c r="N42" i="91"/>
  <c r="L42" i="91"/>
  <c r="F42" i="91"/>
  <c r="B42" i="91"/>
  <c r="Z41" i="91"/>
  <c r="X41" i="91"/>
  <c r="N41" i="91"/>
  <c r="L41" i="91"/>
  <c r="F41" i="91"/>
  <c r="B41" i="91"/>
  <c r="Z40" i="91"/>
  <c r="V40" i="91"/>
  <c r="T40" i="91"/>
  <c r="X40" i="91" s="1"/>
  <c r="P40" i="91"/>
  <c r="L40" i="91"/>
  <c r="N40" i="91" s="1"/>
  <c r="H40" i="91"/>
  <c r="F40" i="91"/>
  <c r="D40" i="91"/>
  <c r="B40" i="91"/>
  <c r="Z39" i="91"/>
  <c r="X39" i="91"/>
  <c r="V39" i="91"/>
  <c r="N39" i="91"/>
  <c r="L39" i="91"/>
  <c r="F39" i="91"/>
  <c r="B39" i="91"/>
  <c r="Z38" i="91"/>
  <c r="V38" i="91"/>
  <c r="T38" i="91"/>
  <c r="P38" i="91"/>
  <c r="X38" i="91" s="1"/>
  <c r="H38" i="91"/>
  <c r="N38" i="91" s="1"/>
  <c r="F38" i="91"/>
  <c r="D38" i="91"/>
  <c r="L38" i="91" s="1"/>
  <c r="B38" i="91"/>
  <c r="X37" i="91"/>
  <c r="Z37" i="91" s="1"/>
  <c r="V37" i="91"/>
  <c r="N37" i="91"/>
  <c r="L37" i="91"/>
  <c r="F37" i="91"/>
  <c r="B37" i="91"/>
  <c r="V36" i="91"/>
  <c r="T36" i="91"/>
  <c r="R36" i="91"/>
  <c r="P36" i="91"/>
  <c r="X36" i="91" s="1"/>
  <c r="L36" i="91"/>
  <c r="N36" i="91" s="1"/>
  <c r="H36" i="91"/>
  <c r="F36" i="91"/>
  <c r="D36" i="91"/>
  <c r="B36" i="91"/>
  <c r="X35" i="91"/>
  <c r="Z35" i="91" s="1"/>
  <c r="V35" i="91"/>
  <c r="N35" i="91"/>
  <c r="L35" i="91"/>
  <c r="B35" i="91"/>
  <c r="X34" i="91"/>
  <c r="Z34" i="91" s="1"/>
  <c r="V34" i="91"/>
  <c r="L34" i="91"/>
  <c r="N34" i="91" s="1"/>
  <c r="F34" i="91"/>
  <c r="B34" i="91"/>
  <c r="Z33" i="91"/>
  <c r="X33" i="91"/>
  <c r="R33" i="91"/>
  <c r="N33" i="91"/>
  <c r="L33" i="91"/>
  <c r="F33" i="91"/>
  <c r="B33" i="91"/>
  <c r="X32" i="91"/>
  <c r="Z32" i="91" s="1"/>
  <c r="V32" i="91"/>
  <c r="N32" i="91"/>
  <c r="L32" i="91"/>
  <c r="F32" i="91"/>
  <c r="B32" i="91"/>
  <c r="X31" i="91"/>
  <c r="Z31" i="91" s="1"/>
  <c r="V31" i="91"/>
  <c r="N31" i="91"/>
  <c r="L31" i="91"/>
  <c r="B31" i="91"/>
  <c r="X30" i="91"/>
  <c r="Z30" i="91" s="1"/>
  <c r="V30" i="91"/>
  <c r="L30" i="91"/>
  <c r="N30" i="91" s="1"/>
  <c r="F30" i="91"/>
  <c r="B30" i="91"/>
  <c r="T29" i="91"/>
  <c r="Z29" i="91" s="1"/>
  <c r="P29" i="91"/>
  <c r="X29" i="91" s="1"/>
  <c r="H29" i="91"/>
  <c r="F29" i="91"/>
  <c r="D29" i="91"/>
  <c r="L29" i="91" s="1"/>
  <c r="B29" i="91"/>
  <c r="Z28" i="91"/>
  <c r="X28" i="91"/>
  <c r="V28" i="91"/>
  <c r="N28" i="91"/>
  <c r="L28" i="91"/>
  <c r="F28" i="91"/>
  <c r="B28" i="91"/>
  <c r="Z27" i="91"/>
  <c r="X27" i="91"/>
  <c r="V27" i="91"/>
  <c r="L27" i="91"/>
  <c r="N27" i="91" s="1"/>
  <c r="F27" i="91"/>
  <c r="B27" i="91"/>
  <c r="Z26" i="91"/>
  <c r="X26" i="91"/>
  <c r="V26" i="91"/>
  <c r="L26" i="91"/>
  <c r="N26" i="91" s="1"/>
  <c r="B26" i="91"/>
  <c r="X25" i="91"/>
  <c r="Z25" i="91" s="1"/>
  <c r="L25" i="91"/>
  <c r="N25" i="91" s="1"/>
  <c r="F25" i="91"/>
  <c r="B25" i="91"/>
  <c r="Z24" i="91"/>
  <c r="X24" i="91"/>
  <c r="V24" i="91"/>
  <c r="R24" i="91"/>
  <c r="N24" i="91"/>
  <c r="L24" i="91"/>
  <c r="F24" i="91"/>
  <c r="B24" i="91"/>
  <c r="Z23" i="91"/>
  <c r="X23" i="91"/>
  <c r="V23" i="91"/>
  <c r="L23" i="91"/>
  <c r="N23" i="91" s="1"/>
  <c r="F23" i="91"/>
  <c r="B23" i="91"/>
  <c r="X22" i="91"/>
  <c r="Z22" i="91" s="1"/>
  <c r="V22" i="91"/>
  <c r="L22" i="91"/>
  <c r="N22" i="91" s="1"/>
  <c r="B22" i="91"/>
  <c r="X21" i="91"/>
  <c r="Z21" i="91" s="1"/>
  <c r="N21" i="91"/>
  <c r="L21" i="91"/>
  <c r="F21" i="91"/>
  <c r="B21" i="91"/>
  <c r="Z20" i="91"/>
  <c r="X20" i="91"/>
  <c r="V20" i="91"/>
  <c r="N20" i="91"/>
  <c r="L20" i="91"/>
  <c r="F20" i="91"/>
  <c r="B20" i="91"/>
  <c r="X19" i="91"/>
  <c r="Z19" i="91" s="1"/>
  <c r="V19" i="91"/>
  <c r="T19" i="91"/>
  <c r="P19" i="91"/>
  <c r="H19" i="91"/>
  <c r="F19" i="91"/>
  <c r="D19" i="91"/>
  <c r="L19" i="91" s="1"/>
  <c r="N19" i="91" s="1"/>
  <c r="B19" i="91"/>
  <c r="T18" i="91"/>
  <c r="P18" i="91"/>
  <c r="H18" i="91"/>
  <c r="F18" i="91"/>
  <c r="D18" i="91"/>
  <c r="L18" i="91" s="1"/>
  <c r="T16" i="91"/>
  <c r="F16" i="91"/>
  <c r="D16" i="91"/>
  <c r="T14" i="91"/>
  <c r="Z14" i="91" s="1"/>
  <c r="R14" i="91"/>
  <c r="P14" i="91"/>
  <c r="X14" i="91" s="1"/>
  <c r="H14" i="91"/>
  <c r="N14" i="91" s="1"/>
  <c r="F14" i="91"/>
  <c r="D14" i="91"/>
  <c r="Z12" i="91"/>
  <c r="T12" i="91"/>
  <c r="V65" i="91" s="1"/>
  <c r="P12" i="91"/>
  <c r="R93" i="91" s="1"/>
  <c r="L12" i="91"/>
  <c r="H12" i="91"/>
  <c r="J50" i="91" s="1"/>
  <c r="D12" i="91"/>
  <c r="F97" i="91" s="1"/>
  <c r="D6" i="91"/>
  <c r="D4" i="91"/>
  <c r="Z79" i="88"/>
  <c r="X79" i="88"/>
  <c r="L79" i="88"/>
  <c r="N79" i="88" s="1"/>
  <c r="T75" i="88"/>
  <c r="R75" i="88"/>
  <c r="P75" i="88"/>
  <c r="H75" i="88"/>
  <c r="N75" i="88" s="1"/>
  <c r="D75" i="88"/>
  <c r="L75" i="88" s="1"/>
  <c r="Z73" i="88"/>
  <c r="X73" i="88"/>
  <c r="R73" i="88"/>
  <c r="N73" i="88"/>
  <c r="L73" i="88"/>
  <c r="B73" i="88"/>
  <c r="X72" i="88"/>
  <c r="Z72" i="88" s="1"/>
  <c r="N72" i="88"/>
  <c r="L72" i="88"/>
  <c r="B72" i="88"/>
  <c r="T71" i="88"/>
  <c r="P71" i="88"/>
  <c r="X71" i="88" s="1"/>
  <c r="H71" i="88"/>
  <c r="D71" i="88"/>
  <c r="B71" i="88"/>
  <c r="Z70" i="88"/>
  <c r="X70" i="88"/>
  <c r="N70" i="88"/>
  <c r="L70" i="88"/>
  <c r="B70" i="88"/>
  <c r="Z69" i="88"/>
  <c r="T69" i="88"/>
  <c r="X69" i="88" s="1"/>
  <c r="P69" i="88"/>
  <c r="H69" i="88"/>
  <c r="N69" i="88" s="1"/>
  <c r="D69" i="88"/>
  <c r="L69" i="88" s="1"/>
  <c r="B69" i="88"/>
  <c r="Z68" i="88"/>
  <c r="X68" i="88"/>
  <c r="L68" i="88"/>
  <c r="N68" i="88" s="1"/>
  <c r="B68" i="88"/>
  <c r="X67" i="88"/>
  <c r="Z67" i="88" s="1"/>
  <c r="T67" i="88"/>
  <c r="P67" i="88"/>
  <c r="H67" i="88"/>
  <c r="N67" i="88" s="1"/>
  <c r="D67" i="88"/>
  <c r="L67" i="88" s="1"/>
  <c r="B67" i="88"/>
  <c r="X66" i="88"/>
  <c r="Z66" i="88" s="1"/>
  <c r="N66" i="88"/>
  <c r="L66" i="88"/>
  <c r="B66" i="88"/>
  <c r="X65" i="88"/>
  <c r="Z65" i="88" s="1"/>
  <c r="R65" i="88"/>
  <c r="N65" i="88"/>
  <c r="L65" i="88"/>
  <c r="B65" i="88"/>
  <c r="X64" i="88"/>
  <c r="Z64" i="88" s="1"/>
  <c r="N64" i="88"/>
  <c r="L64" i="88"/>
  <c r="B64" i="88"/>
  <c r="X63" i="88"/>
  <c r="Z63" i="88" s="1"/>
  <c r="N63" i="88"/>
  <c r="L63" i="88"/>
  <c r="B63" i="88"/>
  <c r="X62" i="88"/>
  <c r="Z62" i="88" s="1"/>
  <c r="N62" i="88"/>
  <c r="L62" i="88"/>
  <c r="B62" i="88"/>
  <c r="X61" i="88"/>
  <c r="Z61" i="88" s="1"/>
  <c r="R61" i="88"/>
  <c r="N61" i="88"/>
  <c r="L61" i="88"/>
  <c r="B61" i="88"/>
  <c r="X60" i="88"/>
  <c r="Z60" i="88" s="1"/>
  <c r="T60" i="88"/>
  <c r="R60" i="88"/>
  <c r="P60" i="88"/>
  <c r="N60" i="88"/>
  <c r="L60" i="88"/>
  <c r="H60" i="88"/>
  <c r="D60" i="88"/>
  <c r="B60" i="88"/>
  <c r="X59" i="88"/>
  <c r="Z59" i="88" s="1"/>
  <c r="R59" i="88"/>
  <c r="N59" i="88"/>
  <c r="L59" i="88"/>
  <c r="B59" i="88"/>
  <c r="Z58" i="88"/>
  <c r="X58" i="88"/>
  <c r="N58" i="88"/>
  <c r="L58" i="88"/>
  <c r="B58" i="88"/>
  <c r="Z57" i="88"/>
  <c r="T57" i="88"/>
  <c r="X57" i="88" s="1"/>
  <c r="P57" i="88"/>
  <c r="H57" i="88"/>
  <c r="N57" i="88" s="1"/>
  <c r="D57" i="88"/>
  <c r="L57" i="88" s="1"/>
  <c r="B57" i="88"/>
  <c r="X56" i="88"/>
  <c r="Z56" i="88" s="1"/>
  <c r="N56" i="88"/>
  <c r="L56" i="88"/>
  <c r="B56" i="88"/>
  <c r="X55" i="88"/>
  <c r="Z55" i="88" s="1"/>
  <c r="L55" i="88"/>
  <c r="N55" i="88" s="1"/>
  <c r="B55" i="88"/>
  <c r="Z54" i="88"/>
  <c r="X54" i="88"/>
  <c r="N54" i="88"/>
  <c r="L54" i="88"/>
  <c r="B54" i="88"/>
  <c r="T53" i="88"/>
  <c r="Z53" i="88" s="1"/>
  <c r="P53" i="88"/>
  <c r="X53" i="88" s="1"/>
  <c r="L53" i="88"/>
  <c r="N53" i="88" s="1"/>
  <c r="H53" i="88"/>
  <c r="D53" i="88"/>
  <c r="B53" i="88"/>
  <c r="X52" i="88"/>
  <c r="Z52" i="88" s="1"/>
  <c r="N52" i="88"/>
  <c r="L52" i="88"/>
  <c r="B52" i="88"/>
  <c r="T51" i="88"/>
  <c r="P51" i="88"/>
  <c r="X51" i="88" s="1"/>
  <c r="Z51" i="88" s="1"/>
  <c r="H51" i="88"/>
  <c r="F51" i="88"/>
  <c r="D51" i="88"/>
  <c r="B51" i="88"/>
  <c r="Z50" i="88"/>
  <c r="X50" i="88"/>
  <c r="N50" i="88"/>
  <c r="L50" i="88"/>
  <c r="B50" i="88"/>
  <c r="Z49" i="88"/>
  <c r="T49" i="88"/>
  <c r="X49" i="88" s="1"/>
  <c r="P49" i="88"/>
  <c r="H49" i="88"/>
  <c r="N49" i="88" s="1"/>
  <c r="D49" i="88"/>
  <c r="L49" i="88" s="1"/>
  <c r="B49" i="88"/>
  <c r="Z48" i="88"/>
  <c r="X48" i="88"/>
  <c r="L48" i="88"/>
  <c r="N48" i="88" s="1"/>
  <c r="B48" i="88"/>
  <c r="X47" i="88"/>
  <c r="Z47" i="88" s="1"/>
  <c r="T47" i="88"/>
  <c r="P47" i="88"/>
  <c r="H47" i="88"/>
  <c r="D47" i="88"/>
  <c r="L47" i="88" s="1"/>
  <c r="B47" i="88"/>
  <c r="Z46" i="88"/>
  <c r="X46" i="88"/>
  <c r="N46" i="88"/>
  <c r="L46" i="88"/>
  <c r="B46" i="88"/>
  <c r="T45" i="88"/>
  <c r="R45" i="88"/>
  <c r="P45" i="88"/>
  <c r="H45" i="88"/>
  <c r="D45" i="88"/>
  <c r="L45" i="88" s="1"/>
  <c r="N45" i="88" s="1"/>
  <c r="B45" i="88"/>
  <c r="Z44" i="88"/>
  <c r="X44" i="88"/>
  <c r="R44" i="88"/>
  <c r="N44" i="88"/>
  <c r="L44" i="88"/>
  <c r="B44" i="88"/>
  <c r="T43" i="88"/>
  <c r="P43" i="88"/>
  <c r="X43" i="88" s="1"/>
  <c r="N43" i="88"/>
  <c r="H43" i="88"/>
  <c r="L43" i="88" s="1"/>
  <c r="D43" i="88"/>
  <c r="B43" i="88"/>
  <c r="Z42" i="88"/>
  <c r="X42" i="88"/>
  <c r="N42" i="88"/>
  <c r="L42" i="88"/>
  <c r="B42" i="88"/>
  <c r="T41" i="88"/>
  <c r="Z41" i="88" s="1"/>
  <c r="P41" i="88"/>
  <c r="X41" i="88" s="1"/>
  <c r="L41" i="88"/>
  <c r="N41" i="88" s="1"/>
  <c r="H41" i="88"/>
  <c r="D41" i="88"/>
  <c r="B41" i="88"/>
  <c r="X40" i="88"/>
  <c r="Z40" i="88" s="1"/>
  <c r="N40" i="88"/>
  <c r="L40" i="88"/>
  <c r="B40" i="88"/>
  <c r="T39" i="88"/>
  <c r="R39" i="88"/>
  <c r="P39" i="88"/>
  <c r="X39" i="88" s="1"/>
  <c r="Z39" i="88" s="1"/>
  <c r="H39" i="88"/>
  <c r="F39" i="88"/>
  <c r="D39" i="88"/>
  <c r="B39" i="88"/>
  <c r="Z38" i="88"/>
  <c r="X38" i="88"/>
  <c r="R38" i="88"/>
  <c r="N38" i="88"/>
  <c r="L38" i="88"/>
  <c r="B38" i="88"/>
  <c r="Z37" i="88"/>
  <c r="X37" i="88"/>
  <c r="N37" i="88"/>
  <c r="L37" i="88"/>
  <c r="B37" i="88"/>
  <c r="Z36" i="88"/>
  <c r="X36" i="88"/>
  <c r="R36" i="88"/>
  <c r="N36" i="88"/>
  <c r="L36" i="88"/>
  <c r="B36" i="88"/>
  <c r="Z35" i="88"/>
  <c r="X35" i="88"/>
  <c r="R35" i="88"/>
  <c r="L35" i="88"/>
  <c r="N35" i="88" s="1"/>
  <c r="B35" i="88"/>
  <c r="Z34" i="88"/>
  <c r="X34" i="88"/>
  <c r="R34" i="88"/>
  <c r="N34" i="88"/>
  <c r="L34" i="88"/>
  <c r="B34" i="88"/>
  <c r="Z33" i="88"/>
  <c r="X33" i="88"/>
  <c r="L33" i="88"/>
  <c r="N33" i="88" s="1"/>
  <c r="B33" i="88"/>
  <c r="T32" i="88"/>
  <c r="P32" i="88"/>
  <c r="H32" i="88"/>
  <c r="L32" i="88" s="1"/>
  <c r="D32" i="88"/>
  <c r="B32" i="88"/>
  <c r="X31" i="88"/>
  <c r="Z31" i="88" s="1"/>
  <c r="L31" i="88"/>
  <c r="N31" i="88" s="1"/>
  <c r="B31" i="88"/>
  <c r="Z30" i="88"/>
  <c r="X30" i="88"/>
  <c r="N30" i="88"/>
  <c r="L30" i="88"/>
  <c r="B30" i="88"/>
  <c r="X29" i="88"/>
  <c r="Z29" i="88" s="1"/>
  <c r="R29" i="88"/>
  <c r="L29" i="88"/>
  <c r="N29" i="88" s="1"/>
  <c r="B29" i="88"/>
  <c r="Z28" i="88"/>
  <c r="X28" i="88"/>
  <c r="N28" i="88"/>
  <c r="L28" i="88"/>
  <c r="B28" i="88"/>
  <c r="X27" i="88"/>
  <c r="Z27" i="88" s="1"/>
  <c r="L27" i="88"/>
  <c r="N27" i="88" s="1"/>
  <c r="B27" i="88"/>
  <c r="Z26" i="88"/>
  <c r="X26" i="88"/>
  <c r="L26" i="88"/>
  <c r="N26" i="88" s="1"/>
  <c r="B26" i="88"/>
  <c r="X25" i="88"/>
  <c r="Z25" i="88" s="1"/>
  <c r="R25" i="88"/>
  <c r="L25" i="88"/>
  <c r="N25" i="88" s="1"/>
  <c r="F25" i="88"/>
  <c r="B25" i="88"/>
  <c r="Z24" i="88"/>
  <c r="X24" i="88"/>
  <c r="L24" i="88"/>
  <c r="N24" i="88" s="1"/>
  <c r="B24" i="88"/>
  <c r="X23" i="88"/>
  <c r="Z23" i="88" s="1"/>
  <c r="T23" i="88"/>
  <c r="P23" i="88"/>
  <c r="H23" i="88"/>
  <c r="D23" i="88"/>
  <c r="L23" i="88" s="1"/>
  <c r="B23" i="88"/>
  <c r="T22" i="88"/>
  <c r="P22" i="88"/>
  <c r="X22" i="88" s="1"/>
  <c r="Z22" i="88" s="1"/>
  <c r="H22" i="88"/>
  <c r="D22" i="88"/>
  <c r="X18" i="88"/>
  <c r="Z18" i="88" s="1"/>
  <c r="N18" i="88"/>
  <c r="L18" i="88"/>
  <c r="B18" i="88"/>
  <c r="X17" i="88"/>
  <c r="Z17" i="88" s="1"/>
  <c r="R17" i="88"/>
  <c r="N17" i="88"/>
  <c r="L17" i="88"/>
  <c r="B17" i="88"/>
  <c r="T16" i="88"/>
  <c r="R16" i="88"/>
  <c r="P16" i="88"/>
  <c r="X16" i="88" s="1"/>
  <c r="Z16" i="88" s="1"/>
  <c r="L16" i="88"/>
  <c r="N16" i="88" s="1"/>
  <c r="H16" i="88"/>
  <c r="D16" i="88"/>
  <c r="X14" i="88"/>
  <c r="T14" i="88"/>
  <c r="Z14" i="88" s="1"/>
  <c r="P14" i="88"/>
  <c r="H14" i="88"/>
  <c r="D14" i="88"/>
  <c r="B14" i="88"/>
  <c r="X13" i="88"/>
  <c r="Z13" i="88" s="1"/>
  <c r="T13" i="88"/>
  <c r="P13" i="88"/>
  <c r="N13" i="88"/>
  <c r="H13" i="88"/>
  <c r="D13" i="88"/>
  <c r="D12" i="88" s="1"/>
  <c r="B13" i="88"/>
  <c r="P12" i="88"/>
  <c r="D6" i="88"/>
  <c r="D4" i="88"/>
  <c r="Z88" i="87"/>
  <c r="X88" i="87"/>
  <c r="L88" i="87"/>
  <c r="N88" i="87" s="1"/>
  <c r="T84" i="87"/>
  <c r="Z84" i="87" s="1"/>
  <c r="P84" i="87"/>
  <c r="X84" i="87" s="1"/>
  <c r="N84" i="87"/>
  <c r="L84" i="87"/>
  <c r="H84" i="87"/>
  <c r="D84" i="87"/>
  <c r="X82" i="87"/>
  <c r="Z82" i="87" s="1"/>
  <c r="N82" i="87"/>
  <c r="L82" i="87"/>
  <c r="B82" i="87"/>
  <c r="T81" i="87"/>
  <c r="P81" i="87"/>
  <c r="X81" i="87" s="1"/>
  <c r="Z81" i="87" s="1"/>
  <c r="H81" i="87"/>
  <c r="F81" i="87"/>
  <c r="D81" i="87"/>
  <c r="B81" i="87"/>
  <c r="Z80" i="87"/>
  <c r="X80" i="87"/>
  <c r="N80" i="87"/>
  <c r="L80" i="87"/>
  <c r="B80" i="87"/>
  <c r="T79" i="87"/>
  <c r="X79" i="87" s="1"/>
  <c r="Z79" i="87" s="1"/>
  <c r="P79" i="87"/>
  <c r="H79" i="87"/>
  <c r="N79" i="87" s="1"/>
  <c r="D79" i="87"/>
  <c r="L79" i="87" s="1"/>
  <c r="B79" i="87"/>
  <c r="X78" i="87"/>
  <c r="Z78" i="87" s="1"/>
  <c r="N78" i="87"/>
  <c r="L78" i="87"/>
  <c r="B78" i="87"/>
  <c r="X77" i="87"/>
  <c r="Z77" i="87" s="1"/>
  <c r="T77" i="87"/>
  <c r="P77" i="87"/>
  <c r="H77" i="87"/>
  <c r="N77" i="87" s="1"/>
  <c r="D77" i="87"/>
  <c r="L77" i="87" s="1"/>
  <c r="B77" i="87"/>
  <c r="Z76" i="87"/>
  <c r="X76" i="87"/>
  <c r="N76" i="87"/>
  <c r="L76" i="87"/>
  <c r="B76" i="87"/>
  <c r="T75" i="87"/>
  <c r="P75" i="87"/>
  <c r="H75" i="87"/>
  <c r="D75" i="87"/>
  <c r="L75" i="87" s="1"/>
  <c r="N75" i="87" s="1"/>
  <c r="B75" i="87"/>
  <c r="Z74" i="87"/>
  <c r="X74" i="87"/>
  <c r="N74" i="87"/>
  <c r="L74" i="87"/>
  <c r="B74" i="87"/>
  <c r="Z73" i="87"/>
  <c r="X73" i="87"/>
  <c r="L73" i="87"/>
  <c r="N73" i="87" s="1"/>
  <c r="B73" i="87"/>
  <c r="Z72" i="87"/>
  <c r="X72" i="87"/>
  <c r="N72" i="87"/>
  <c r="L72" i="87"/>
  <c r="B72" i="87"/>
  <c r="Z71" i="87"/>
  <c r="X71" i="87"/>
  <c r="L71" i="87"/>
  <c r="N71" i="87" s="1"/>
  <c r="B71" i="87"/>
  <c r="Z70" i="87"/>
  <c r="X70" i="87"/>
  <c r="R70" i="87"/>
  <c r="L70" i="87"/>
  <c r="N70" i="87" s="1"/>
  <c r="B70" i="87"/>
  <c r="Z69" i="87"/>
  <c r="X69" i="87"/>
  <c r="L69" i="87"/>
  <c r="N69" i="87" s="1"/>
  <c r="B69" i="87"/>
  <c r="Z68" i="87"/>
  <c r="X68" i="87"/>
  <c r="N68" i="87"/>
  <c r="L68" i="87"/>
  <c r="B68" i="87"/>
  <c r="Z67" i="87"/>
  <c r="T67" i="87"/>
  <c r="X67" i="87" s="1"/>
  <c r="P67" i="87"/>
  <c r="H67" i="87"/>
  <c r="N67" i="87" s="1"/>
  <c r="D67" i="87"/>
  <c r="L67" i="87" s="1"/>
  <c r="B67" i="87"/>
  <c r="X66" i="87"/>
  <c r="Z66" i="87" s="1"/>
  <c r="N66" i="87"/>
  <c r="L66" i="87"/>
  <c r="B66" i="87"/>
  <c r="Z65" i="87"/>
  <c r="X65" i="87"/>
  <c r="V65" i="87"/>
  <c r="N65" i="87"/>
  <c r="L65" i="87"/>
  <c r="B65" i="87"/>
  <c r="T64" i="87"/>
  <c r="P64" i="87"/>
  <c r="X64" i="87" s="1"/>
  <c r="N64" i="87"/>
  <c r="H64" i="87"/>
  <c r="D64" i="87"/>
  <c r="L64" i="87" s="1"/>
  <c r="B64" i="87"/>
  <c r="X63" i="87"/>
  <c r="Z63" i="87" s="1"/>
  <c r="R63" i="87"/>
  <c r="N63" i="87"/>
  <c r="L63" i="87"/>
  <c r="B63" i="87"/>
  <c r="X62" i="87"/>
  <c r="Z62" i="87" s="1"/>
  <c r="N62" i="87"/>
  <c r="L62" i="87"/>
  <c r="B62" i="87"/>
  <c r="X61" i="87"/>
  <c r="Z61" i="87" s="1"/>
  <c r="N61" i="87"/>
  <c r="L61" i="87"/>
  <c r="B61" i="87"/>
  <c r="X60" i="87"/>
  <c r="Z60" i="87" s="1"/>
  <c r="T60" i="87"/>
  <c r="P60" i="87"/>
  <c r="H60" i="87"/>
  <c r="N60" i="87" s="1"/>
  <c r="D60" i="87"/>
  <c r="L60" i="87" s="1"/>
  <c r="B60" i="87"/>
  <c r="Z59" i="87"/>
  <c r="X59" i="87"/>
  <c r="L59" i="87"/>
  <c r="N59" i="87" s="1"/>
  <c r="B59" i="87"/>
  <c r="T58" i="87"/>
  <c r="P58" i="87"/>
  <c r="H58" i="87"/>
  <c r="N58" i="87" s="1"/>
  <c r="D58" i="87"/>
  <c r="L58" i="87" s="1"/>
  <c r="B58" i="87"/>
  <c r="X57" i="87"/>
  <c r="Z57" i="87" s="1"/>
  <c r="V57" i="87"/>
  <c r="L57" i="87"/>
  <c r="N57" i="87" s="1"/>
  <c r="B57" i="87"/>
  <c r="Z56" i="87"/>
  <c r="X56" i="87"/>
  <c r="N56" i="87"/>
  <c r="L56" i="87"/>
  <c r="B56" i="87"/>
  <c r="T55" i="87"/>
  <c r="Z55" i="87" s="1"/>
  <c r="P55" i="87"/>
  <c r="X55" i="87" s="1"/>
  <c r="L55" i="87"/>
  <c r="N55" i="87" s="1"/>
  <c r="H55" i="87"/>
  <c r="D55" i="87"/>
  <c r="B55" i="87"/>
  <c r="X54" i="87"/>
  <c r="Z54" i="87" s="1"/>
  <c r="N54" i="87"/>
  <c r="L54" i="87"/>
  <c r="B54" i="87"/>
  <c r="T53" i="87"/>
  <c r="P53" i="87"/>
  <c r="X53" i="87" s="1"/>
  <c r="Z53" i="87" s="1"/>
  <c r="H53" i="87"/>
  <c r="D53" i="87"/>
  <c r="B53" i="87"/>
  <c r="Z52" i="87"/>
  <c r="X52" i="87"/>
  <c r="N52" i="87"/>
  <c r="L52" i="87"/>
  <c r="B52" i="87"/>
  <c r="Z51" i="87"/>
  <c r="T51" i="87"/>
  <c r="X51" i="87" s="1"/>
  <c r="P51" i="87"/>
  <c r="H51" i="87"/>
  <c r="D51" i="87"/>
  <c r="L51" i="87" s="1"/>
  <c r="B51" i="87"/>
  <c r="X50" i="87"/>
  <c r="Z50" i="87" s="1"/>
  <c r="L50" i="87"/>
  <c r="N50" i="87" s="1"/>
  <c r="B50" i="87"/>
  <c r="X49" i="87"/>
  <c r="Z49" i="87" s="1"/>
  <c r="T49" i="87"/>
  <c r="P49" i="87"/>
  <c r="H49" i="87"/>
  <c r="D49" i="87"/>
  <c r="L49" i="87" s="1"/>
  <c r="B49" i="87"/>
  <c r="Z48" i="87"/>
  <c r="X48" i="87"/>
  <c r="N48" i="87"/>
  <c r="L48" i="87"/>
  <c r="B48" i="87"/>
  <c r="T47" i="87"/>
  <c r="P47" i="87"/>
  <c r="N47" i="87"/>
  <c r="H47" i="87"/>
  <c r="D47" i="87"/>
  <c r="L47" i="87" s="1"/>
  <c r="B47" i="87"/>
  <c r="Z46" i="87"/>
  <c r="X46" i="87"/>
  <c r="R46" i="87"/>
  <c r="L46" i="87"/>
  <c r="N46" i="87" s="1"/>
  <c r="B46" i="87"/>
  <c r="Z45" i="87"/>
  <c r="X45" i="87"/>
  <c r="L45" i="87"/>
  <c r="N45" i="87" s="1"/>
  <c r="B45" i="87"/>
  <c r="T44" i="87"/>
  <c r="Z44" i="87" s="1"/>
  <c r="P44" i="87"/>
  <c r="X44" i="87" s="1"/>
  <c r="H44" i="87"/>
  <c r="D44" i="87"/>
  <c r="B44" i="87"/>
  <c r="X43" i="87"/>
  <c r="Z43" i="87" s="1"/>
  <c r="L43" i="87"/>
  <c r="N43" i="87" s="1"/>
  <c r="B43" i="87"/>
  <c r="T42" i="87"/>
  <c r="P42" i="87"/>
  <c r="X42" i="87" s="1"/>
  <c r="Z42" i="87" s="1"/>
  <c r="H42" i="87"/>
  <c r="F42" i="87"/>
  <c r="D42" i="87"/>
  <c r="L42" i="87" s="1"/>
  <c r="B42" i="87"/>
  <c r="X41" i="87"/>
  <c r="Z41" i="87" s="1"/>
  <c r="N41" i="87"/>
  <c r="L41" i="87"/>
  <c r="B41" i="87"/>
  <c r="X40" i="87"/>
  <c r="Z40" i="87" s="1"/>
  <c r="T40" i="87"/>
  <c r="P40" i="87"/>
  <c r="H40" i="87"/>
  <c r="N40" i="87" s="1"/>
  <c r="D40" i="87"/>
  <c r="L40" i="87" s="1"/>
  <c r="B40" i="87"/>
  <c r="Z39" i="87"/>
  <c r="X39" i="87"/>
  <c r="L39" i="87"/>
  <c r="N39" i="87" s="1"/>
  <c r="B39" i="87"/>
  <c r="V38" i="87"/>
  <c r="T38" i="87"/>
  <c r="X38" i="87" s="1"/>
  <c r="P38" i="87"/>
  <c r="H38" i="87"/>
  <c r="N38" i="87" s="1"/>
  <c r="D38" i="87"/>
  <c r="L38" i="87" s="1"/>
  <c r="B38" i="87"/>
  <c r="X37" i="87"/>
  <c r="Z37" i="87" s="1"/>
  <c r="V37" i="87"/>
  <c r="N37" i="87"/>
  <c r="L37" i="87"/>
  <c r="B37" i="87"/>
  <c r="Z36" i="87"/>
  <c r="X36" i="87"/>
  <c r="L36" i="87"/>
  <c r="N36" i="87" s="1"/>
  <c r="B36" i="87"/>
  <c r="X35" i="87"/>
  <c r="Z35" i="87" s="1"/>
  <c r="N35" i="87"/>
  <c r="L35" i="87"/>
  <c r="B35" i="87"/>
  <c r="Z34" i="87"/>
  <c r="X34" i="87"/>
  <c r="N34" i="87"/>
  <c r="L34" i="87"/>
  <c r="B34" i="87"/>
  <c r="X33" i="87"/>
  <c r="Z33" i="87" s="1"/>
  <c r="V33" i="87"/>
  <c r="L33" i="87"/>
  <c r="N33" i="87" s="1"/>
  <c r="B33" i="87"/>
  <c r="V32" i="87"/>
  <c r="T32" i="87"/>
  <c r="P32" i="87"/>
  <c r="X32" i="87" s="1"/>
  <c r="H32" i="87"/>
  <c r="D32" i="87"/>
  <c r="L32" i="87" s="1"/>
  <c r="N32" i="87" s="1"/>
  <c r="B32" i="87"/>
  <c r="X31" i="87"/>
  <c r="Z31" i="87" s="1"/>
  <c r="R31" i="87"/>
  <c r="N31" i="87"/>
  <c r="L31" i="87"/>
  <c r="B31" i="87"/>
  <c r="X30" i="87"/>
  <c r="Z30" i="87" s="1"/>
  <c r="N30" i="87"/>
  <c r="L30" i="87"/>
  <c r="B30" i="87"/>
  <c r="X29" i="87"/>
  <c r="Z29" i="87" s="1"/>
  <c r="N29" i="87"/>
  <c r="L29" i="87"/>
  <c r="F29" i="87"/>
  <c r="B29" i="87"/>
  <c r="X28" i="87"/>
  <c r="Z28" i="87" s="1"/>
  <c r="N28" i="87"/>
  <c r="L28" i="87"/>
  <c r="B28" i="87"/>
  <c r="X27" i="87"/>
  <c r="Z27" i="87" s="1"/>
  <c r="R27" i="87"/>
  <c r="N27" i="87"/>
  <c r="L27" i="87"/>
  <c r="B27" i="87"/>
  <c r="X26" i="87"/>
  <c r="Z26" i="87" s="1"/>
  <c r="N26" i="87"/>
  <c r="L26" i="87"/>
  <c r="B26" i="87"/>
  <c r="X25" i="87"/>
  <c r="Z25" i="87" s="1"/>
  <c r="N25" i="87"/>
  <c r="L25" i="87"/>
  <c r="B25" i="87"/>
  <c r="X24" i="87"/>
  <c r="Z24" i="87" s="1"/>
  <c r="N24" i="87"/>
  <c r="L24" i="87"/>
  <c r="B24" i="87"/>
  <c r="T23" i="87"/>
  <c r="R23" i="87"/>
  <c r="P23" i="87"/>
  <c r="H23" i="87"/>
  <c r="D23" i="87"/>
  <c r="L23" i="87" s="1"/>
  <c r="N23" i="87" s="1"/>
  <c r="B23" i="87"/>
  <c r="T22" i="87"/>
  <c r="P22" i="87"/>
  <c r="H22" i="87"/>
  <c r="D22" i="87"/>
  <c r="L22" i="87" s="1"/>
  <c r="Z18" i="87"/>
  <c r="X18" i="87"/>
  <c r="R18" i="87"/>
  <c r="L18" i="87"/>
  <c r="N18" i="87" s="1"/>
  <c r="B18" i="87"/>
  <c r="Z17" i="87"/>
  <c r="X17" i="87"/>
  <c r="L17" i="87"/>
  <c r="N17" i="87" s="1"/>
  <c r="B17" i="87"/>
  <c r="T16" i="87"/>
  <c r="Z16" i="87" s="1"/>
  <c r="P16" i="87"/>
  <c r="X16" i="87" s="1"/>
  <c r="H16" i="87"/>
  <c r="D16" i="87"/>
  <c r="T14" i="87"/>
  <c r="P14" i="87"/>
  <c r="X14" i="87" s="1"/>
  <c r="Z14" i="87" s="1"/>
  <c r="H14" i="87"/>
  <c r="D14" i="87"/>
  <c r="L14" i="87" s="1"/>
  <c r="B14" i="87"/>
  <c r="T13" i="87"/>
  <c r="P13" i="87"/>
  <c r="X13" i="87" s="1"/>
  <c r="Z13" i="87" s="1"/>
  <c r="H13" i="87"/>
  <c r="D13" i="87"/>
  <c r="D12" i="87" s="1"/>
  <c r="B13" i="87"/>
  <c r="T12" i="87"/>
  <c r="V88" i="87" s="1"/>
  <c r="P12" i="87"/>
  <c r="D6" i="87"/>
  <c r="D4" i="87"/>
  <c r="F37" i="85"/>
  <c r="F34" i="85"/>
  <c r="X32" i="85"/>
  <c r="Z32" i="85" s="1"/>
  <c r="N32" i="85"/>
  <c r="L32" i="85"/>
  <c r="F32" i="85"/>
  <c r="T28" i="85"/>
  <c r="Z28" i="85" s="1"/>
  <c r="R28" i="85"/>
  <c r="P28" i="85"/>
  <c r="X28" i="85" s="1"/>
  <c r="N28" i="85"/>
  <c r="H28" i="85"/>
  <c r="D28" i="85"/>
  <c r="L28" i="85" s="1"/>
  <c r="Z26" i="85"/>
  <c r="X26" i="85"/>
  <c r="N26" i="85"/>
  <c r="L26" i="85"/>
  <c r="B26" i="85"/>
  <c r="T25" i="85"/>
  <c r="Z25" i="85" s="1"/>
  <c r="P25" i="85"/>
  <c r="X25" i="85" s="1"/>
  <c r="L25" i="85"/>
  <c r="N25" i="85" s="1"/>
  <c r="J25" i="85"/>
  <c r="H25" i="85"/>
  <c r="D25" i="85"/>
  <c r="B25" i="85"/>
  <c r="X24" i="85"/>
  <c r="Z24" i="85" s="1"/>
  <c r="N24" i="85"/>
  <c r="L24" i="85"/>
  <c r="J24" i="85"/>
  <c r="F24" i="85"/>
  <c r="B24" i="85"/>
  <c r="T23" i="85"/>
  <c r="R23" i="85"/>
  <c r="P23" i="85"/>
  <c r="X23" i="85" s="1"/>
  <c r="Z23" i="85" s="1"/>
  <c r="H23" i="85"/>
  <c r="F23" i="85"/>
  <c r="D23" i="85"/>
  <c r="B23" i="85"/>
  <c r="Z22" i="85"/>
  <c r="X22" i="85"/>
  <c r="R22" i="85"/>
  <c r="N22" i="85"/>
  <c r="L22" i="85"/>
  <c r="J22" i="85"/>
  <c r="F22" i="85"/>
  <c r="B22" i="85"/>
  <c r="Z21" i="85"/>
  <c r="T21" i="85"/>
  <c r="X21" i="85" s="1"/>
  <c r="P21" i="85"/>
  <c r="H21" i="85"/>
  <c r="J21" i="85" s="1"/>
  <c r="F21" i="85"/>
  <c r="D21" i="85"/>
  <c r="B21" i="85"/>
  <c r="T20" i="85"/>
  <c r="P20" i="85"/>
  <c r="X20" i="85" s="1"/>
  <c r="Z20" i="85" s="1"/>
  <c r="H20" i="85"/>
  <c r="J20" i="85" s="1"/>
  <c r="F20" i="85"/>
  <c r="D20" i="85"/>
  <c r="L20" i="85" s="1"/>
  <c r="P18" i="85"/>
  <c r="J18" i="85"/>
  <c r="H18" i="85"/>
  <c r="H30" i="85" s="1"/>
  <c r="F18" i="85"/>
  <c r="X16" i="85"/>
  <c r="Z16" i="85" s="1"/>
  <c r="L16" i="85"/>
  <c r="N16" i="85" s="1"/>
  <c r="J16" i="85"/>
  <c r="B16" i="85"/>
  <c r="X15" i="85"/>
  <c r="Z15" i="85" s="1"/>
  <c r="T15" i="85"/>
  <c r="P15" i="85"/>
  <c r="J15" i="85"/>
  <c r="H15" i="85"/>
  <c r="N15" i="85" s="1"/>
  <c r="D15" i="85"/>
  <c r="L15" i="85" s="1"/>
  <c r="T13" i="85"/>
  <c r="P13" i="85"/>
  <c r="N13" i="85"/>
  <c r="L13" i="85"/>
  <c r="H13" i="85"/>
  <c r="D13" i="85"/>
  <c r="B13" i="85"/>
  <c r="P12" i="85"/>
  <c r="R21" i="85" s="1"/>
  <c r="N12" i="85"/>
  <c r="L12" i="85"/>
  <c r="H12" i="85"/>
  <c r="J32" i="85" s="1"/>
  <c r="D12" i="85"/>
  <c r="F30" i="85" s="1"/>
  <c r="D6" i="85"/>
  <c r="D4" i="85"/>
  <c r="X141" i="84"/>
  <c r="Z141" i="84" s="1"/>
  <c r="L141" i="84"/>
  <c r="N141" i="84" s="1"/>
  <c r="T137" i="84"/>
  <c r="Z137" i="84" s="1"/>
  <c r="P137" i="84"/>
  <c r="X137" i="84" s="1"/>
  <c r="H137" i="84"/>
  <c r="N137" i="84" s="1"/>
  <c r="D137" i="84"/>
  <c r="X135" i="84"/>
  <c r="Z135" i="84" s="1"/>
  <c r="L135" i="84"/>
  <c r="N135" i="84" s="1"/>
  <c r="B135" i="84"/>
  <c r="X134" i="84"/>
  <c r="Z134" i="84" s="1"/>
  <c r="T134" i="84"/>
  <c r="P134" i="84"/>
  <c r="H134" i="84"/>
  <c r="D134" i="84"/>
  <c r="L134" i="84" s="1"/>
  <c r="B134" i="84"/>
  <c r="Z133" i="84"/>
  <c r="X133" i="84"/>
  <c r="N133" i="84"/>
  <c r="L133" i="84"/>
  <c r="B133" i="84"/>
  <c r="T132" i="84"/>
  <c r="X132" i="84" s="1"/>
  <c r="P132" i="84"/>
  <c r="H132" i="84"/>
  <c r="D132" i="84"/>
  <c r="L132" i="84" s="1"/>
  <c r="N132" i="84" s="1"/>
  <c r="B132" i="84"/>
  <c r="Z131" i="84"/>
  <c r="X131" i="84"/>
  <c r="N131" i="84"/>
  <c r="L131" i="84"/>
  <c r="B131" i="84"/>
  <c r="Z130" i="84"/>
  <c r="T130" i="84"/>
  <c r="P130" i="84"/>
  <c r="X130" i="84" s="1"/>
  <c r="N130" i="84"/>
  <c r="H130" i="84"/>
  <c r="L130" i="84" s="1"/>
  <c r="D130" i="84"/>
  <c r="B130" i="84"/>
  <c r="Z129" i="84"/>
  <c r="X129" i="84"/>
  <c r="N129" i="84"/>
  <c r="L129" i="84"/>
  <c r="B129" i="84"/>
  <c r="T128" i="84"/>
  <c r="P128" i="84"/>
  <c r="X128" i="84" s="1"/>
  <c r="N128" i="84"/>
  <c r="L128" i="84"/>
  <c r="H128" i="84"/>
  <c r="D128" i="84"/>
  <c r="B128" i="84"/>
  <c r="X127" i="84"/>
  <c r="Z127" i="84" s="1"/>
  <c r="L127" i="84"/>
  <c r="N127" i="84" s="1"/>
  <c r="B127" i="84"/>
  <c r="Z126" i="84"/>
  <c r="X126" i="84"/>
  <c r="N126" i="84"/>
  <c r="L126" i="84"/>
  <c r="B126" i="84"/>
  <c r="Z125" i="84"/>
  <c r="X125" i="84"/>
  <c r="N125" i="84"/>
  <c r="L125" i="84"/>
  <c r="B125" i="84"/>
  <c r="X124" i="84"/>
  <c r="Z124" i="84" s="1"/>
  <c r="N124" i="84"/>
  <c r="L124" i="84"/>
  <c r="B124" i="84"/>
  <c r="X123" i="84"/>
  <c r="Z123" i="84" s="1"/>
  <c r="L123" i="84"/>
  <c r="N123" i="84" s="1"/>
  <c r="B123" i="84"/>
  <c r="T122" i="84"/>
  <c r="P122" i="84"/>
  <c r="X122" i="84" s="1"/>
  <c r="Z122" i="84" s="1"/>
  <c r="H122" i="84"/>
  <c r="L122" i="84" s="1"/>
  <c r="D122" i="84"/>
  <c r="B122" i="84"/>
  <c r="Z121" i="84"/>
  <c r="X121" i="84"/>
  <c r="N121" i="84"/>
  <c r="L121" i="84"/>
  <c r="B121" i="84"/>
  <c r="Z120" i="84"/>
  <c r="X120" i="84"/>
  <c r="N120" i="84"/>
  <c r="L120" i="84"/>
  <c r="B120" i="84"/>
  <c r="X119" i="84"/>
  <c r="Z119" i="84" s="1"/>
  <c r="T119" i="84"/>
  <c r="P119" i="84"/>
  <c r="H119" i="84"/>
  <c r="D119" i="84"/>
  <c r="B119" i="84"/>
  <c r="X118" i="84"/>
  <c r="Z118" i="84" s="1"/>
  <c r="N118" i="84"/>
  <c r="L118" i="84"/>
  <c r="B118" i="84"/>
  <c r="Z117" i="84"/>
  <c r="X117" i="84"/>
  <c r="L117" i="84"/>
  <c r="N117" i="84" s="1"/>
  <c r="B117" i="84"/>
  <c r="Z116" i="84"/>
  <c r="X116" i="84"/>
  <c r="L116" i="84"/>
  <c r="N116" i="84" s="1"/>
  <c r="B116" i="84"/>
  <c r="T115" i="84"/>
  <c r="P115" i="84"/>
  <c r="X115" i="84" s="1"/>
  <c r="Z115" i="84" s="1"/>
  <c r="H115" i="84"/>
  <c r="D115" i="84"/>
  <c r="B115" i="84"/>
  <c r="X114" i="84"/>
  <c r="Z114" i="84" s="1"/>
  <c r="N114" i="84"/>
  <c r="L114" i="84"/>
  <c r="B114" i="84"/>
  <c r="X113" i="84"/>
  <c r="Z113" i="84" s="1"/>
  <c r="N113" i="84"/>
  <c r="L113" i="84"/>
  <c r="B113" i="84"/>
  <c r="T112" i="84"/>
  <c r="P112" i="84"/>
  <c r="H112" i="84"/>
  <c r="D112" i="84"/>
  <c r="L112" i="84" s="1"/>
  <c r="N112" i="84" s="1"/>
  <c r="B112" i="84"/>
  <c r="Z111" i="84"/>
  <c r="X111" i="84"/>
  <c r="N111" i="84"/>
  <c r="L111" i="84"/>
  <c r="B111" i="84"/>
  <c r="Z110" i="84"/>
  <c r="T110" i="84"/>
  <c r="P110" i="84"/>
  <c r="X110" i="84" s="1"/>
  <c r="N110" i="84"/>
  <c r="L110" i="84"/>
  <c r="H110" i="84"/>
  <c r="D110" i="84"/>
  <c r="B110" i="84"/>
  <c r="Z109" i="84"/>
  <c r="X109" i="84"/>
  <c r="N109" i="84"/>
  <c r="L109" i="84"/>
  <c r="B109" i="84"/>
  <c r="T108" i="84"/>
  <c r="Z108" i="84" s="1"/>
  <c r="P108" i="84"/>
  <c r="X108" i="84" s="1"/>
  <c r="N108" i="84"/>
  <c r="L108" i="84"/>
  <c r="H108" i="84"/>
  <c r="D108" i="84"/>
  <c r="B108" i="84"/>
  <c r="X107" i="84"/>
  <c r="Z107" i="84" s="1"/>
  <c r="L107" i="84"/>
  <c r="N107" i="84" s="1"/>
  <c r="B107" i="84"/>
  <c r="X106" i="84"/>
  <c r="Z106" i="84" s="1"/>
  <c r="N106" i="84"/>
  <c r="L106" i="84"/>
  <c r="B106" i="84"/>
  <c r="Z105" i="84"/>
  <c r="X105" i="84"/>
  <c r="N105" i="84"/>
  <c r="L105" i="84"/>
  <c r="B105" i="84"/>
  <c r="X104" i="84"/>
  <c r="Z104" i="84" s="1"/>
  <c r="N104" i="84"/>
  <c r="L104" i="84"/>
  <c r="B104" i="84"/>
  <c r="X103" i="84"/>
  <c r="Z103" i="84" s="1"/>
  <c r="N103" i="84"/>
  <c r="L103" i="84"/>
  <c r="B103" i="84"/>
  <c r="X102" i="84"/>
  <c r="Z102" i="84" s="1"/>
  <c r="N102" i="84"/>
  <c r="L102" i="84"/>
  <c r="B102" i="84"/>
  <c r="Z101" i="84"/>
  <c r="X101" i="84"/>
  <c r="N101" i="84"/>
  <c r="L101" i="84"/>
  <c r="B101" i="84"/>
  <c r="X100" i="84"/>
  <c r="Z100" i="84" s="1"/>
  <c r="L100" i="84"/>
  <c r="N100" i="84" s="1"/>
  <c r="B100" i="84"/>
  <c r="X99" i="84"/>
  <c r="Z99" i="84" s="1"/>
  <c r="L99" i="84"/>
  <c r="N99" i="84" s="1"/>
  <c r="B99" i="84"/>
  <c r="X98" i="84"/>
  <c r="Z98" i="84" s="1"/>
  <c r="N98" i="84"/>
  <c r="L98" i="84"/>
  <c r="B98" i="84"/>
  <c r="Z97" i="84"/>
  <c r="X97" i="84"/>
  <c r="N97" i="84"/>
  <c r="L97" i="84"/>
  <c r="B97" i="84"/>
  <c r="X96" i="84"/>
  <c r="Z96" i="84" s="1"/>
  <c r="N96" i="84"/>
  <c r="L96" i="84"/>
  <c r="B96" i="84"/>
  <c r="X95" i="84"/>
  <c r="Z95" i="84" s="1"/>
  <c r="N95" i="84"/>
  <c r="L95" i="84"/>
  <c r="B95" i="84"/>
  <c r="X94" i="84"/>
  <c r="Z94" i="84" s="1"/>
  <c r="L94" i="84"/>
  <c r="N94" i="84" s="1"/>
  <c r="B94" i="84"/>
  <c r="Z93" i="84"/>
  <c r="X93" i="84"/>
  <c r="N93" i="84"/>
  <c r="L93" i="84"/>
  <c r="B93" i="84"/>
  <c r="T92" i="84"/>
  <c r="P92" i="84"/>
  <c r="H92" i="84"/>
  <c r="D92" i="84"/>
  <c r="L92" i="84" s="1"/>
  <c r="B92" i="84"/>
  <c r="Z91" i="84"/>
  <c r="X91" i="84"/>
  <c r="N91" i="84"/>
  <c r="L91" i="84"/>
  <c r="B91" i="84"/>
  <c r="Z90" i="84"/>
  <c r="X90" i="84"/>
  <c r="T90" i="84"/>
  <c r="P90" i="84"/>
  <c r="N90" i="84"/>
  <c r="L90" i="84"/>
  <c r="H90" i="84"/>
  <c r="D90" i="84"/>
  <c r="B90" i="84"/>
  <c r="Z89" i="84"/>
  <c r="X89" i="84"/>
  <c r="N89" i="84"/>
  <c r="L89" i="84"/>
  <c r="B89" i="84"/>
  <c r="T88" i="84"/>
  <c r="P88" i="84"/>
  <c r="L88" i="84"/>
  <c r="H88" i="84"/>
  <c r="N88" i="84" s="1"/>
  <c r="D88" i="84"/>
  <c r="B88" i="84"/>
  <c r="X87" i="84"/>
  <c r="Z87" i="84" s="1"/>
  <c r="N87" i="84"/>
  <c r="L87" i="84"/>
  <c r="B87" i="84"/>
  <c r="X86" i="84"/>
  <c r="T86" i="84"/>
  <c r="Z86" i="84" s="1"/>
  <c r="P86" i="84"/>
  <c r="H86" i="84"/>
  <c r="N86" i="84" s="1"/>
  <c r="D86" i="84"/>
  <c r="B86" i="84"/>
  <c r="Z85" i="84"/>
  <c r="X85" i="84"/>
  <c r="N85" i="84"/>
  <c r="L85" i="84"/>
  <c r="B85" i="84"/>
  <c r="X84" i="84"/>
  <c r="Z84" i="84" s="1"/>
  <c r="T84" i="84"/>
  <c r="P84" i="84"/>
  <c r="H84" i="84"/>
  <c r="N84" i="84" s="1"/>
  <c r="D84" i="84"/>
  <c r="L84" i="84" s="1"/>
  <c r="B84" i="84"/>
  <c r="Z83" i="84"/>
  <c r="X83" i="84"/>
  <c r="L83" i="84"/>
  <c r="N83" i="84" s="1"/>
  <c r="B83" i="84"/>
  <c r="T82" i="84"/>
  <c r="P82" i="84"/>
  <c r="X82" i="84" s="1"/>
  <c r="H82" i="84"/>
  <c r="D82" i="84"/>
  <c r="L82" i="84" s="1"/>
  <c r="B82" i="84"/>
  <c r="Z81" i="84"/>
  <c r="X81" i="84"/>
  <c r="N81" i="84"/>
  <c r="L81" i="84"/>
  <c r="B81" i="84"/>
  <c r="X80" i="84"/>
  <c r="T80" i="84"/>
  <c r="P80" i="84"/>
  <c r="L80" i="84"/>
  <c r="H80" i="84"/>
  <c r="D80" i="84"/>
  <c r="B80" i="84"/>
  <c r="Z79" i="84"/>
  <c r="X79" i="84"/>
  <c r="N79" i="84"/>
  <c r="L79" i="84"/>
  <c r="B79" i="84"/>
  <c r="T78" i="84"/>
  <c r="P78" i="84"/>
  <c r="H78" i="84"/>
  <c r="D78" i="84"/>
  <c r="L78" i="84" s="1"/>
  <c r="B78" i="84"/>
  <c r="Z77" i="84"/>
  <c r="X77" i="84"/>
  <c r="N77" i="84"/>
  <c r="L77" i="84"/>
  <c r="B77" i="84"/>
  <c r="T76" i="84"/>
  <c r="P76" i="84"/>
  <c r="X76" i="84" s="1"/>
  <c r="Z76" i="84" s="1"/>
  <c r="H76" i="84"/>
  <c r="N76" i="84" s="1"/>
  <c r="D76" i="84"/>
  <c r="L76" i="84" s="1"/>
  <c r="B76" i="84"/>
  <c r="X75" i="84"/>
  <c r="Z75" i="84" s="1"/>
  <c r="N75" i="84"/>
  <c r="L75" i="84"/>
  <c r="B75" i="84"/>
  <c r="X74" i="84"/>
  <c r="Z74" i="84" s="1"/>
  <c r="N74" i="84"/>
  <c r="L74" i="84"/>
  <c r="B74" i="84"/>
  <c r="X73" i="84"/>
  <c r="Z73" i="84" s="1"/>
  <c r="L73" i="84"/>
  <c r="N73" i="84" s="1"/>
  <c r="B73" i="84"/>
  <c r="X72" i="84"/>
  <c r="Z72" i="84" s="1"/>
  <c r="L72" i="84"/>
  <c r="N72" i="84" s="1"/>
  <c r="B72" i="84"/>
  <c r="X71" i="84"/>
  <c r="Z71" i="84" s="1"/>
  <c r="L71" i="84"/>
  <c r="N71" i="84" s="1"/>
  <c r="B71" i="84"/>
  <c r="T70" i="84"/>
  <c r="P70" i="84"/>
  <c r="N70" i="84"/>
  <c r="L70" i="84"/>
  <c r="H70" i="84"/>
  <c r="D70" i="84"/>
  <c r="B70" i="84"/>
  <c r="Z69" i="84"/>
  <c r="X69" i="84"/>
  <c r="N69" i="84"/>
  <c r="L69" i="84"/>
  <c r="B69" i="84"/>
  <c r="Z68" i="84"/>
  <c r="X68" i="84"/>
  <c r="N68" i="84"/>
  <c r="L68" i="84"/>
  <c r="B68" i="84"/>
  <c r="X67" i="84"/>
  <c r="Z67" i="84" s="1"/>
  <c r="N67" i="84"/>
  <c r="L67" i="84"/>
  <c r="B67" i="84"/>
  <c r="Z66" i="84"/>
  <c r="X66" i="84"/>
  <c r="N66" i="84"/>
  <c r="L66" i="84"/>
  <c r="B66" i="84"/>
  <c r="Z65" i="84"/>
  <c r="X65" i="84"/>
  <c r="N65" i="84"/>
  <c r="L65" i="84"/>
  <c r="B65" i="84"/>
  <c r="Z64" i="84"/>
  <c r="X64" i="84"/>
  <c r="L64" i="84"/>
  <c r="N64" i="84" s="1"/>
  <c r="J64" i="84"/>
  <c r="B64" i="84"/>
  <c r="X63" i="84"/>
  <c r="Z63" i="84" s="1"/>
  <c r="L63" i="84"/>
  <c r="N63" i="84" s="1"/>
  <c r="B63" i="84"/>
  <c r="Z62" i="84"/>
  <c r="X62" i="84"/>
  <c r="N62" i="84"/>
  <c r="L62" i="84"/>
  <c r="B62" i="84"/>
  <c r="T61" i="84"/>
  <c r="P61" i="84"/>
  <c r="X61" i="84" s="1"/>
  <c r="H61" i="84"/>
  <c r="N61" i="84" s="1"/>
  <c r="D61" i="84"/>
  <c r="L61" i="84" s="1"/>
  <c r="B61" i="84"/>
  <c r="X60" i="84"/>
  <c r="T60" i="84"/>
  <c r="P60" i="84"/>
  <c r="H60" i="84"/>
  <c r="D60" i="84"/>
  <c r="L60" i="84" s="1"/>
  <c r="N60" i="84" s="1"/>
  <c r="X56" i="84"/>
  <c r="Z56" i="84" s="1"/>
  <c r="N56" i="84"/>
  <c r="L56" i="84"/>
  <c r="B56" i="84"/>
  <c r="X55" i="84"/>
  <c r="Z55" i="84" s="1"/>
  <c r="N55" i="84"/>
  <c r="L55" i="84"/>
  <c r="B55" i="84"/>
  <c r="Z54" i="84"/>
  <c r="X54" i="84"/>
  <c r="N54" i="84"/>
  <c r="L54" i="84"/>
  <c r="B54" i="84"/>
  <c r="Z53" i="84"/>
  <c r="X53" i="84"/>
  <c r="L53" i="84"/>
  <c r="N53" i="84" s="1"/>
  <c r="B53" i="84"/>
  <c r="X52" i="84"/>
  <c r="Z52" i="84" s="1"/>
  <c r="L52" i="84"/>
  <c r="N52" i="84" s="1"/>
  <c r="B52" i="84"/>
  <c r="X51" i="84"/>
  <c r="Z51" i="84" s="1"/>
  <c r="N51" i="84"/>
  <c r="L51" i="84"/>
  <c r="B51" i="84"/>
  <c r="Z50" i="84"/>
  <c r="X50" i="84"/>
  <c r="N50" i="84"/>
  <c r="L50" i="84"/>
  <c r="B50" i="84"/>
  <c r="Z49" i="84"/>
  <c r="X49" i="84"/>
  <c r="L49" i="84"/>
  <c r="N49" i="84" s="1"/>
  <c r="B49" i="84"/>
  <c r="X48" i="84"/>
  <c r="Z48" i="84" s="1"/>
  <c r="L48" i="84"/>
  <c r="N48" i="84" s="1"/>
  <c r="B48" i="84"/>
  <c r="X47" i="84"/>
  <c r="Z47" i="84" s="1"/>
  <c r="N47" i="84"/>
  <c r="L47" i="84"/>
  <c r="B47" i="84"/>
  <c r="Z46" i="84"/>
  <c r="X46" i="84"/>
  <c r="L46" i="84"/>
  <c r="N46" i="84" s="1"/>
  <c r="B46" i="84"/>
  <c r="Z45" i="84"/>
  <c r="X45" i="84"/>
  <c r="L45" i="84"/>
  <c r="N45" i="84" s="1"/>
  <c r="B45" i="84"/>
  <c r="X44" i="84"/>
  <c r="Z44" i="84" s="1"/>
  <c r="L44" i="84"/>
  <c r="N44" i="84" s="1"/>
  <c r="B44" i="84"/>
  <c r="X43" i="84"/>
  <c r="Z43" i="84" s="1"/>
  <c r="N43" i="84"/>
  <c r="L43" i="84"/>
  <c r="B43" i="84"/>
  <c r="Z42" i="84"/>
  <c r="X42" i="84"/>
  <c r="N42" i="84"/>
  <c r="L42" i="84"/>
  <c r="B42" i="84"/>
  <c r="Z41" i="84"/>
  <c r="X41" i="84"/>
  <c r="N41" i="84"/>
  <c r="L41" i="84"/>
  <c r="B41" i="84"/>
  <c r="X40" i="84"/>
  <c r="Z40" i="84" s="1"/>
  <c r="L40" i="84"/>
  <c r="N40" i="84" s="1"/>
  <c r="B40" i="84"/>
  <c r="X39" i="84"/>
  <c r="Z39" i="84" s="1"/>
  <c r="N39" i="84"/>
  <c r="L39" i="84"/>
  <c r="B39" i="84"/>
  <c r="T38" i="84"/>
  <c r="P38" i="84"/>
  <c r="X38" i="84" s="1"/>
  <c r="L38" i="84"/>
  <c r="J38" i="84"/>
  <c r="H38" i="84"/>
  <c r="D38" i="84"/>
  <c r="T36" i="84"/>
  <c r="Z36" i="84" s="1"/>
  <c r="P36" i="84"/>
  <c r="X36" i="84" s="1"/>
  <c r="N36" i="84"/>
  <c r="H36" i="84"/>
  <c r="D36" i="84"/>
  <c r="L36" i="84" s="1"/>
  <c r="B36" i="84"/>
  <c r="T35" i="84"/>
  <c r="P35" i="84"/>
  <c r="L35" i="84"/>
  <c r="H35" i="84"/>
  <c r="N35" i="84" s="1"/>
  <c r="D35" i="84"/>
  <c r="B35" i="84"/>
  <c r="X34" i="84"/>
  <c r="T34" i="84"/>
  <c r="P34" i="84"/>
  <c r="N34" i="84"/>
  <c r="L34" i="84"/>
  <c r="H34" i="84"/>
  <c r="D34" i="84"/>
  <c r="B34" i="84"/>
  <c r="T33" i="84"/>
  <c r="P33" i="84"/>
  <c r="N33" i="84"/>
  <c r="L33" i="84"/>
  <c r="H33" i="84"/>
  <c r="D33" i="84"/>
  <c r="B33" i="84"/>
  <c r="T32" i="84"/>
  <c r="Z32" i="84" s="1"/>
  <c r="P32" i="84"/>
  <c r="X32" i="84" s="1"/>
  <c r="H32" i="84"/>
  <c r="D32" i="84"/>
  <c r="L32" i="84" s="1"/>
  <c r="N32" i="84" s="1"/>
  <c r="B32" i="84"/>
  <c r="T31" i="84"/>
  <c r="P31" i="84"/>
  <c r="L31" i="84"/>
  <c r="H31" i="84"/>
  <c r="N31" i="84" s="1"/>
  <c r="D31" i="84"/>
  <c r="B31" i="84"/>
  <c r="T30" i="84"/>
  <c r="P30" i="84"/>
  <c r="N30" i="84"/>
  <c r="L30" i="84"/>
  <c r="H30" i="84"/>
  <c r="D30" i="84"/>
  <c r="B30" i="84"/>
  <c r="T29" i="84"/>
  <c r="P29" i="84"/>
  <c r="N29" i="84"/>
  <c r="L29" i="84"/>
  <c r="H29" i="84"/>
  <c r="D29" i="84"/>
  <c r="B29" i="84"/>
  <c r="T28" i="84"/>
  <c r="Z28" i="84" s="1"/>
  <c r="P28" i="84"/>
  <c r="X28" i="84" s="1"/>
  <c r="H28" i="84"/>
  <c r="D28" i="84"/>
  <c r="L28" i="84" s="1"/>
  <c r="N28" i="84" s="1"/>
  <c r="B28" i="84"/>
  <c r="T27" i="84"/>
  <c r="P27" i="84"/>
  <c r="L27" i="84"/>
  <c r="H27" i="84"/>
  <c r="N27" i="84" s="1"/>
  <c r="D27" i="84"/>
  <c r="B27" i="84"/>
  <c r="T26" i="84"/>
  <c r="P26" i="84"/>
  <c r="L26" i="84"/>
  <c r="N26" i="84" s="1"/>
  <c r="H26" i="84"/>
  <c r="D26" i="84"/>
  <c r="B26" i="84"/>
  <c r="T25" i="84"/>
  <c r="P25" i="84"/>
  <c r="N25" i="84"/>
  <c r="L25" i="84"/>
  <c r="H25" i="84"/>
  <c r="D25" i="84"/>
  <c r="B25" i="84"/>
  <c r="T24" i="84"/>
  <c r="P24" i="84"/>
  <c r="X24" i="84" s="1"/>
  <c r="N24" i="84"/>
  <c r="H24" i="84"/>
  <c r="D24" i="84"/>
  <c r="L24" i="84" s="1"/>
  <c r="B24" i="84"/>
  <c r="T23" i="84"/>
  <c r="P23" i="84"/>
  <c r="L23" i="84"/>
  <c r="H23" i="84"/>
  <c r="N23" i="84" s="1"/>
  <c r="D23" i="84"/>
  <c r="B23" i="84"/>
  <c r="T22" i="84"/>
  <c r="P22" i="84"/>
  <c r="L22" i="84"/>
  <c r="N22" i="84" s="1"/>
  <c r="H22" i="84"/>
  <c r="D22" i="84"/>
  <c r="B22" i="84"/>
  <c r="T21" i="84"/>
  <c r="P21" i="84"/>
  <c r="N21" i="84"/>
  <c r="L21" i="84"/>
  <c r="H21" i="84"/>
  <c r="D21" i="84"/>
  <c r="B21" i="84"/>
  <c r="T20" i="84"/>
  <c r="P20" i="84"/>
  <c r="X20" i="84" s="1"/>
  <c r="H20" i="84"/>
  <c r="D20" i="84"/>
  <c r="L20" i="84" s="1"/>
  <c r="N20" i="84" s="1"/>
  <c r="B20" i="84"/>
  <c r="T19" i="84"/>
  <c r="P19" i="84"/>
  <c r="L19" i="84"/>
  <c r="H19" i="84"/>
  <c r="N19" i="84" s="1"/>
  <c r="D19" i="84"/>
  <c r="B19" i="84"/>
  <c r="T18" i="84"/>
  <c r="P18" i="84"/>
  <c r="L18" i="84"/>
  <c r="N18" i="84" s="1"/>
  <c r="H18" i="84"/>
  <c r="D18" i="84"/>
  <c r="B18" i="84"/>
  <c r="T17" i="84"/>
  <c r="P17" i="84"/>
  <c r="N17" i="84"/>
  <c r="L17" i="84"/>
  <c r="H17" i="84"/>
  <c r="D17" i="84"/>
  <c r="B17" i="84"/>
  <c r="T16" i="84"/>
  <c r="Z16" i="84" s="1"/>
  <c r="P16" i="84"/>
  <c r="X16" i="84" s="1"/>
  <c r="N16" i="84"/>
  <c r="H16" i="84"/>
  <c r="D16" i="84"/>
  <c r="L16" i="84" s="1"/>
  <c r="B16" i="84"/>
  <c r="T15" i="84"/>
  <c r="P15" i="84"/>
  <c r="L15" i="84"/>
  <c r="H15" i="84"/>
  <c r="N15" i="84" s="1"/>
  <c r="D15" i="84"/>
  <c r="B15" i="84"/>
  <c r="X14" i="84"/>
  <c r="T14" i="84"/>
  <c r="P14" i="84"/>
  <c r="P12" i="84" s="1"/>
  <c r="R85" i="84" s="1"/>
  <c r="N14" i="84"/>
  <c r="L14" i="84"/>
  <c r="H14" i="84"/>
  <c r="D14" i="84"/>
  <c r="B14" i="84"/>
  <c r="T13" i="84"/>
  <c r="Z13" i="84" s="1"/>
  <c r="P13" i="84"/>
  <c r="N13" i="84"/>
  <c r="L13" i="84"/>
  <c r="H13" i="84"/>
  <c r="H12" i="84" s="1"/>
  <c r="D13" i="84"/>
  <c r="B13" i="84"/>
  <c r="D6" i="84"/>
  <c r="D4" i="84"/>
  <c r="X88" i="83"/>
  <c r="Z88" i="83" s="1"/>
  <c r="N88" i="83"/>
  <c r="L88" i="83"/>
  <c r="X84" i="83"/>
  <c r="T84" i="83"/>
  <c r="Z84" i="83" s="1"/>
  <c r="P84" i="83"/>
  <c r="H84" i="83"/>
  <c r="N84" i="83" s="1"/>
  <c r="D84" i="83"/>
  <c r="L84" i="83" s="1"/>
  <c r="X82" i="83"/>
  <c r="Z82" i="83" s="1"/>
  <c r="L82" i="83"/>
  <c r="N82" i="83" s="1"/>
  <c r="B82" i="83"/>
  <c r="T81" i="83"/>
  <c r="P81" i="83"/>
  <c r="X81" i="83" s="1"/>
  <c r="Z81" i="83" s="1"/>
  <c r="H81" i="83"/>
  <c r="D81" i="83"/>
  <c r="L81" i="83" s="1"/>
  <c r="N81" i="83" s="1"/>
  <c r="B81" i="83"/>
  <c r="X80" i="83"/>
  <c r="Z80" i="83" s="1"/>
  <c r="R80" i="83"/>
  <c r="N80" i="83"/>
  <c r="L80" i="83"/>
  <c r="B80" i="83"/>
  <c r="X79" i="83"/>
  <c r="T79" i="83"/>
  <c r="Z79" i="83" s="1"/>
  <c r="P79" i="83"/>
  <c r="N79" i="83"/>
  <c r="L79" i="83"/>
  <c r="H79" i="83"/>
  <c r="D79" i="83"/>
  <c r="B79" i="83"/>
  <c r="Z78" i="83"/>
  <c r="X78" i="83"/>
  <c r="L78" i="83"/>
  <c r="N78" i="83" s="1"/>
  <c r="J78" i="83"/>
  <c r="B78" i="83"/>
  <c r="T77" i="83"/>
  <c r="Z77" i="83" s="1"/>
  <c r="P77" i="83"/>
  <c r="X77" i="83" s="1"/>
  <c r="J77" i="83"/>
  <c r="H77" i="83"/>
  <c r="D77" i="83"/>
  <c r="B77" i="83"/>
  <c r="Z76" i="83"/>
  <c r="X76" i="83"/>
  <c r="N76" i="83"/>
  <c r="L76" i="83"/>
  <c r="B76" i="83"/>
  <c r="Z75" i="83"/>
  <c r="X75" i="83"/>
  <c r="L75" i="83"/>
  <c r="N75" i="83" s="1"/>
  <c r="B75" i="83"/>
  <c r="X74" i="83"/>
  <c r="Z74" i="83" s="1"/>
  <c r="N74" i="83"/>
  <c r="L74" i="83"/>
  <c r="B74" i="83"/>
  <c r="X73" i="83"/>
  <c r="Z73" i="83" s="1"/>
  <c r="N73" i="83"/>
  <c r="L73" i="83"/>
  <c r="B73" i="83"/>
  <c r="X72" i="83"/>
  <c r="Z72" i="83" s="1"/>
  <c r="L72" i="83"/>
  <c r="N72" i="83" s="1"/>
  <c r="B72" i="83"/>
  <c r="Z71" i="83"/>
  <c r="X71" i="83"/>
  <c r="N71" i="83"/>
  <c r="L71" i="83"/>
  <c r="B71" i="83"/>
  <c r="X70" i="83"/>
  <c r="V70" i="83"/>
  <c r="T70" i="83"/>
  <c r="P70" i="83"/>
  <c r="H70" i="83"/>
  <c r="N70" i="83" s="1"/>
  <c r="D70" i="83"/>
  <c r="L70" i="83" s="1"/>
  <c r="B70" i="83"/>
  <c r="Z69" i="83"/>
  <c r="X69" i="83"/>
  <c r="N69" i="83"/>
  <c r="L69" i="83"/>
  <c r="B69" i="83"/>
  <c r="X68" i="83"/>
  <c r="Z68" i="83" s="1"/>
  <c r="R68" i="83"/>
  <c r="N68" i="83"/>
  <c r="L68" i="83"/>
  <c r="B68" i="83"/>
  <c r="X67" i="83"/>
  <c r="T67" i="83"/>
  <c r="Z67" i="83" s="1"/>
  <c r="P67" i="83"/>
  <c r="L67" i="83"/>
  <c r="N67" i="83" s="1"/>
  <c r="H67" i="83"/>
  <c r="D67" i="83"/>
  <c r="B67" i="83"/>
  <c r="Z66" i="83"/>
  <c r="X66" i="83"/>
  <c r="L66" i="83"/>
  <c r="N66" i="83" s="1"/>
  <c r="J66" i="83"/>
  <c r="B66" i="83"/>
  <c r="Z65" i="83"/>
  <c r="X65" i="83"/>
  <c r="N65" i="83"/>
  <c r="L65" i="83"/>
  <c r="B65" i="83"/>
  <c r="Z64" i="83"/>
  <c r="X64" i="83"/>
  <c r="L64" i="83"/>
  <c r="N64" i="83" s="1"/>
  <c r="B64" i="83"/>
  <c r="Z63" i="83"/>
  <c r="X63" i="83"/>
  <c r="R63" i="83"/>
  <c r="N63" i="83"/>
  <c r="L63" i="83"/>
  <c r="B63" i="83"/>
  <c r="T62" i="83"/>
  <c r="P62" i="83"/>
  <c r="X62" i="83" s="1"/>
  <c r="Z62" i="83" s="1"/>
  <c r="H62" i="83"/>
  <c r="L62" i="83" s="1"/>
  <c r="N62" i="83" s="1"/>
  <c r="D62" i="83"/>
  <c r="B62" i="83"/>
  <c r="X61" i="83"/>
  <c r="Z61" i="83" s="1"/>
  <c r="N61" i="83"/>
  <c r="L61" i="83"/>
  <c r="B61" i="83"/>
  <c r="X60" i="83"/>
  <c r="Z60" i="83" s="1"/>
  <c r="L60" i="83"/>
  <c r="N60" i="83" s="1"/>
  <c r="B60" i="83"/>
  <c r="Z59" i="83"/>
  <c r="X59" i="83"/>
  <c r="N59" i="83"/>
  <c r="L59" i="83"/>
  <c r="B59" i="83"/>
  <c r="X58" i="83"/>
  <c r="T58" i="83"/>
  <c r="Z58" i="83" s="1"/>
  <c r="P58" i="83"/>
  <c r="H58" i="83"/>
  <c r="D58" i="83"/>
  <c r="L58" i="83" s="1"/>
  <c r="N58" i="83" s="1"/>
  <c r="B58" i="83"/>
  <c r="X57" i="83"/>
  <c r="Z57" i="83" s="1"/>
  <c r="N57" i="83"/>
  <c r="L57" i="83"/>
  <c r="B57" i="83"/>
  <c r="T56" i="83"/>
  <c r="R56" i="83"/>
  <c r="P56" i="83"/>
  <c r="L56" i="83"/>
  <c r="H56" i="83"/>
  <c r="N56" i="83" s="1"/>
  <c r="D56" i="83"/>
  <c r="B56" i="83"/>
  <c r="Z55" i="83"/>
  <c r="X55" i="83"/>
  <c r="R55" i="83"/>
  <c r="N55" i="83"/>
  <c r="L55" i="83"/>
  <c r="B55" i="83"/>
  <c r="T54" i="83"/>
  <c r="P54" i="83"/>
  <c r="X54" i="83" s="1"/>
  <c r="Z54" i="83" s="1"/>
  <c r="N54" i="83"/>
  <c r="H54" i="83"/>
  <c r="L54" i="83" s="1"/>
  <c r="D54" i="83"/>
  <c r="B54" i="83"/>
  <c r="X53" i="83"/>
  <c r="Z53" i="83" s="1"/>
  <c r="N53" i="83"/>
  <c r="L53" i="83"/>
  <c r="B53" i="83"/>
  <c r="T52" i="83"/>
  <c r="Z52" i="83" s="1"/>
  <c r="P52" i="83"/>
  <c r="X52" i="83" s="1"/>
  <c r="L52" i="83"/>
  <c r="J52" i="83"/>
  <c r="H52" i="83"/>
  <c r="N52" i="83" s="1"/>
  <c r="D52" i="83"/>
  <c r="B52" i="83"/>
  <c r="X51" i="83"/>
  <c r="Z51" i="83" s="1"/>
  <c r="N51" i="83"/>
  <c r="L51" i="83"/>
  <c r="B51" i="83"/>
  <c r="X50" i="83"/>
  <c r="T50" i="83"/>
  <c r="Z50" i="83" s="1"/>
  <c r="P50" i="83"/>
  <c r="H50" i="83"/>
  <c r="D50" i="83"/>
  <c r="B50" i="83"/>
  <c r="Z49" i="83"/>
  <c r="X49" i="83"/>
  <c r="N49" i="83"/>
  <c r="L49" i="83"/>
  <c r="B49" i="83"/>
  <c r="T48" i="83"/>
  <c r="X48" i="83" s="1"/>
  <c r="Z48" i="83" s="1"/>
  <c r="P48" i="83"/>
  <c r="N48" i="83"/>
  <c r="H48" i="83"/>
  <c r="D48" i="83"/>
  <c r="L48" i="83" s="1"/>
  <c r="B48" i="83"/>
  <c r="Z47" i="83"/>
  <c r="X47" i="83"/>
  <c r="L47" i="83"/>
  <c r="N47" i="83" s="1"/>
  <c r="B47" i="83"/>
  <c r="X46" i="83"/>
  <c r="Z46" i="83" s="1"/>
  <c r="L46" i="83"/>
  <c r="N46" i="83" s="1"/>
  <c r="B46" i="83"/>
  <c r="T45" i="83"/>
  <c r="P45" i="83"/>
  <c r="X45" i="83" s="1"/>
  <c r="Z45" i="83" s="1"/>
  <c r="H45" i="83"/>
  <c r="D45" i="83"/>
  <c r="L45" i="83" s="1"/>
  <c r="N45" i="83" s="1"/>
  <c r="B45" i="83"/>
  <c r="X44" i="83"/>
  <c r="Z44" i="83" s="1"/>
  <c r="R44" i="83"/>
  <c r="N44" i="83"/>
  <c r="L44" i="83"/>
  <c r="B44" i="83"/>
  <c r="X43" i="83"/>
  <c r="T43" i="83"/>
  <c r="Z43" i="83" s="1"/>
  <c r="P43" i="83"/>
  <c r="L43" i="83"/>
  <c r="N43" i="83" s="1"/>
  <c r="H43" i="83"/>
  <c r="D43" i="83"/>
  <c r="B43" i="83"/>
  <c r="Z42" i="83"/>
  <c r="X42" i="83"/>
  <c r="L42" i="83"/>
  <c r="N42" i="83" s="1"/>
  <c r="J42" i="83"/>
  <c r="B42" i="83"/>
  <c r="T41" i="83"/>
  <c r="Z41" i="83" s="1"/>
  <c r="P41" i="83"/>
  <c r="X41" i="83" s="1"/>
  <c r="H41" i="83"/>
  <c r="D41" i="83"/>
  <c r="L41" i="83" s="1"/>
  <c r="B41" i="83"/>
  <c r="X40" i="83"/>
  <c r="Z40" i="83" s="1"/>
  <c r="N40" i="83"/>
  <c r="L40" i="83"/>
  <c r="B40" i="83"/>
  <c r="T39" i="83"/>
  <c r="P39" i="83"/>
  <c r="X39" i="83" s="1"/>
  <c r="Z39" i="83" s="1"/>
  <c r="N39" i="83"/>
  <c r="H39" i="83"/>
  <c r="D39" i="83"/>
  <c r="L39" i="83" s="1"/>
  <c r="B39" i="83"/>
  <c r="X38" i="83"/>
  <c r="Z38" i="83" s="1"/>
  <c r="N38" i="83"/>
  <c r="L38" i="83"/>
  <c r="B38" i="83"/>
  <c r="Z37" i="83"/>
  <c r="X37" i="83"/>
  <c r="N37" i="83"/>
  <c r="L37" i="83"/>
  <c r="B37" i="83"/>
  <c r="X36" i="83"/>
  <c r="Z36" i="83" s="1"/>
  <c r="R36" i="83"/>
  <c r="N36" i="83"/>
  <c r="L36" i="83"/>
  <c r="B36" i="83"/>
  <c r="X35" i="83"/>
  <c r="Z35" i="83" s="1"/>
  <c r="N35" i="83"/>
  <c r="L35" i="83"/>
  <c r="J35" i="83"/>
  <c r="B35" i="83"/>
  <c r="Z34" i="83"/>
  <c r="X34" i="83"/>
  <c r="N34" i="83"/>
  <c r="L34" i="83"/>
  <c r="B34" i="83"/>
  <c r="X33" i="83"/>
  <c r="Z33" i="83" s="1"/>
  <c r="N33" i="83"/>
  <c r="L33" i="83"/>
  <c r="B33" i="83"/>
  <c r="T32" i="83"/>
  <c r="R32" i="83"/>
  <c r="P32" i="83"/>
  <c r="L32" i="83"/>
  <c r="H32" i="83"/>
  <c r="N32" i="83" s="1"/>
  <c r="D32" i="83"/>
  <c r="B32" i="83"/>
  <c r="Z31" i="83"/>
  <c r="X31" i="83"/>
  <c r="V31" i="83"/>
  <c r="R31" i="83"/>
  <c r="N31" i="83"/>
  <c r="L31" i="83"/>
  <c r="B31" i="83"/>
  <c r="Z30" i="83"/>
  <c r="X30" i="83"/>
  <c r="L30" i="83"/>
  <c r="N30" i="83" s="1"/>
  <c r="J30" i="83"/>
  <c r="B30" i="83"/>
  <c r="Z29" i="83"/>
  <c r="X29" i="83"/>
  <c r="R29" i="83"/>
  <c r="L29" i="83"/>
  <c r="N29" i="83" s="1"/>
  <c r="B29" i="83"/>
  <c r="Z28" i="83"/>
  <c r="X28" i="83"/>
  <c r="N28" i="83"/>
  <c r="L28" i="83"/>
  <c r="B28" i="83"/>
  <c r="Z27" i="83"/>
  <c r="X27" i="83"/>
  <c r="V27" i="83"/>
  <c r="R27" i="83"/>
  <c r="N27" i="83"/>
  <c r="L27" i="83"/>
  <c r="B27" i="83"/>
  <c r="Z26" i="83"/>
  <c r="X26" i="83"/>
  <c r="L26" i="83"/>
  <c r="N26" i="83" s="1"/>
  <c r="J26" i="83"/>
  <c r="B26" i="83"/>
  <c r="Z25" i="83"/>
  <c r="X25" i="83"/>
  <c r="R25" i="83"/>
  <c r="L25" i="83"/>
  <c r="N25" i="83" s="1"/>
  <c r="B25" i="83"/>
  <c r="Z24" i="83"/>
  <c r="X24" i="83"/>
  <c r="L24" i="83"/>
  <c r="N24" i="83" s="1"/>
  <c r="B24" i="83"/>
  <c r="T23" i="83"/>
  <c r="P23" i="83"/>
  <c r="X23" i="83" s="1"/>
  <c r="H23" i="83"/>
  <c r="N23" i="83" s="1"/>
  <c r="D23" i="83"/>
  <c r="L23" i="83" s="1"/>
  <c r="B23" i="83"/>
  <c r="V22" i="83"/>
  <c r="T22" i="83"/>
  <c r="P22" i="83"/>
  <c r="X22" i="83" s="1"/>
  <c r="H22" i="83"/>
  <c r="D22" i="83"/>
  <c r="L22" i="83" s="1"/>
  <c r="X18" i="83"/>
  <c r="Z18" i="83" s="1"/>
  <c r="L18" i="83"/>
  <c r="N18" i="83" s="1"/>
  <c r="B18" i="83"/>
  <c r="X17" i="83"/>
  <c r="Z17" i="83" s="1"/>
  <c r="L17" i="83"/>
  <c r="N17" i="83" s="1"/>
  <c r="B17" i="83"/>
  <c r="T16" i="83"/>
  <c r="Z16" i="83" s="1"/>
  <c r="P16" i="83"/>
  <c r="X16" i="83" s="1"/>
  <c r="L16" i="83"/>
  <c r="J16" i="83"/>
  <c r="H16" i="83"/>
  <c r="N16" i="83" s="1"/>
  <c r="D16" i="83"/>
  <c r="T14" i="83"/>
  <c r="P14" i="83"/>
  <c r="X14" i="83" s="1"/>
  <c r="H14" i="83"/>
  <c r="D14" i="83"/>
  <c r="L14" i="83" s="1"/>
  <c r="N14" i="83" s="1"/>
  <c r="B14" i="83"/>
  <c r="T13" i="83"/>
  <c r="P13" i="83"/>
  <c r="L13" i="83"/>
  <c r="H13" i="83"/>
  <c r="H12" i="83" s="1"/>
  <c r="J51" i="83" s="1"/>
  <c r="D13" i="83"/>
  <c r="D12" i="83" s="1"/>
  <c r="F51" i="83" s="1"/>
  <c r="B13" i="83"/>
  <c r="X12" i="83"/>
  <c r="T12" i="83"/>
  <c r="P12" i="83"/>
  <c r="R75" i="83" s="1"/>
  <c r="D6" i="83"/>
  <c r="D4" i="83"/>
  <c r="X32" i="82"/>
  <c r="Z32" i="82" s="1"/>
  <c r="N32" i="82"/>
  <c r="L32" i="82"/>
  <c r="T28" i="82"/>
  <c r="Z28" i="82" s="1"/>
  <c r="P28" i="82"/>
  <c r="X28" i="82" s="1"/>
  <c r="L28" i="82"/>
  <c r="H28" i="82"/>
  <c r="N28" i="82" s="1"/>
  <c r="D28" i="82"/>
  <c r="X26" i="82"/>
  <c r="Z26" i="82" s="1"/>
  <c r="N26" i="82"/>
  <c r="L26" i="82"/>
  <c r="B26" i="82"/>
  <c r="T25" i="82"/>
  <c r="P25" i="82"/>
  <c r="X25" i="82" s="1"/>
  <c r="Z25" i="82" s="1"/>
  <c r="N25" i="82"/>
  <c r="H25" i="82"/>
  <c r="D25" i="82"/>
  <c r="L25" i="82" s="1"/>
  <c r="B25" i="82"/>
  <c r="X24" i="82"/>
  <c r="Z24" i="82" s="1"/>
  <c r="T24" i="82"/>
  <c r="P24" i="82"/>
  <c r="H24" i="82"/>
  <c r="D24" i="82"/>
  <c r="X20" i="82"/>
  <c r="Z20" i="82" s="1"/>
  <c r="N20" i="82"/>
  <c r="L20" i="82"/>
  <c r="B20" i="82"/>
  <c r="X19" i="82"/>
  <c r="Z19" i="82" s="1"/>
  <c r="N19" i="82"/>
  <c r="L19" i="82"/>
  <c r="B19" i="82"/>
  <c r="T18" i="82"/>
  <c r="P18" i="82"/>
  <c r="L18" i="82"/>
  <c r="N18" i="82" s="1"/>
  <c r="H18" i="82"/>
  <c r="D18" i="82"/>
  <c r="T16" i="82"/>
  <c r="P16" i="82"/>
  <c r="X16" i="82" s="1"/>
  <c r="Z16" i="82" s="1"/>
  <c r="N16" i="82"/>
  <c r="H16" i="82"/>
  <c r="D16" i="82"/>
  <c r="L16" i="82" s="1"/>
  <c r="B16" i="82"/>
  <c r="X15" i="82"/>
  <c r="T15" i="82"/>
  <c r="Z15" i="82" s="1"/>
  <c r="P15" i="82"/>
  <c r="H15" i="82"/>
  <c r="D15" i="82"/>
  <c r="B15" i="82"/>
  <c r="X14" i="82"/>
  <c r="Z14" i="82" s="1"/>
  <c r="T14" i="82"/>
  <c r="P14" i="82"/>
  <c r="H14" i="82"/>
  <c r="H12" i="82" s="1"/>
  <c r="D14" i="82"/>
  <c r="L14" i="82" s="1"/>
  <c r="N14" i="82" s="1"/>
  <c r="B14" i="82"/>
  <c r="X13" i="82"/>
  <c r="Z13" i="82" s="1"/>
  <c r="T13" i="82"/>
  <c r="T12" i="82" s="1"/>
  <c r="P13" i="82"/>
  <c r="N13" i="82"/>
  <c r="H13" i="82"/>
  <c r="D13" i="82"/>
  <c r="L13" i="82" s="1"/>
  <c r="B13" i="82"/>
  <c r="P12" i="82"/>
  <c r="D6" i="82"/>
  <c r="D4" i="82"/>
  <c r="Z84" i="80"/>
  <c r="X84" i="80"/>
  <c r="L84" i="80"/>
  <c r="N84" i="80" s="1"/>
  <c r="T80" i="80"/>
  <c r="P80" i="80"/>
  <c r="L80" i="80"/>
  <c r="H80" i="80"/>
  <c r="N80" i="80" s="1"/>
  <c r="D80" i="80"/>
  <c r="X78" i="80"/>
  <c r="Z78" i="80" s="1"/>
  <c r="N78" i="80"/>
  <c r="L78" i="80"/>
  <c r="B78" i="80"/>
  <c r="X77" i="80"/>
  <c r="T77" i="80"/>
  <c r="Z77" i="80" s="1"/>
  <c r="P77" i="80"/>
  <c r="N77" i="80"/>
  <c r="L77" i="80"/>
  <c r="H77" i="80"/>
  <c r="D77" i="80"/>
  <c r="B77" i="80"/>
  <c r="Z76" i="80"/>
  <c r="X76" i="80"/>
  <c r="N76" i="80"/>
  <c r="L76" i="80"/>
  <c r="B76" i="80"/>
  <c r="T75" i="80"/>
  <c r="Z75" i="80" s="1"/>
  <c r="P75" i="80"/>
  <c r="X75" i="80" s="1"/>
  <c r="H75" i="80"/>
  <c r="N75" i="80" s="1"/>
  <c r="D75" i="80"/>
  <c r="L75" i="80" s="1"/>
  <c r="B75" i="80"/>
  <c r="X74" i="80"/>
  <c r="Z74" i="80" s="1"/>
  <c r="L74" i="80"/>
  <c r="N74" i="80" s="1"/>
  <c r="B74" i="80"/>
  <c r="T73" i="80"/>
  <c r="P73" i="80"/>
  <c r="X73" i="80" s="1"/>
  <c r="Z73" i="80" s="1"/>
  <c r="H73" i="80"/>
  <c r="D73" i="80"/>
  <c r="L73" i="80" s="1"/>
  <c r="N73" i="80" s="1"/>
  <c r="B73" i="80"/>
  <c r="X72" i="80"/>
  <c r="Z72" i="80" s="1"/>
  <c r="N72" i="80"/>
  <c r="L72" i="80"/>
  <c r="B72" i="80"/>
  <c r="Z71" i="80"/>
  <c r="X71" i="80"/>
  <c r="N71" i="80"/>
  <c r="L71" i="80"/>
  <c r="B71" i="80"/>
  <c r="X70" i="80"/>
  <c r="Z70" i="80" s="1"/>
  <c r="N70" i="80"/>
  <c r="L70" i="80"/>
  <c r="B70" i="80"/>
  <c r="X69" i="80"/>
  <c r="Z69" i="80" s="1"/>
  <c r="N69" i="80"/>
  <c r="L69" i="80"/>
  <c r="B69" i="80"/>
  <c r="X68" i="80"/>
  <c r="Z68" i="80" s="1"/>
  <c r="N68" i="80"/>
  <c r="L68" i="80"/>
  <c r="B68" i="80"/>
  <c r="Z67" i="80"/>
  <c r="X67" i="80"/>
  <c r="N67" i="80"/>
  <c r="L67" i="80"/>
  <c r="B67" i="80"/>
  <c r="Z66" i="80"/>
  <c r="X66" i="80"/>
  <c r="N66" i="80"/>
  <c r="L66" i="80"/>
  <c r="B66" i="80"/>
  <c r="X65" i="80"/>
  <c r="T65" i="80"/>
  <c r="Z65" i="80" s="1"/>
  <c r="P65" i="80"/>
  <c r="L65" i="80"/>
  <c r="N65" i="80" s="1"/>
  <c r="H65" i="80"/>
  <c r="F65" i="80"/>
  <c r="D65" i="80"/>
  <c r="B65" i="80"/>
  <c r="Z64" i="80"/>
  <c r="X64" i="80"/>
  <c r="N64" i="80"/>
  <c r="L64" i="80"/>
  <c r="B64" i="80"/>
  <c r="T63" i="80"/>
  <c r="Z63" i="80" s="1"/>
  <c r="P63" i="80"/>
  <c r="X63" i="80" s="1"/>
  <c r="H63" i="80"/>
  <c r="N63" i="80" s="1"/>
  <c r="D63" i="80"/>
  <c r="B63" i="80"/>
  <c r="X62" i="80"/>
  <c r="Z62" i="80" s="1"/>
  <c r="L62" i="80"/>
  <c r="N62" i="80" s="1"/>
  <c r="B62" i="80"/>
  <c r="Z61" i="80"/>
  <c r="X61" i="80"/>
  <c r="L61" i="80"/>
  <c r="N61" i="80" s="1"/>
  <c r="B61" i="80"/>
  <c r="X60" i="80"/>
  <c r="Z60" i="80" s="1"/>
  <c r="L60" i="80"/>
  <c r="N60" i="80" s="1"/>
  <c r="B60" i="80"/>
  <c r="T59" i="80"/>
  <c r="P59" i="80"/>
  <c r="X59" i="80" s="1"/>
  <c r="Z59" i="80" s="1"/>
  <c r="H59" i="80"/>
  <c r="D59" i="80"/>
  <c r="L59" i="80" s="1"/>
  <c r="N59" i="80" s="1"/>
  <c r="B59" i="80"/>
  <c r="X58" i="80"/>
  <c r="Z58" i="80" s="1"/>
  <c r="N58" i="80"/>
  <c r="L58" i="80"/>
  <c r="B58" i="80"/>
  <c r="X57" i="80"/>
  <c r="Z57" i="80" s="1"/>
  <c r="N57" i="80"/>
  <c r="L57" i="80"/>
  <c r="B57" i="80"/>
  <c r="X56" i="80"/>
  <c r="T56" i="80"/>
  <c r="P56" i="80"/>
  <c r="H56" i="80"/>
  <c r="F56" i="80"/>
  <c r="D56" i="80"/>
  <c r="L56" i="80" s="1"/>
  <c r="B56" i="80"/>
  <c r="Z55" i="80"/>
  <c r="X55" i="80"/>
  <c r="L55" i="80"/>
  <c r="N55" i="80" s="1"/>
  <c r="B55" i="80"/>
  <c r="T54" i="80"/>
  <c r="P54" i="80"/>
  <c r="H54" i="80"/>
  <c r="D54" i="80"/>
  <c r="L54" i="80" s="1"/>
  <c r="N54" i="80" s="1"/>
  <c r="B54" i="80"/>
  <c r="Z53" i="80"/>
  <c r="X53" i="80"/>
  <c r="L53" i="80"/>
  <c r="N53" i="80" s="1"/>
  <c r="B53" i="80"/>
  <c r="T52" i="80"/>
  <c r="P52" i="80"/>
  <c r="H52" i="80"/>
  <c r="N52" i="80" s="1"/>
  <c r="D52" i="80"/>
  <c r="L52" i="80" s="1"/>
  <c r="B52" i="80"/>
  <c r="Z51" i="80"/>
  <c r="X51" i="80"/>
  <c r="N51" i="80"/>
  <c r="L51" i="80"/>
  <c r="F51" i="80"/>
  <c r="B51" i="80"/>
  <c r="T50" i="80"/>
  <c r="P50" i="80"/>
  <c r="X50" i="80" s="1"/>
  <c r="L50" i="80"/>
  <c r="H50" i="80"/>
  <c r="N50" i="80" s="1"/>
  <c r="D50" i="80"/>
  <c r="B50" i="80"/>
  <c r="Z49" i="80"/>
  <c r="X49" i="80"/>
  <c r="V49" i="80"/>
  <c r="N49" i="80"/>
  <c r="L49" i="80"/>
  <c r="B49" i="80"/>
  <c r="T48" i="80"/>
  <c r="P48" i="80"/>
  <c r="H48" i="80"/>
  <c r="D48" i="80"/>
  <c r="B48" i="80"/>
  <c r="X47" i="80"/>
  <c r="Z47" i="80" s="1"/>
  <c r="N47" i="80"/>
  <c r="L47" i="80"/>
  <c r="B47" i="80"/>
  <c r="T46" i="80"/>
  <c r="P46" i="80"/>
  <c r="X46" i="80" s="1"/>
  <c r="H46" i="80"/>
  <c r="N46" i="80" s="1"/>
  <c r="D46" i="80"/>
  <c r="L46" i="80" s="1"/>
  <c r="B46" i="80"/>
  <c r="X45" i="80"/>
  <c r="Z45" i="80" s="1"/>
  <c r="N45" i="80"/>
  <c r="L45" i="80"/>
  <c r="F45" i="80"/>
  <c r="B45" i="80"/>
  <c r="X44" i="80"/>
  <c r="T44" i="80"/>
  <c r="P44" i="80"/>
  <c r="L44" i="80"/>
  <c r="N44" i="80" s="1"/>
  <c r="H44" i="80"/>
  <c r="D44" i="80"/>
  <c r="B44" i="80"/>
  <c r="Z43" i="80"/>
  <c r="X43" i="80"/>
  <c r="L43" i="80"/>
  <c r="N43" i="80" s="1"/>
  <c r="B43" i="80"/>
  <c r="X42" i="80"/>
  <c r="Z42" i="80" s="1"/>
  <c r="T42" i="80"/>
  <c r="P42" i="80"/>
  <c r="H42" i="80"/>
  <c r="D42" i="80"/>
  <c r="B42" i="80"/>
  <c r="Z41" i="80"/>
  <c r="X41" i="80"/>
  <c r="L41" i="80"/>
  <c r="N41" i="80" s="1"/>
  <c r="B41" i="80"/>
  <c r="T40" i="80"/>
  <c r="P40" i="80"/>
  <c r="H40" i="80"/>
  <c r="D40" i="80"/>
  <c r="B40" i="80"/>
  <c r="X39" i="80"/>
  <c r="Z39" i="80" s="1"/>
  <c r="N39" i="80"/>
  <c r="L39" i="80"/>
  <c r="F39" i="80"/>
  <c r="B39" i="80"/>
  <c r="T38" i="80"/>
  <c r="Z38" i="80" s="1"/>
  <c r="P38" i="80"/>
  <c r="X38" i="80" s="1"/>
  <c r="H38" i="80"/>
  <c r="N38" i="80" s="1"/>
  <c r="D38" i="80"/>
  <c r="B38" i="80"/>
  <c r="Z37" i="80"/>
  <c r="X37" i="80"/>
  <c r="N37" i="80"/>
  <c r="L37" i="80"/>
  <c r="B37" i="80"/>
  <c r="Z36" i="80"/>
  <c r="X36" i="80"/>
  <c r="L36" i="80"/>
  <c r="N36" i="80" s="1"/>
  <c r="B36" i="80"/>
  <c r="Z35" i="80"/>
  <c r="X35" i="80"/>
  <c r="N35" i="80"/>
  <c r="L35" i="80"/>
  <c r="B35" i="80"/>
  <c r="Z34" i="80"/>
  <c r="X34" i="80"/>
  <c r="N34" i="80"/>
  <c r="L34" i="80"/>
  <c r="B34" i="80"/>
  <c r="Z33" i="80"/>
  <c r="X33" i="80"/>
  <c r="N33" i="80"/>
  <c r="L33" i="80"/>
  <c r="B33" i="80"/>
  <c r="T32" i="80"/>
  <c r="P32" i="80"/>
  <c r="X32" i="80" s="1"/>
  <c r="Z32" i="80" s="1"/>
  <c r="H32" i="80"/>
  <c r="N32" i="80" s="1"/>
  <c r="D32" i="80"/>
  <c r="L32" i="80" s="1"/>
  <c r="B32" i="80"/>
  <c r="X31" i="80"/>
  <c r="Z31" i="80" s="1"/>
  <c r="L31" i="80"/>
  <c r="N31" i="80" s="1"/>
  <c r="B31" i="80"/>
  <c r="X30" i="80"/>
  <c r="Z30" i="80" s="1"/>
  <c r="N30" i="80"/>
  <c r="L30" i="80"/>
  <c r="B30" i="80"/>
  <c r="Z29" i="80"/>
  <c r="X29" i="80"/>
  <c r="L29" i="80"/>
  <c r="N29" i="80" s="1"/>
  <c r="B29" i="80"/>
  <c r="X28" i="80"/>
  <c r="Z28" i="80" s="1"/>
  <c r="N28" i="80"/>
  <c r="L28" i="80"/>
  <c r="B28" i="80"/>
  <c r="X27" i="80"/>
  <c r="Z27" i="80" s="1"/>
  <c r="L27" i="80"/>
  <c r="N27" i="80" s="1"/>
  <c r="B27" i="80"/>
  <c r="X26" i="80"/>
  <c r="Z26" i="80" s="1"/>
  <c r="L26" i="80"/>
  <c r="N26" i="80" s="1"/>
  <c r="B26" i="80"/>
  <c r="Z25" i="80"/>
  <c r="X25" i="80"/>
  <c r="N25" i="80"/>
  <c r="L25" i="80"/>
  <c r="B25" i="80"/>
  <c r="X24" i="80"/>
  <c r="Z24" i="80" s="1"/>
  <c r="L24" i="80"/>
  <c r="N24" i="80" s="1"/>
  <c r="B24" i="80"/>
  <c r="X23" i="80"/>
  <c r="Z23" i="80" s="1"/>
  <c r="T23" i="80"/>
  <c r="P23" i="80"/>
  <c r="L23" i="80"/>
  <c r="N23" i="80" s="1"/>
  <c r="H23" i="80"/>
  <c r="D23" i="80"/>
  <c r="B23" i="80"/>
  <c r="T22" i="80"/>
  <c r="P22" i="80"/>
  <c r="X22" i="80" s="1"/>
  <c r="Z22" i="80" s="1"/>
  <c r="H22" i="80"/>
  <c r="D22" i="80"/>
  <c r="L22" i="80" s="1"/>
  <c r="Z18" i="80"/>
  <c r="X18" i="80"/>
  <c r="L18" i="80"/>
  <c r="N18" i="80" s="1"/>
  <c r="B18" i="80"/>
  <c r="Z17" i="80"/>
  <c r="X17" i="80"/>
  <c r="L17" i="80"/>
  <c r="N17" i="80" s="1"/>
  <c r="B17" i="80"/>
  <c r="T16" i="80"/>
  <c r="X16" i="80" s="1"/>
  <c r="P16" i="80"/>
  <c r="H16" i="80"/>
  <c r="D16" i="80"/>
  <c r="T14" i="80"/>
  <c r="P14" i="80"/>
  <c r="X14" i="80" s="1"/>
  <c r="Z14" i="80" s="1"/>
  <c r="L14" i="80"/>
  <c r="N14" i="80" s="1"/>
  <c r="H14" i="80"/>
  <c r="D14" i="80"/>
  <c r="B14" i="80"/>
  <c r="Z13" i="80"/>
  <c r="T13" i="80"/>
  <c r="P13" i="80"/>
  <c r="X13" i="80" s="1"/>
  <c r="H13" i="80"/>
  <c r="D13" i="80"/>
  <c r="L13" i="80" s="1"/>
  <c r="B13" i="80"/>
  <c r="T12" i="80"/>
  <c r="V61" i="80" s="1"/>
  <c r="P12" i="80"/>
  <c r="D12" i="80"/>
  <c r="F28" i="80" s="1"/>
  <c r="D6" i="80"/>
  <c r="D4" i="80"/>
  <c r="X75" i="79"/>
  <c r="Z75" i="79" s="1"/>
  <c r="L75" i="79"/>
  <c r="N75" i="79" s="1"/>
  <c r="T71" i="79"/>
  <c r="X71" i="79" s="1"/>
  <c r="P71" i="79"/>
  <c r="H71" i="79"/>
  <c r="N71" i="79" s="1"/>
  <c r="D71" i="79"/>
  <c r="X69" i="79"/>
  <c r="Z69" i="79" s="1"/>
  <c r="L69" i="79"/>
  <c r="N69" i="79" s="1"/>
  <c r="B69" i="79"/>
  <c r="Z68" i="79"/>
  <c r="T68" i="79"/>
  <c r="P68" i="79"/>
  <c r="X68" i="79" s="1"/>
  <c r="H68" i="79"/>
  <c r="D68" i="79"/>
  <c r="L68" i="79" s="1"/>
  <c r="N68" i="79" s="1"/>
  <c r="B68" i="79"/>
  <c r="X67" i="79"/>
  <c r="Z67" i="79" s="1"/>
  <c r="N67" i="79"/>
  <c r="L67" i="79"/>
  <c r="B67" i="79"/>
  <c r="X66" i="79"/>
  <c r="V66" i="79"/>
  <c r="T66" i="79"/>
  <c r="Z66" i="79" s="1"/>
  <c r="P66" i="79"/>
  <c r="N66" i="79"/>
  <c r="H66" i="79"/>
  <c r="L66" i="79" s="1"/>
  <c r="D66" i="79"/>
  <c r="B66" i="79"/>
  <c r="X65" i="79"/>
  <c r="Z65" i="79" s="1"/>
  <c r="L65" i="79"/>
  <c r="N65" i="79" s="1"/>
  <c r="B65" i="79"/>
  <c r="T64" i="79"/>
  <c r="P64" i="79"/>
  <c r="X64" i="79" s="1"/>
  <c r="L64" i="79"/>
  <c r="N64" i="79" s="1"/>
  <c r="H64" i="79"/>
  <c r="D64" i="79"/>
  <c r="B64" i="79"/>
  <c r="X63" i="79"/>
  <c r="Z63" i="79" s="1"/>
  <c r="V63" i="79"/>
  <c r="N63" i="79"/>
  <c r="L63" i="79"/>
  <c r="B63" i="79"/>
  <c r="Z62" i="79"/>
  <c r="X62" i="79"/>
  <c r="L62" i="79"/>
  <c r="N62" i="79" s="1"/>
  <c r="B62" i="79"/>
  <c r="X61" i="79"/>
  <c r="Z61" i="79" s="1"/>
  <c r="N61" i="79"/>
  <c r="L61" i="79"/>
  <c r="B61" i="79"/>
  <c r="Z60" i="79"/>
  <c r="X60" i="79"/>
  <c r="N60" i="79"/>
  <c r="L60" i="79"/>
  <c r="B60" i="79"/>
  <c r="X59" i="79"/>
  <c r="Z59" i="79" s="1"/>
  <c r="V59" i="79"/>
  <c r="N59" i="79"/>
  <c r="L59" i="79"/>
  <c r="B59" i="79"/>
  <c r="Z58" i="79"/>
  <c r="X58" i="79"/>
  <c r="N58" i="79"/>
  <c r="L58" i="79"/>
  <c r="B58" i="79"/>
  <c r="T57" i="79"/>
  <c r="X57" i="79" s="1"/>
  <c r="P57" i="79"/>
  <c r="H57" i="79"/>
  <c r="D57" i="79"/>
  <c r="L57" i="79" s="1"/>
  <c r="B57" i="79"/>
  <c r="Z56" i="79"/>
  <c r="X56" i="79"/>
  <c r="N56" i="79"/>
  <c r="L56" i="79"/>
  <c r="B56" i="79"/>
  <c r="X55" i="79"/>
  <c r="Z55" i="79" s="1"/>
  <c r="L55" i="79"/>
  <c r="N55" i="79" s="1"/>
  <c r="B55" i="79"/>
  <c r="X54" i="79"/>
  <c r="Z54" i="79" s="1"/>
  <c r="V54" i="79"/>
  <c r="L54" i="79"/>
  <c r="N54" i="79" s="1"/>
  <c r="B54" i="79"/>
  <c r="T53" i="79"/>
  <c r="P53" i="79"/>
  <c r="X53" i="79" s="1"/>
  <c r="Z53" i="79" s="1"/>
  <c r="H53" i="79"/>
  <c r="N53" i="79" s="1"/>
  <c r="D53" i="79"/>
  <c r="L53" i="79" s="1"/>
  <c r="B53" i="79"/>
  <c r="Z52" i="79"/>
  <c r="X52" i="79"/>
  <c r="N52" i="79"/>
  <c r="L52" i="79"/>
  <c r="B52" i="79"/>
  <c r="X51" i="79"/>
  <c r="T51" i="79"/>
  <c r="Z51" i="79" s="1"/>
  <c r="P51" i="79"/>
  <c r="L51" i="79"/>
  <c r="N51" i="79" s="1"/>
  <c r="H51" i="79"/>
  <c r="D51" i="79"/>
  <c r="B51" i="79"/>
  <c r="Z50" i="79"/>
  <c r="X50" i="79"/>
  <c r="L50" i="79"/>
  <c r="N50" i="79" s="1"/>
  <c r="B50" i="79"/>
  <c r="X49" i="79"/>
  <c r="Z49" i="79" s="1"/>
  <c r="L49" i="79"/>
  <c r="N49" i="79" s="1"/>
  <c r="B49" i="79"/>
  <c r="Z48" i="79"/>
  <c r="X48" i="79"/>
  <c r="N48" i="79"/>
  <c r="L48" i="79"/>
  <c r="B48" i="79"/>
  <c r="T47" i="79"/>
  <c r="P47" i="79"/>
  <c r="H47" i="79"/>
  <c r="N47" i="79" s="1"/>
  <c r="D47" i="79"/>
  <c r="L47" i="79" s="1"/>
  <c r="B47" i="79"/>
  <c r="X46" i="79"/>
  <c r="Z46" i="79" s="1"/>
  <c r="V46" i="79"/>
  <c r="N46" i="79"/>
  <c r="L46" i="79"/>
  <c r="B46" i="79"/>
  <c r="T45" i="79"/>
  <c r="P45" i="79"/>
  <c r="X45" i="79" s="1"/>
  <c r="Z45" i="79" s="1"/>
  <c r="H45" i="79"/>
  <c r="N45" i="79" s="1"/>
  <c r="D45" i="79"/>
  <c r="L45" i="79" s="1"/>
  <c r="B45" i="79"/>
  <c r="Z44" i="79"/>
  <c r="X44" i="79"/>
  <c r="N44" i="79"/>
  <c r="L44" i="79"/>
  <c r="B44" i="79"/>
  <c r="X43" i="79"/>
  <c r="T43" i="79"/>
  <c r="Z43" i="79" s="1"/>
  <c r="P43" i="79"/>
  <c r="L43" i="79"/>
  <c r="N43" i="79" s="1"/>
  <c r="H43" i="79"/>
  <c r="D43" i="79"/>
  <c r="B43" i="79"/>
  <c r="Z42" i="79"/>
  <c r="X42" i="79"/>
  <c r="L42" i="79"/>
  <c r="N42" i="79" s="1"/>
  <c r="B42" i="79"/>
  <c r="T41" i="79"/>
  <c r="X41" i="79" s="1"/>
  <c r="P41" i="79"/>
  <c r="H41" i="79"/>
  <c r="D41" i="79"/>
  <c r="L41" i="79" s="1"/>
  <c r="B41" i="79"/>
  <c r="Z40" i="79"/>
  <c r="X40" i="79"/>
  <c r="V40" i="79"/>
  <c r="N40" i="79"/>
  <c r="L40" i="79"/>
  <c r="B40" i="79"/>
  <c r="T39" i="79"/>
  <c r="Z39" i="79" s="1"/>
  <c r="P39" i="79"/>
  <c r="X39" i="79" s="1"/>
  <c r="H39" i="79"/>
  <c r="D39" i="79"/>
  <c r="L39" i="79" s="1"/>
  <c r="N39" i="79" s="1"/>
  <c r="B39" i="79"/>
  <c r="X38" i="79"/>
  <c r="Z38" i="79" s="1"/>
  <c r="N38" i="79"/>
  <c r="L38" i="79"/>
  <c r="B38" i="79"/>
  <c r="X37" i="79"/>
  <c r="Z37" i="79" s="1"/>
  <c r="T37" i="79"/>
  <c r="P37" i="79"/>
  <c r="L37" i="79"/>
  <c r="H37" i="79"/>
  <c r="N37" i="79" s="1"/>
  <c r="D37" i="79"/>
  <c r="B37" i="79"/>
  <c r="Z36" i="79"/>
  <c r="X36" i="79"/>
  <c r="N36" i="79"/>
  <c r="L36" i="79"/>
  <c r="B36" i="79"/>
  <c r="X35" i="79"/>
  <c r="Z35" i="79" s="1"/>
  <c r="V35" i="79"/>
  <c r="L35" i="79"/>
  <c r="N35" i="79" s="1"/>
  <c r="B35" i="79"/>
  <c r="Z34" i="79"/>
  <c r="X34" i="79"/>
  <c r="L34" i="79"/>
  <c r="N34" i="79" s="1"/>
  <c r="B34" i="79"/>
  <c r="X33" i="79"/>
  <c r="Z33" i="79" s="1"/>
  <c r="L33" i="79"/>
  <c r="N33" i="79" s="1"/>
  <c r="B33" i="79"/>
  <c r="Z32" i="79"/>
  <c r="X32" i="79"/>
  <c r="N32" i="79"/>
  <c r="L32" i="79"/>
  <c r="B32" i="79"/>
  <c r="T31" i="79"/>
  <c r="P31" i="79"/>
  <c r="X31" i="79" s="1"/>
  <c r="H31" i="79"/>
  <c r="N31" i="79" s="1"/>
  <c r="D31" i="79"/>
  <c r="L31" i="79" s="1"/>
  <c r="B31" i="79"/>
  <c r="Z30" i="79"/>
  <c r="X30" i="79"/>
  <c r="V30" i="79"/>
  <c r="N30" i="79"/>
  <c r="L30" i="79"/>
  <c r="B30" i="79"/>
  <c r="Z29" i="79"/>
  <c r="X29" i="79"/>
  <c r="N29" i="79"/>
  <c r="L29" i="79"/>
  <c r="B29" i="79"/>
  <c r="Z28" i="79"/>
  <c r="X28" i="79"/>
  <c r="V28" i="79"/>
  <c r="N28" i="79"/>
  <c r="L28" i="79"/>
  <c r="B28" i="79"/>
  <c r="X27" i="79"/>
  <c r="Z27" i="79" s="1"/>
  <c r="L27" i="79"/>
  <c r="N27" i="79" s="1"/>
  <c r="B27" i="79"/>
  <c r="Z26" i="79"/>
  <c r="X26" i="79"/>
  <c r="V26" i="79"/>
  <c r="N26" i="79"/>
  <c r="L26" i="79"/>
  <c r="B26" i="79"/>
  <c r="X25" i="79"/>
  <c r="Z25" i="79" s="1"/>
  <c r="L25" i="79"/>
  <c r="N25" i="79" s="1"/>
  <c r="B25" i="79"/>
  <c r="Z24" i="79"/>
  <c r="X24" i="79"/>
  <c r="V24" i="79"/>
  <c r="N24" i="79"/>
  <c r="L24" i="79"/>
  <c r="B24" i="79"/>
  <c r="T23" i="79"/>
  <c r="Z23" i="79" s="1"/>
  <c r="P23" i="79"/>
  <c r="X23" i="79" s="1"/>
  <c r="H23" i="79"/>
  <c r="D23" i="79"/>
  <c r="L23" i="79" s="1"/>
  <c r="N23" i="79" s="1"/>
  <c r="B23" i="79"/>
  <c r="T22" i="79"/>
  <c r="P22" i="79"/>
  <c r="X22" i="79" s="1"/>
  <c r="H22" i="79"/>
  <c r="D22" i="79"/>
  <c r="X18" i="79"/>
  <c r="Z18" i="79" s="1"/>
  <c r="N18" i="79"/>
  <c r="L18" i="79"/>
  <c r="B18" i="79"/>
  <c r="Z17" i="79"/>
  <c r="X17" i="79"/>
  <c r="L17" i="79"/>
  <c r="N17" i="79" s="1"/>
  <c r="B17" i="79"/>
  <c r="T16" i="79"/>
  <c r="P16" i="79"/>
  <c r="H16" i="79"/>
  <c r="N16" i="79" s="1"/>
  <c r="D16" i="79"/>
  <c r="L16" i="79" s="1"/>
  <c r="T14" i="79"/>
  <c r="P14" i="79"/>
  <c r="X14" i="79" s="1"/>
  <c r="Z14" i="79" s="1"/>
  <c r="N14" i="79"/>
  <c r="H14" i="79"/>
  <c r="D14" i="79"/>
  <c r="L14" i="79" s="1"/>
  <c r="B14" i="79"/>
  <c r="X13" i="79"/>
  <c r="T13" i="79"/>
  <c r="Z13" i="79" s="1"/>
  <c r="P13" i="79"/>
  <c r="P12" i="79" s="1"/>
  <c r="H13" i="79"/>
  <c r="D13" i="79"/>
  <c r="B13" i="79"/>
  <c r="T12" i="79"/>
  <c r="V38" i="79" s="1"/>
  <c r="D6" i="79"/>
  <c r="D4" i="79"/>
  <c r="Z75" i="78"/>
  <c r="X75" i="78"/>
  <c r="N75" i="78"/>
  <c r="L75" i="78"/>
  <c r="T71" i="78"/>
  <c r="P71" i="78"/>
  <c r="H71" i="78"/>
  <c r="N71" i="78" s="1"/>
  <c r="D71" i="78"/>
  <c r="L71" i="78" s="1"/>
  <c r="B71" i="78"/>
  <c r="T70" i="78"/>
  <c r="P70" i="78"/>
  <c r="H70" i="78"/>
  <c r="N70" i="78" s="1"/>
  <c r="D70" i="78"/>
  <c r="L70" i="78" s="1"/>
  <c r="B70" i="78"/>
  <c r="X69" i="78"/>
  <c r="T69" i="78"/>
  <c r="P69" i="78"/>
  <c r="H69" i="78"/>
  <c r="L69" i="78" s="1"/>
  <c r="N69" i="78" s="1"/>
  <c r="D69" i="78"/>
  <c r="B69" i="78"/>
  <c r="Z68" i="78"/>
  <c r="X68" i="78"/>
  <c r="T68" i="78"/>
  <c r="P68" i="78"/>
  <c r="L68" i="78"/>
  <c r="H68" i="78"/>
  <c r="N68" i="78" s="1"/>
  <c r="D68" i="78"/>
  <c r="B68" i="78"/>
  <c r="T67" i="78"/>
  <c r="P67" i="78"/>
  <c r="X67" i="78" s="1"/>
  <c r="Z67" i="78" s="1"/>
  <c r="H67" i="78"/>
  <c r="D67" i="78"/>
  <c r="B67" i="78"/>
  <c r="P66" i="78"/>
  <c r="Z64" i="78"/>
  <c r="X64" i="78"/>
  <c r="L64" i="78"/>
  <c r="N64" i="78" s="1"/>
  <c r="B64" i="78"/>
  <c r="X63" i="78"/>
  <c r="T63" i="78"/>
  <c r="P63" i="78"/>
  <c r="H63" i="78"/>
  <c r="L63" i="78" s="1"/>
  <c r="N63" i="78" s="1"/>
  <c r="D63" i="78"/>
  <c r="B63" i="78"/>
  <c r="X62" i="78"/>
  <c r="Z62" i="78" s="1"/>
  <c r="L62" i="78"/>
  <c r="N62" i="78" s="1"/>
  <c r="B62" i="78"/>
  <c r="Z61" i="78"/>
  <c r="X61" i="78"/>
  <c r="R61" i="78"/>
  <c r="N61" i="78"/>
  <c r="L61" i="78"/>
  <c r="B61" i="78"/>
  <c r="X60" i="78"/>
  <c r="Z60" i="78" s="1"/>
  <c r="L60" i="78"/>
  <c r="N60" i="78" s="1"/>
  <c r="J60" i="78"/>
  <c r="B60" i="78"/>
  <c r="T59" i="78"/>
  <c r="Z59" i="78" s="1"/>
  <c r="P59" i="78"/>
  <c r="X59" i="78" s="1"/>
  <c r="H59" i="78"/>
  <c r="D59" i="78"/>
  <c r="B59" i="78"/>
  <c r="X58" i="78"/>
  <c r="Z58" i="78" s="1"/>
  <c r="L58" i="78"/>
  <c r="N58" i="78" s="1"/>
  <c r="B58" i="78"/>
  <c r="Z57" i="78"/>
  <c r="X57" i="78"/>
  <c r="N57" i="78"/>
  <c r="L57" i="78"/>
  <c r="B57" i="78"/>
  <c r="Z56" i="78"/>
  <c r="X56" i="78"/>
  <c r="R56" i="78"/>
  <c r="N56" i="78"/>
  <c r="L56" i="78"/>
  <c r="B56" i="78"/>
  <c r="T55" i="78"/>
  <c r="P55" i="78"/>
  <c r="X55" i="78" s="1"/>
  <c r="Z55" i="78" s="1"/>
  <c r="N55" i="78"/>
  <c r="H55" i="78"/>
  <c r="D55" i="78"/>
  <c r="L55" i="78" s="1"/>
  <c r="B55" i="78"/>
  <c r="X54" i="78"/>
  <c r="Z54" i="78" s="1"/>
  <c r="L54" i="78"/>
  <c r="N54" i="78" s="1"/>
  <c r="B54" i="78"/>
  <c r="T53" i="78"/>
  <c r="X53" i="78" s="1"/>
  <c r="Z53" i="78" s="1"/>
  <c r="P53" i="78"/>
  <c r="L53" i="78"/>
  <c r="J53" i="78"/>
  <c r="H53" i="78"/>
  <c r="D53" i="78"/>
  <c r="B53" i="78"/>
  <c r="X52" i="78"/>
  <c r="Z52" i="78" s="1"/>
  <c r="L52" i="78"/>
  <c r="N52" i="78" s="1"/>
  <c r="J52" i="78"/>
  <c r="B52" i="78"/>
  <c r="X51" i="78"/>
  <c r="Z51" i="78" s="1"/>
  <c r="N51" i="78"/>
  <c r="L51" i="78"/>
  <c r="B51" i="78"/>
  <c r="X50" i="78"/>
  <c r="Z50" i="78" s="1"/>
  <c r="T50" i="78"/>
  <c r="P50" i="78"/>
  <c r="L50" i="78"/>
  <c r="H50" i="78"/>
  <c r="N50" i="78" s="1"/>
  <c r="D50" i="78"/>
  <c r="B50" i="78"/>
  <c r="Z49" i="78"/>
  <c r="X49" i="78"/>
  <c r="N49" i="78"/>
  <c r="L49" i="78"/>
  <c r="J49" i="78"/>
  <c r="B49" i="78"/>
  <c r="T48" i="78"/>
  <c r="P48" i="78"/>
  <c r="H48" i="78"/>
  <c r="N48" i="78" s="1"/>
  <c r="D48" i="78"/>
  <c r="L48" i="78" s="1"/>
  <c r="B48" i="78"/>
  <c r="X47" i="78"/>
  <c r="Z47" i="78" s="1"/>
  <c r="L47" i="78"/>
  <c r="N47" i="78" s="1"/>
  <c r="B47" i="78"/>
  <c r="T46" i="78"/>
  <c r="P46" i="78"/>
  <c r="X46" i="78" s="1"/>
  <c r="Z46" i="78" s="1"/>
  <c r="H46" i="78"/>
  <c r="D46" i="78"/>
  <c r="L46" i="78" s="1"/>
  <c r="B46" i="78"/>
  <c r="Z45" i="78"/>
  <c r="X45" i="78"/>
  <c r="N45" i="78"/>
  <c r="L45" i="78"/>
  <c r="B45" i="78"/>
  <c r="X44" i="78"/>
  <c r="Z44" i="78" s="1"/>
  <c r="N44" i="78"/>
  <c r="L44" i="78"/>
  <c r="J44" i="78"/>
  <c r="B44" i="78"/>
  <c r="X43" i="78"/>
  <c r="Z43" i="78" s="1"/>
  <c r="N43" i="78"/>
  <c r="L43" i="78"/>
  <c r="B43" i="78"/>
  <c r="X42" i="78"/>
  <c r="Z42" i="78" s="1"/>
  <c r="N42" i="78"/>
  <c r="L42" i="78"/>
  <c r="B42" i="78"/>
  <c r="Z41" i="78"/>
  <c r="X41" i="78"/>
  <c r="N41" i="78"/>
  <c r="L41" i="78"/>
  <c r="B41" i="78"/>
  <c r="X40" i="78"/>
  <c r="Z40" i="78" s="1"/>
  <c r="L40" i="78"/>
  <c r="N40" i="78" s="1"/>
  <c r="J40" i="78"/>
  <c r="B40" i="78"/>
  <c r="T39" i="78"/>
  <c r="P39" i="78"/>
  <c r="X39" i="78" s="1"/>
  <c r="H39" i="78"/>
  <c r="D39" i="78"/>
  <c r="L39" i="78" s="1"/>
  <c r="B39" i="78"/>
  <c r="X38" i="78"/>
  <c r="Z38" i="78" s="1"/>
  <c r="N38" i="78"/>
  <c r="L38" i="78"/>
  <c r="B38" i="78"/>
  <c r="Z37" i="78"/>
  <c r="X37" i="78"/>
  <c r="N37" i="78"/>
  <c r="L37" i="78"/>
  <c r="J37" i="78"/>
  <c r="B37" i="78"/>
  <c r="X36" i="78"/>
  <c r="Z36" i="78" s="1"/>
  <c r="N36" i="78"/>
  <c r="L36" i="78"/>
  <c r="B36" i="78"/>
  <c r="Z35" i="78"/>
  <c r="X35" i="78"/>
  <c r="N35" i="78"/>
  <c r="L35" i="78"/>
  <c r="J35" i="78"/>
  <c r="B35" i="78"/>
  <c r="X34" i="78"/>
  <c r="Z34" i="78" s="1"/>
  <c r="L34" i="78"/>
  <c r="N34" i="78" s="1"/>
  <c r="B34" i="78"/>
  <c r="Z33" i="78"/>
  <c r="X33" i="78"/>
  <c r="N33" i="78"/>
  <c r="L33" i="78"/>
  <c r="J33" i="78"/>
  <c r="B33" i="78"/>
  <c r="X32" i="78"/>
  <c r="Z32" i="78" s="1"/>
  <c r="N32" i="78"/>
  <c r="L32" i="78"/>
  <c r="B32" i="78"/>
  <c r="Z31" i="78"/>
  <c r="X31" i="78"/>
  <c r="L31" i="78"/>
  <c r="N31" i="78" s="1"/>
  <c r="J31" i="78"/>
  <c r="B31" i="78"/>
  <c r="T30" i="78"/>
  <c r="P30" i="78"/>
  <c r="X30" i="78" s="1"/>
  <c r="J30" i="78"/>
  <c r="H30" i="78"/>
  <c r="D30" i="78"/>
  <c r="B30" i="78"/>
  <c r="T29" i="78"/>
  <c r="P29" i="78"/>
  <c r="H29" i="78"/>
  <c r="D29" i="78"/>
  <c r="Z25" i="78"/>
  <c r="X25" i="78"/>
  <c r="N25" i="78"/>
  <c r="L25" i="78"/>
  <c r="B25" i="78"/>
  <c r="Z24" i="78"/>
  <c r="X24" i="78"/>
  <c r="L24" i="78"/>
  <c r="N24" i="78" s="1"/>
  <c r="B24" i="78"/>
  <c r="X23" i="78"/>
  <c r="Z23" i="78" s="1"/>
  <c r="L23" i="78"/>
  <c r="N23" i="78" s="1"/>
  <c r="B23" i="78"/>
  <c r="Z22" i="78"/>
  <c r="X22" i="78"/>
  <c r="N22" i="78"/>
  <c r="L22" i="78"/>
  <c r="B22" i="78"/>
  <c r="Z21" i="78"/>
  <c r="X21" i="78"/>
  <c r="N21" i="78"/>
  <c r="L21" i="78"/>
  <c r="B21" i="78"/>
  <c r="T20" i="78"/>
  <c r="P20" i="78"/>
  <c r="X20" i="78" s="1"/>
  <c r="Z20" i="78" s="1"/>
  <c r="H20" i="78"/>
  <c r="D20" i="78"/>
  <c r="L20" i="78" s="1"/>
  <c r="N20" i="78" s="1"/>
  <c r="T18" i="78"/>
  <c r="P18" i="78"/>
  <c r="X18" i="78" s="1"/>
  <c r="Z18" i="78" s="1"/>
  <c r="L18" i="78"/>
  <c r="H18" i="78"/>
  <c r="N18" i="78" s="1"/>
  <c r="D18" i="78"/>
  <c r="B18" i="78"/>
  <c r="X17" i="78"/>
  <c r="T17" i="78"/>
  <c r="P17" i="78"/>
  <c r="L17" i="78"/>
  <c r="H17" i="78"/>
  <c r="N17" i="78" s="1"/>
  <c r="D17" i="78"/>
  <c r="B17" i="78"/>
  <c r="Z16" i="78"/>
  <c r="X16" i="78"/>
  <c r="T16" i="78"/>
  <c r="P16" i="78"/>
  <c r="L16" i="78"/>
  <c r="N16" i="78" s="1"/>
  <c r="H16" i="78"/>
  <c r="D16" i="78"/>
  <c r="B16" i="78"/>
  <c r="T15" i="78"/>
  <c r="Z15" i="78" s="1"/>
  <c r="P15" i="78"/>
  <c r="X15" i="78" s="1"/>
  <c r="H15" i="78"/>
  <c r="D15" i="78"/>
  <c r="L15" i="78" s="1"/>
  <c r="N15" i="78" s="1"/>
  <c r="B15" i="78"/>
  <c r="T14" i="78"/>
  <c r="P14" i="78"/>
  <c r="X14" i="78" s="1"/>
  <c r="Z14" i="78" s="1"/>
  <c r="L14" i="78"/>
  <c r="H14" i="78"/>
  <c r="N14" i="78" s="1"/>
  <c r="D14" i="78"/>
  <c r="B14" i="78"/>
  <c r="T13" i="78"/>
  <c r="X13" i="78" s="1"/>
  <c r="P13" i="78"/>
  <c r="P12" i="78" s="1"/>
  <c r="L13" i="78"/>
  <c r="H13" i="78"/>
  <c r="N13" i="78" s="1"/>
  <c r="D13" i="78"/>
  <c r="B13" i="78"/>
  <c r="H12" i="78"/>
  <c r="D6" i="78"/>
  <c r="D4" i="78"/>
  <c r="X121" i="76"/>
  <c r="Z121" i="76" s="1"/>
  <c r="N121" i="76"/>
  <c r="L121" i="76"/>
  <c r="T117" i="76"/>
  <c r="P117" i="76"/>
  <c r="X117" i="76" s="1"/>
  <c r="Z117" i="76" s="1"/>
  <c r="H117" i="76"/>
  <c r="D117" i="76"/>
  <c r="L117" i="76" s="1"/>
  <c r="N117" i="76" s="1"/>
  <c r="B117" i="76"/>
  <c r="T116" i="76"/>
  <c r="P116" i="76"/>
  <c r="H116" i="76"/>
  <c r="N116" i="76" s="1"/>
  <c r="D116" i="76"/>
  <c r="L116" i="76" s="1"/>
  <c r="B116" i="76"/>
  <c r="T115" i="76"/>
  <c r="P115" i="76"/>
  <c r="H115" i="76"/>
  <c r="D115" i="76"/>
  <c r="B115" i="76"/>
  <c r="X114" i="76"/>
  <c r="T114" i="76"/>
  <c r="P114" i="76"/>
  <c r="P113" i="76" s="1"/>
  <c r="H114" i="76"/>
  <c r="D114" i="76"/>
  <c r="L114" i="76" s="1"/>
  <c r="B114" i="76"/>
  <c r="H113" i="76"/>
  <c r="Z111" i="76"/>
  <c r="X111" i="76"/>
  <c r="N111" i="76"/>
  <c r="L111" i="76"/>
  <c r="B111" i="76"/>
  <c r="Z110" i="76"/>
  <c r="X110" i="76"/>
  <c r="N110" i="76"/>
  <c r="L110" i="76"/>
  <c r="B110" i="76"/>
  <c r="T109" i="76"/>
  <c r="P109" i="76"/>
  <c r="N109" i="76"/>
  <c r="L109" i="76"/>
  <c r="H109" i="76"/>
  <c r="D109" i="76"/>
  <c r="B109" i="76"/>
  <c r="Z108" i="76"/>
  <c r="X108" i="76"/>
  <c r="N108" i="76"/>
  <c r="L108" i="76"/>
  <c r="B108" i="76"/>
  <c r="T107" i="76"/>
  <c r="P107" i="76"/>
  <c r="X107" i="76" s="1"/>
  <c r="H107" i="76"/>
  <c r="D107" i="76"/>
  <c r="B107" i="76"/>
  <c r="Z106" i="76"/>
  <c r="X106" i="76"/>
  <c r="N106" i="76"/>
  <c r="L106" i="76"/>
  <c r="B106" i="76"/>
  <c r="T105" i="76"/>
  <c r="P105" i="76"/>
  <c r="X105" i="76" s="1"/>
  <c r="H105" i="76"/>
  <c r="D105" i="76"/>
  <c r="L105" i="76" s="1"/>
  <c r="N105" i="76" s="1"/>
  <c r="B105" i="76"/>
  <c r="X104" i="76"/>
  <c r="Z104" i="76" s="1"/>
  <c r="N104" i="76"/>
  <c r="L104" i="76"/>
  <c r="B104" i="76"/>
  <c r="X103" i="76"/>
  <c r="Z103" i="76" s="1"/>
  <c r="N103" i="76"/>
  <c r="L103" i="76"/>
  <c r="B103" i="76"/>
  <c r="T102" i="76"/>
  <c r="P102" i="76"/>
  <c r="X102" i="76" s="1"/>
  <c r="H102" i="76"/>
  <c r="D102" i="76"/>
  <c r="L102" i="76" s="1"/>
  <c r="B102" i="76"/>
  <c r="X101" i="76"/>
  <c r="Z101" i="76" s="1"/>
  <c r="N101" i="76"/>
  <c r="L101" i="76"/>
  <c r="B101" i="76"/>
  <c r="T100" i="76"/>
  <c r="P100" i="76"/>
  <c r="X100" i="76" s="1"/>
  <c r="Z100" i="76" s="1"/>
  <c r="N100" i="76"/>
  <c r="L100" i="76"/>
  <c r="H100" i="76"/>
  <c r="D100" i="76"/>
  <c r="B100" i="76"/>
  <c r="Z99" i="76"/>
  <c r="X99" i="76"/>
  <c r="N99" i="76"/>
  <c r="L99" i="76"/>
  <c r="B99" i="76"/>
  <c r="T98" i="76"/>
  <c r="Z98" i="76" s="1"/>
  <c r="P98" i="76"/>
  <c r="L98" i="76"/>
  <c r="H98" i="76"/>
  <c r="N98" i="76" s="1"/>
  <c r="D98" i="76"/>
  <c r="B98" i="76"/>
  <c r="X97" i="76"/>
  <c r="Z97" i="76" s="1"/>
  <c r="L97" i="76"/>
  <c r="N97" i="76" s="1"/>
  <c r="B97" i="76"/>
  <c r="X96" i="76"/>
  <c r="Z96" i="76" s="1"/>
  <c r="N96" i="76"/>
  <c r="L96" i="76"/>
  <c r="B96" i="76"/>
  <c r="X95" i="76"/>
  <c r="Z95" i="76" s="1"/>
  <c r="N95" i="76"/>
  <c r="L95" i="76"/>
  <c r="B95" i="76"/>
  <c r="Z94" i="76"/>
  <c r="X94" i="76"/>
  <c r="N94" i="76"/>
  <c r="L94" i="76"/>
  <c r="B94" i="76"/>
  <c r="X93" i="76"/>
  <c r="Z93" i="76" s="1"/>
  <c r="L93" i="76"/>
  <c r="N93" i="76" s="1"/>
  <c r="B93" i="76"/>
  <c r="X92" i="76"/>
  <c r="Z92" i="76" s="1"/>
  <c r="N92" i="76"/>
  <c r="L92" i="76"/>
  <c r="B92" i="76"/>
  <c r="X91" i="76"/>
  <c r="Z91" i="76" s="1"/>
  <c r="N91" i="76"/>
  <c r="L91" i="76"/>
  <c r="B91" i="76"/>
  <c r="Z90" i="76"/>
  <c r="X90" i="76"/>
  <c r="N90" i="76"/>
  <c r="L90" i="76"/>
  <c r="B90" i="76"/>
  <c r="T89" i="76"/>
  <c r="P89" i="76"/>
  <c r="N89" i="76"/>
  <c r="L89" i="76"/>
  <c r="H89" i="76"/>
  <c r="D89" i="76"/>
  <c r="B89" i="76"/>
  <c r="Z88" i="76"/>
  <c r="X88" i="76"/>
  <c r="N88" i="76"/>
  <c r="L88" i="76"/>
  <c r="B88" i="76"/>
  <c r="T87" i="76"/>
  <c r="P87" i="76"/>
  <c r="H87" i="76"/>
  <c r="D87" i="76"/>
  <c r="B87" i="76"/>
  <c r="Z86" i="76"/>
  <c r="X86" i="76"/>
  <c r="N86" i="76"/>
  <c r="L86" i="76"/>
  <c r="B86" i="76"/>
  <c r="Z85" i="76"/>
  <c r="X85" i="76"/>
  <c r="N85" i="76"/>
  <c r="L85" i="76"/>
  <c r="B85" i="76"/>
  <c r="X84" i="76"/>
  <c r="T84" i="76"/>
  <c r="P84" i="76"/>
  <c r="H84" i="76"/>
  <c r="N84" i="76" s="1"/>
  <c r="D84" i="76"/>
  <c r="B84" i="76"/>
  <c r="Z83" i="76"/>
  <c r="X83" i="76"/>
  <c r="N83" i="76"/>
  <c r="L83" i="76"/>
  <c r="B83" i="76"/>
  <c r="T82" i="76"/>
  <c r="P82" i="76"/>
  <c r="H82" i="76"/>
  <c r="N82" i="76" s="1"/>
  <c r="D82" i="76"/>
  <c r="L82" i="76" s="1"/>
  <c r="B82" i="76"/>
  <c r="Z81" i="76"/>
  <c r="X81" i="76"/>
  <c r="N81" i="76"/>
  <c r="L81" i="76"/>
  <c r="B81" i="76"/>
  <c r="Z80" i="76"/>
  <c r="T80" i="76"/>
  <c r="P80" i="76"/>
  <c r="X80" i="76" s="1"/>
  <c r="N80" i="76"/>
  <c r="L80" i="76"/>
  <c r="H80" i="76"/>
  <c r="D80" i="76"/>
  <c r="B80" i="76"/>
  <c r="X79" i="76"/>
  <c r="Z79" i="76" s="1"/>
  <c r="L79" i="76"/>
  <c r="N79" i="76" s="1"/>
  <c r="B79" i="76"/>
  <c r="T78" i="76"/>
  <c r="P78" i="76"/>
  <c r="L78" i="76"/>
  <c r="H78" i="76"/>
  <c r="D78" i="76"/>
  <c r="B78" i="76"/>
  <c r="X77" i="76"/>
  <c r="Z77" i="76" s="1"/>
  <c r="L77" i="76"/>
  <c r="N77" i="76" s="1"/>
  <c r="B77" i="76"/>
  <c r="T76" i="76"/>
  <c r="P76" i="76"/>
  <c r="X76" i="76" s="1"/>
  <c r="H76" i="76"/>
  <c r="D76" i="76"/>
  <c r="B76" i="76"/>
  <c r="Z75" i="76"/>
  <c r="X75" i="76"/>
  <c r="L75" i="76"/>
  <c r="N75" i="76" s="1"/>
  <c r="B75" i="76"/>
  <c r="Z74" i="76"/>
  <c r="X74" i="76"/>
  <c r="T74" i="76"/>
  <c r="P74" i="76"/>
  <c r="N74" i="76"/>
  <c r="H74" i="76"/>
  <c r="D74" i="76"/>
  <c r="L74" i="76" s="1"/>
  <c r="B74" i="76"/>
  <c r="Z73" i="76"/>
  <c r="X73" i="76"/>
  <c r="L73" i="76"/>
  <c r="N73" i="76" s="1"/>
  <c r="B73" i="76"/>
  <c r="X72" i="76"/>
  <c r="Z72" i="76" s="1"/>
  <c r="L72" i="76"/>
  <c r="N72" i="76" s="1"/>
  <c r="B72" i="76"/>
  <c r="X71" i="76"/>
  <c r="Z71" i="76" s="1"/>
  <c r="L71" i="76"/>
  <c r="N71" i="76" s="1"/>
  <c r="B71" i="76"/>
  <c r="Z70" i="76"/>
  <c r="X70" i="76"/>
  <c r="N70" i="76"/>
  <c r="L70" i="76"/>
  <c r="B70" i="76"/>
  <c r="Z69" i="76"/>
  <c r="X69" i="76"/>
  <c r="L69" i="76"/>
  <c r="N69" i="76" s="1"/>
  <c r="B69" i="76"/>
  <c r="X68" i="76"/>
  <c r="T68" i="76"/>
  <c r="P68" i="76"/>
  <c r="H68" i="76"/>
  <c r="D68" i="76"/>
  <c r="B68" i="76"/>
  <c r="X67" i="76"/>
  <c r="Z67" i="76" s="1"/>
  <c r="N67" i="76"/>
  <c r="L67" i="76"/>
  <c r="F67" i="76"/>
  <c r="B67" i="76"/>
  <c r="Z66" i="76"/>
  <c r="X66" i="76"/>
  <c r="N66" i="76"/>
  <c r="L66" i="76"/>
  <c r="B66" i="76"/>
  <c r="X65" i="76"/>
  <c r="Z65" i="76" s="1"/>
  <c r="L65" i="76"/>
  <c r="N65" i="76" s="1"/>
  <c r="B65" i="76"/>
  <c r="X64" i="76"/>
  <c r="Z64" i="76" s="1"/>
  <c r="N64" i="76"/>
  <c r="L64" i="76"/>
  <c r="B64" i="76"/>
  <c r="Z63" i="76"/>
  <c r="X63" i="76"/>
  <c r="N63" i="76"/>
  <c r="L63" i="76"/>
  <c r="F63" i="76"/>
  <c r="B63" i="76"/>
  <c r="Z62" i="76"/>
  <c r="X62" i="76"/>
  <c r="N62" i="76"/>
  <c r="L62" i="76"/>
  <c r="B62" i="76"/>
  <c r="X61" i="76"/>
  <c r="Z61" i="76" s="1"/>
  <c r="L61" i="76"/>
  <c r="N61" i="76" s="1"/>
  <c r="B61" i="76"/>
  <c r="X60" i="76"/>
  <c r="Z60" i="76" s="1"/>
  <c r="N60" i="76"/>
  <c r="L60" i="76"/>
  <c r="B60" i="76"/>
  <c r="X59" i="76"/>
  <c r="Z59" i="76" s="1"/>
  <c r="N59" i="76"/>
  <c r="L59" i="76"/>
  <c r="B59" i="76"/>
  <c r="T58" i="76"/>
  <c r="P58" i="76"/>
  <c r="H58" i="76"/>
  <c r="N58" i="76" s="1"/>
  <c r="D58" i="76"/>
  <c r="L58" i="76" s="1"/>
  <c r="B58" i="76"/>
  <c r="T57" i="76"/>
  <c r="P57" i="76"/>
  <c r="H57" i="76"/>
  <c r="D57" i="76"/>
  <c r="X53" i="76"/>
  <c r="Z53" i="76" s="1"/>
  <c r="N53" i="76"/>
  <c r="L53" i="76"/>
  <c r="B53" i="76"/>
  <c r="Z52" i="76"/>
  <c r="X52" i="76"/>
  <c r="N52" i="76"/>
  <c r="L52" i="76"/>
  <c r="B52" i="76"/>
  <c r="Z51" i="76"/>
  <c r="X51" i="76"/>
  <c r="N51" i="76"/>
  <c r="L51" i="76"/>
  <c r="B51" i="76"/>
  <c r="Z50" i="76"/>
  <c r="X50" i="76"/>
  <c r="N50" i="76"/>
  <c r="L50" i="76"/>
  <c r="B50" i="76"/>
  <c r="Z49" i="76"/>
  <c r="X49" i="76"/>
  <c r="N49" i="76"/>
  <c r="L49" i="76"/>
  <c r="B49" i="76"/>
  <c r="Z48" i="76"/>
  <c r="X48" i="76"/>
  <c r="N48" i="76"/>
  <c r="L48" i="76"/>
  <c r="B48" i="76"/>
  <c r="Z47" i="76"/>
  <c r="X47" i="76"/>
  <c r="L47" i="76"/>
  <c r="N47" i="76" s="1"/>
  <c r="B47" i="76"/>
  <c r="Z46" i="76"/>
  <c r="X46" i="76"/>
  <c r="N46" i="76"/>
  <c r="L46" i="76"/>
  <c r="B46" i="76"/>
  <c r="X45" i="76"/>
  <c r="Z45" i="76" s="1"/>
  <c r="N45" i="76"/>
  <c r="L45" i="76"/>
  <c r="B45" i="76"/>
  <c r="Z44" i="76"/>
  <c r="X44" i="76"/>
  <c r="L44" i="76"/>
  <c r="N44" i="76" s="1"/>
  <c r="B44" i="76"/>
  <c r="Z43" i="76"/>
  <c r="X43" i="76"/>
  <c r="L43" i="76"/>
  <c r="N43" i="76" s="1"/>
  <c r="B43" i="76"/>
  <c r="Z42" i="76"/>
  <c r="X42" i="76"/>
  <c r="N42" i="76"/>
  <c r="L42" i="76"/>
  <c r="B42" i="76"/>
  <c r="X41" i="76"/>
  <c r="Z41" i="76" s="1"/>
  <c r="L41" i="76"/>
  <c r="N41" i="76" s="1"/>
  <c r="B41" i="76"/>
  <c r="Z40" i="76"/>
  <c r="X40" i="76"/>
  <c r="L40" i="76"/>
  <c r="N40" i="76" s="1"/>
  <c r="B40" i="76"/>
  <c r="Z39" i="76"/>
  <c r="X39" i="76"/>
  <c r="L39" i="76"/>
  <c r="N39" i="76" s="1"/>
  <c r="B39" i="76"/>
  <c r="Z38" i="76"/>
  <c r="X38" i="76"/>
  <c r="T38" i="76"/>
  <c r="P38" i="76"/>
  <c r="N38" i="76"/>
  <c r="H38" i="76"/>
  <c r="D38" i="76"/>
  <c r="L38" i="76" s="1"/>
  <c r="T36" i="76"/>
  <c r="X36" i="76" s="1"/>
  <c r="Z36" i="76" s="1"/>
  <c r="P36" i="76"/>
  <c r="H36" i="76"/>
  <c r="N36" i="76" s="1"/>
  <c r="D36" i="76"/>
  <c r="B36" i="76"/>
  <c r="T35" i="76"/>
  <c r="P35" i="76"/>
  <c r="N35" i="76"/>
  <c r="L35" i="76"/>
  <c r="H35" i="76"/>
  <c r="D35" i="76"/>
  <c r="B35" i="76"/>
  <c r="Z34" i="76"/>
  <c r="T34" i="76"/>
  <c r="X34" i="76" s="1"/>
  <c r="P34" i="76"/>
  <c r="H34" i="76"/>
  <c r="D34" i="76"/>
  <c r="B34" i="76"/>
  <c r="T33" i="76"/>
  <c r="Z33" i="76" s="1"/>
  <c r="P33" i="76"/>
  <c r="X33" i="76" s="1"/>
  <c r="N33" i="76"/>
  <c r="L33" i="76"/>
  <c r="H33" i="76"/>
  <c r="D33" i="76"/>
  <c r="B33" i="76"/>
  <c r="Z32" i="76"/>
  <c r="T32" i="76"/>
  <c r="X32" i="76" s="1"/>
  <c r="P32" i="76"/>
  <c r="H32" i="76"/>
  <c r="D32" i="76"/>
  <c r="B32" i="76"/>
  <c r="T31" i="76"/>
  <c r="P31" i="76"/>
  <c r="X31" i="76" s="1"/>
  <c r="N31" i="76"/>
  <c r="L31" i="76"/>
  <c r="H31" i="76"/>
  <c r="D31" i="76"/>
  <c r="B31" i="76"/>
  <c r="T30" i="76"/>
  <c r="P30" i="76"/>
  <c r="H30" i="76"/>
  <c r="H12" i="76" s="1"/>
  <c r="D30" i="76"/>
  <c r="B30" i="76"/>
  <c r="T29" i="76"/>
  <c r="Z29" i="76" s="1"/>
  <c r="P29" i="76"/>
  <c r="X29" i="76" s="1"/>
  <c r="N29" i="76"/>
  <c r="L29" i="76"/>
  <c r="H29" i="76"/>
  <c r="D29" i="76"/>
  <c r="B29" i="76"/>
  <c r="Z28" i="76"/>
  <c r="T28" i="76"/>
  <c r="X28" i="76" s="1"/>
  <c r="P28" i="76"/>
  <c r="H28" i="76"/>
  <c r="D28" i="76"/>
  <c r="L28" i="76" s="1"/>
  <c r="B28" i="76"/>
  <c r="T27" i="76"/>
  <c r="P27" i="76"/>
  <c r="X27" i="76" s="1"/>
  <c r="L27" i="76"/>
  <c r="N27" i="76" s="1"/>
  <c r="H27" i="76"/>
  <c r="D27" i="76"/>
  <c r="B27" i="76"/>
  <c r="Z26" i="76"/>
  <c r="T26" i="76"/>
  <c r="X26" i="76" s="1"/>
  <c r="P26" i="76"/>
  <c r="H26" i="76"/>
  <c r="N26" i="76" s="1"/>
  <c r="D26" i="76"/>
  <c r="B26" i="76"/>
  <c r="T25" i="76"/>
  <c r="P25" i="76"/>
  <c r="X25" i="76" s="1"/>
  <c r="L25" i="76"/>
  <c r="N25" i="76" s="1"/>
  <c r="H25" i="76"/>
  <c r="D25" i="76"/>
  <c r="B25" i="76"/>
  <c r="T24" i="76"/>
  <c r="X24" i="76" s="1"/>
  <c r="P24" i="76"/>
  <c r="H24" i="76"/>
  <c r="D24" i="76"/>
  <c r="L24" i="76" s="1"/>
  <c r="B24" i="76"/>
  <c r="T23" i="76"/>
  <c r="P23" i="76"/>
  <c r="N23" i="76"/>
  <c r="L23" i="76"/>
  <c r="H23" i="76"/>
  <c r="D23" i="76"/>
  <c r="B23" i="76"/>
  <c r="X22" i="76"/>
  <c r="Z22" i="76" s="1"/>
  <c r="T22" i="76"/>
  <c r="P22" i="76"/>
  <c r="H22" i="76"/>
  <c r="N22" i="76" s="1"/>
  <c r="D22" i="76"/>
  <c r="B22" i="76"/>
  <c r="T21" i="76"/>
  <c r="P21" i="76"/>
  <c r="N21" i="76"/>
  <c r="L21" i="76"/>
  <c r="H21" i="76"/>
  <c r="D21" i="76"/>
  <c r="B21" i="76"/>
  <c r="T20" i="76"/>
  <c r="P20" i="76"/>
  <c r="L20" i="76"/>
  <c r="H20" i="76"/>
  <c r="D20" i="76"/>
  <c r="B20" i="76"/>
  <c r="T19" i="76"/>
  <c r="P19" i="76"/>
  <c r="X19" i="76" s="1"/>
  <c r="N19" i="76"/>
  <c r="L19" i="76"/>
  <c r="H19" i="76"/>
  <c r="D19" i="76"/>
  <c r="B19" i="76"/>
  <c r="X18" i="76"/>
  <c r="T18" i="76"/>
  <c r="P18" i="76"/>
  <c r="L18" i="76"/>
  <c r="H18" i="76"/>
  <c r="D18" i="76"/>
  <c r="B18" i="76"/>
  <c r="T17" i="76"/>
  <c r="P17" i="76"/>
  <c r="X17" i="76" s="1"/>
  <c r="L17" i="76"/>
  <c r="N17" i="76" s="1"/>
  <c r="H17" i="76"/>
  <c r="D17" i="76"/>
  <c r="B17" i="76"/>
  <c r="X16" i="76"/>
  <c r="Z16" i="76" s="1"/>
  <c r="T16" i="76"/>
  <c r="P16" i="76"/>
  <c r="L16" i="76"/>
  <c r="H16" i="76"/>
  <c r="N16" i="76" s="1"/>
  <c r="D16" i="76"/>
  <c r="B16" i="76"/>
  <c r="T15" i="76"/>
  <c r="P15" i="76"/>
  <c r="N15" i="76"/>
  <c r="L15" i="76"/>
  <c r="H15" i="76"/>
  <c r="D15" i="76"/>
  <c r="B15" i="76"/>
  <c r="X14" i="76"/>
  <c r="T14" i="76"/>
  <c r="Z14" i="76" s="1"/>
  <c r="P14" i="76"/>
  <c r="H14" i="76"/>
  <c r="D14" i="76"/>
  <c r="B14" i="76"/>
  <c r="T13" i="76"/>
  <c r="P13" i="76"/>
  <c r="N13" i="76"/>
  <c r="L13" i="76"/>
  <c r="H13" i="76"/>
  <c r="D13" i="76"/>
  <c r="B13" i="76"/>
  <c r="D12" i="76"/>
  <c r="F85" i="76" s="1"/>
  <c r="D6" i="76"/>
  <c r="D4" i="76"/>
  <c r="X82" i="75"/>
  <c r="Z82" i="75" s="1"/>
  <c r="N82" i="75"/>
  <c r="L82" i="75"/>
  <c r="T78" i="75"/>
  <c r="P78" i="75"/>
  <c r="X78" i="75" s="1"/>
  <c r="Z78" i="75" s="1"/>
  <c r="H78" i="75"/>
  <c r="H77" i="75" s="1"/>
  <c r="D78" i="75"/>
  <c r="L78" i="75" s="1"/>
  <c r="N78" i="75" s="1"/>
  <c r="B78" i="75"/>
  <c r="T77" i="75"/>
  <c r="R77" i="75"/>
  <c r="P77" i="75"/>
  <c r="X77" i="75" s="1"/>
  <c r="Z77" i="75" s="1"/>
  <c r="L77" i="75"/>
  <c r="D77" i="75"/>
  <c r="Z75" i="75"/>
  <c r="X75" i="75"/>
  <c r="N75" i="75"/>
  <c r="L75" i="75"/>
  <c r="B75" i="75"/>
  <c r="X74" i="75"/>
  <c r="T74" i="75"/>
  <c r="Z74" i="75" s="1"/>
  <c r="P74" i="75"/>
  <c r="H74" i="75"/>
  <c r="N74" i="75" s="1"/>
  <c r="D74" i="75"/>
  <c r="L74" i="75" s="1"/>
  <c r="B74" i="75"/>
  <c r="X73" i="75"/>
  <c r="Z73" i="75" s="1"/>
  <c r="L73" i="75"/>
  <c r="N73" i="75" s="1"/>
  <c r="B73" i="75"/>
  <c r="T72" i="75"/>
  <c r="P72" i="75"/>
  <c r="X72" i="75" s="1"/>
  <c r="H72" i="75"/>
  <c r="L72" i="75" s="1"/>
  <c r="D72" i="75"/>
  <c r="B72" i="75"/>
  <c r="X71" i="75"/>
  <c r="Z71" i="75" s="1"/>
  <c r="N71" i="75"/>
  <c r="L71" i="75"/>
  <c r="B71" i="75"/>
  <c r="Z70" i="75"/>
  <c r="X70" i="75"/>
  <c r="L70" i="75"/>
  <c r="N70" i="75" s="1"/>
  <c r="B70" i="75"/>
  <c r="X69" i="75"/>
  <c r="Z69" i="75" s="1"/>
  <c r="L69" i="75"/>
  <c r="N69" i="75" s="1"/>
  <c r="F69" i="75"/>
  <c r="B69" i="75"/>
  <c r="X68" i="75"/>
  <c r="Z68" i="75" s="1"/>
  <c r="N68" i="75"/>
  <c r="L68" i="75"/>
  <c r="B68" i="75"/>
  <c r="X67" i="75"/>
  <c r="Z67" i="75" s="1"/>
  <c r="N67" i="75"/>
  <c r="L67" i="75"/>
  <c r="B67" i="75"/>
  <c r="T66" i="75"/>
  <c r="P66" i="75"/>
  <c r="X66" i="75" s="1"/>
  <c r="Z66" i="75" s="1"/>
  <c r="L66" i="75"/>
  <c r="H66" i="75"/>
  <c r="D66" i="75"/>
  <c r="B66" i="75"/>
  <c r="X65" i="75"/>
  <c r="Z65" i="75" s="1"/>
  <c r="N65" i="75"/>
  <c r="L65" i="75"/>
  <c r="B65" i="75"/>
  <c r="Z64" i="75"/>
  <c r="X64" i="75"/>
  <c r="T64" i="75"/>
  <c r="P64" i="75"/>
  <c r="H64" i="75"/>
  <c r="D64" i="75"/>
  <c r="B64" i="75"/>
  <c r="X63" i="75"/>
  <c r="Z63" i="75" s="1"/>
  <c r="N63" i="75"/>
  <c r="L63" i="75"/>
  <c r="B63" i="75"/>
  <c r="X62" i="75"/>
  <c r="Z62" i="75" s="1"/>
  <c r="N62" i="75"/>
  <c r="L62" i="75"/>
  <c r="B62" i="75"/>
  <c r="T61" i="75"/>
  <c r="P61" i="75"/>
  <c r="X61" i="75" s="1"/>
  <c r="Z61" i="75" s="1"/>
  <c r="H61" i="75"/>
  <c r="N61" i="75" s="1"/>
  <c r="D61" i="75"/>
  <c r="L61" i="75" s="1"/>
  <c r="B61" i="75"/>
  <c r="X60" i="75"/>
  <c r="Z60" i="75" s="1"/>
  <c r="N60" i="75"/>
  <c r="L60" i="75"/>
  <c r="B60" i="75"/>
  <c r="X59" i="75"/>
  <c r="T59" i="75"/>
  <c r="Z59" i="75" s="1"/>
  <c r="P59" i="75"/>
  <c r="H59" i="75"/>
  <c r="N59" i="75" s="1"/>
  <c r="D59" i="75"/>
  <c r="L59" i="75" s="1"/>
  <c r="B59" i="75"/>
  <c r="Z58" i="75"/>
  <c r="X58" i="75"/>
  <c r="N58" i="75"/>
  <c r="L58" i="75"/>
  <c r="B58" i="75"/>
  <c r="Z57" i="75"/>
  <c r="X57" i="75"/>
  <c r="N57" i="75"/>
  <c r="L57" i="75"/>
  <c r="B57" i="75"/>
  <c r="Z56" i="75"/>
  <c r="X56" i="75"/>
  <c r="T56" i="75"/>
  <c r="P56" i="75"/>
  <c r="N56" i="75"/>
  <c r="L56" i="75"/>
  <c r="H56" i="75"/>
  <c r="D56" i="75"/>
  <c r="B56" i="75"/>
  <c r="X55" i="75"/>
  <c r="Z55" i="75" s="1"/>
  <c r="L55" i="75"/>
  <c r="N55" i="75" s="1"/>
  <c r="B55" i="75"/>
  <c r="T54" i="75"/>
  <c r="X54" i="75" s="1"/>
  <c r="P54" i="75"/>
  <c r="H54" i="75"/>
  <c r="D54" i="75"/>
  <c r="L54" i="75" s="1"/>
  <c r="B54" i="75"/>
  <c r="X53" i="75"/>
  <c r="Z53" i="75" s="1"/>
  <c r="L53" i="75"/>
  <c r="N53" i="75" s="1"/>
  <c r="F53" i="75"/>
  <c r="B53" i="75"/>
  <c r="X52" i="75"/>
  <c r="T52" i="75"/>
  <c r="P52" i="75"/>
  <c r="H52" i="75"/>
  <c r="D52" i="75"/>
  <c r="L52" i="75" s="1"/>
  <c r="N52" i="75" s="1"/>
  <c r="B52" i="75"/>
  <c r="Z51" i="75"/>
  <c r="X51" i="75"/>
  <c r="N51" i="75"/>
  <c r="L51" i="75"/>
  <c r="B51" i="75"/>
  <c r="Z50" i="75"/>
  <c r="X50" i="75"/>
  <c r="T50" i="75"/>
  <c r="P50" i="75"/>
  <c r="N50" i="75"/>
  <c r="L50" i="75"/>
  <c r="H50" i="75"/>
  <c r="D50" i="75"/>
  <c r="B50" i="75"/>
  <c r="Z49" i="75"/>
  <c r="X49" i="75"/>
  <c r="N49" i="75"/>
  <c r="L49" i="75"/>
  <c r="B49" i="75"/>
  <c r="T48" i="75"/>
  <c r="P48" i="75"/>
  <c r="X48" i="75" s="1"/>
  <c r="H48" i="75"/>
  <c r="L48" i="75" s="1"/>
  <c r="D48" i="75"/>
  <c r="B48" i="75"/>
  <c r="X47" i="75"/>
  <c r="Z47" i="75" s="1"/>
  <c r="N47" i="75"/>
  <c r="L47" i="75"/>
  <c r="B47" i="75"/>
  <c r="Z46" i="75"/>
  <c r="X46" i="75"/>
  <c r="L46" i="75"/>
  <c r="N46" i="75" s="1"/>
  <c r="F46" i="75"/>
  <c r="B46" i="75"/>
  <c r="X45" i="75"/>
  <c r="Z45" i="75" s="1"/>
  <c r="L45" i="75"/>
  <c r="N45" i="75" s="1"/>
  <c r="F45" i="75"/>
  <c r="B45" i="75"/>
  <c r="X44" i="75"/>
  <c r="Z44" i="75" s="1"/>
  <c r="N44" i="75"/>
  <c r="L44" i="75"/>
  <c r="B44" i="75"/>
  <c r="X43" i="75"/>
  <c r="T43" i="75"/>
  <c r="Z43" i="75" s="1"/>
  <c r="P43" i="75"/>
  <c r="H43" i="75"/>
  <c r="N43" i="75" s="1"/>
  <c r="D43" i="75"/>
  <c r="L43" i="75" s="1"/>
  <c r="B43" i="75"/>
  <c r="Z42" i="75"/>
  <c r="X42" i="75"/>
  <c r="L42" i="75"/>
  <c r="N42" i="75" s="1"/>
  <c r="B42" i="75"/>
  <c r="X41" i="75"/>
  <c r="Z41" i="75" s="1"/>
  <c r="N41" i="75"/>
  <c r="L41" i="75"/>
  <c r="B41" i="75"/>
  <c r="Z40" i="75"/>
  <c r="X40" i="75"/>
  <c r="N40" i="75"/>
  <c r="L40" i="75"/>
  <c r="F40" i="75"/>
  <c r="B40" i="75"/>
  <c r="Z39" i="75"/>
  <c r="X39" i="75"/>
  <c r="N39" i="75"/>
  <c r="L39" i="75"/>
  <c r="B39" i="75"/>
  <c r="X38" i="75"/>
  <c r="Z38" i="75" s="1"/>
  <c r="L38" i="75"/>
  <c r="N38" i="75" s="1"/>
  <c r="B38" i="75"/>
  <c r="X37" i="75"/>
  <c r="Z37" i="75" s="1"/>
  <c r="N37" i="75"/>
  <c r="L37" i="75"/>
  <c r="B37" i="75"/>
  <c r="Z36" i="75"/>
  <c r="X36" i="75"/>
  <c r="N36" i="75"/>
  <c r="L36" i="75"/>
  <c r="B36" i="75"/>
  <c r="Z35" i="75"/>
  <c r="X35" i="75"/>
  <c r="L35" i="75"/>
  <c r="N35" i="75" s="1"/>
  <c r="B35" i="75"/>
  <c r="Z34" i="75"/>
  <c r="T34" i="75"/>
  <c r="X34" i="75" s="1"/>
  <c r="P34" i="75"/>
  <c r="N34" i="75"/>
  <c r="L34" i="75"/>
  <c r="H34" i="75"/>
  <c r="D34" i="75"/>
  <c r="B34" i="75"/>
  <c r="T33" i="75"/>
  <c r="P33" i="75"/>
  <c r="X33" i="75" s="1"/>
  <c r="Z33" i="75" s="1"/>
  <c r="H33" i="75"/>
  <c r="D33" i="75"/>
  <c r="L33" i="75" s="1"/>
  <c r="Z29" i="75"/>
  <c r="T29" i="75"/>
  <c r="P29" i="75"/>
  <c r="X29" i="75" s="1"/>
  <c r="H29" i="75"/>
  <c r="N29" i="75" s="1"/>
  <c r="D29" i="75"/>
  <c r="L29" i="75" s="1"/>
  <c r="Z27" i="75"/>
  <c r="T27" i="75"/>
  <c r="P27" i="75"/>
  <c r="X27" i="75" s="1"/>
  <c r="L27" i="75"/>
  <c r="H27" i="75"/>
  <c r="N27" i="75" s="1"/>
  <c r="D27" i="75"/>
  <c r="B27" i="75"/>
  <c r="T26" i="75"/>
  <c r="Z26" i="75" s="1"/>
  <c r="P26" i="75"/>
  <c r="X26" i="75" s="1"/>
  <c r="L26" i="75"/>
  <c r="H26" i="75"/>
  <c r="N26" i="75" s="1"/>
  <c r="D26" i="75"/>
  <c r="B26" i="75"/>
  <c r="Z25" i="75"/>
  <c r="T25" i="75"/>
  <c r="P25" i="75"/>
  <c r="X25" i="75" s="1"/>
  <c r="L25" i="75"/>
  <c r="H25" i="75"/>
  <c r="N25" i="75" s="1"/>
  <c r="D25" i="75"/>
  <c r="B25" i="75"/>
  <c r="T24" i="75"/>
  <c r="P24" i="75"/>
  <c r="X24" i="75" s="1"/>
  <c r="H24" i="75"/>
  <c r="N24" i="75" s="1"/>
  <c r="D24" i="75"/>
  <c r="B24" i="75"/>
  <c r="T23" i="75"/>
  <c r="Z23" i="75" s="1"/>
  <c r="P23" i="75"/>
  <c r="X23" i="75" s="1"/>
  <c r="L23" i="75"/>
  <c r="H23" i="75"/>
  <c r="N23" i="75" s="1"/>
  <c r="D23" i="75"/>
  <c r="B23" i="75"/>
  <c r="T22" i="75"/>
  <c r="P22" i="75"/>
  <c r="X22" i="75" s="1"/>
  <c r="L22" i="75"/>
  <c r="H22" i="75"/>
  <c r="N22" i="75" s="1"/>
  <c r="D22" i="75"/>
  <c r="B22" i="75"/>
  <c r="T21" i="75"/>
  <c r="P21" i="75"/>
  <c r="X21" i="75" s="1"/>
  <c r="Z21" i="75" s="1"/>
  <c r="L21" i="75"/>
  <c r="H21" i="75"/>
  <c r="D21" i="75"/>
  <c r="B21" i="75"/>
  <c r="T20" i="75"/>
  <c r="P20" i="75"/>
  <c r="X20" i="75" s="1"/>
  <c r="H20" i="75"/>
  <c r="D20" i="75"/>
  <c r="B20" i="75"/>
  <c r="T19" i="75"/>
  <c r="Z19" i="75" s="1"/>
  <c r="P19" i="75"/>
  <c r="X19" i="75" s="1"/>
  <c r="L19" i="75"/>
  <c r="H19" i="75"/>
  <c r="N19" i="75" s="1"/>
  <c r="D19" i="75"/>
  <c r="B19" i="75"/>
  <c r="T18" i="75"/>
  <c r="P18" i="75"/>
  <c r="X18" i="75" s="1"/>
  <c r="L18" i="75"/>
  <c r="H18" i="75"/>
  <c r="N18" i="75" s="1"/>
  <c r="D18" i="75"/>
  <c r="B18" i="75"/>
  <c r="T17" i="75"/>
  <c r="P17" i="75"/>
  <c r="X17" i="75" s="1"/>
  <c r="Z17" i="75" s="1"/>
  <c r="L17" i="75"/>
  <c r="H17" i="75"/>
  <c r="D17" i="75"/>
  <c r="B17" i="75"/>
  <c r="T16" i="75"/>
  <c r="Z16" i="75" s="1"/>
  <c r="P16" i="75"/>
  <c r="X16" i="75" s="1"/>
  <c r="H16" i="75"/>
  <c r="N16" i="75" s="1"/>
  <c r="D16" i="75"/>
  <c r="B16" i="75"/>
  <c r="T15" i="75"/>
  <c r="P15" i="75"/>
  <c r="X15" i="75" s="1"/>
  <c r="L15" i="75"/>
  <c r="H15" i="75"/>
  <c r="N15" i="75" s="1"/>
  <c r="D15" i="75"/>
  <c r="B15" i="75"/>
  <c r="T14" i="75"/>
  <c r="P14" i="75"/>
  <c r="X14" i="75" s="1"/>
  <c r="L14" i="75"/>
  <c r="N14" i="75" s="1"/>
  <c r="H14" i="75"/>
  <c r="D14" i="75"/>
  <c r="B14" i="75"/>
  <c r="T13" i="75"/>
  <c r="P13" i="75"/>
  <c r="P12" i="75" s="1"/>
  <c r="L13" i="75"/>
  <c r="H13" i="75"/>
  <c r="D13" i="75"/>
  <c r="D12" i="75" s="1"/>
  <c r="F75" i="75" s="1"/>
  <c r="B13" i="75"/>
  <c r="D6" i="75"/>
  <c r="D4" i="75"/>
  <c r="X123" i="74"/>
  <c r="Z123" i="74" s="1"/>
  <c r="N123" i="74"/>
  <c r="L123" i="74"/>
  <c r="T119" i="74"/>
  <c r="P119" i="74"/>
  <c r="H119" i="74"/>
  <c r="L119" i="74" s="1"/>
  <c r="D119" i="74"/>
  <c r="B119" i="74"/>
  <c r="H118" i="74"/>
  <c r="D118" i="74"/>
  <c r="L118" i="74" s="1"/>
  <c r="X116" i="74"/>
  <c r="Z116" i="74" s="1"/>
  <c r="V116" i="74"/>
  <c r="N116" i="74"/>
  <c r="L116" i="74"/>
  <c r="B116" i="74"/>
  <c r="Z115" i="74"/>
  <c r="X115" i="74"/>
  <c r="V115" i="74"/>
  <c r="N115" i="74"/>
  <c r="L115" i="74"/>
  <c r="B115" i="74"/>
  <c r="T114" i="74"/>
  <c r="Z114" i="74" s="1"/>
  <c r="P114" i="74"/>
  <c r="X114" i="74" s="1"/>
  <c r="L114" i="74"/>
  <c r="H114" i="74"/>
  <c r="N114" i="74" s="1"/>
  <c r="D114" i="74"/>
  <c r="B114" i="74"/>
  <c r="Z113" i="74"/>
  <c r="X113" i="74"/>
  <c r="N113" i="74"/>
  <c r="L113" i="74"/>
  <c r="B113" i="74"/>
  <c r="Z112" i="74"/>
  <c r="T112" i="74"/>
  <c r="P112" i="74"/>
  <c r="X112" i="74" s="1"/>
  <c r="H112" i="74"/>
  <c r="D112" i="74"/>
  <c r="B112" i="74"/>
  <c r="X111" i="74"/>
  <c r="Z111" i="74" s="1"/>
  <c r="N111" i="74"/>
  <c r="L111" i="74"/>
  <c r="B111" i="74"/>
  <c r="Z110" i="74"/>
  <c r="V110" i="74"/>
  <c r="T110" i="74"/>
  <c r="P110" i="74"/>
  <c r="X110" i="74" s="1"/>
  <c r="H110" i="74"/>
  <c r="N110" i="74" s="1"/>
  <c r="D110" i="74"/>
  <c r="L110" i="74" s="1"/>
  <c r="B110" i="74"/>
  <c r="X109" i="74"/>
  <c r="Z109" i="74" s="1"/>
  <c r="N109" i="74"/>
  <c r="L109" i="74"/>
  <c r="B109" i="74"/>
  <c r="X108" i="74"/>
  <c r="Z108" i="74" s="1"/>
  <c r="V108" i="74"/>
  <c r="N108" i="74"/>
  <c r="L108" i="74"/>
  <c r="B108" i="74"/>
  <c r="Z107" i="74"/>
  <c r="X107" i="74"/>
  <c r="V107" i="74"/>
  <c r="N107" i="74"/>
  <c r="L107" i="74"/>
  <c r="B107" i="74"/>
  <c r="X106" i="74"/>
  <c r="Z106" i="74" s="1"/>
  <c r="N106" i="74"/>
  <c r="L106" i="74"/>
  <c r="B106" i="74"/>
  <c r="X105" i="74"/>
  <c r="Z105" i="74" s="1"/>
  <c r="N105" i="74"/>
  <c r="L105" i="74"/>
  <c r="B105" i="74"/>
  <c r="X104" i="74"/>
  <c r="V104" i="74"/>
  <c r="T104" i="74"/>
  <c r="Z104" i="74" s="1"/>
  <c r="P104" i="74"/>
  <c r="H104" i="74"/>
  <c r="N104" i="74" s="1"/>
  <c r="D104" i="74"/>
  <c r="L104" i="74" s="1"/>
  <c r="B104" i="74"/>
  <c r="Z103" i="74"/>
  <c r="X103" i="74"/>
  <c r="N103" i="74"/>
  <c r="L103" i="74"/>
  <c r="B103" i="74"/>
  <c r="X102" i="74"/>
  <c r="Z102" i="74" s="1"/>
  <c r="N102" i="74"/>
  <c r="L102" i="74"/>
  <c r="B102" i="74"/>
  <c r="Z101" i="74"/>
  <c r="X101" i="74"/>
  <c r="T101" i="74"/>
  <c r="P101" i="74"/>
  <c r="H101" i="74"/>
  <c r="N101" i="74" s="1"/>
  <c r="D101" i="74"/>
  <c r="B101" i="74"/>
  <c r="X100" i="74"/>
  <c r="Z100" i="74" s="1"/>
  <c r="N100" i="74"/>
  <c r="L100" i="74"/>
  <c r="B100" i="74"/>
  <c r="X99" i="74"/>
  <c r="Z99" i="74" s="1"/>
  <c r="N99" i="74"/>
  <c r="L99" i="74"/>
  <c r="B99" i="74"/>
  <c r="V98" i="74"/>
  <c r="T98" i="74"/>
  <c r="P98" i="74"/>
  <c r="X98" i="74" s="1"/>
  <c r="Z98" i="74" s="1"/>
  <c r="H98" i="74"/>
  <c r="N98" i="74" s="1"/>
  <c r="D98" i="74"/>
  <c r="L98" i="74" s="1"/>
  <c r="B98" i="74"/>
  <c r="X97" i="74"/>
  <c r="Z97" i="74" s="1"/>
  <c r="N97" i="74"/>
  <c r="L97" i="74"/>
  <c r="B97" i="74"/>
  <c r="Z96" i="74"/>
  <c r="X96" i="74"/>
  <c r="V96" i="74"/>
  <c r="N96" i="74"/>
  <c r="L96" i="74"/>
  <c r="B96" i="74"/>
  <c r="Z95" i="74"/>
  <c r="X95" i="74"/>
  <c r="V95" i="74"/>
  <c r="N95" i="74"/>
  <c r="L95" i="74"/>
  <c r="B95" i="74"/>
  <c r="T94" i="74"/>
  <c r="Z94" i="74" s="1"/>
  <c r="P94" i="74"/>
  <c r="X94" i="74" s="1"/>
  <c r="L94" i="74"/>
  <c r="H94" i="74"/>
  <c r="N94" i="74" s="1"/>
  <c r="D94" i="74"/>
  <c r="B94" i="74"/>
  <c r="Z93" i="74"/>
  <c r="X93" i="74"/>
  <c r="N93" i="74"/>
  <c r="L93" i="74"/>
  <c r="B93" i="74"/>
  <c r="Z92" i="74"/>
  <c r="T92" i="74"/>
  <c r="P92" i="74"/>
  <c r="X92" i="74" s="1"/>
  <c r="H92" i="74"/>
  <c r="D92" i="74"/>
  <c r="B92" i="74"/>
  <c r="X91" i="74"/>
  <c r="Z91" i="74" s="1"/>
  <c r="N91" i="74"/>
  <c r="L91" i="74"/>
  <c r="B91" i="74"/>
  <c r="Z90" i="74"/>
  <c r="X90" i="74"/>
  <c r="V90" i="74"/>
  <c r="L90" i="74"/>
  <c r="N90" i="74" s="1"/>
  <c r="B90" i="74"/>
  <c r="Z89" i="74"/>
  <c r="X89" i="74"/>
  <c r="V89" i="74"/>
  <c r="L89" i="74"/>
  <c r="N89" i="74" s="1"/>
  <c r="B89" i="74"/>
  <c r="X88" i="74"/>
  <c r="Z88" i="74" s="1"/>
  <c r="L88" i="74"/>
  <c r="N88" i="74" s="1"/>
  <c r="B88" i="74"/>
  <c r="X87" i="74"/>
  <c r="Z87" i="74" s="1"/>
  <c r="N87" i="74"/>
  <c r="L87" i="74"/>
  <c r="B87" i="74"/>
  <c r="Z86" i="74"/>
  <c r="X86" i="74"/>
  <c r="V86" i="74"/>
  <c r="L86" i="74"/>
  <c r="N86" i="74" s="1"/>
  <c r="B86" i="74"/>
  <c r="Z85" i="74"/>
  <c r="X85" i="74"/>
  <c r="V85" i="74"/>
  <c r="L85" i="74"/>
  <c r="N85" i="74" s="1"/>
  <c r="B85" i="74"/>
  <c r="T84" i="74"/>
  <c r="P84" i="74"/>
  <c r="X84" i="74" s="1"/>
  <c r="H84" i="74"/>
  <c r="D84" i="74"/>
  <c r="L84" i="74" s="1"/>
  <c r="N84" i="74" s="1"/>
  <c r="B84" i="74"/>
  <c r="Z83" i="74"/>
  <c r="X83" i="74"/>
  <c r="V83" i="74"/>
  <c r="N83" i="74"/>
  <c r="L83" i="74"/>
  <c r="B83" i="74"/>
  <c r="T82" i="74"/>
  <c r="P82" i="74"/>
  <c r="X82" i="74" s="1"/>
  <c r="L82" i="74"/>
  <c r="H82" i="74"/>
  <c r="N82" i="74" s="1"/>
  <c r="D82" i="74"/>
  <c r="B82" i="74"/>
  <c r="Z81" i="74"/>
  <c r="X81" i="74"/>
  <c r="N81" i="74"/>
  <c r="L81" i="74"/>
  <c r="B81" i="74"/>
  <c r="Z80" i="74"/>
  <c r="X80" i="74"/>
  <c r="L80" i="74"/>
  <c r="N80" i="74" s="1"/>
  <c r="B80" i="74"/>
  <c r="Z79" i="74"/>
  <c r="X79" i="74"/>
  <c r="T79" i="74"/>
  <c r="P79" i="74"/>
  <c r="N79" i="74"/>
  <c r="L79" i="74"/>
  <c r="H79" i="74"/>
  <c r="D79" i="74"/>
  <c r="B79" i="74"/>
  <c r="Z78" i="74"/>
  <c r="X78" i="74"/>
  <c r="V78" i="74"/>
  <c r="L78" i="74"/>
  <c r="N78" i="74" s="1"/>
  <c r="B78" i="74"/>
  <c r="T77" i="74"/>
  <c r="Z77" i="74" s="1"/>
  <c r="P77" i="74"/>
  <c r="X77" i="74" s="1"/>
  <c r="H77" i="74"/>
  <c r="L77" i="74" s="1"/>
  <c r="D77" i="74"/>
  <c r="B77" i="74"/>
  <c r="X76" i="74"/>
  <c r="Z76" i="74" s="1"/>
  <c r="V76" i="74"/>
  <c r="N76" i="74"/>
  <c r="L76" i="74"/>
  <c r="B76" i="74"/>
  <c r="Z75" i="74"/>
  <c r="X75" i="74"/>
  <c r="V75" i="74"/>
  <c r="N75" i="74"/>
  <c r="L75" i="74"/>
  <c r="B75" i="74"/>
  <c r="T74" i="74"/>
  <c r="P74" i="74"/>
  <c r="X74" i="74" s="1"/>
  <c r="L74" i="74"/>
  <c r="N74" i="74" s="1"/>
  <c r="H74" i="74"/>
  <c r="D74" i="74"/>
  <c r="B74" i="74"/>
  <c r="Z73" i="74"/>
  <c r="X73" i="74"/>
  <c r="N73" i="74"/>
  <c r="L73" i="74"/>
  <c r="B73" i="74"/>
  <c r="Z72" i="74"/>
  <c r="T72" i="74"/>
  <c r="P72" i="74"/>
  <c r="X72" i="74" s="1"/>
  <c r="H72" i="74"/>
  <c r="D72" i="74"/>
  <c r="B72" i="74"/>
  <c r="X71" i="74"/>
  <c r="Z71" i="74" s="1"/>
  <c r="N71" i="74"/>
  <c r="L71" i="74"/>
  <c r="B71" i="74"/>
  <c r="Z70" i="74"/>
  <c r="X70" i="74"/>
  <c r="V70" i="74"/>
  <c r="L70" i="74"/>
  <c r="N70" i="74" s="1"/>
  <c r="B70" i="74"/>
  <c r="Z69" i="74"/>
  <c r="X69" i="74"/>
  <c r="V69" i="74"/>
  <c r="L69" i="74"/>
  <c r="N69" i="74" s="1"/>
  <c r="B69" i="74"/>
  <c r="X68" i="74"/>
  <c r="Z68" i="74" s="1"/>
  <c r="L68" i="74"/>
  <c r="N68" i="74" s="1"/>
  <c r="B68" i="74"/>
  <c r="Z67" i="74"/>
  <c r="X67" i="74"/>
  <c r="N67" i="74"/>
  <c r="L67" i="74"/>
  <c r="B67" i="74"/>
  <c r="Z66" i="74"/>
  <c r="X66" i="74"/>
  <c r="V66" i="74"/>
  <c r="L66" i="74"/>
  <c r="N66" i="74" s="1"/>
  <c r="B66" i="74"/>
  <c r="V65" i="74"/>
  <c r="T65" i="74"/>
  <c r="P65" i="74"/>
  <c r="X65" i="74" s="1"/>
  <c r="Z65" i="74" s="1"/>
  <c r="H65" i="74"/>
  <c r="L65" i="74" s="1"/>
  <c r="D65" i="74"/>
  <c r="B65" i="74"/>
  <c r="X64" i="74"/>
  <c r="Z64" i="74" s="1"/>
  <c r="V64" i="74"/>
  <c r="N64" i="74"/>
  <c r="L64" i="74"/>
  <c r="B64" i="74"/>
  <c r="Z63" i="74"/>
  <c r="X63" i="74"/>
  <c r="V63" i="74"/>
  <c r="N63" i="74"/>
  <c r="L63" i="74"/>
  <c r="B63" i="74"/>
  <c r="X62" i="74"/>
  <c r="Z62" i="74" s="1"/>
  <c r="L62" i="74"/>
  <c r="N62" i="74" s="1"/>
  <c r="B62" i="74"/>
  <c r="X61" i="74"/>
  <c r="Z61" i="74" s="1"/>
  <c r="N61" i="74"/>
  <c r="L61" i="74"/>
  <c r="B61" i="74"/>
  <c r="X60" i="74"/>
  <c r="Z60" i="74" s="1"/>
  <c r="V60" i="74"/>
  <c r="N60" i="74"/>
  <c r="L60" i="74"/>
  <c r="B60" i="74"/>
  <c r="Z59" i="74"/>
  <c r="X59" i="74"/>
  <c r="V59" i="74"/>
  <c r="L59" i="74"/>
  <c r="N59" i="74" s="1"/>
  <c r="B59" i="74"/>
  <c r="X58" i="74"/>
  <c r="Z58" i="74" s="1"/>
  <c r="L58" i="74"/>
  <c r="N58" i="74" s="1"/>
  <c r="B58" i="74"/>
  <c r="X57" i="74"/>
  <c r="Z57" i="74" s="1"/>
  <c r="N57" i="74"/>
  <c r="L57" i="74"/>
  <c r="B57" i="74"/>
  <c r="X56" i="74"/>
  <c r="V56" i="74"/>
  <c r="T56" i="74"/>
  <c r="Z56" i="74" s="1"/>
  <c r="P56" i="74"/>
  <c r="H56" i="74"/>
  <c r="N56" i="74" s="1"/>
  <c r="D56" i="74"/>
  <c r="L56" i="74" s="1"/>
  <c r="B56" i="74"/>
  <c r="Z55" i="74"/>
  <c r="T55" i="74"/>
  <c r="P55" i="74"/>
  <c r="X55" i="74" s="1"/>
  <c r="H55" i="74"/>
  <c r="D55" i="74"/>
  <c r="X51" i="74"/>
  <c r="Z51" i="74" s="1"/>
  <c r="L51" i="74"/>
  <c r="N51" i="74" s="1"/>
  <c r="B51" i="74"/>
  <c r="X50" i="74"/>
  <c r="Z50" i="74" s="1"/>
  <c r="N50" i="74"/>
  <c r="L50" i="74"/>
  <c r="B50" i="74"/>
  <c r="Z49" i="74"/>
  <c r="X49" i="74"/>
  <c r="N49" i="74"/>
  <c r="L49" i="74"/>
  <c r="B49" i="74"/>
  <c r="Z48" i="74"/>
  <c r="X48" i="74"/>
  <c r="L48" i="74"/>
  <c r="N48" i="74" s="1"/>
  <c r="B48" i="74"/>
  <c r="X47" i="74"/>
  <c r="Z47" i="74" s="1"/>
  <c r="L47" i="74"/>
  <c r="N47" i="74" s="1"/>
  <c r="B47" i="74"/>
  <c r="X46" i="74"/>
  <c r="Z46" i="74" s="1"/>
  <c r="N46" i="74"/>
  <c r="L46" i="74"/>
  <c r="B46" i="74"/>
  <c r="Z45" i="74"/>
  <c r="X45" i="74"/>
  <c r="N45" i="74"/>
  <c r="L45" i="74"/>
  <c r="B45" i="74"/>
  <c r="Z44" i="74"/>
  <c r="X44" i="74"/>
  <c r="L44" i="74"/>
  <c r="N44" i="74" s="1"/>
  <c r="B44" i="74"/>
  <c r="Z43" i="74"/>
  <c r="X43" i="74"/>
  <c r="L43" i="74"/>
  <c r="N43" i="74" s="1"/>
  <c r="B43" i="74"/>
  <c r="X42" i="74"/>
  <c r="Z42" i="74" s="1"/>
  <c r="N42" i="74"/>
  <c r="L42" i="74"/>
  <c r="B42" i="74"/>
  <c r="Z41" i="74"/>
  <c r="X41" i="74"/>
  <c r="N41" i="74"/>
  <c r="L41" i="74"/>
  <c r="B41" i="74"/>
  <c r="Z40" i="74"/>
  <c r="X40" i="74"/>
  <c r="L40" i="74"/>
  <c r="N40" i="74" s="1"/>
  <c r="B40" i="74"/>
  <c r="Z39" i="74"/>
  <c r="X39" i="74"/>
  <c r="L39" i="74"/>
  <c r="N39" i="74" s="1"/>
  <c r="B39" i="74"/>
  <c r="X38" i="74"/>
  <c r="Z38" i="74" s="1"/>
  <c r="N38" i="74"/>
  <c r="L38" i="74"/>
  <c r="B38" i="74"/>
  <c r="Z37" i="74"/>
  <c r="X37" i="74"/>
  <c r="N37" i="74"/>
  <c r="L37" i="74"/>
  <c r="B37" i="74"/>
  <c r="Z36" i="74"/>
  <c r="X36" i="74"/>
  <c r="L36" i="74"/>
  <c r="N36" i="74" s="1"/>
  <c r="B36" i="74"/>
  <c r="T35" i="74"/>
  <c r="P35" i="74"/>
  <c r="H35" i="74"/>
  <c r="D35" i="74"/>
  <c r="L35" i="74" s="1"/>
  <c r="N35" i="74" s="1"/>
  <c r="T33" i="74"/>
  <c r="P33" i="74"/>
  <c r="X33" i="74" s="1"/>
  <c r="Z33" i="74" s="1"/>
  <c r="H33" i="74"/>
  <c r="L33" i="74" s="1"/>
  <c r="D33" i="74"/>
  <c r="B33" i="74"/>
  <c r="X32" i="74"/>
  <c r="T32" i="74"/>
  <c r="P32" i="74"/>
  <c r="N32" i="74"/>
  <c r="H32" i="74"/>
  <c r="L32" i="74" s="1"/>
  <c r="D32" i="74"/>
  <c r="B32" i="74"/>
  <c r="T31" i="74"/>
  <c r="X31" i="74" s="1"/>
  <c r="Z31" i="74" s="1"/>
  <c r="P31" i="74"/>
  <c r="H31" i="74"/>
  <c r="D31" i="74"/>
  <c r="L31" i="74" s="1"/>
  <c r="N31" i="74" s="1"/>
  <c r="B31" i="74"/>
  <c r="T30" i="74"/>
  <c r="P30" i="74"/>
  <c r="X30" i="74" s="1"/>
  <c r="Z30" i="74" s="1"/>
  <c r="H30" i="74"/>
  <c r="D30" i="74"/>
  <c r="L30" i="74" s="1"/>
  <c r="N30" i="74" s="1"/>
  <c r="B30" i="74"/>
  <c r="T29" i="74"/>
  <c r="P29" i="74"/>
  <c r="X29" i="74" s="1"/>
  <c r="Z29" i="74" s="1"/>
  <c r="H29" i="74"/>
  <c r="L29" i="74" s="1"/>
  <c r="D29" i="74"/>
  <c r="B29" i="74"/>
  <c r="X28" i="74"/>
  <c r="T28" i="74"/>
  <c r="Z28" i="74" s="1"/>
  <c r="P28" i="74"/>
  <c r="N28" i="74"/>
  <c r="H28" i="74"/>
  <c r="L28" i="74" s="1"/>
  <c r="D28" i="74"/>
  <c r="B28" i="74"/>
  <c r="T27" i="74"/>
  <c r="X27" i="74" s="1"/>
  <c r="Z27" i="74" s="1"/>
  <c r="P27" i="74"/>
  <c r="H27" i="74"/>
  <c r="D27" i="74"/>
  <c r="B27" i="74"/>
  <c r="Z26" i="74"/>
  <c r="T26" i="74"/>
  <c r="P26" i="74"/>
  <c r="X26" i="74" s="1"/>
  <c r="H26" i="74"/>
  <c r="D26" i="74"/>
  <c r="L26" i="74" s="1"/>
  <c r="N26" i="74" s="1"/>
  <c r="B26" i="74"/>
  <c r="T25" i="74"/>
  <c r="P25" i="74"/>
  <c r="X25" i="74" s="1"/>
  <c r="Z25" i="74" s="1"/>
  <c r="H25" i="74"/>
  <c r="L25" i="74" s="1"/>
  <c r="D25" i="74"/>
  <c r="B25" i="74"/>
  <c r="X24" i="74"/>
  <c r="T24" i="74"/>
  <c r="P24" i="74"/>
  <c r="H24" i="74"/>
  <c r="L24" i="74" s="1"/>
  <c r="D24" i="74"/>
  <c r="B24" i="74"/>
  <c r="T23" i="74"/>
  <c r="X23" i="74" s="1"/>
  <c r="Z23" i="74" s="1"/>
  <c r="P23" i="74"/>
  <c r="H23" i="74"/>
  <c r="N23" i="74" s="1"/>
  <c r="D23" i="74"/>
  <c r="L23" i="74" s="1"/>
  <c r="B23" i="74"/>
  <c r="Z22" i="74"/>
  <c r="T22" i="74"/>
  <c r="P22" i="74"/>
  <c r="X22" i="74" s="1"/>
  <c r="N22" i="74"/>
  <c r="H22" i="74"/>
  <c r="D22" i="74"/>
  <c r="L22" i="74" s="1"/>
  <c r="B22" i="74"/>
  <c r="T21" i="74"/>
  <c r="P21" i="74"/>
  <c r="X21" i="74" s="1"/>
  <c r="Z21" i="74" s="1"/>
  <c r="H21" i="74"/>
  <c r="L21" i="74" s="1"/>
  <c r="D21" i="74"/>
  <c r="B21" i="74"/>
  <c r="T20" i="74"/>
  <c r="P20" i="74"/>
  <c r="X20" i="74" s="1"/>
  <c r="H20" i="74"/>
  <c r="D20" i="74"/>
  <c r="B20" i="74"/>
  <c r="T19" i="74"/>
  <c r="X19" i="74" s="1"/>
  <c r="Z19" i="74" s="1"/>
  <c r="P19" i="74"/>
  <c r="H19" i="74"/>
  <c r="D19" i="74"/>
  <c r="B19" i="74"/>
  <c r="T18" i="74"/>
  <c r="P18" i="74"/>
  <c r="X18" i="74" s="1"/>
  <c r="Z18" i="74" s="1"/>
  <c r="H18" i="74"/>
  <c r="D18" i="74"/>
  <c r="L18" i="74" s="1"/>
  <c r="N18" i="74" s="1"/>
  <c r="B18" i="74"/>
  <c r="X17" i="74"/>
  <c r="Z17" i="74" s="1"/>
  <c r="T17" i="74"/>
  <c r="P17" i="74"/>
  <c r="L17" i="74"/>
  <c r="H17" i="74"/>
  <c r="N17" i="74" s="1"/>
  <c r="D17" i="74"/>
  <c r="B17" i="74"/>
  <c r="T16" i="74"/>
  <c r="Z16" i="74" s="1"/>
  <c r="P16" i="74"/>
  <c r="X16" i="74" s="1"/>
  <c r="H16" i="74"/>
  <c r="L16" i="74" s="1"/>
  <c r="D16" i="74"/>
  <c r="B16" i="74"/>
  <c r="T15" i="74"/>
  <c r="P15" i="74"/>
  <c r="H15" i="74"/>
  <c r="N15" i="74" s="1"/>
  <c r="D15" i="74"/>
  <c r="L15" i="74" s="1"/>
  <c r="B15" i="74"/>
  <c r="Z14" i="74"/>
  <c r="T14" i="74"/>
  <c r="P14" i="74"/>
  <c r="X14" i="74" s="1"/>
  <c r="H14" i="74"/>
  <c r="D14" i="74"/>
  <c r="L14" i="74" s="1"/>
  <c r="N14" i="74" s="1"/>
  <c r="B14" i="74"/>
  <c r="T13" i="74"/>
  <c r="P13" i="74"/>
  <c r="X13" i="74" s="1"/>
  <c r="Z13" i="74" s="1"/>
  <c r="L13" i="74"/>
  <c r="H13" i="74"/>
  <c r="N13" i="74" s="1"/>
  <c r="D13" i="74"/>
  <c r="B13" i="74"/>
  <c r="T12" i="74"/>
  <c r="V112" i="74" s="1"/>
  <c r="P12" i="74"/>
  <c r="D6" i="74"/>
  <c r="D4" i="74"/>
  <c r="X106" i="73"/>
  <c r="Z106" i="73" s="1"/>
  <c r="L106" i="73"/>
  <c r="N106" i="73" s="1"/>
  <c r="Z102" i="73"/>
  <c r="T102" i="73"/>
  <c r="P102" i="73"/>
  <c r="X102" i="73" s="1"/>
  <c r="L102" i="73"/>
  <c r="H102" i="73"/>
  <c r="N102" i="73" s="1"/>
  <c r="D102" i="73"/>
  <c r="Z100" i="73"/>
  <c r="X100" i="73"/>
  <c r="N100" i="73"/>
  <c r="L100" i="73"/>
  <c r="B100" i="73"/>
  <c r="T99" i="73"/>
  <c r="P99" i="73"/>
  <c r="N99" i="73"/>
  <c r="H99" i="73"/>
  <c r="D99" i="73"/>
  <c r="L99" i="73" s="1"/>
  <c r="B99" i="73"/>
  <c r="Z98" i="73"/>
  <c r="X98" i="73"/>
  <c r="N98" i="73"/>
  <c r="L98" i="73"/>
  <c r="B98" i="73"/>
  <c r="Z97" i="73"/>
  <c r="T97" i="73"/>
  <c r="P97" i="73"/>
  <c r="X97" i="73" s="1"/>
  <c r="L97" i="73"/>
  <c r="H97" i="73"/>
  <c r="N97" i="73" s="1"/>
  <c r="D97" i="73"/>
  <c r="B97" i="73"/>
  <c r="X96" i="73"/>
  <c r="Z96" i="73" s="1"/>
  <c r="N96" i="73"/>
  <c r="L96" i="73"/>
  <c r="B96" i="73"/>
  <c r="T95" i="73"/>
  <c r="P95" i="73"/>
  <c r="X95" i="73" s="1"/>
  <c r="L95" i="73"/>
  <c r="H95" i="73"/>
  <c r="N95" i="73" s="1"/>
  <c r="D95" i="73"/>
  <c r="B95" i="73"/>
  <c r="X94" i="73"/>
  <c r="Z94" i="73" s="1"/>
  <c r="N94" i="73"/>
  <c r="L94" i="73"/>
  <c r="B94" i="73"/>
  <c r="Z93" i="73"/>
  <c r="X93" i="73"/>
  <c r="N93" i="73"/>
  <c r="L93" i="73"/>
  <c r="B93" i="73"/>
  <c r="Z92" i="73"/>
  <c r="X92" i="73"/>
  <c r="N92" i="73"/>
  <c r="L92" i="73"/>
  <c r="B92" i="73"/>
  <c r="X91" i="73"/>
  <c r="T91" i="73"/>
  <c r="Z91" i="73" s="1"/>
  <c r="P91" i="73"/>
  <c r="N91" i="73"/>
  <c r="H91" i="73"/>
  <c r="D91" i="73"/>
  <c r="L91" i="73" s="1"/>
  <c r="B91" i="73"/>
  <c r="Z90" i="73"/>
  <c r="X90" i="73"/>
  <c r="N90" i="73"/>
  <c r="L90" i="73"/>
  <c r="B90" i="73"/>
  <c r="Z89" i="73"/>
  <c r="T89" i="73"/>
  <c r="P89" i="73"/>
  <c r="X89" i="73" s="1"/>
  <c r="L89" i="73"/>
  <c r="H89" i="73"/>
  <c r="N89" i="73" s="1"/>
  <c r="D89" i="73"/>
  <c r="B89" i="73"/>
  <c r="X88" i="73"/>
  <c r="Z88" i="73" s="1"/>
  <c r="N88" i="73"/>
  <c r="L88" i="73"/>
  <c r="B88" i="73"/>
  <c r="Z87" i="73"/>
  <c r="X87" i="73"/>
  <c r="N87" i="73"/>
  <c r="L87" i="73"/>
  <c r="B87" i="73"/>
  <c r="Z86" i="73"/>
  <c r="X86" i="73"/>
  <c r="L86" i="73"/>
  <c r="N86" i="73" s="1"/>
  <c r="B86" i="73"/>
  <c r="X85" i="73"/>
  <c r="Z85" i="73" s="1"/>
  <c r="N85" i="73"/>
  <c r="L85" i="73"/>
  <c r="B85" i="73"/>
  <c r="X84" i="73"/>
  <c r="Z84" i="73" s="1"/>
  <c r="N84" i="73"/>
  <c r="L84" i="73"/>
  <c r="B84" i="73"/>
  <c r="Z83" i="73"/>
  <c r="X83" i="73"/>
  <c r="N83" i="73"/>
  <c r="L83" i="73"/>
  <c r="B83" i="73"/>
  <c r="Z82" i="73"/>
  <c r="X82" i="73"/>
  <c r="L82" i="73"/>
  <c r="N82" i="73" s="1"/>
  <c r="B82" i="73"/>
  <c r="X81" i="73"/>
  <c r="Z81" i="73" s="1"/>
  <c r="N81" i="73"/>
  <c r="L81" i="73"/>
  <c r="B81" i="73"/>
  <c r="X80" i="73"/>
  <c r="Z80" i="73" s="1"/>
  <c r="N80" i="73"/>
  <c r="L80" i="73"/>
  <c r="B80" i="73"/>
  <c r="T79" i="73"/>
  <c r="P79" i="73"/>
  <c r="X79" i="73" s="1"/>
  <c r="L79" i="73"/>
  <c r="H79" i="73"/>
  <c r="N79" i="73" s="1"/>
  <c r="D79" i="73"/>
  <c r="B79" i="73"/>
  <c r="X78" i="73"/>
  <c r="Z78" i="73" s="1"/>
  <c r="N78" i="73"/>
  <c r="L78" i="73"/>
  <c r="B78" i="73"/>
  <c r="T77" i="73"/>
  <c r="P77" i="73"/>
  <c r="X77" i="73" s="1"/>
  <c r="Z77" i="73" s="1"/>
  <c r="N77" i="73"/>
  <c r="L77" i="73"/>
  <c r="H77" i="73"/>
  <c r="D77" i="73"/>
  <c r="B77" i="73"/>
  <c r="X76" i="73"/>
  <c r="Z76" i="73" s="1"/>
  <c r="N76" i="73"/>
  <c r="L76" i="73"/>
  <c r="B76" i="73"/>
  <c r="X75" i="73"/>
  <c r="T75" i="73"/>
  <c r="Z75" i="73" s="1"/>
  <c r="P75" i="73"/>
  <c r="H75" i="73"/>
  <c r="N75" i="73" s="1"/>
  <c r="D75" i="73"/>
  <c r="B75" i="73"/>
  <c r="Z74" i="73"/>
  <c r="X74" i="73"/>
  <c r="N74" i="73"/>
  <c r="L74" i="73"/>
  <c r="B74" i="73"/>
  <c r="X73" i="73"/>
  <c r="Z73" i="73" s="1"/>
  <c r="N73" i="73"/>
  <c r="L73" i="73"/>
  <c r="B73" i="73"/>
  <c r="X72" i="73"/>
  <c r="Z72" i="73" s="1"/>
  <c r="T72" i="73"/>
  <c r="P72" i="73"/>
  <c r="H72" i="73"/>
  <c r="D72" i="73"/>
  <c r="L72" i="73" s="1"/>
  <c r="N72" i="73" s="1"/>
  <c r="B72" i="73"/>
  <c r="Z71" i="73"/>
  <c r="X71" i="73"/>
  <c r="N71" i="73"/>
  <c r="L71" i="73"/>
  <c r="B71" i="73"/>
  <c r="X70" i="73"/>
  <c r="T70" i="73"/>
  <c r="P70" i="73"/>
  <c r="N70" i="73"/>
  <c r="H70" i="73"/>
  <c r="D70" i="73"/>
  <c r="L70" i="73" s="1"/>
  <c r="B70" i="73"/>
  <c r="Z69" i="73"/>
  <c r="X69" i="73"/>
  <c r="L69" i="73"/>
  <c r="N69" i="73" s="1"/>
  <c r="B69" i="73"/>
  <c r="X68" i="73"/>
  <c r="Z68" i="73" s="1"/>
  <c r="N68" i="73"/>
  <c r="L68" i="73"/>
  <c r="B68" i="73"/>
  <c r="Z67" i="73"/>
  <c r="X67" i="73"/>
  <c r="N67" i="73"/>
  <c r="L67" i="73"/>
  <c r="B67" i="73"/>
  <c r="Z66" i="73"/>
  <c r="X66" i="73"/>
  <c r="L66" i="73"/>
  <c r="N66" i="73" s="1"/>
  <c r="B66" i="73"/>
  <c r="T65" i="73"/>
  <c r="P65" i="73"/>
  <c r="L65" i="73"/>
  <c r="H65" i="73"/>
  <c r="N65" i="73" s="1"/>
  <c r="D65" i="73"/>
  <c r="B65" i="73"/>
  <c r="Z64" i="73"/>
  <c r="X64" i="73"/>
  <c r="N64" i="73"/>
  <c r="L64" i="73"/>
  <c r="B64" i="73"/>
  <c r="Z63" i="73"/>
  <c r="X63" i="73"/>
  <c r="N63" i="73"/>
  <c r="L63" i="73"/>
  <c r="B63" i="73"/>
  <c r="Z62" i="73"/>
  <c r="X62" i="73"/>
  <c r="L62" i="73"/>
  <c r="N62" i="73" s="1"/>
  <c r="B62" i="73"/>
  <c r="Z61" i="73"/>
  <c r="X61" i="73"/>
  <c r="N61" i="73"/>
  <c r="L61" i="73"/>
  <c r="B61" i="73"/>
  <c r="X60" i="73"/>
  <c r="Z60" i="73" s="1"/>
  <c r="N60" i="73"/>
  <c r="L60" i="73"/>
  <c r="B60" i="73"/>
  <c r="Z59" i="73"/>
  <c r="X59" i="73"/>
  <c r="N59" i="73"/>
  <c r="L59" i="73"/>
  <c r="B59" i="73"/>
  <c r="X58" i="73"/>
  <c r="Z58" i="73" s="1"/>
  <c r="L58" i="73"/>
  <c r="N58" i="73" s="1"/>
  <c r="B58" i="73"/>
  <c r="X57" i="73"/>
  <c r="Z57" i="73" s="1"/>
  <c r="N57" i="73"/>
  <c r="L57" i="73"/>
  <c r="B57" i="73"/>
  <c r="X56" i="73"/>
  <c r="Z56" i="73" s="1"/>
  <c r="N56" i="73"/>
  <c r="L56" i="73"/>
  <c r="B56" i="73"/>
  <c r="T55" i="73"/>
  <c r="P55" i="73"/>
  <c r="X55" i="73" s="1"/>
  <c r="L55" i="73"/>
  <c r="H55" i="73"/>
  <c r="N55" i="73" s="1"/>
  <c r="D55" i="73"/>
  <c r="B55" i="73"/>
  <c r="T54" i="73"/>
  <c r="P54" i="73"/>
  <c r="H54" i="73"/>
  <c r="D54" i="73"/>
  <c r="L54" i="73" s="1"/>
  <c r="N54" i="73" s="1"/>
  <c r="X50" i="73"/>
  <c r="Z50" i="73" s="1"/>
  <c r="N50" i="73"/>
  <c r="L50" i="73"/>
  <c r="B50" i="73"/>
  <c r="Z49" i="73"/>
  <c r="X49" i="73"/>
  <c r="L49" i="73"/>
  <c r="N49" i="73" s="1"/>
  <c r="B49" i="73"/>
  <c r="Z48" i="73"/>
  <c r="X48" i="73"/>
  <c r="L48" i="73"/>
  <c r="N48" i="73" s="1"/>
  <c r="B48" i="73"/>
  <c r="Z47" i="73"/>
  <c r="X47" i="73"/>
  <c r="N47" i="73"/>
  <c r="L47" i="73"/>
  <c r="B47" i="73"/>
  <c r="Z46" i="73"/>
  <c r="X46" i="73"/>
  <c r="N46" i="73"/>
  <c r="L46" i="73"/>
  <c r="B46" i="73"/>
  <c r="Z45" i="73"/>
  <c r="X45" i="73"/>
  <c r="L45" i="73"/>
  <c r="N45" i="73" s="1"/>
  <c r="B45" i="73"/>
  <c r="Z44" i="73"/>
  <c r="X44" i="73"/>
  <c r="L44" i="73"/>
  <c r="N44" i="73" s="1"/>
  <c r="B44" i="73"/>
  <c r="X43" i="73"/>
  <c r="Z43" i="73" s="1"/>
  <c r="N43" i="73"/>
  <c r="L43" i="73"/>
  <c r="B43" i="73"/>
  <c r="X42" i="73"/>
  <c r="Z42" i="73" s="1"/>
  <c r="N42" i="73"/>
  <c r="L42" i="73"/>
  <c r="B42" i="73"/>
  <c r="Z41" i="73"/>
  <c r="X41" i="73"/>
  <c r="N41" i="73"/>
  <c r="L41" i="73"/>
  <c r="B41" i="73"/>
  <c r="Z40" i="73"/>
  <c r="X40" i="73"/>
  <c r="L40" i="73"/>
  <c r="N40" i="73" s="1"/>
  <c r="B40" i="73"/>
  <c r="Z39" i="73"/>
  <c r="X39" i="73"/>
  <c r="L39" i="73"/>
  <c r="N39" i="73" s="1"/>
  <c r="B39" i="73"/>
  <c r="X38" i="73"/>
  <c r="Z38" i="73" s="1"/>
  <c r="N38" i="73"/>
  <c r="L38" i="73"/>
  <c r="B38" i="73"/>
  <c r="Z37" i="73"/>
  <c r="X37" i="73"/>
  <c r="L37" i="73"/>
  <c r="N37" i="73" s="1"/>
  <c r="B37" i="73"/>
  <c r="Z36" i="73"/>
  <c r="X36" i="73"/>
  <c r="N36" i="73"/>
  <c r="L36" i="73"/>
  <c r="B36" i="73"/>
  <c r="T35" i="73"/>
  <c r="P35" i="73"/>
  <c r="X35" i="73" s="1"/>
  <c r="H35" i="73"/>
  <c r="D35" i="73"/>
  <c r="L35" i="73" s="1"/>
  <c r="N35" i="73" s="1"/>
  <c r="T33" i="73"/>
  <c r="P33" i="73"/>
  <c r="X33" i="73" s="1"/>
  <c r="Z33" i="73" s="1"/>
  <c r="H33" i="73"/>
  <c r="D33" i="73"/>
  <c r="B33" i="73"/>
  <c r="T32" i="73"/>
  <c r="P32" i="73"/>
  <c r="N32" i="73"/>
  <c r="L32" i="73"/>
  <c r="H32" i="73"/>
  <c r="D32" i="73"/>
  <c r="B32" i="73"/>
  <c r="T31" i="73"/>
  <c r="P31" i="73"/>
  <c r="H31" i="73"/>
  <c r="D31" i="73"/>
  <c r="B31" i="73"/>
  <c r="Z30" i="73"/>
  <c r="T30" i="73"/>
  <c r="P30" i="73"/>
  <c r="X30" i="73" s="1"/>
  <c r="H30" i="73"/>
  <c r="D30" i="73"/>
  <c r="L30" i="73" s="1"/>
  <c r="N30" i="73" s="1"/>
  <c r="B30" i="73"/>
  <c r="T29" i="73"/>
  <c r="P29" i="73"/>
  <c r="H29" i="73"/>
  <c r="D29" i="73"/>
  <c r="B29" i="73"/>
  <c r="T28" i="73"/>
  <c r="P28" i="73"/>
  <c r="X28" i="73" s="1"/>
  <c r="N28" i="73"/>
  <c r="H28" i="73"/>
  <c r="L28" i="73" s="1"/>
  <c r="D28" i="73"/>
  <c r="B28" i="73"/>
  <c r="T27" i="73"/>
  <c r="X27" i="73" s="1"/>
  <c r="P27" i="73"/>
  <c r="N27" i="73"/>
  <c r="H27" i="73"/>
  <c r="D27" i="73"/>
  <c r="L27" i="73" s="1"/>
  <c r="B27" i="73"/>
  <c r="T26" i="73"/>
  <c r="P26" i="73"/>
  <c r="X26" i="73" s="1"/>
  <c r="N26" i="73"/>
  <c r="L26" i="73"/>
  <c r="H26" i="73"/>
  <c r="D26" i="73"/>
  <c r="B26" i="73"/>
  <c r="T25" i="73"/>
  <c r="P25" i="73"/>
  <c r="H25" i="73"/>
  <c r="D25" i="73"/>
  <c r="B25" i="73"/>
  <c r="T24" i="73"/>
  <c r="P24" i="73"/>
  <c r="L24" i="73"/>
  <c r="N24" i="73" s="1"/>
  <c r="H24" i="73"/>
  <c r="D24" i="73"/>
  <c r="B24" i="73"/>
  <c r="T23" i="73"/>
  <c r="X23" i="73" s="1"/>
  <c r="P23" i="73"/>
  <c r="H23" i="73"/>
  <c r="L23" i="73" s="1"/>
  <c r="N23" i="73" s="1"/>
  <c r="D23" i="73"/>
  <c r="B23" i="73"/>
  <c r="T22" i="73"/>
  <c r="P22" i="73"/>
  <c r="X22" i="73" s="1"/>
  <c r="Z22" i="73" s="1"/>
  <c r="L22" i="73"/>
  <c r="N22" i="73" s="1"/>
  <c r="H22" i="73"/>
  <c r="D22" i="73"/>
  <c r="B22" i="73"/>
  <c r="T21" i="73"/>
  <c r="X21" i="73" s="1"/>
  <c r="Z21" i="73" s="1"/>
  <c r="P21" i="73"/>
  <c r="H21" i="73"/>
  <c r="D21" i="73"/>
  <c r="B21" i="73"/>
  <c r="X20" i="73"/>
  <c r="T20" i="73"/>
  <c r="P20" i="73"/>
  <c r="N20" i="73"/>
  <c r="L20" i="73"/>
  <c r="H20" i="73"/>
  <c r="D20" i="73"/>
  <c r="B20" i="73"/>
  <c r="X19" i="73"/>
  <c r="Z19" i="73" s="1"/>
  <c r="T19" i="73"/>
  <c r="P19" i="73"/>
  <c r="N19" i="73"/>
  <c r="H19" i="73"/>
  <c r="D19" i="73"/>
  <c r="L19" i="73" s="1"/>
  <c r="B19" i="73"/>
  <c r="T18" i="73"/>
  <c r="P18" i="73"/>
  <c r="H18" i="73"/>
  <c r="D18" i="73"/>
  <c r="L18" i="73" s="1"/>
  <c r="N18" i="73" s="1"/>
  <c r="B18" i="73"/>
  <c r="T17" i="73"/>
  <c r="P17" i="73"/>
  <c r="X17" i="73" s="1"/>
  <c r="H17" i="73"/>
  <c r="D17" i="73"/>
  <c r="B17" i="73"/>
  <c r="T16" i="73"/>
  <c r="P16" i="73"/>
  <c r="X16" i="73" s="1"/>
  <c r="N16" i="73"/>
  <c r="H16" i="73"/>
  <c r="L16" i="73" s="1"/>
  <c r="D16" i="73"/>
  <c r="B16" i="73"/>
  <c r="X15" i="73"/>
  <c r="Z15" i="73" s="1"/>
  <c r="T15" i="73"/>
  <c r="P15" i="73"/>
  <c r="H15" i="73"/>
  <c r="D15" i="73"/>
  <c r="L15" i="73" s="1"/>
  <c r="B15" i="73"/>
  <c r="T14" i="73"/>
  <c r="P14" i="73"/>
  <c r="N14" i="73"/>
  <c r="H14" i="73"/>
  <c r="D14" i="73"/>
  <c r="L14" i="73" s="1"/>
  <c r="B14" i="73"/>
  <c r="X13" i="73"/>
  <c r="T13" i="73"/>
  <c r="P13" i="73"/>
  <c r="H13" i="73"/>
  <c r="D13" i="73"/>
  <c r="L13" i="73" s="1"/>
  <c r="B13" i="73"/>
  <c r="D6" i="73"/>
  <c r="D4" i="73"/>
  <c r="X87" i="72"/>
  <c r="Z87" i="72" s="1"/>
  <c r="L87" i="72"/>
  <c r="N87" i="72" s="1"/>
  <c r="Z83" i="72"/>
  <c r="T83" i="72"/>
  <c r="P83" i="72"/>
  <c r="H83" i="72"/>
  <c r="N83" i="72" s="1"/>
  <c r="D83" i="72"/>
  <c r="L83" i="72" s="1"/>
  <c r="X81" i="72"/>
  <c r="Z81" i="72" s="1"/>
  <c r="N81" i="72"/>
  <c r="L81" i="72"/>
  <c r="B81" i="72"/>
  <c r="T80" i="72"/>
  <c r="P80" i="72"/>
  <c r="X80" i="72" s="1"/>
  <c r="N80" i="72"/>
  <c r="L80" i="72"/>
  <c r="H80" i="72"/>
  <c r="D80" i="72"/>
  <c r="B80" i="72"/>
  <c r="X79" i="72"/>
  <c r="Z79" i="72" s="1"/>
  <c r="L79" i="72"/>
  <c r="N79" i="72" s="1"/>
  <c r="B79" i="72"/>
  <c r="T78" i="72"/>
  <c r="P78" i="72"/>
  <c r="X78" i="72" s="1"/>
  <c r="H78" i="72"/>
  <c r="D78" i="72"/>
  <c r="B78" i="72"/>
  <c r="X77" i="72"/>
  <c r="Z77" i="72" s="1"/>
  <c r="N77" i="72"/>
  <c r="L77" i="72"/>
  <c r="F77" i="72"/>
  <c r="B77" i="72"/>
  <c r="X76" i="72"/>
  <c r="Z76" i="72" s="1"/>
  <c r="N76" i="72"/>
  <c r="L76" i="72"/>
  <c r="B76" i="72"/>
  <c r="Z75" i="72"/>
  <c r="X75" i="72"/>
  <c r="N75" i="72"/>
  <c r="L75" i="72"/>
  <c r="B75" i="72"/>
  <c r="Z74" i="72"/>
  <c r="X74" i="72"/>
  <c r="N74" i="72"/>
  <c r="L74" i="72"/>
  <c r="B74" i="72"/>
  <c r="X73" i="72"/>
  <c r="Z73" i="72" s="1"/>
  <c r="N73" i="72"/>
  <c r="L73" i="72"/>
  <c r="B73" i="72"/>
  <c r="Z72" i="72"/>
  <c r="X72" i="72"/>
  <c r="N72" i="72"/>
  <c r="L72" i="72"/>
  <c r="B72" i="72"/>
  <c r="X71" i="72"/>
  <c r="Z71" i="72" s="1"/>
  <c r="T71" i="72"/>
  <c r="P71" i="72"/>
  <c r="H71" i="72"/>
  <c r="F71" i="72"/>
  <c r="D71" i="72"/>
  <c r="B71" i="72"/>
  <c r="Z70" i="72"/>
  <c r="X70" i="72"/>
  <c r="N70" i="72"/>
  <c r="L70" i="72"/>
  <c r="B70" i="72"/>
  <c r="Z69" i="72"/>
  <c r="X69" i="72"/>
  <c r="N69" i="72"/>
  <c r="L69" i="72"/>
  <c r="B69" i="72"/>
  <c r="T68" i="72"/>
  <c r="P68" i="72"/>
  <c r="X68" i="72" s="1"/>
  <c r="N68" i="72"/>
  <c r="L68" i="72"/>
  <c r="H68" i="72"/>
  <c r="D68" i="72"/>
  <c r="B68" i="72"/>
  <c r="X67" i="72"/>
  <c r="Z67" i="72" s="1"/>
  <c r="L67" i="72"/>
  <c r="N67" i="72" s="1"/>
  <c r="B67" i="72"/>
  <c r="X66" i="72"/>
  <c r="Z66" i="72" s="1"/>
  <c r="N66" i="72"/>
  <c r="L66" i="72"/>
  <c r="B66" i="72"/>
  <c r="T65" i="72"/>
  <c r="P65" i="72"/>
  <c r="X65" i="72" s="1"/>
  <c r="Z65" i="72" s="1"/>
  <c r="L65" i="72"/>
  <c r="N65" i="72" s="1"/>
  <c r="H65" i="72"/>
  <c r="D65" i="72"/>
  <c r="B65" i="72"/>
  <c r="X64" i="72"/>
  <c r="Z64" i="72" s="1"/>
  <c r="N64" i="72"/>
  <c r="L64" i="72"/>
  <c r="B64" i="72"/>
  <c r="X63" i="72"/>
  <c r="Z63" i="72" s="1"/>
  <c r="N63" i="72"/>
  <c r="L63" i="72"/>
  <c r="B63" i="72"/>
  <c r="Z62" i="72"/>
  <c r="X62" i="72"/>
  <c r="N62" i="72"/>
  <c r="L62" i="72"/>
  <c r="B62" i="72"/>
  <c r="T61" i="72"/>
  <c r="P61" i="72"/>
  <c r="L61" i="72"/>
  <c r="N61" i="72" s="1"/>
  <c r="H61" i="72"/>
  <c r="D61" i="72"/>
  <c r="B61" i="72"/>
  <c r="Z60" i="72"/>
  <c r="X60" i="72"/>
  <c r="N60" i="72"/>
  <c r="L60" i="72"/>
  <c r="B60" i="72"/>
  <c r="T59" i="72"/>
  <c r="P59" i="72"/>
  <c r="X59" i="72" s="1"/>
  <c r="H59" i="72"/>
  <c r="N59" i="72" s="1"/>
  <c r="D59" i="72"/>
  <c r="B59" i="72"/>
  <c r="X58" i="72"/>
  <c r="Z58" i="72" s="1"/>
  <c r="N58" i="72"/>
  <c r="L58" i="72"/>
  <c r="B58" i="72"/>
  <c r="Z57" i="72"/>
  <c r="X57" i="72"/>
  <c r="L57" i="72"/>
  <c r="N57" i="72" s="1"/>
  <c r="F57" i="72"/>
  <c r="B57" i="72"/>
  <c r="T56" i="72"/>
  <c r="P56" i="72"/>
  <c r="H56" i="72"/>
  <c r="N56" i="72" s="1"/>
  <c r="F56" i="72"/>
  <c r="D56" i="72"/>
  <c r="L56" i="72" s="1"/>
  <c r="B56" i="72"/>
  <c r="X55" i="72"/>
  <c r="Z55" i="72" s="1"/>
  <c r="N55" i="72"/>
  <c r="L55" i="72"/>
  <c r="B55" i="72"/>
  <c r="X54" i="72"/>
  <c r="Z54" i="72" s="1"/>
  <c r="T54" i="72"/>
  <c r="P54" i="72"/>
  <c r="L54" i="72"/>
  <c r="H54" i="72"/>
  <c r="N54" i="72" s="1"/>
  <c r="D54" i="72"/>
  <c r="B54" i="72"/>
  <c r="Z53" i="72"/>
  <c r="X53" i="72"/>
  <c r="N53" i="72"/>
  <c r="L53" i="72"/>
  <c r="B53" i="72"/>
  <c r="T52" i="72"/>
  <c r="P52" i="72"/>
  <c r="N52" i="72"/>
  <c r="L52" i="72"/>
  <c r="H52" i="72"/>
  <c r="D52" i="72"/>
  <c r="B52" i="72"/>
  <c r="X51" i="72"/>
  <c r="Z51" i="72" s="1"/>
  <c r="L51" i="72"/>
  <c r="N51" i="72" s="1"/>
  <c r="B51" i="72"/>
  <c r="T50" i="72"/>
  <c r="Z50" i="72" s="1"/>
  <c r="P50" i="72"/>
  <c r="X50" i="72" s="1"/>
  <c r="H50" i="72"/>
  <c r="N50" i="72" s="1"/>
  <c r="D50" i="72"/>
  <c r="L50" i="72" s="1"/>
  <c r="B50" i="72"/>
  <c r="X49" i="72"/>
  <c r="Z49" i="72" s="1"/>
  <c r="N49" i="72"/>
  <c r="L49" i="72"/>
  <c r="B49" i="72"/>
  <c r="X48" i="72"/>
  <c r="T48" i="72"/>
  <c r="Z48" i="72" s="1"/>
  <c r="P48" i="72"/>
  <c r="N48" i="72"/>
  <c r="L48" i="72"/>
  <c r="H48" i="72"/>
  <c r="F48" i="72"/>
  <c r="D48" i="72"/>
  <c r="B48" i="72"/>
  <c r="Z47" i="72"/>
  <c r="X47" i="72"/>
  <c r="N47" i="72"/>
  <c r="L47" i="72"/>
  <c r="B47" i="72"/>
  <c r="Z46" i="72"/>
  <c r="X46" i="72"/>
  <c r="T46" i="72"/>
  <c r="P46" i="72"/>
  <c r="H46" i="72"/>
  <c r="N46" i="72" s="1"/>
  <c r="D46" i="72"/>
  <c r="L46" i="72" s="1"/>
  <c r="B46" i="72"/>
  <c r="Z45" i="72"/>
  <c r="X45" i="72"/>
  <c r="L45" i="72"/>
  <c r="N45" i="72" s="1"/>
  <c r="B45" i="72"/>
  <c r="X44" i="72"/>
  <c r="Z44" i="72" s="1"/>
  <c r="L44" i="72"/>
  <c r="N44" i="72" s="1"/>
  <c r="B44" i="72"/>
  <c r="Z43" i="72"/>
  <c r="X43" i="72"/>
  <c r="N43" i="72"/>
  <c r="L43" i="72"/>
  <c r="B43" i="72"/>
  <c r="X42" i="72"/>
  <c r="Z42" i="72" s="1"/>
  <c r="N42" i="72"/>
  <c r="L42" i="72"/>
  <c r="B42" i="72"/>
  <c r="Z41" i="72"/>
  <c r="X41" i="72"/>
  <c r="N41" i="72"/>
  <c r="L41" i="72"/>
  <c r="B41" i="72"/>
  <c r="X40" i="72"/>
  <c r="Z40" i="72" s="1"/>
  <c r="L40" i="72"/>
  <c r="N40" i="72" s="1"/>
  <c r="B40" i="72"/>
  <c r="T39" i="72"/>
  <c r="P39" i="72"/>
  <c r="X39" i="72" s="1"/>
  <c r="Z39" i="72" s="1"/>
  <c r="H39" i="72"/>
  <c r="D39" i="72"/>
  <c r="L39" i="72" s="1"/>
  <c r="N39" i="72" s="1"/>
  <c r="B39" i="72"/>
  <c r="Z38" i="72"/>
  <c r="X38" i="72"/>
  <c r="N38" i="72"/>
  <c r="L38" i="72"/>
  <c r="B38" i="72"/>
  <c r="X37" i="72"/>
  <c r="Z37" i="72" s="1"/>
  <c r="N37" i="72"/>
  <c r="L37" i="72"/>
  <c r="B37" i="72"/>
  <c r="X36" i="72"/>
  <c r="Z36" i="72" s="1"/>
  <c r="N36" i="72"/>
  <c r="L36" i="72"/>
  <c r="B36" i="72"/>
  <c r="X35" i="72"/>
  <c r="Z35" i="72" s="1"/>
  <c r="N35" i="72"/>
  <c r="L35" i="72"/>
  <c r="B35" i="72"/>
  <c r="X34" i="72"/>
  <c r="Z34" i="72" s="1"/>
  <c r="N34" i="72"/>
  <c r="L34" i="72"/>
  <c r="B34" i="72"/>
  <c r="X33" i="72"/>
  <c r="Z33" i="72" s="1"/>
  <c r="N33" i="72"/>
  <c r="L33" i="72"/>
  <c r="B33" i="72"/>
  <c r="X32" i="72"/>
  <c r="Z32" i="72" s="1"/>
  <c r="N32" i="72"/>
  <c r="L32" i="72"/>
  <c r="F32" i="72"/>
  <c r="B32" i="72"/>
  <c r="X31" i="72"/>
  <c r="Z31" i="72" s="1"/>
  <c r="N31" i="72"/>
  <c r="L31" i="72"/>
  <c r="B31" i="72"/>
  <c r="X30" i="72"/>
  <c r="Z30" i="72" s="1"/>
  <c r="T30" i="72"/>
  <c r="P30" i="72"/>
  <c r="H30" i="72"/>
  <c r="D30" i="72"/>
  <c r="L30" i="72" s="1"/>
  <c r="B30" i="72"/>
  <c r="T29" i="72"/>
  <c r="P29" i="72"/>
  <c r="H29" i="72"/>
  <c r="D29" i="72"/>
  <c r="Z25" i="72"/>
  <c r="X25" i="72"/>
  <c r="N25" i="72"/>
  <c r="L25" i="72"/>
  <c r="B25" i="72"/>
  <c r="Z24" i="72"/>
  <c r="X24" i="72"/>
  <c r="L24" i="72"/>
  <c r="N24" i="72" s="1"/>
  <c r="B24" i="72"/>
  <c r="T23" i="72"/>
  <c r="P23" i="72"/>
  <c r="X23" i="72" s="1"/>
  <c r="H23" i="72"/>
  <c r="D23" i="72"/>
  <c r="T21" i="72"/>
  <c r="P21" i="72"/>
  <c r="X21" i="72" s="1"/>
  <c r="Z21" i="72" s="1"/>
  <c r="H21" i="72"/>
  <c r="N21" i="72" s="1"/>
  <c r="D21" i="72"/>
  <c r="B21" i="72"/>
  <c r="Z20" i="72"/>
  <c r="X20" i="72"/>
  <c r="T20" i="72"/>
  <c r="P20" i="72"/>
  <c r="H20" i="72"/>
  <c r="N20" i="72" s="1"/>
  <c r="D20" i="72"/>
  <c r="L20" i="72" s="1"/>
  <c r="B20" i="72"/>
  <c r="T19" i="72"/>
  <c r="P19" i="72"/>
  <c r="X19" i="72" s="1"/>
  <c r="Z19" i="72" s="1"/>
  <c r="N19" i="72"/>
  <c r="L19" i="72"/>
  <c r="H19" i="72"/>
  <c r="D19" i="72"/>
  <c r="B19" i="72"/>
  <c r="T18" i="72"/>
  <c r="Z18" i="72" s="1"/>
  <c r="P18" i="72"/>
  <c r="H18" i="72"/>
  <c r="N18" i="72" s="1"/>
  <c r="D18" i="72"/>
  <c r="L18" i="72" s="1"/>
  <c r="B18" i="72"/>
  <c r="T17" i="72"/>
  <c r="P17" i="72"/>
  <c r="X17" i="72" s="1"/>
  <c r="Z17" i="72" s="1"/>
  <c r="L17" i="72"/>
  <c r="H17" i="72"/>
  <c r="D17" i="72"/>
  <c r="B17" i="72"/>
  <c r="Z16" i="72"/>
  <c r="X16" i="72"/>
  <c r="T16" i="72"/>
  <c r="P16" i="72"/>
  <c r="H16" i="72"/>
  <c r="N16" i="72" s="1"/>
  <c r="D16" i="72"/>
  <c r="L16" i="72" s="1"/>
  <c r="B16" i="72"/>
  <c r="Z15" i="72"/>
  <c r="T15" i="72"/>
  <c r="P15" i="72"/>
  <c r="X15" i="72" s="1"/>
  <c r="N15" i="72"/>
  <c r="L15" i="72"/>
  <c r="H15" i="72"/>
  <c r="D15" i="72"/>
  <c r="B15" i="72"/>
  <c r="T14" i="72"/>
  <c r="P14" i="72"/>
  <c r="X14" i="72" s="1"/>
  <c r="H14" i="72"/>
  <c r="N14" i="72" s="1"/>
  <c r="D14" i="72"/>
  <c r="D12" i="72" s="1"/>
  <c r="F83" i="72" s="1"/>
  <c r="B14" i="72"/>
  <c r="T13" i="72"/>
  <c r="P13" i="72"/>
  <c r="L13" i="72"/>
  <c r="H13" i="72"/>
  <c r="D13" i="72"/>
  <c r="B13" i="72"/>
  <c r="D6" i="72"/>
  <c r="D4" i="72"/>
  <c r="X132" i="70"/>
  <c r="Z132" i="70" s="1"/>
  <c r="N132" i="70"/>
  <c r="L132" i="70"/>
  <c r="Z128" i="70"/>
  <c r="X128" i="70"/>
  <c r="T128" i="70"/>
  <c r="P128" i="70"/>
  <c r="H128" i="70"/>
  <c r="D128" i="70"/>
  <c r="L128" i="70" s="1"/>
  <c r="B128" i="70"/>
  <c r="Z127" i="70"/>
  <c r="T127" i="70"/>
  <c r="P127" i="70"/>
  <c r="X127" i="70" s="1"/>
  <c r="N127" i="70"/>
  <c r="L127" i="70"/>
  <c r="H127" i="70"/>
  <c r="D127" i="70"/>
  <c r="B127" i="70"/>
  <c r="Z126" i="70"/>
  <c r="X126" i="70"/>
  <c r="T126" i="70"/>
  <c r="P126" i="70"/>
  <c r="N126" i="70"/>
  <c r="L126" i="70"/>
  <c r="H126" i="70"/>
  <c r="D126" i="70"/>
  <c r="B126" i="70"/>
  <c r="T125" i="70"/>
  <c r="Z125" i="70" s="1"/>
  <c r="P125" i="70"/>
  <c r="X125" i="70" s="1"/>
  <c r="H125" i="70"/>
  <c r="Z123" i="70"/>
  <c r="X123" i="70"/>
  <c r="N123" i="70"/>
  <c r="L123" i="70"/>
  <c r="B123" i="70"/>
  <c r="Z122" i="70"/>
  <c r="X122" i="70"/>
  <c r="T122" i="70"/>
  <c r="P122" i="70"/>
  <c r="H122" i="70"/>
  <c r="N122" i="70" s="1"/>
  <c r="D122" i="70"/>
  <c r="L122" i="70" s="1"/>
  <c r="B122" i="70"/>
  <c r="Z121" i="70"/>
  <c r="X121" i="70"/>
  <c r="N121" i="70"/>
  <c r="L121" i="70"/>
  <c r="B121" i="70"/>
  <c r="T120" i="70"/>
  <c r="Z120" i="70" s="1"/>
  <c r="P120" i="70"/>
  <c r="X120" i="70" s="1"/>
  <c r="H120" i="70"/>
  <c r="N120" i="70" s="1"/>
  <c r="D120" i="70"/>
  <c r="L120" i="70" s="1"/>
  <c r="B120" i="70"/>
  <c r="X119" i="70"/>
  <c r="Z119" i="70" s="1"/>
  <c r="N119" i="70"/>
  <c r="L119" i="70"/>
  <c r="B119" i="70"/>
  <c r="X118" i="70"/>
  <c r="Z118" i="70" s="1"/>
  <c r="N118" i="70"/>
  <c r="L118" i="70"/>
  <c r="B118" i="70"/>
  <c r="T117" i="70"/>
  <c r="P117" i="70"/>
  <c r="L117" i="70"/>
  <c r="H117" i="70"/>
  <c r="N117" i="70" s="1"/>
  <c r="D117" i="70"/>
  <c r="B117" i="70"/>
  <c r="Z116" i="70"/>
  <c r="X116" i="70"/>
  <c r="N116" i="70"/>
  <c r="L116" i="70"/>
  <c r="B116" i="70"/>
  <c r="Z115" i="70"/>
  <c r="X115" i="70"/>
  <c r="N115" i="70"/>
  <c r="L115" i="70"/>
  <c r="B115" i="70"/>
  <c r="Z114" i="70"/>
  <c r="X114" i="70"/>
  <c r="L114" i="70"/>
  <c r="N114" i="70" s="1"/>
  <c r="B114" i="70"/>
  <c r="Z113" i="70"/>
  <c r="X113" i="70"/>
  <c r="N113" i="70"/>
  <c r="L113" i="70"/>
  <c r="B113" i="70"/>
  <c r="T112" i="70"/>
  <c r="Z112" i="70" s="1"/>
  <c r="P112" i="70"/>
  <c r="X112" i="70" s="1"/>
  <c r="N112" i="70"/>
  <c r="L112" i="70"/>
  <c r="H112" i="70"/>
  <c r="D112" i="70"/>
  <c r="B112" i="70"/>
  <c r="X111" i="70"/>
  <c r="Z111" i="70" s="1"/>
  <c r="N111" i="70"/>
  <c r="L111" i="70"/>
  <c r="B111" i="70"/>
  <c r="X110" i="70"/>
  <c r="Z110" i="70" s="1"/>
  <c r="L110" i="70"/>
  <c r="N110" i="70" s="1"/>
  <c r="B110" i="70"/>
  <c r="T109" i="70"/>
  <c r="P109" i="70"/>
  <c r="X109" i="70" s="1"/>
  <c r="Z109" i="70" s="1"/>
  <c r="L109" i="70"/>
  <c r="N109" i="70" s="1"/>
  <c r="H109" i="70"/>
  <c r="D109" i="70"/>
  <c r="B109" i="70"/>
  <c r="Z108" i="70"/>
  <c r="X108" i="70"/>
  <c r="N108" i="70"/>
  <c r="L108" i="70"/>
  <c r="B108" i="70"/>
  <c r="X107" i="70"/>
  <c r="Z107" i="70" s="1"/>
  <c r="N107" i="70"/>
  <c r="L107" i="70"/>
  <c r="B107" i="70"/>
  <c r="X106" i="70"/>
  <c r="Z106" i="70" s="1"/>
  <c r="N106" i="70"/>
  <c r="L106" i="70"/>
  <c r="B106" i="70"/>
  <c r="T105" i="70"/>
  <c r="P105" i="70"/>
  <c r="L105" i="70"/>
  <c r="H105" i="70"/>
  <c r="D105" i="70"/>
  <c r="B105" i="70"/>
  <c r="Z104" i="70"/>
  <c r="X104" i="70"/>
  <c r="L104" i="70"/>
  <c r="N104" i="70" s="1"/>
  <c r="B104" i="70"/>
  <c r="Z103" i="70"/>
  <c r="X103" i="70"/>
  <c r="L103" i="70"/>
  <c r="N103" i="70" s="1"/>
  <c r="B103" i="70"/>
  <c r="Z102" i="70"/>
  <c r="X102" i="70"/>
  <c r="L102" i="70"/>
  <c r="N102" i="70" s="1"/>
  <c r="B102" i="70"/>
  <c r="Z101" i="70"/>
  <c r="X101" i="70"/>
  <c r="L101" i="70"/>
  <c r="N101" i="70" s="1"/>
  <c r="B101" i="70"/>
  <c r="Z100" i="70"/>
  <c r="X100" i="70"/>
  <c r="L100" i="70"/>
  <c r="N100" i="70" s="1"/>
  <c r="B100" i="70"/>
  <c r="Z99" i="70"/>
  <c r="X99" i="70"/>
  <c r="L99" i="70"/>
  <c r="N99" i="70" s="1"/>
  <c r="B99" i="70"/>
  <c r="Z98" i="70"/>
  <c r="X98" i="70"/>
  <c r="L98" i="70"/>
  <c r="N98" i="70" s="1"/>
  <c r="B98" i="70"/>
  <c r="Z97" i="70"/>
  <c r="X97" i="70"/>
  <c r="L97" i="70"/>
  <c r="N97" i="70" s="1"/>
  <c r="B97" i="70"/>
  <c r="Z96" i="70"/>
  <c r="X96" i="70"/>
  <c r="L96" i="70"/>
  <c r="N96" i="70" s="1"/>
  <c r="B96" i="70"/>
  <c r="T95" i="70"/>
  <c r="P95" i="70"/>
  <c r="H95" i="70"/>
  <c r="D95" i="70"/>
  <c r="B95" i="70"/>
  <c r="X94" i="70"/>
  <c r="Z94" i="70" s="1"/>
  <c r="L94" i="70"/>
  <c r="N94" i="70" s="1"/>
  <c r="B94" i="70"/>
  <c r="T93" i="70"/>
  <c r="P93" i="70"/>
  <c r="X93" i="70" s="1"/>
  <c r="Z93" i="70" s="1"/>
  <c r="L93" i="70"/>
  <c r="N93" i="70" s="1"/>
  <c r="H93" i="70"/>
  <c r="D93" i="70"/>
  <c r="B93" i="70"/>
  <c r="Z92" i="70"/>
  <c r="X92" i="70"/>
  <c r="N92" i="70"/>
  <c r="L92" i="70"/>
  <c r="B92" i="70"/>
  <c r="X91" i="70"/>
  <c r="Z91" i="70" s="1"/>
  <c r="N91" i="70"/>
  <c r="L91" i="70"/>
  <c r="B91" i="70"/>
  <c r="X90" i="70"/>
  <c r="Z90" i="70" s="1"/>
  <c r="T90" i="70"/>
  <c r="P90" i="70"/>
  <c r="N90" i="70"/>
  <c r="L90" i="70"/>
  <c r="H90" i="70"/>
  <c r="D90" i="70"/>
  <c r="B90" i="70"/>
  <c r="Z89" i="70"/>
  <c r="X89" i="70"/>
  <c r="L89" i="70"/>
  <c r="N89" i="70" s="1"/>
  <c r="B89" i="70"/>
  <c r="T88" i="70"/>
  <c r="P88" i="70"/>
  <c r="N88" i="70"/>
  <c r="L88" i="70"/>
  <c r="H88" i="70"/>
  <c r="D88" i="70"/>
  <c r="B88" i="70"/>
  <c r="X87" i="70"/>
  <c r="Z87" i="70" s="1"/>
  <c r="L87" i="70"/>
  <c r="N87" i="70" s="1"/>
  <c r="B87" i="70"/>
  <c r="T86" i="70"/>
  <c r="Z86" i="70" s="1"/>
  <c r="P86" i="70"/>
  <c r="X86" i="70" s="1"/>
  <c r="H86" i="70"/>
  <c r="N86" i="70" s="1"/>
  <c r="D86" i="70"/>
  <c r="L86" i="70" s="1"/>
  <c r="B86" i="70"/>
  <c r="X85" i="70"/>
  <c r="Z85" i="70" s="1"/>
  <c r="N85" i="70"/>
  <c r="L85" i="70"/>
  <c r="B85" i="70"/>
  <c r="Z84" i="70"/>
  <c r="X84" i="70"/>
  <c r="N84" i="70"/>
  <c r="L84" i="70"/>
  <c r="B84" i="70"/>
  <c r="X83" i="70"/>
  <c r="T83" i="70"/>
  <c r="Z83" i="70" s="1"/>
  <c r="P83" i="70"/>
  <c r="L83" i="70"/>
  <c r="H83" i="70"/>
  <c r="D83" i="70"/>
  <c r="B83" i="70"/>
  <c r="Z82" i="70"/>
  <c r="X82" i="70"/>
  <c r="L82" i="70"/>
  <c r="N82" i="70" s="1"/>
  <c r="B82" i="70"/>
  <c r="T81" i="70"/>
  <c r="P81" i="70"/>
  <c r="X81" i="70" s="1"/>
  <c r="Z81" i="70" s="1"/>
  <c r="H81" i="70"/>
  <c r="D81" i="70"/>
  <c r="B81" i="70"/>
  <c r="X80" i="70"/>
  <c r="Z80" i="70" s="1"/>
  <c r="N80" i="70"/>
  <c r="L80" i="70"/>
  <c r="B80" i="70"/>
  <c r="X79" i="70"/>
  <c r="Z79" i="70" s="1"/>
  <c r="N79" i="70"/>
  <c r="L79" i="70"/>
  <c r="B79" i="70"/>
  <c r="X78" i="70"/>
  <c r="Z78" i="70" s="1"/>
  <c r="N78" i="70"/>
  <c r="L78" i="70"/>
  <c r="B78" i="70"/>
  <c r="X77" i="70"/>
  <c r="Z77" i="70" s="1"/>
  <c r="L77" i="70"/>
  <c r="N77" i="70" s="1"/>
  <c r="B77" i="70"/>
  <c r="X76" i="70"/>
  <c r="Z76" i="70" s="1"/>
  <c r="N76" i="70"/>
  <c r="L76" i="70"/>
  <c r="B76" i="70"/>
  <c r="X75" i="70"/>
  <c r="Z75" i="70" s="1"/>
  <c r="T75" i="70"/>
  <c r="P75" i="70"/>
  <c r="H75" i="70"/>
  <c r="D75" i="70"/>
  <c r="L75" i="70" s="1"/>
  <c r="N75" i="70" s="1"/>
  <c r="B75" i="70"/>
  <c r="X74" i="70"/>
  <c r="Z74" i="70" s="1"/>
  <c r="N74" i="70"/>
  <c r="L74" i="70"/>
  <c r="B74" i="70"/>
  <c r="X73" i="70"/>
  <c r="Z73" i="70" s="1"/>
  <c r="N73" i="70"/>
  <c r="L73" i="70"/>
  <c r="B73" i="70"/>
  <c r="Z72" i="70"/>
  <c r="X72" i="70"/>
  <c r="N72" i="70"/>
  <c r="L72" i="70"/>
  <c r="B72" i="70"/>
  <c r="X71" i="70"/>
  <c r="Z71" i="70" s="1"/>
  <c r="N71" i="70"/>
  <c r="L71" i="70"/>
  <c r="B71" i="70"/>
  <c r="Z70" i="70"/>
  <c r="X70" i="70"/>
  <c r="N70" i="70"/>
  <c r="L70" i="70"/>
  <c r="B70" i="70"/>
  <c r="X69" i="70"/>
  <c r="Z69" i="70" s="1"/>
  <c r="N69" i="70"/>
  <c r="L69" i="70"/>
  <c r="B69" i="70"/>
  <c r="Z68" i="70"/>
  <c r="X68" i="70"/>
  <c r="N68" i="70"/>
  <c r="L68" i="70"/>
  <c r="B68" i="70"/>
  <c r="X67" i="70"/>
  <c r="Z67" i="70" s="1"/>
  <c r="N67" i="70"/>
  <c r="L67" i="70"/>
  <c r="B67" i="70"/>
  <c r="X66" i="70"/>
  <c r="Z66" i="70" s="1"/>
  <c r="N66" i="70"/>
  <c r="L66" i="70"/>
  <c r="B66" i="70"/>
  <c r="X65" i="70"/>
  <c r="T65" i="70"/>
  <c r="P65" i="70"/>
  <c r="L65" i="70"/>
  <c r="H65" i="70"/>
  <c r="N65" i="70" s="1"/>
  <c r="D65" i="70"/>
  <c r="B65" i="70"/>
  <c r="T64" i="70"/>
  <c r="P64" i="70"/>
  <c r="X64" i="70" s="1"/>
  <c r="H64" i="70"/>
  <c r="D64" i="70"/>
  <c r="Z60" i="70"/>
  <c r="X60" i="70"/>
  <c r="N60" i="70"/>
  <c r="L60" i="70"/>
  <c r="B60" i="70"/>
  <c r="Z59" i="70"/>
  <c r="X59" i="70"/>
  <c r="N59" i="70"/>
  <c r="L59" i="70"/>
  <c r="B59" i="70"/>
  <c r="Z58" i="70"/>
  <c r="X58" i="70"/>
  <c r="N58" i="70"/>
  <c r="L58" i="70"/>
  <c r="B58" i="70"/>
  <c r="Z57" i="70"/>
  <c r="X57" i="70"/>
  <c r="L57" i="70"/>
  <c r="N57" i="70" s="1"/>
  <c r="B57" i="70"/>
  <c r="Z56" i="70"/>
  <c r="X56" i="70"/>
  <c r="L56" i="70"/>
  <c r="N56" i="70" s="1"/>
  <c r="B56" i="70"/>
  <c r="Z55" i="70"/>
  <c r="X55" i="70"/>
  <c r="N55" i="70"/>
  <c r="L55" i="70"/>
  <c r="B55" i="70"/>
  <c r="Z54" i="70"/>
  <c r="X54" i="70"/>
  <c r="L54" i="70"/>
  <c r="N54" i="70" s="1"/>
  <c r="B54" i="70"/>
  <c r="Z53" i="70"/>
  <c r="X53" i="70"/>
  <c r="L53" i="70"/>
  <c r="N53" i="70" s="1"/>
  <c r="B53" i="70"/>
  <c r="Z52" i="70"/>
  <c r="X52" i="70"/>
  <c r="L52" i="70"/>
  <c r="N52" i="70" s="1"/>
  <c r="B52" i="70"/>
  <c r="Z51" i="70"/>
  <c r="X51" i="70"/>
  <c r="L51" i="70"/>
  <c r="N51" i="70" s="1"/>
  <c r="B51" i="70"/>
  <c r="Z50" i="70"/>
  <c r="X50" i="70"/>
  <c r="L50" i="70"/>
  <c r="N50" i="70" s="1"/>
  <c r="B50" i="70"/>
  <c r="Z49" i="70"/>
  <c r="X49" i="70"/>
  <c r="L49" i="70"/>
  <c r="N49" i="70" s="1"/>
  <c r="B49" i="70"/>
  <c r="Z48" i="70"/>
  <c r="X48" i="70"/>
  <c r="L48" i="70"/>
  <c r="N48" i="70" s="1"/>
  <c r="B48" i="70"/>
  <c r="Z47" i="70"/>
  <c r="X47" i="70"/>
  <c r="L47" i="70"/>
  <c r="N47" i="70" s="1"/>
  <c r="B47" i="70"/>
  <c r="Z46" i="70"/>
  <c r="X46" i="70"/>
  <c r="L46" i="70"/>
  <c r="N46" i="70" s="1"/>
  <c r="B46" i="70"/>
  <c r="Z45" i="70"/>
  <c r="X45" i="70"/>
  <c r="N45" i="70"/>
  <c r="L45" i="70"/>
  <c r="J45" i="70"/>
  <c r="B45" i="70"/>
  <c r="T44" i="70"/>
  <c r="Z44" i="70" s="1"/>
  <c r="P44" i="70"/>
  <c r="X44" i="70" s="1"/>
  <c r="H44" i="70"/>
  <c r="D44" i="70"/>
  <c r="T42" i="70"/>
  <c r="P42" i="70"/>
  <c r="H42" i="70"/>
  <c r="D42" i="70"/>
  <c r="L42" i="70" s="1"/>
  <c r="B42" i="70"/>
  <c r="T41" i="70"/>
  <c r="P41" i="70"/>
  <c r="X41" i="70" s="1"/>
  <c r="Z41" i="70" s="1"/>
  <c r="L41" i="70"/>
  <c r="H41" i="70"/>
  <c r="D41" i="70"/>
  <c r="B41" i="70"/>
  <c r="T40" i="70"/>
  <c r="Z40" i="70" s="1"/>
  <c r="P40" i="70"/>
  <c r="X40" i="70" s="1"/>
  <c r="H40" i="70"/>
  <c r="D40" i="70"/>
  <c r="B40" i="70"/>
  <c r="T39" i="70"/>
  <c r="P39" i="70"/>
  <c r="L39" i="70"/>
  <c r="H39" i="70"/>
  <c r="D39" i="70"/>
  <c r="B39" i="70"/>
  <c r="T38" i="70"/>
  <c r="P38" i="70"/>
  <c r="H38" i="70"/>
  <c r="N38" i="70" s="1"/>
  <c r="D38" i="70"/>
  <c r="L38" i="70" s="1"/>
  <c r="B38" i="70"/>
  <c r="T37" i="70"/>
  <c r="P37" i="70"/>
  <c r="H37" i="70"/>
  <c r="D37" i="70"/>
  <c r="B37" i="70"/>
  <c r="T36" i="70"/>
  <c r="P36" i="70"/>
  <c r="L36" i="70"/>
  <c r="H36" i="70"/>
  <c r="D36" i="70"/>
  <c r="B36" i="70"/>
  <c r="T35" i="70"/>
  <c r="P35" i="70"/>
  <c r="N35" i="70"/>
  <c r="L35" i="70"/>
  <c r="H35" i="70"/>
  <c r="D35" i="70"/>
  <c r="B35" i="70"/>
  <c r="T34" i="70"/>
  <c r="P34" i="70"/>
  <c r="X34" i="70" s="1"/>
  <c r="Z34" i="70" s="1"/>
  <c r="H34" i="70"/>
  <c r="N34" i="70" s="1"/>
  <c r="D34" i="70"/>
  <c r="L34" i="70" s="1"/>
  <c r="B34" i="70"/>
  <c r="T33" i="70"/>
  <c r="P33" i="70"/>
  <c r="L33" i="70"/>
  <c r="H33" i="70"/>
  <c r="D33" i="70"/>
  <c r="B33" i="70"/>
  <c r="T32" i="70"/>
  <c r="P32" i="70"/>
  <c r="X32" i="70" s="1"/>
  <c r="Z32" i="70" s="1"/>
  <c r="H32" i="70"/>
  <c r="D32" i="70"/>
  <c r="B32" i="70"/>
  <c r="T31" i="70"/>
  <c r="P31" i="70"/>
  <c r="L31" i="70"/>
  <c r="H31" i="70"/>
  <c r="N31" i="70" s="1"/>
  <c r="D31" i="70"/>
  <c r="B31" i="70"/>
  <c r="T30" i="70"/>
  <c r="P30" i="70"/>
  <c r="H30" i="70"/>
  <c r="D30" i="70"/>
  <c r="B30" i="70"/>
  <c r="T29" i="70"/>
  <c r="P29" i="70"/>
  <c r="L29" i="70"/>
  <c r="H29" i="70"/>
  <c r="N29" i="70" s="1"/>
  <c r="D29" i="70"/>
  <c r="B29" i="70"/>
  <c r="X28" i="70"/>
  <c r="T28" i="70"/>
  <c r="P28" i="70"/>
  <c r="H28" i="70"/>
  <c r="D28" i="70"/>
  <c r="B28" i="70"/>
  <c r="Z27" i="70"/>
  <c r="T27" i="70"/>
  <c r="P27" i="70"/>
  <c r="X27" i="70" s="1"/>
  <c r="H27" i="70"/>
  <c r="D27" i="70"/>
  <c r="B27" i="70"/>
  <c r="X26" i="70"/>
  <c r="T26" i="70"/>
  <c r="P26" i="70"/>
  <c r="H26" i="70"/>
  <c r="D26" i="70"/>
  <c r="L26" i="70" s="1"/>
  <c r="B26" i="70"/>
  <c r="T25" i="70"/>
  <c r="P25" i="70"/>
  <c r="H25" i="70"/>
  <c r="D25" i="70"/>
  <c r="B25" i="70"/>
  <c r="T24" i="70"/>
  <c r="P24" i="70"/>
  <c r="X24" i="70" s="1"/>
  <c r="H24" i="70"/>
  <c r="D24" i="70"/>
  <c r="L24" i="70" s="1"/>
  <c r="B24" i="70"/>
  <c r="T23" i="70"/>
  <c r="P23" i="70"/>
  <c r="L23" i="70"/>
  <c r="H23" i="70"/>
  <c r="N23" i="70" s="1"/>
  <c r="D23" i="70"/>
  <c r="B23" i="70"/>
  <c r="X22" i="70"/>
  <c r="T22" i="70"/>
  <c r="P22" i="70"/>
  <c r="H22" i="70"/>
  <c r="D22" i="70"/>
  <c r="L22" i="70" s="1"/>
  <c r="B22" i="70"/>
  <c r="T21" i="70"/>
  <c r="P21" i="70"/>
  <c r="X21" i="70" s="1"/>
  <c r="Z21" i="70" s="1"/>
  <c r="H21" i="70"/>
  <c r="D21" i="70"/>
  <c r="B21" i="70"/>
  <c r="X20" i="70"/>
  <c r="T20" i="70"/>
  <c r="Z20" i="70" s="1"/>
  <c r="P20" i="70"/>
  <c r="H20" i="70"/>
  <c r="D20" i="70"/>
  <c r="L20" i="70" s="1"/>
  <c r="B20" i="70"/>
  <c r="T19" i="70"/>
  <c r="P19" i="70"/>
  <c r="H19" i="70"/>
  <c r="D19" i="70"/>
  <c r="B19" i="70"/>
  <c r="T18" i="70"/>
  <c r="Z18" i="70" s="1"/>
  <c r="P18" i="70"/>
  <c r="X18" i="70" s="1"/>
  <c r="H18" i="70"/>
  <c r="D18" i="70"/>
  <c r="B18" i="70"/>
  <c r="T17" i="70"/>
  <c r="P17" i="70"/>
  <c r="L17" i="70"/>
  <c r="H17" i="70"/>
  <c r="N17" i="70" s="1"/>
  <c r="D17" i="70"/>
  <c r="B17" i="70"/>
  <c r="T16" i="70"/>
  <c r="P16" i="70"/>
  <c r="H16" i="70"/>
  <c r="N16" i="70" s="1"/>
  <c r="D16" i="70"/>
  <c r="B16" i="70"/>
  <c r="T15" i="70"/>
  <c r="P15" i="70"/>
  <c r="X15" i="70" s="1"/>
  <c r="Z15" i="70" s="1"/>
  <c r="H15" i="70"/>
  <c r="D15" i="70"/>
  <c r="B15" i="70"/>
  <c r="X14" i="70"/>
  <c r="T14" i="70"/>
  <c r="P14" i="70"/>
  <c r="H14" i="70"/>
  <c r="D14" i="70"/>
  <c r="L14" i="70" s="1"/>
  <c r="B14" i="70"/>
  <c r="T13" i="70"/>
  <c r="P13" i="70"/>
  <c r="H13" i="70"/>
  <c r="D13" i="70"/>
  <c r="B13" i="70"/>
  <c r="H12" i="70"/>
  <c r="J104" i="70" s="1"/>
  <c r="D6" i="70"/>
  <c r="D4" i="70"/>
  <c r="X76" i="69"/>
  <c r="Z76" i="69" s="1"/>
  <c r="L76" i="69"/>
  <c r="N76" i="69" s="1"/>
  <c r="Z72" i="69"/>
  <c r="T72" i="69"/>
  <c r="P72" i="69"/>
  <c r="X72" i="69" s="1"/>
  <c r="H72" i="69"/>
  <c r="N72" i="69" s="1"/>
  <c r="D72" i="69"/>
  <c r="L72" i="69" s="1"/>
  <c r="X70" i="69"/>
  <c r="Z70" i="69" s="1"/>
  <c r="L70" i="69"/>
  <c r="N70" i="69" s="1"/>
  <c r="B70" i="69"/>
  <c r="T69" i="69"/>
  <c r="R69" i="69"/>
  <c r="P69" i="69"/>
  <c r="L69" i="69"/>
  <c r="N69" i="69" s="1"/>
  <c r="H69" i="69"/>
  <c r="D69" i="69"/>
  <c r="B69" i="69"/>
  <c r="Z68" i="69"/>
  <c r="X68" i="69"/>
  <c r="R68" i="69"/>
  <c r="N68" i="69"/>
  <c r="L68" i="69"/>
  <c r="B68" i="69"/>
  <c r="Z67" i="69"/>
  <c r="X67" i="69"/>
  <c r="L67" i="69"/>
  <c r="N67" i="69" s="1"/>
  <c r="B67" i="69"/>
  <c r="Z66" i="69"/>
  <c r="X66" i="69"/>
  <c r="N66" i="69"/>
  <c r="L66" i="69"/>
  <c r="B66" i="69"/>
  <c r="Z65" i="69"/>
  <c r="X65" i="69"/>
  <c r="R65" i="69"/>
  <c r="N65" i="69"/>
  <c r="L65" i="69"/>
  <c r="B65" i="69"/>
  <c r="Z64" i="69"/>
  <c r="X64" i="69"/>
  <c r="R64" i="69"/>
  <c r="N64" i="69"/>
  <c r="L64" i="69"/>
  <c r="B64" i="69"/>
  <c r="Z63" i="69"/>
  <c r="X63" i="69"/>
  <c r="N63" i="69"/>
  <c r="L63" i="69"/>
  <c r="B63" i="69"/>
  <c r="Z62" i="69"/>
  <c r="X62" i="69"/>
  <c r="L62" i="69"/>
  <c r="N62" i="69" s="1"/>
  <c r="B62" i="69"/>
  <c r="T61" i="69"/>
  <c r="P61" i="69"/>
  <c r="H61" i="69"/>
  <c r="D61" i="69"/>
  <c r="L61" i="69" s="1"/>
  <c r="B61" i="69"/>
  <c r="X60" i="69"/>
  <c r="Z60" i="69" s="1"/>
  <c r="N60" i="69"/>
  <c r="L60" i="69"/>
  <c r="B60" i="69"/>
  <c r="X59" i="69"/>
  <c r="T59" i="69"/>
  <c r="Z59" i="69" s="1"/>
  <c r="P59" i="69"/>
  <c r="H59" i="69"/>
  <c r="N59" i="69" s="1"/>
  <c r="D59" i="69"/>
  <c r="L59" i="69" s="1"/>
  <c r="B59" i="69"/>
  <c r="Z58" i="69"/>
  <c r="X58" i="69"/>
  <c r="N58" i="69"/>
  <c r="L58" i="69"/>
  <c r="B58" i="69"/>
  <c r="Z57" i="69"/>
  <c r="X57" i="69"/>
  <c r="R57" i="69"/>
  <c r="N57" i="69"/>
  <c r="L57" i="69"/>
  <c r="B57" i="69"/>
  <c r="X56" i="69"/>
  <c r="Z56" i="69" s="1"/>
  <c r="R56" i="69"/>
  <c r="N56" i="69"/>
  <c r="L56" i="69"/>
  <c r="J56" i="69"/>
  <c r="B56" i="69"/>
  <c r="X55" i="69"/>
  <c r="Z55" i="69" s="1"/>
  <c r="T55" i="69"/>
  <c r="P55" i="69"/>
  <c r="H55" i="69"/>
  <c r="D55" i="69"/>
  <c r="B55" i="69"/>
  <c r="Z54" i="69"/>
  <c r="X54" i="69"/>
  <c r="L54" i="69"/>
  <c r="N54" i="69" s="1"/>
  <c r="B54" i="69"/>
  <c r="Z53" i="69"/>
  <c r="X53" i="69"/>
  <c r="R53" i="69"/>
  <c r="L53" i="69"/>
  <c r="N53" i="69" s="1"/>
  <c r="B53" i="69"/>
  <c r="T52" i="69"/>
  <c r="P52" i="69"/>
  <c r="H52" i="69"/>
  <c r="D52" i="69"/>
  <c r="L52" i="69" s="1"/>
  <c r="N52" i="69" s="1"/>
  <c r="B52" i="69"/>
  <c r="X51" i="69"/>
  <c r="Z51" i="69" s="1"/>
  <c r="L51" i="69"/>
  <c r="N51" i="69" s="1"/>
  <c r="B51" i="69"/>
  <c r="T50" i="69"/>
  <c r="Z50" i="69" s="1"/>
  <c r="P50" i="69"/>
  <c r="X50" i="69" s="1"/>
  <c r="L50" i="69"/>
  <c r="N50" i="69" s="1"/>
  <c r="J50" i="69"/>
  <c r="H50" i="69"/>
  <c r="D50" i="69"/>
  <c r="B50" i="69"/>
  <c r="Z49" i="69"/>
  <c r="X49" i="69"/>
  <c r="R49" i="69"/>
  <c r="N49" i="69"/>
  <c r="L49" i="69"/>
  <c r="B49" i="69"/>
  <c r="T48" i="69"/>
  <c r="Z48" i="69" s="1"/>
  <c r="R48" i="69"/>
  <c r="P48" i="69"/>
  <c r="N48" i="69"/>
  <c r="L48" i="69"/>
  <c r="H48" i="69"/>
  <c r="D48" i="69"/>
  <c r="B48" i="69"/>
  <c r="Z47" i="69"/>
  <c r="X47" i="69"/>
  <c r="R47" i="69"/>
  <c r="N47" i="69"/>
  <c r="L47" i="69"/>
  <c r="B47" i="69"/>
  <c r="Z46" i="69"/>
  <c r="T46" i="69"/>
  <c r="P46" i="69"/>
  <c r="X46" i="69" s="1"/>
  <c r="J46" i="69"/>
  <c r="H46" i="69"/>
  <c r="N46" i="69" s="1"/>
  <c r="D46" i="69"/>
  <c r="L46" i="69" s="1"/>
  <c r="B46" i="69"/>
  <c r="X45" i="69"/>
  <c r="Z45" i="69" s="1"/>
  <c r="N45" i="69"/>
  <c r="L45" i="69"/>
  <c r="B45" i="69"/>
  <c r="X44" i="69"/>
  <c r="Z44" i="69" s="1"/>
  <c r="T44" i="69"/>
  <c r="P44" i="69"/>
  <c r="H44" i="69"/>
  <c r="D44" i="69"/>
  <c r="L44" i="69" s="1"/>
  <c r="N44" i="69" s="1"/>
  <c r="B44" i="69"/>
  <c r="X43" i="69"/>
  <c r="Z43" i="69" s="1"/>
  <c r="N43" i="69"/>
  <c r="L43" i="69"/>
  <c r="B43" i="69"/>
  <c r="Z42" i="69"/>
  <c r="X42" i="69"/>
  <c r="T42" i="69"/>
  <c r="R42" i="69"/>
  <c r="P42" i="69"/>
  <c r="H42" i="69"/>
  <c r="N42" i="69" s="1"/>
  <c r="D42" i="69"/>
  <c r="L42" i="69" s="1"/>
  <c r="B42" i="69"/>
  <c r="Z41" i="69"/>
  <c r="X41" i="69"/>
  <c r="R41" i="69"/>
  <c r="L41" i="69"/>
  <c r="N41" i="69" s="1"/>
  <c r="B41" i="69"/>
  <c r="T40" i="69"/>
  <c r="P40" i="69"/>
  <c r="N40" i="69"/>
  <c r="H40" i="69"/>
  <c r="D40" i="69"/>
  <c r="L40" i="69" s="1"/>
  <c r="B40" i="69"/>
  <c r="X39" i="69"/>
  <c r="Z39" i="69" s="1"/>
  <c r="L39" i="69"/>
  <c r="N39" i="69" s="1"/>
  <c r="B39" i="69"/>
  <c r="T38" i="69"/>
  <c r="P38" i="69"/>
  <c r="L38" i="69"/>
  <c r="N38" i="69" s="1"/>
  <c r="H38" i="69"/>
  <c r="D38" i="69"/>
  <c r="B38" i="69"/>
  <c r="Z37" i="69"/>
  <c r="X37" i="69"/>
  <c r="R37" i="69"/>
  <c r="N37" i="69"/>
  <c r="L37" i="69"/>
  <c r="B37" i="69"/>
  <c r="X36" i="69"/>
  <c r="Z36" i="69" s="1"/>
  <c r="R36" i="69"/>
  <c r="N36" i="69"/>
  <c r="L36" i="69"/>
  <c r="B36" i="69"/>
  <c r="X35" i="69"/>
  <c r="Z35" i="69" s="1"/>
  <c r="N35" i="69"/>
  <c r="L35" i="69"/>
  <c r="B35" i="69"/>
  <c r="Z34" i="69"/>
  <c r="X34" i="69"/>
  <c r="N34" i="69"/>
  <c r="L34" i="69"/>
  <c r="B34" i="69"/>
  <c r="Z33" i="69"/>
  <c r="X33" i="69"/>
  <c r="R33" i="69"/>
  <c r="N33" i="69"/>
  <c r="L33" i="69"/>
  <c r="B33" i="69"/>
  <c r="T32" i="69"/>
  <c r="Z32" i="69" s="1"/>
  <c r="R32" i="69"/>
  <c r="P32" i="69"/>
  <c r="X32" i="69" s="1"/>
  <c r="N32" i="69"/>
  <c r="L32" i="69"/>
  <c r="H32" i="69"/>
  <c r="D32" i="69"/>
  <c r="B32" i="69"/>
  <c r="Z31" i="69"/>
  <c r="X31" i="69"/>
  <c r="R31" i="69"/>
  <c r="L31" i="69"/>
  <c r="N31" i="69" s="1"/>
  <c r="J31" i="69"/>
  <c r="B31" i="69"/>
  <c r="Z30" i="69"/>
  <c r="X30" i="69"/>
  <c r="L30" i="69"/>
  <c r="N30" i="69" s="1"/>
  <c r="B30" i="69"/>
  <c r="Z29" i="69"/>
  <c r="X29" i="69"/>
  <c r="R29" i="69"/>
  <c r="L29" i="69"/>
  <c r="N29" i="69" s="1"/>
  <c r="B29" i="69"/>
  <c r="Z28" i="69"/>
  <c r="X28" i="69"/>
  <c r="R28" i="69"/>
  <c r="N28" i="69"/>
  <c r="L28" i="69"/>
  <c r="B28" i="69"/>
  <c r="X27" i="69"/>
  <c r="Z27" i="69" s="1"/>
  <c r="R27" i="69"/>
  <c r="L27" i="69"/>
  <c r="N27" i="69" s="1"/>
  <c r="B27" i="69"/>
  <c r="Z26" i="69"/>
  <c r="X26" i="69"/>
  <c r="L26" i="69"/>
  <c r="N26" i="69" s="1"/>
  <c r="B26" i="69"/>
  <c r="Z25" i="69"/>
  <c r="X25" i="69"/>
  <c r="R25" i="69"/>
  <c r="L25" i="69"/>
  <c r="N25" i="69" s="1"/>
  <c r="B25" i="69"/>
  <c r="Z24" i="69"/>
  <c r="X24" i="69"/>
  <c r="R24" i="69"/>
  <c r="L24" i="69"/>
  <c r="N24" i="69" s="1"/>
  <c r="J24" i="69"/>
  <c r="B24" i="69"/>
  <c r="T23" i="69"/>
  <c r="Z23" i="69" s="1"/>
  <c r="P23" i="69"/>
  <c r="X23" i="69" s="1"/>
  <c r="H23" i="69"/>
  <c r="D23" i="69"/>
  <c r="L23" i="69" s="1"/>
  <c r="N23" i="69" s="1"/>
  <c r="B23" i="69"/>
  <c r="T22" i="69"/>
  <c r="P22" i="69"/>
  <c r="J22" i="69"/>
  <c r="H22" i="69"/>
  <c r="D22" i="69"/>
  <c r="L22" i="69" s="1"/>
  <c r="X18" i="69"/>
  <c r="Z18" i="69" s="1"/>
  <c r="N18" i="69"/>
  <c r="L18" i="69"/>
  <c r="B18" i="69"/>
  <c r="Z17" i="69"/>
  <c r="X17" i="69"/>
  <c r="N17" i="69"/>
  <c r="L17" i="69"/>
  <c r="B17" i="69"/>
  <c r="T16" i="69"/>
  <c r="P16" i="69"/>
  <c r="X16" i="69" s="1"/>
  <c r="H16" i="69"/>
  <c r="D16" i="69"/>
  <c r="L16" i="69" s="1"/>
  <c r="T14" i="69"/>
  <c r="P14" i="69"/>
  <c r="H14" i="69"/>
  <c r="D14" i="69"/>
  <c r="L14" i="69" s="1"/>
  <c r="N14" i="69" s="1"/>
  <c r="B14" i="69"/>
  <c r="X13" i="69"/>
  <c r="T13" i="69"/>
  <c r="P13" i="69"/>
  <c r="L13" i="69"/>
  <c r="N13" i="69" s="1"/>
  <c r="H13" i="69"/>
  <c r="H12" i="69" s="1"/>
  <c r="J38" i="69" s="1"/>
  <c r="D13" i="69"/>
  <c r="B13" i="69"/>
  <c r="P12" i="69"/>
  <c r="R76" i="69" s="1"/>
  <c r="D6" i="69"/>
  <c r="D4" i="69"/>
  <c r="X151" i="68"/>
  <c r="Z151" i="68" s="1"/>
  <c r="N151" i="68"/>
  <c r="L151" i="68"/>
  <c r="X147" i="68"/>
  <c r="T147" i="68"/>
  <c r="T146" i="68" s="1"/>
  <c r="Z146" i="68" s="1"/>
  <c r="P147" i="68"/>
  <c r="P146" i="68" s="1"/>
  <c r="X146" i="68" s="1"/>
  <c r="H147" i="68"/>
  <c r="N147" i="68" s="1"/>
  <c r="D147" i="68"/>
  <c r="B147" i="68"/>
  <c r="H146" i="68"/>
  <c r="N146" i="68" s="1"/>
  <c r="X144" i="68"/>
  <c r="Z144" i="68" s="1"/>
  <c r="N144" i="68"/>
  <c r="L144" i="68"/>
  <c r="B144" i="68"/>
  <c r="Z143" i="68"/>
  <c r="X143" i="68"/>
  <c r="T143" i="68"/>
  <c r="P143" i="68"/>
  <c r="H143" i="68"/>
  <c r="N143" i="68" s="1"/>
  <c r="D143" i="68"/>
  <c r="L143" i="68" s="1"/>
  <c r="B143" i="68"/>
  <c r="Z142" i="68"/>
  <c r="X142" i="68"/>
  <c r="N142" i="68"/>
  <c r="L142" i="68"/>
  <c r="B142" i="68"/>
  <c r="T141" i="68"/>
  <c r="P141" i="68"/>
  <c r="N141" i="68"/>
  <c r="H141" i="68"/>
  <c r="D141" i="68"/>
  <c r="L141" i="68" s="1"/>
  <c r="B141" i="68"/>
  <c r="X140" i="68"/>
  <c r="Z140" i="68" s="1"/>
  <c r="L140" i="68"/>
  <c r="N140" i="68" s="1"/>
  <c r="B140" i="68"/>
  <c r="T139" i="68"/>
  <c r="P139" i="68"/>
  <c r="X139" i="68" s="1"/>
  <c r="L139" i="68"/>
  <c r="H139" i="68"/>
  <c r="N139" i="68" s="1"/>
  <c r="D139" i="68"/>
  <c r="B139" i="68"/>
  <c r="Z138" i="68"/>
  <c r="X138" i="68"/>
  <c r="N138" i="68"/>
  <c r="L138" i="68"/>
  <c r="B138" i="68"/>
  <c r="Z137" i="68"/>
  <c r="X137" i="68"/>
  <c r="N137" i="68"/>
  <c r="L137" i="68"/>
  <c r="B137" i="68"/>
  <c r="X136" i="68"/>
  <c r="Z136" i="68" s="1"/>
  <c r="N136" i="68"/>
  <c r="L136" i="68"/>
  <c r="B136" i="68"/>
  <c r="Z135" i="68"/>
  <c r="X135" i="68"/>
  <c r="T135" i="68"/>
  <c r="P135" i="68"/>
  <c r="H135" i="68"/>
  <c r="N135" i="68" s="1"/>
  <c r="D135" i="68"/>
  <c r="L135" i="68" s="1"/>
  <c r="B135" i="68"/>
  <c r="Z134" i="68"/>
  <c r="X134" i="68"/>
  <c r="N134" i="68"/>
  <c r="L134" i="68"/>
  <c r="B134" i="68"/>
  <c r="Z133" i="68"/>
  <c r="X133" i="68"/>
  <c r="L133" i="68"/>
  <c r="N133" i="68" s="1"/>
  <c r="B133" i="68"/>
  <c r="T132" i="68"/>
  <c r="Z132" i="68" s="1"/>
  <c r="P132" i="68"/>
  <c r="X132" i="68" s="1"/>
  <c r="N132" i="68"/>
  <c r="H132" i="68"/>
  <c r="D132" i="68"/>
  <c r="L132" i="68" s="1"/>
  <c r="B132" i="68"/>
  <c r="X131" i="68"/>
  <c r="Z131" i="68" s="1"/>
  <c r="N131" i="68"/>
  <c r="L131" i="68"/>
  <c r="B131" i="68"/>
  <c r="Z130" i="68"/>
  <c r="X130" i="68"/>
  <c r="N130" i="68"/>
  <c r="L130" i="68"/>
  <c r="B130" i="68"/>
  <c r="X129" i="68"/>
  <c r="T129" i="68"/>
  <c r="Z129" i="68" s="1"/>
  <c r="P129" i="68"/>
  <c r="H129" i="68"/>
  <c r="D129" i="68"/>
  <c r="L129" i="68" s="1"/>
  <c r="B129" i="68"/>
  <c r="Z128" i="68"/>
  <c r="X128" i="68"/>
  <c r="N128" i="68"/>
  <c r="L128" i="68"/>
  <c r="B128" i="68"/>
  <c r="Z127" i="68"/>
  <c r="X127" i="68"/>
  <c r="T127" i="68"/>
  <c r="P127" i="68"/>
  <c r="H127" i="68"/>
  <c r="N127" i="68" s="1"/>
  <c r="D127" i="68"/>
  <c r="B127" i="68"/>
  <c r="Z126" i="68"/>
  <c r="X126" i="68"/>
  <c r="N126" i="68"/>
  <c r="L126" i="68"/>
  <c r="B126" i="68"/>
  <c r="T125" i="68"/>
  <c r="P125" i="68"/>
  <c r="N125" i="68"/>
  <c r="H125" i="68"/>
  <c r="D125" i="68"/>
  <c r="L125" i="68" s="1"/>
  <c r="B125" i="68"/>
  <c r="X124" i="68"/>
  <c r="Z124" i="68" s="1"/>
  <c r="L124" i="68"/>
  <c r="N124" i="68" s="1"/>
  <c r="B124" i="68"/>
  <c r="X123" i="68"/>
  <c r="Z123" i="68" s="1"/>
  <c r="N123" i="68"/>
  <c r="L123" i="68"/>
  <c r="B123" i="68"/>
  <c r="Z122" i="68"/>
  <c r="X122" i="68"/>
  <c r="N122" i="68"/>
  <c r="L122" i="68"/>
  <c r="B122" i="68"/>
  <c r="X121" i="68"/>
  <c r="Z121" i="68" s="1"/>
  <c r="L121" i="68"/>
  <c r="N121" i="68" s="1"/>
  <c r="B121" i="68"/>
  <c r="Z120" i="68"/>
  <c r="X120" i="68"/>
  <c r="N120" i="68"/>
  <c r="L120" i="68"/>
  <c r="B120" i="68"/>
  <c r="X119" i="68"/>
  <c r="Z119" i="68" s="1"/>
  <c r="N119" i="68"/>
  <c r="L119" i="68"/>
  <c r="B119" i="68"/>
  <c r="Z118" i="68"/>
  <c r="X118" i="68"/>
  <c r="N118" i="68"/>
  <c r="L118" i="68"/>
  <c r="B118" i="68"/>
  <c r="X117" i="68"/>
  <c r="Z117" i="68" s="1"/>
  <c r="L117" i="68"/>
  <c r="N117" i="68" s="1"/>
  <c r="B117" i="68"/>
  <c r="X116" i="68"/>
  <c r="Z116" i="68" s="1"/>
  <c r="L116" i="68"/>
  <c r="N116" i="68" s="1"/>
  <c r="B116" i="68"/>
  <c r="X115" i="68"/>
  <c r="Z115" i="68" s="1"/>
  <c r="L115" i="68"/>
  <c r="N115" i="68" s="1"/>
  <c r="B115" i="68"/>
  <c r="Z114" i="68"/>
  <c r="X114" i="68"/>
  <c r="N114" i="68"/>
  <c r="L114" i="68"/>
  <c r="B114" i="68"/>
  <c r="X113" i="68"/>
  <c r="Z113" i="68" s="1"/>
  <c r="L113" i="68"/>
  <c r="N113" i="68" s="1"/>
  <c r="B113" i="68"/>
  <c r="X112" i="68"/>
  <c r="Z112" i="68" s="1"/>
  <c r="L112" i="68"/>
  <c r="N112" i="68" s="1"/>
  <c r="B112" i="68"/>
  <c r="X111" i="68"/>
  <c r="Z111" i="68" s="1"/>
  <c r="L111" i="68"/>
  <c r="N111" i="68" s="1"/>
  <c r="B111" i="68"/>
  <c r="Z110" i="68"/>
  <c r="X110" i="68"/>
  <c r="N110" i="68"/>
  <c r="L110" i="68"/>
  <c r="B110" i="68"/>
  <c r="X109" i="68"/>
  <c r="Z109" i="68" s="1"/>
  <c r="L109" i="68"/>
  <c r="N109" i="68" s="1"/>
  <c r="B109" i="68"/>
  <c r="X108" i="68"/>
  <c r="Z108" i="68" s="1"/>
  <c r="L108" i="68"/>
  <c r="N108" i="68" s="1"/>
  <c r="B108" i="68"/>
  <c r="X107" i="68"/>
  <c r="Z107" i="68" s="1"/>
  <c r="L107" i="68"/>
  <c r="N107" i="68" s="1"/>
  <c r="B107" i="68"/>
  <c r="Z106" i="68"/>
  <c r="X106" i="68"/>
  <c r="N106" i="68"/>
  <c r="L106" i="68"/>
  <c r="B106" i="68"/>
  <c r="Z105" i="68"/>
  <c r="X105" i="68"/>
  <c r="N105" i="68"/>
  <c r="L105" i="68"/>
  <c r="B105" i="68"/>
  <c r="X104" i="68"/>
  <c r="Z104" i="68" s="1"/>
  <c r="L104" i="68"/>
  <c r="N104" i="68" s="1"/>
  <c r="B104" i="68"/>
  <c r="Z103" i="68"/>
  <c r="X103" i="68"/>
  <c r="L103" i="68"/>
  <c r="N103" i="68" s="1"/>
  <c r="B103" i="68"/>
  <c r="T102" i="68"/>
  <c r="P102" i="68"/>
  <c r="X102" i="68" s="1"/>
  <c r="Z102" i="68" s="1"/>
  <c r="H102" i="68"/>
  <c r="D102" i="68"/>
  <c r="L102" i="68" s="1"/>
  <c r="N102" i="68" s="1"/>
  <c r="B102" i="68"/>
  <c r="X101" i="68"/>
  <c r="Z101" i="68" s="1"/>
  <c r="N101" i="68"/>
  <c r="L101" i="68"/>
  <c r="B101" i="68"/>
  <c r="X100" i="68"/>
  <c r="Z100" i="68" s="1"/>
  <c r="T100" i="68"/>
  <c r="P100" i="68"/>
  <c r="H100" i="68"/>
  <c r="D100" i="68"/>
  <c r="B100" i="68"/>
  <c r="Z99" i="68"/>
  <c r="X99" i="68"/>
  <c r="N99" i="68"/>
  <c r="L99" i="68"/>
  <c r="B99" i="68"/>
  <c r="Z98" i="68"/>
  <c r="X98" i="68"/>
  <c r="N98" i="68"/>
  <c r="L98" i="68"/>
  <c r="B98" i="68"/>
  <c r="T97" i="68"/>
  <c r="P97" i="68"/>
  <c r="N97" i="68"/>
  <c r="H97" i="68"/>
  <c r="D97" i="68"/>
  <c r="L97" i="68" s="1"/>
  <c r="B97" i="68"/>
  <c r="X96" i="68"/>
  <c r="Z96" i="68" s="1"/>
  <c r="L96" i="68"/>
  <c r="N96" i="68" s="1"/>
  <c r="B96" i="68"/>
  <c r="T95" i="68"/>
  <c r="P95" i="68"/>
  <c r="X95" i="68" s="1"/>
  <c r="H95" i="68"/>
  <c r="N95" i="68" s="1"/>
  <c r="D95" i="68"/>
  <c r="L95" i="68" s="1"/>
  <c r="B95" i="68"/>
  <c r="Z94" i="68"/>
  <c r="X94" i="68"/>
  <c r="N94" i="68"/>
  <c r="L94" i="68"/>
  <c r="B94" i="68"/>
  <c r="T93" i="68"/>
  <c r="P93" i="68"/>
  <c r="N93" i="68"/>
  <c r="L93" i="68"/>
  <c r="H93" i="68"/>
  <c r="D93" i="68"/>
  <c r="B93" i="68"/>
  <c r="Z92" i="68"/>
  <c r="X92" i="68"/>
  <c r="L92" i="68"/>
  <c r="N92" i="68" s="1"/>
  <c r="B92" i="68"/>
  <c r="Z91" i="68"/>
  <c r="X91" i="68"/>
  <c r="N91" i="68"/>
  <c r="L91" i="68"/>
  <c r="B91" i="68"/>
  <c r="Z90" i="68"/>
  <c r="X90" i="68"/>
  <c r="N90" i="68"/>
  <c r="L90" i="68"/>
  <c r="B90" i="68"/>
  <c r="Z89" i="68"/>
  <c r="X89" i="68"/>
  <c r="L89" i="68"/>
  <c r="N89" i="68" s="1"/>
  <c r="B89" i="68"/>
  <c r="T88" i="68"/>
  <c r="P88" i="68"/>
  <c r="X88" i="68" s="1"/>
  <c r="H88" i="68"/>
  <c r="D88" i="68"/>
  <c r="B88" i="68"/>
  <c r="X87" i="68"/>
  <c r="Z87" i="68" s="1"/>
  <c r="L87" i="68"/>
  <c r="N87" i="68" s="1"/>
  <c r="B87" i="68"/>
  <c r="Z86" i="68"/>
  <c r="X86" i="68"/>
  <c r="N86" i="68"/>
  <c r="L86" i="68"/>
  <c r="B86" i="68"/>
  <c r="X85" i="68"/>
  <c r="Z85" i="68" s="1"/>
  <c r="L85" i="68"/>
  <c r="N85" i="68" s="1"/>
  <c r="B85" i="68"/>
  <c r="X84" i="68"/>
  <c r="Z84" i="68" s="1"/>
  <c r="N84" i="68"/>
  <c r="L84" i="68"/>
  <c r="B84" i="68"/>
  <c r="X83" i="68"/>
  <c r="Z83" i="68" s="1"/>
  <c r="N83" i="68"/>
  <c r="L83" i="68"/>
  <c r="B83" i="68"/>
  <c r="Z82" i="68"/>
  <c r="X82" i="68"/>
  <c r="N82" i="68"/>
  <c r="L82" i="68"/>
  <c r="B82" i="68"/>
  <c r="X81" i="68"/>
  <c r="Z81" i="68" s="1"/>
  <c r="L81" i="68"/>
  <c r="N81" i="68" s="1"/>
  <c r="B81" i="68"/>
  <c r="X80" i="68"/>
  <c r="Z80" i="68" s="1"/>
  <c r="L80" i="68"/>
  <c r="N80" i="68" s="1"/>
  <c r="B80" i="68"/>
  <c r="X79" i="68"/>
  <c r="T79" i="68"/>
  <c r="Z79" i="68" s="1"/>
  <c r="P79" i="68"/>
  <c r="H79" i="68"/>
  <c r="D79" i="68"/>
  <c r="L79" i="68" s="1"/>
  <c r="B79" i="68"/>
  <c r="T78" i="68"/>
  <c r="P78" i="68"/>
  <c r="H78" i="68"/>
  <c r="D78" i="68"/>
  <c r="L78" i="68" s="1"/>
  <c r="Z74" i="68"/>
  <c r="X74" i="68"/>
  <c r="N74" i="68"/>
  <c r="L74" i="68"/>
  <c r="B74" i="68"/>
  <c r="X73" i="68"/>
  <c r="Z73" i="68" s="1"/>
  <c r="N73" i="68"/>
  <c r="L73" i="68"/>
  <c r="B73" i="68"/>
  <c r="Z72" i="68"/>
  <c r="X72" i="68"/>
  <c r="N72" i="68"/>
  <c r="L72" i="68"/>
  <c r="B72" i="68"/>
  <c r="X71" i="68"/>
  <c r="Z71" i="68" s="1"/>
  <c r="N71" i="68"/>
  <c r="L71" i="68"/>
  <c r="B71" i="68"/>
  <c r="Z70" i="68"/>
  <c r="X70" i="68"/>
  <c r="N70" i="68"/>
  <c r="L70" i="68"/>
  <c r="B70" i="68"/>
  <c r="X69" i="68"/>
  <c r="Z69" i="68" s="1"/>
  <c r="N69" i="68"/>
  <c r="L69" i="68"/>
  <c r="B69" i="68"/>
  <c r="X68" i="68"/>
  <c r="Z68" i="68" s="1"/>
  <c r="N68" i="68"/>
  <c r="L68" i="68"/>
  <c r="B68" i="68"/>
  <c r="Z67" i="68"/>
  <c r="X67" i="68"/>
  <c r="N67" i="68"/>
  <c r="L67" i="68"/>
  <c r="B67" i="68"/>
  <c r="X66" i="68"/>
  <c r="Z66" i="68" s="1"/>
  <c r="N66" i="68"/>
  <c r="L66" i="68"/>
  <c r="B66" i="68"/>
  <c r="X65" i="68"/>
  <c r="Z65" i="68" s="1"/>
  <c r="N65" i="68"/>
  <c r="L65" i="68"/>
  <c r="B65" i="68"/>
  <c r="X64" i="68"/>
  <c r="Z64" i="68" s="1"/>
  <c r="N64" i="68"/>
  <c r="L64" i="68"/>
  <c r="B64" i="68"/>
  <c r="X63" i="68"/>
  <c r="Z63" i="68" s="1"/>
  <c r="N63" i="68"/>
  <c r="L63" i="68"/>
  <c r="B63" i="68"/>
  <c r="Z62" i="68"/>
  <c r="X62" i="68"/>
  <c r="N62" i="68"/>
  <c r="L62" i="68"/>
  <c r="B62" i="68"/>
  <c r="X61" i="68"/>
  <c r="Z61" i="68" s="1"/>
  <c r="N61" i="68"/>
  <c r="L61" i="68"/>
  <c r="B61" i="68"/>
  <c r="X60" i="68"/>
  <c r="Z60" i="68" s="1"/>
  <c r="N60" i="68"/>
  <c r="L60" i="68"/>
  <c r="B60" i="68"/>
  <c r="Z59" i="68"/>
  <c r="X59" i="68"/>
  <c r="N59" i="68"/>
  <c r="L59" i="68"/>
  <c r="B59" i="68"/>
  <c r="Z58" i="68"/>
  <c r="X58" i="68"/>
  <c r="N58" i="68"/>
  <c r="L58" i="68"/>
  <c r="B58" i="68"/>
  <c r="X57" i="68"/>
  <c r="Z57" i="68" s="1"/>
  <c r="N57" i="68"/>
  <c r="L57" i="68"/>
  <c r="B57" i="68"/>
  <c r="X56" i="68"/>
  <c r="Z56" i="68" s="1"/>
  <c r="N56" i="68"/>
  <c r="L56" i="68"/>
  <c r="B56" i="68"/>
  <c r="X55" i="68"/>
  <c r="Z55" i="68" s="1"/>
  <c r="N55" i="68"/>
  <c r="L55" i="68"/>
  <c r="B55" i="68"/>
  <c r="Z54" i="68"/>
  <c r="X54" i="68"/>
  <c r="N54" i="68"/>
  <c r="L54" i="68"/>
  <c r="B54" i="68"/>
  <c r="T53" i="68"/>
  <c r="P53" i="68"/>
  <c r="N53" i="68"/>
  <c r="L53" i="68"/>
  <c r="H53" i="68"/>
  <c r="D53" i="68"/>
  <c r="T51" i="68"/>
  <c r="Z51" i="68" s="1"/>
  <c r="P51" i="68"/>
  <c r="X51" i="68" s="1"/>
  <c r="H51" i="68"/>
  <c r="N51" i="68" s="1"/>
  <c r="D51" i="68"/>
  <c r="B51" i="68"/>
  <c r="X50" i="68"/>
  <c r="T50" i="68"/>
  <c r="Z50" i="68" s="1"/>
  <c r="P50" i="68"/>
  <c r="H50" i="68"/>
  <c r="N50" i="68" s="1"/>
  <c r="D50" i="68"/>
  <c r="L50" i="68" s="1"/>
  <c r="B50" i="68"/>
  <c r="X49" i="68"/>
  <c r="Z49" i="68" s="1"/>
  <c r="T49" i="68"/>
  <c r="P49" i="68"/>
  <c r="N49" i="68"/>
  <c r="H49" i="68"/>
  <c r="D49" i="68"/>
  <c r="L49" i="68" s="1"/>
  <c r="B49" i="68"/>
  <c r="T48" i="68"/>
  <c r="P48" i="68"/>
  <c r="X48" i="68" s="1"/>
  <c r="Z48" i="68" s="1"/>
  <c r="N48" i="68"/>
  <c r="H48" i="68"/>
  <c r="D48" i="68"/>
  <c r="L48" i="68" s="1"/>
  <c r="B48" i="68"/>
  <c r="T47" i="68"/>
  <c r="P47" i="68"/>
  <c r="X47" i="68" s="1"/>
  <c r="H47" i="68"/>
  <c r="D47" i="68"/>
  <c r="B47" i="68"/>
  <c r="X46" i="68"/>
  <c r="T46" i="68"/>
  <c r="P46" i="68"/>
  <c r="H46" i="68"/>
  <c r="D46" i="68"/>
  <c r="B46" i="68"/>
  <c r="X45" i="68"/>
  <c r="Z45" i="68" s="1"/>
  <c r="T45" i="68"/>
  <c r="P45" i="68"/>
  <c r="N45" i="68"/>
  <c r="H45" i="68"/>
  <c r="D45" i="68"/>
  <c r="L45" i="68" s="1"/>
  <c r="B45" i="68"/>
  <c r="X44" i="68"/>
  <c r="Z44" i="68" s="1"/>
  <c r="T44" i="68"/>
  <c r="P44" i="68"/>
  <c r="N44" i="68"/>
  <c r="H44" i="68"/>
  <c r="D44" i="68"/>
  <c r="L44" i="68" s="1"/>
  <c r="B44" i="68"/>
  <c r="T43" i="68"/>
  <c r="Z43" i="68" s="1"/>
  <c r="P43" i="68"/>
  <c r="X43" i="68" s="1"/>
  <c r="N43" i="68"/>
  <c r="H43" i="68"/>
  <c r="D43" i="68"/>
  <c r="B43" i="68"/>
  <c r="X42" i="68"/>
  <c r="T42" i="68"/>
  <c r="Z42" i="68" s="1"/>
  <c r="P42" i="68"/>
  <c r="H42" i="68"/>
  <c r="N42" i="68" s="1"/>
  <c r="D42" i="68"/>
  <c r="B42" i="68"/>
  <c r="Z41" i="68"/>
  <c r="X41" i="68"/>
  <c r="T41" i="68"/>
  <c r="P41" i="68"/>
  <c r="N41" i="68"/>
  <c r="H41" i="68"/>
  <c r="D41" i="68"/>
  <c r="L41" i="68" s="1"/>
  <c r="B41" i="68"/>
  <c r="T40" i="68"/>
  <c r="P40" i="68"/>
  <c r="X40" i="68" s="1"/>
  <c r="Z40" i="68" s="1"/>
  <c r="N40" i="68"/>
  <c r="H40" i="68"/>
  <c r="D40" i="68"/>
  <c r="L40" i="68" s="1"/>
  <c r="B40" i="68"/>
  <c r="T39" i="68"/>
  <c r="P39" i="68"/>
  <c r="X39" i="68" s="1"/>
  <c r="H39" i="68"/>
  <c r="N39" i="68" s="1"/>
  <c r="D39" i="68"/>
  <c r="L39" i="68" s="1"/>
  <c r="B39" i="68"/>
  <c r="X38" i="68"/>
  <c r="T38" i="68"/>
  <c r="Z38" i="68" s="1"/>
  <c r="P38" i="68"/>
  <c r="H38" i="68"/>
  <c r="D38" i="68"/>
  <c r="L38" i="68" s="1"/>
  <c r="B38" i="68"/>
  <c r="X37" i="68"/>
  <c r="Z37" i="68" s="1"/>
  <c r="T37" i="68"/>
  <c r="P37" i="68"/>
  <c r="N37" i="68"/>
  <c r="H37" i="68"/>
  <c r="D37" i="68"/>
  <c r="L37" i="68" s="1"/>
  <c r="B37" i="68"/>
  <c r="T36" i="68"/>
  <c r="P36" i="68"/>
  <c r="X36" i="68" s="1"/>
  <c r="Z36" i="68" s="1"/>
  <c r="N36" i="68"/>
  <c r="H36" i="68"/>
  <c r="D36" i="68"/>
  <c r="L36" i="68" s="1"/>
  <c r="B36" i="68"/>
  <c r="T35" i="68"/>
  <c r="P35" i="68"/>
  <c r="X35" i="68" s="1"/>
  <c r="H35" i="68"/>
  <c r="N35" i="68" s="1"/>
  <c r="D35" i="68"/>
  <c r="L35" i="68" s="1"/>
  <c r="B35" i="68"/>
  <c r="X34" i="68"/>
  <c r="T34" i="68"/>
  <c r="P34" i="68"/>
  <c r="H34" i="68"/>
  <c r="N34" i="68" s="1"/>
  <c r="D34" i="68"/>
  <c r="B34" i="68"/>
  <c r="X33" i="68"/>
  <c r="Z33" i="68" s="1"/>
  <c r="T33" i="68"/>
  <c r="P33" i="68"/>
  <c r="N33" i="68"/>
  <c r="H33" i="68"/>
  <c r="D33" i="68"/>
  <c r="L33" i="68" s="1"/>
  <c r="B33" i="68"/>
  <c r="X32" i="68"/>
  <c r="Z32" i="68" s="1"/>
  <c r="T32" i="68"/>
  <c r="P32" i="68"/>
  <c r="N32" i="68"/>
  <c r="H32" i="68"/>
  <c r="D32" i="68"/>
  <c r="L32" i="68" s="1"/>
  <c r="B32" i="68"/>
  <c r="T31" i="68"/>
  <c r="Z31" i="68" s="1"/>
  <c r="P31" i="68"/>
  <c r="X31" i="68" s="1"/>
  <c r="N31" i="68"/>
  <c r="H31" i="68"/>
  <c r="D31" i="68"/>
  <c r="B31" i="68"/>
  <c r="X30" i="68"/>
  <c r="T30" i="68"/>
  <c r="Z30" i="68" s="1"/>
  <c r="P30" i="68"/>
  <c r="H30" i="68"/>
  <c r="N30" i="68" s="1"/>
  <c r="D30" i="68"/>
  <c r="B30" i="68"/>
  <c r="Z29" i="68"/>
  <c r="X29" i="68"/>
  <c r="T29" i="68"/>
  <c r="P29" i="68"/>
  <c r="N29" i="68"/>
  <c r="H29" i="68"/>
  <c r="D29" i="68"/>
  <c r="L29" i="68" s="1"/>
  <c r="B29" i="68"/>
  <c r="Z28" i="68"/>
  <c r="T28" i="68"/>
  <c r="P28" i="68"/>
  <c r="X28" i="68" s="1"/>
  <c r="N28" i="68"/>
  <c r="H28" i="68"/>
  <c r="D28" i="68"/>
  <c r="L28" i="68" s="1"/>
  <c r="B28" i="68"/>
  <c r="T27" i="68"/>
  <c r="P27" i="68"/>
  <c r="X27" i="68" s="1"/>
  <c r="H27" i="68"/>
  <c r="N27" i="68" s="1"/>
  <c r="D27" i="68"/>
  <c r="L27" i="68" s="1"/>
  <c r="B27" i="68"/>
  <c r="X26" i="68"/>
  <c r="T26" i="68"/>
  <c r="Z26" i="68" s="1"/>
  <c r="P26" i="68"/>
  <c r="H26" i="68"/>
  <c r="N26" i="68" s="1"/>
  <c r="D26" i="68"/>
  <c r="L26" i="68" s="1"/>
  <c r="B26" i="68"/>
  <c r="X25" i="68"/>
  <c r="Z25" i="68" s="1"/>
  <c r="T25" i="68"/>
  <c r="P25" i="68"/>
  <c r="N25" i="68"/>
  <c r="L25" i="68"/>
  <c r="H25" i="68"/>
  <c r="D25" i="68"/>
  <c r="B25" i="68"/>
  <c r="X24" i="68"/>
  <c r="Z24" i="68" s="1"/>
  <c r="T24" i="68"/>
  <c r="P24" i="68"/>
  <c r="N24" i="68"/>
  <c r="H24" i="68"/>
  <c r="D24" i="68"/>
  <c r="L24" i="68" s="1"/>
  <c r="B24" i="68"/>
  <c r="T23" i="68"/>
  <c r="Z23" i="68" s="1"/>
  <c r="P23" i="68"/>
  <c r="X23" i="68" s="1"/>
  <c r="H23" i="68"/>
  <c r="D23" i="68"/>
  <c r="B23" i="68"/>
  <c r="X22" i="68"/>
  <c r="T22" i="68"/>
  <c r="P22" i="68"/>
  <c r="H22" i="68"/>
  <c r="D22" i="68"/>
  <c r="L22" i="68" s="1"/>
  <c r="B22" i="68"/>
  <c r="Z21" i="68"/>
  <c r="X21" i="68"/>
  <c r="T21" i="68"/>
  <c r="P21" i="68"/>
  <c r="N21" i="68"/>
  <c r="L21" i="68"/>
  <c r="H21" i="68"/>
  <c r="D21" i="68"/>
  <c r="B21" i="68"/>
  <c r="T20" i="68"/>
  <c r="P20" i="68"/>
  <c r="X20" i="68" s="1"/>
  <c r="Z20" i="68" s="1"/>
  <c r="H20" i="68"/>
  <c r="D20" i="68"/>
  <c r="L20" i="68" s="1"/>
  <c r="N20" i="68" s="1"/>
  <c r="B20" i="68"/>
  <c r="T19" i="68"/>
  <c r="Z19" i="68" s="1"/>
  <c r="P19" i="68"/>
  <c r="X19" i="68" s="1"/>
  <c r="H19" i="68"/>
  <c r="D19" i="68"/>
  <c r="B19" i="68"/>
  <c r="X18" i="68"/>
  <c r="T18" i="68"/>
  <c r="Z18" i="68" s="1"/>
  <c r="P18" i="68"/>
  <c r="H18" i="68"/>
  <c r="D18" i="68"/>
  <c r="L18" i="68" s="1"/>
  <c r="B18" i="68"/>
  <c r="Z17" i="68"/>
  <c r="X17" i="68"/>
  <c r="T17" i="68"/>
  <c r="P17" i="68"/>
  <c r="N17" i="68"/>
  <c r="L17" i="68"/>
  <c r="H17" i="68"/>
  <c r="D17" i="68"/>
  <c r="B17" i="68"/>
  <c r="X16" i="68"/>
  <c r="Z16" i="68" s="1"/>
  <c r="T16" i="68"/>
  <c r="T12" i="68" s="1"/>
  <c r="T76" i="68" s="1"/>
  <c r="P16" i="68"/>
  <c r="H16" i="68"/>
  <c r="D16" i="68"/>
  <c r="L16" i="68" s="1"/>
  <c r="N16" i="68" s="1"/>
  <c r="B16" i="68"/>
  <c r="T15" i="68"/>
  <c r="P15" i="68"/>
  <c r="X15" i="68" s="1"/>
  <c r="H15" i="68"/>
  <c r="N15" i="68" s="1"/>
  <c r="D15" i="68"/>
  <c r="B15" i="68"/>
  <c r="X14" i="68"/>
  <c r="T14" i="68"/>
  <c r="Z14" i="68" s="1"/>
  <c r="P14" i="68"/>
  <c r="H14" i="68"/>
  <c r="N14" i="68" s="1"/>
  <c r="D14" i="68"/>
  <c r="B14" i="68"/>
  <c r="X13" i="68"/>
  <c r="Z13" i="68" s="1"/>
  <c r="T13" i="68"/>
  <c r="P13" i="68"/>
  <c r="N13" i="68"/>
  <c r="L13" i="68"/>
  <c r="H13" i="68"/>
  <c r="D13" i="68"/>
  <c r="B13" i="68"/>
  <c r="D6" i="68"/>
  <c r="D4" i="68"/>
  <c r="Z64" i="67"/>
  <c r="X64" i="67"/>
  <c r="N64" i="67"/>
  <c r="L64" i="67"/>
  <c r="X60" i="67"/>
  <c r="T60" i="67"/>
  <c r="Z60" i="67" s="1"/>
  <c r="P60" i="67"/>
  <c r="N60" i="67"/>
  <c r="H60" i="67"/>
  <c r="L60" i="67" s="1"/>
  <c r="D60" i="67"/>
  <c r="X58" i="67"/>
  <c r="Z58" i="67" s="1"/>
  <c r="N58" i="67"/>
  <c r="L58" i="67"/>
  <c r="B58" i="67"/>
  <c r="Z57" i="67"/>
  <c r="X57" i="67"/>
  <c r="T57" i="67"/>
  <c r="P57" i="67"/>
  <c r="H57" i="67"/>
  <c r="N57" i="67" s="1"/>
  <c r="D57" i="67"/>
  <c r="L57" i="67" s="1"/>
  <c r="B57" i="67"/>
  <c r="Z56" i="67"/>
  <c r="X56" i="67"/>
  <c r="N56" i="67"/>
  <c r="L56" i="67"/>
  <c r="B56" i="67"/>
  <c r="T55" i="67"/>
  <c r="P55" i="67"/>
  <c r="H55" i="67"/>
  <c r="D55" i="67"/>
  <c r="L55" i="67" s="1"/>
  <c r="N55" i="67" s="1"/>
  <c r="B55" i="67"/>
  <c r="Z54" i="67"/>
  <c r="X54" i="67"/>
  <c r="L54" i="67"/>
  <c r="N54" i="67" s="1"/>
  <c r="B54" i="67"/>
  <c r="X53" i="67"/>
  <c r="Z53" i="67" s="1"/>
  <c r="V53" i="67"/>
  <c r="R53" i="67"/>
  <c r="L53" i="67"/>
  <c r="N53" i="67" s="1"/>
  <c r="B53" i="67"/>
  <c r="Z52" i="67"/>
  <c r="X52" i="67"/>
  <c r="L52" i="67"/>
  <c r="N52" i="67" s="1"/>
  <c r="B52" i="67"/>
  <c r="Z51" i="67"/>
  <c r="X51" i="67"/>
  <c r="N51" i="67"/>
  <c r="L51" i="67"/>
  <c r="B51" i="67"/>
  <c r="X50" i="67"/>
  <c r="Z50" i="67" s="1"/>
  <c r="N50" i="67"/>
  <c r="L50" i="67"/>
  <c r="B50" i="67"/>
  <c r="X49" i="67"/>
  <c r="T49" i="67"/>
  <c r="P49" i="67"/>
  <c r="H49" i="67"/>
  <c r="D49" i="67"/>
  <c r="L49" i="67" s="1"/>
  <c r="N49" i="67" s="1"/>
  <c r="B49" i="67"/>
  <c r="Z48" i="67"/>
  <c r="X48" i="67"/>
  <c r="V48" i="67"/>
  <c r="R48" i="67"/>
  <c r="N48" i="67"/>
  <c r="L48" i="67"/>
  <c r="B48" i="67"/>
  <c r="X47" i="67"/>
  <c r="Z47" i="67" s="1"/>
  <c r="L47" i="67"/>
  <c r="N47" i="67" s="1"/>
  <c r="B47" i="67"/>
  <c r="X46" i="67"/>
  <c r="T46" i="67"/>
  <c r="P46" i="67"/>
  <c r="H46" i="67"/>
  <c r="D46" i="67"/>
  <c r="L46" i="67" s="1"/>
  <c r="N46" i="67" s="1"/>
  <c r="B46" i="67"/>
  <c r="Z45" i="67"/>
  <c r="X45" i="67"/>
  <c r="N45" i="67"/>
  <c r="L45" i="67"/>
  <c r="B45" i="67"/>
  <c r="Z44" i="67"/>
  <c r="T44" i="67"/>
  <c r="X44" i="67" s="1"/>
  <c r="P44" i="67"/>
  <c r="H44" i="67"/>
  <c r="N44" i="67" s="1"/>
  <c r="F44" i="67"/>
  <c r="D44" i="67"/>
  <c r="L44" i="67" s="1"/>
  <c r="B44" i="67"/>
  <c r="Z43" i="67"/>
  <c r="X43" i="67"/>
  <c r="N43" i="67"/>
  <c r="L43" i="67"/>
  <c r="B43" i="67"/>
  <c r="V42" i="67"/>
  <c r="T42" i="67"/>
  <c r="P42" i="67"/>
  <c r="X42" i="67" s="1"/>
  <c r="H42" i="67"/>
  <c r="N42" i="67" s="1"/>
  <c r="D42" i="67"/>
  <c r="L42" i="67" s="1"/>
  <c r="B42" i="67"/>
  <c r="X41" i="67"/>
  <c r="Z41" i="67" s="1"/>
  <c r="N41" i="67"/>
  <c r="L41" i="67"/>
  <c r="B41" i="67"/>
  <c r="X40" i="67"/>
  <c r="Z40" i="67" s="1"/>
  <c r="T40" i="67"/>
  <c r="R40" i="67"/>
  <c r="P40" i="67"/>
  <c r="H40" i="67"/>
  <c r="D40" i="67"/>
  <c r="L40" i="67" s="1"/>
  <c r="B40" i="67"/>
  <c r="Z39" i="67"/>
  <c r="X39" i="67"/>
  <c r="R39" i="67"/>
  <c r="N39" i="67"/>
  <c r="L39" i="67"/>
  <c r="B39" i="67"/>
  <c r="T38" i="67"/>
  <c r="P38" i="67"/>
  <c r="X38" i="67" s="1"/>
  <c r="N38" i="67"/>
  <c r="H38" i="67"/>
  <c r="L38" i="67" s="1"/>
  <c r="D38" i="67"/>
  <c r="B38" i="67"/>
  <c r="Z37" i="67"/>
  <c r="X37" i="67"/>
  <c r="N37" i="67"/>
  <c r="L37" i="67"/>
  <c r="B37" i="67"/>
  <c r="T36" i="67"/>
  <c r="R36" i="67"/>
  <c r="P36" i="67"/>
  <c r="X36" i="67" s="1"/>
  <c r="L36" i="67"/>
  <c r="H36" i="67"/>
  <c r="N36" i="67" s="1"/>
  <c r="D36" i="67"/>
  <c r="B36" i="67"/>
  <c r="X35" i="67"/>
  <c r="Z35" i="67" s="1"/>
  <c r="V35" i="67"/>
  <c r="R35" i="67"/>
  <c r="N35" i="67"/>
  <c r="L35" i="67"/>
  <c r="B35" i="67"/>
  <c r="X34" i="67"/>
  <c r="Z34" i="67" s="1"/>
  <c r="L34" i="67"/>
  <c r="N34" i="67" s="1"/>
  <c r="B34" i="67"/>
  <c r="Z33" i="67"/>
  <c r="X33" i="67"/>
  <c r="V33" i="67"/>
  <c r="N33" i="67"/>
  <c r="L33" i="67"/>
  <c r="B33" i="67"/>
  <c r="X32" i="67"/>
  <c r="Z32" i="67" s="1"/>
  <c r="N32" i="67"/>
  <c r="L32" i="67"/>
  <c r="B32" i="67"/>
  <c r="Z31" i="67"/>
  <c r="X31" i="67"/>
  <c r="V31" i="67"/>
  <c r="N31" i="67"/>
  <c r="L31" i="67"/>
  <c r="B31" i="67"/>
  <c r="X30" i="67"/>
  <c r="Z30" i="67" s="1"/>
  <c r="N30" i="67"/>
  <c r="L30" i="67"/>
  <c r="F30" i="67"/>
  <c r="B30" i="67"/>
  <c r="T29" i="67"/>
  <c r="R29" i="67"/>
  <c r="P29" i="67"/>
  <c r="X29" i="67" s="1"/>
  <c r="Z29" i="67" s="1"/>
  <c r="H29" i="67"/>
  <c r="D29" i="67"/>
  <c r="L29" i="67" s="1"/>
  <c r="B29" i="67"/>
  <c r="X28" i="67"/>
  <c r="Z28" i="67" s="1"/>
  <c r="N28" i="67"/>
  <c r="L28" i="67"/>
  <c r="B28" i="67"/>
  <c r="Z27" i="67"/>
  <c r="X27" i="67"/>
  <c r="V27" i="67"/>
  <c r="N27" i="67"/>
  <c r="L27" i="67"/>
  <c r="B27" i="67"/>
  <c r="Z26" i="67"/>
  <c r="X26" i="67"/>
  <c r="V26" i="67"/>
  <c r="R26" i="67"/>
  <c r="L26" i="67"/>
  <c r="N26" i="67" s="1"/>
  <c r="B26" i="67"/>
  <c r="Z25" i="67"/>
  <c r="X25" i="67"/>
  <c r="R25" i="67"/>
  <c r="N25" i="67"/>
  <c r="L25" i="67"/>
  <c r="B25" i="67"/>
  <c r="Z24" i="67"/>
  <c r="X24" i="67"/>
  <c r="N24" i="67"/>
  <c r="L24" i="67"/>
  <c r="F24" i="67"/>
  <c r="B24" i="67"/>
  <c r="X23" i="67"/>
  <c r="Z23" i="67" s="1"/>
  <c r="V23" i="67"/>
  <c r="N23" i="67"/>
  <c r="L23" i="67"/>
  <c r="B23" i="67"/>
  <c r="X22" i="67"/>
  <c r="Z22" i="67" s="1"/>
  <c r="V22" i="67"/>
  <c r="N22" i="67"/>
  <c r="L22" i="67"/>
  <c r="F22" i="67"/>
  <c r="B22" i="67"/>
  <c r="X21" i="67"/>
  <c r="Z21" i="67" s="1"/>
  <c r="L21" i="67"/>
  <c r="N21" i="67" s="1"/>
  <c r="B21" i="67"/>
  <c r="Z20" i="67"/>
  <c r="X20" i="67"/>
  <c r="R20" i="67"/>
  <c r="N20" i="67"/>
  <c r="L20" i="67"/>
  <c r="B20" i="67"/>
  <c r="Z19" i="67"/>
  <c r="X19" i="67"/>
  <c r="T19" i="67"/>
  <c r="R19" i="67"/>
  <c r="P19" i="67"/>
  <c r="N19" i="67"/>
  <c r="H19" i="67"/>
  <c r="D19" i="67"/>
  <c r="L19" i="67" s="1"/>
  <c r="B19" i="67"/>
  <c r="T18" i="67"/>
  <c r="P18" i="67"/>
  <c r="X18" i="67" s="1"/>
  <c r="H18" i="67"/>
  <c r="D18" i="67"/>
  <c r="L18" i="67" s="1"/>
  <c r="N18" i="67" s="1"/>
  <c r="V16" i="67"/>
  <c r="T16" i="67"/>
  <c r="F16" i="67"/>
  <c r="Z14" i="67"/>
  <c r="T14" i="67"/>
  <c r="P14" i="67"/>
  <c r="X14" i="67" s="1"/>
  <c r="H14" i="67"/>
  <c r="N14" i="67" s="1"/>
  <c r="D14" i="67"/>
  <c r="T12" i="67"/>
  <c r="V41" i="67" s="1"/>
  <c r="P12" i="67"/>
  <c r="R38" i="67" s="1"/>
  <c r="H12" i="67"/>
  <c r="D12" i="67"/>
  <c r="D6" i="67"/>
  <c r="D4" i="67"/>
  <c r="Z108" i="63"/>
  <c r="X108" i="63"/>
  <c r="N108" i="63"/>
  <c r="L108" i="63"/>
  <c r="T104" i="63"/>
  <c r="P104" i="63"/>
  <c r="H104" i="63"/>
  <c r="N104" i="63" s="1"/>
  <c r="D104" i="63"/>
  <c r="L104" i="63" s="1"/>
  <c r="B104" i="63"/>
  <c r="X103" i="63"/>
  <c r="T103" i="63"/>
  <c r="R103" i="63"/>
  <c r="P103" i="63"/>
  <c r="L103" i="63"/>
  <c r="H103" i="63"/>
  <c r="N103" i="63" s="1"/>
  <c r="D103" i="63"/>
  <c r="B103" i="63"/>
  <c r="Z102" i="63"/>
  <c r="X102" i="63"/>
  <c r="T102" i="63"/>
  <c r="P102" i="63"/>
  <c r="H102" i="63"/>
  <c r="L102" i="63" s="1"/>
  <c r="N102" i="63" s="1"/>
  <c r="D102" i="63"/>
  <c r="B102" i="63"/>
  <c r="P101" i="63"/>
  <c r="Z99" i="63"/>
  <c r="X99" i="63"/>
  <c r="L99" i="63"/>
  <c r="N99" i="63" s="1"/>
  <c r="B99" i="63"/>
  <c r="T98" i="63"/>
  <c r="P98" i="63"/>
  <c r="X98" i="63" s="1"/>
  <c r="Z98" i="63" s="1"/>
  <c r="H98" i="63"/>
  <c r="D98" i="63"/>
  <c r="L98" i="63" s="1"/>
  <c r="N98" i="63" s="1"/>
  <c r="B98" i="63"/>
  <c r="X97" i="63"/>
  <c r="Z97" i="63" s="1"/>
  <c r="L97" i="63"/>
  <c r="N97" i="63" s="1"/>
  <c r="B97" i="63"/>
  <c r="Z96" i="63"/>
  <c r="X96" i="63"/>
  <c r="L96" i="63"/>
  <c r="N96" i="63" s="1"/>
  <c r="B96" i="63"/>
  <c r="X95" i="63"/>
  <c r="Z95" i="63" s="1"/>
  <c r="R95" i="63"/>
  <c r="L95" i="63"/>
  <c r="N95" i="63" s="1"/>
  <c r="B95" i="63"/>
  <c r="X94" i="63"/>
  <c r="Z94" i="63" s="1"/>
  <c r="T94" i="63"/>
  <c r="P94" i="63"/>
  <c r="J94" i="63"/>
  <c r="H94" i="63"/>
  <c r="D94" i="63"/>
  <c r="L94" i="63" s="1"/>
  <c r="N94" i="63" s="1"/>
  <c r="B94" i="63"/>
  <c r="Z93" i="63"/>
  <c r="X93" i="63"/>
  <c r="N93" i="63"/>
  <c r="L93" i="63"/>
  <c r="B93" i="63"/>
  <c r="X92" i="63"/>
  <c r="T92" i="63"/>
  <c r="Z92" i="63" s="1"/>
  <c r="P92" i="63"/>
  <c r="H92" i="63"/>
  <c r="D92" i="63"/>
  <c r="L92" i="63" s="1"/>
  <c r="N92" i="63" s="1"/>
  <c r="B92" i="63"/>
  <c r="X91" i="63"/>
  <c r="Z91" i="63" s="1"/>
  <c r="L91" i="63"/>
  <c r="N91" i="63" s="1"/>
  <c r="B91" i="63"/>
  <c r="T90" i="63"/>
  <c r="P90" i="63"/>
  <c r="X90" i="63" s="1"/>
  <c r="Z90" i="63" s="1"/>
  <c r="H90" i="63"/>
  <c r="N90" i="63" s="1"/>
  <c r="D90" i="63"/>
  <c r="L90" i="63" s="1"/>
  <c r="B90" i="63"/>
  <c r="Z89" i="63"/>
  <c r="X89" i="63"/>
  <c r="N89" i="63"/>
  <c r="L89" i="63"/>
  <c r="B89" i="63"/>
  <c r="X88" i="63"/>
  <c r="Z88" i="63" s="1"/>
  <c r="N88" i="63"/>
  <c r="L88" i="63"/>
  <c r="B88" i="63"/>
  <c r="X87" i="63"/>
  <c r="Z87" i="63" s="1"/>
  <c r="L87" i="63"/>
  <c r="N87" i="63" s="1"/>
  <c r="B87" i="63"/>
  <c r="X86" i="63"/>
  <c r="Z86" i="63" s="1"/>
  <c r="L86" i="63"/>
  <c r="N86" i="63" s="1"/>
  <c r="B86" i="63"/>
  <c r="Z85" i="63"/>
  <c r="X85" i="63"/>
  <c r="L85" i="63"/>
  <c r="N85" i="63" s="1"/>
  <c r="B85" i="63"/>
  <c r="Z84" i="63"/>
  <c r="X84" i="63"/>
  <c r="N84" i="63"/>
  <c r="L84" i="63"/>
  <c r="B84" i="63"/>
  <c r="X83" i="63"/>
  <c r="Z83" i="63" s="1"/>
  <c r="N83" i="63"/>
  <c r="L83" i="63"/>
  <c r="B83" i="63"/>
  <c r="X82" i="63"/>
  <c r="Z82" i="63" s="1"/>
  <c r="T82" i="63"/>
  <c r="R82" i="63"/>
  <c r="P82" i="63"/>
  <c r="H82" i="63"/>
  <c r="D82" i="63"/>
  <c r="L82" i="63" s="1"/>
  <c r="B82" i="63"/>
  <c r="Z81" i="63"/>
  <c r="X81" i="63"/>
  <c r="R81" i="63"/>
  <c r="L81" i="63"/>
  <c r="N81" i="63" s="1"/>
  <c r="B81" i="63"/>
  <c r="X80" i="63"/>
  <c r="Z80" i="63" s="1"/>
  <c r="N80" i="63"/>
  <c r="L80" i="63"/>
  <c r="B80" i="63"/>
  <c r="T79" i="63"/>
  <c r="R79" i="63"/>
  <c r="P79" i="63"/>
  <c r="X79" i="63" s="1"/>
  <c r="Z79" i="63" s="1"/>
  <c r="H79" i="63"/>
  <c r="D79" i="63"/>
  <c r="B79" i="63"/>
  <c r="X78" i="63"/>
  <c r="Z78" i="63" s="1"/>
  <c r="R78" i="63"/>
  <c r="L78" i="63"/>
  <c r="N78" i="63" s="1"/>
  <c r="B78" i="63"/>
  <c r="X77" i="63"/>
  <c r="Z77" i="63" s="1"/>
  <c r="N77" i="63"/>
  <c r="L77" i="63"/>
  <c r="B77" i="63"/>
  <c r="Z76" i="63"/>
  <c r="X76" i="63"/>
  <c r="L76" i="63"/>
  <c r="N76" i="63" s="1"/>
  <c r="B76" i="63"/>
  <c r="T75" i="63"/>
  <c r="P75" i="63"/>
  <c r="X75" i="63" s="1"/>
  <c r="Z75" i="63" s="1"/>
  <c r="L75" i="63"/>
  <c r="H75" i="63"/>
  <c r="N75" i="63" s="1"/>
  <c r="D75" i="63"/>
  <c r="B75" i="63"/>
  <c r="X74" i="63"/>
  <c r="Z74" i="63" s="1"/>
  <c r="N74" i="63"/>
  <c r="L74" i="63"/>
  <c r="B74" i="63"/>
  <c r="T73" i="63"/>
  <c r="P73" i="63"/>
  <c r="X73" i="63" s="1"/>
  <c r="L73" i="63"/>
  <c r="H73" i="63"/>
  <c r="N73" i="63" s="1"/>
  <c r="D73" i="63"/>
  <c r="B73" i="63"/>
  <c r="X72" i="63"/>
  <c r="Z72" i="63" s="1"/>
  <c r="N72" i="63"/>
  <c r="L72" i="63"/>
  <c r="B72" i="63"/>
  <c r="Z71" i="63"/>
  <c r="X71" i="63"/>
  <c r="N71" i="63"/>
  <c r="L71" i="63"/>
  <c r="B71" i="63"/>
  <c r="Z70" i="63"/>
  <c r="X70" i="63"/>
  <c r="N70" i="63"/>
  <c r="L70" i="63"/>
  <c r="B70" i="63"/>
  <c r="Z69" i="63"/>
  <c r="X69" i="63"/>
  <c r="R69" i="63"/>
  <c r="L69" i="63"/>
  <c r="N69" i="63" s="1"/>
  <c r="B69" i="63"/>
  <c r="X68" i="63"/>
  <c r="T68" i="63"/>
  <c r="Z68" i="63" s="1"/>
  <c r="P68" i="63"/>
  <c r="H68" i="63"/>
  <c r="D68" i="63"/>
  <c r="L68" i="63" s="1"/>
  <c r="N68" i="63" s="1"/>
  <c r="B68" i="63"/>
  <c r="Z67" i="63"/>
  <c r="X67" i="63"/>
  <c r="L67" i="63"/>
  <c r="N67" i="63" s="1"/>
  <c r="B67" i="63"/>
  <c r="T66" i="63"/>
  <c r="P66" i="63"/>
  <c r="H66" i="63"/>
  <c r="D66" i="63"/>
  <c r="L66" i="63" s="1"/>
  <c r="N66" i="63" s="1"/>
  <c r="B66" i="63"/>
  <c r="Z65" i="63"/>
  <c r="X65" i="63"/>
  <c r="N65" i="63"/>
  <c r="L65" i="63"/>
  <c r="F65" i="63"/>
  <c r="B65" i="63"/>
  <c r="T64" i="63"/>
  <c r="Z64" i="63" s="1"/>
  <c r="P64" i="63"/>
  <c r="X64" i="63" s="1"/>
  <c r="N64" i="63"/>
  <c r="L64" i="63"/>
  <c r="H64" i="63"/>
  <c r="F64" i="63"/>
  <c r="D64" i="63"/>
  <c r="B64" i="63"/>
  <c r="Z63" i="63"/>
  <c r="X63" i="63"/>
  <c r="N63" i="63"/>
  <c r="L63" i="63"/>
  <c r="B63" i="63"/>
  <c r="T62" i="63"/>
  <c r="P62" i="63"/>
  <c r="X62" i="63" s="1"/>
  <c r="Z62" i="63" s="1"/>
  <c r="L62" i="63"/>
  <c r="H62" i="63"/>
  <c r="N62" i="63" s="1"/>
  <c r="D62" i="63"/>
  <c r="B62" i="63"/>
  <c r="X61" i="63"/>
  <c r="Z61" i="63" s="1"/>
  <c r="N61" i="63"/>
  <c r="L61" i="63"/>
  <c r="B61" i="63"/>
  <c r="V60" i="63"/>
  <c r="T60" i="63"/>
  <c r="P60" i="63"/>
  <c r="X60" i="63" s="1"/>
  <c r="Z60" i="63" s="1"/>
  <c r="H60" i="63"/>
  <c r="D60" i="63"/>
  <c r="B60" i="63"/>
  <c r="X59" i="63"/>
  <c r="Z59" i="63" s="1"/>
  <c r="N59" i="63"/>
  <c r="L59" i="63"/>
  <c r="B59" i="63"/>
  <c r="X58" i="63"/>
  <c r="Z58" i="63" s="1"/>
  <c r="T58" i="63"/>
  <c r="R58" i="63"/>
  <c r="P58" i="63"/>
  <c r="H58" i="63"/>
  <c r="D58" i="63"/>
  <c r="L58" i="63" s="1"/>
  <c r="B58" i="63"/>
  <c r="Z57" i="63"/>
  <c r="X57" i="63"/>
  <c r="R57" i="63"/>
  <c r="N57" i="63"/>
  <c r="L57" i="63"/>
  <c r="B57" i="63"/>
  <c r="X56" i="63"/>
  <c r="T56" i="63"/>
  <c r="Z56" i="63" s="1"/>
  <c r="P56" i="63"/>
  <c r="N56" i="63"/>
  <c r="H56" i="63"/>
  <c r="D56" i="63"/>
  <c r="L56" i="63" s="1"/>
  <c r="B56" i="63"/>
  <c r="Z55" i="63"/>
  <c r="X55" i="63"/>
  <c r="N55" i="63"/>
  <c r="L55" i="63"/>
  <c r="B55" i="63"/>
  <c r="T54" i="63"/>
  <c r="Z54" i="63" s="1"/>
  <c r="R54" i="63"/>
  <c r="P54" i="63"/>
  <c r="N54" i="63"/>
  <c r="J54" i="63"/>
  <c r="H54" i="63"/>
  <c r="D54" i="63"/>
  <c r="L54" i="63" s="1"/>
  <c r="B54" i="63"/>
  <c r="Z53" i="63"/>
  <c r="X53" i="63"/>
  <c r="R53" i="63"/>
  <c r="N53" i="63"/>
  <c r="L53" i="63"/>
  <c r="F53" i="63"/>
  <c r="B53" i="63"/>
  <c r="T52" i="63"/>
  <c r="P52" i="63"/>
  <c r="X52" i="63" s="1"/>
  <c r="N52" i="63"/>
  <c r="L52" i="63"/>
  <c r="H52" i="63"/>
  <c r="F52" i="63"/>
  <c r="D52" i="63"/>
  <c r="B52" i="63"/>
  <c r="Z51" i="63"/>
  <c r="X51" i="63"/>
  <c r="N51" i="63"/>
  <c r="L51" i="63"/>
  <c r="B51" i="63"/>
  <c r="Z50" i="63"/>
  <c r="T50" i="63"/>
  <c r="P50" i="63"/>
  <c r="X50" i="63" s="1"/>
  <c r="L50" i="63"/>
  <c r="H50" i="63"/>
  <c r="N50" i="63" s="1"/>
  <c r="D50" i="63"/>
  <c r="B50" i="63"/>
  <c r="X49" i="63"/>
  <c r="Z49" i="63" s="1"/>
  <c r="N49" i="63"/>
  <c r="L49" i="63"/>
  <c r="B49" i="63"/>
  <c r="Z48" i="63"/>
  <c r="X48" i="63"/>
  <c r="V48" i="63"/>
  <c r="L48" i="63"/>
  <c r="N48" i="63" s="1"/>
  <c r="B48" i="63"/>
  <c r="T47" i="63"/>
  <c r="P47" i="63"/>
  <c r="X47" i="63" s="1"/>
  <c r="Z47" i="63" s="1"/>
  <c r="L47" i="63"/>
  <c r="N47" i="63" s="1"/>
  <c r="H47" i="63"/>
  <c r="D47" i="63"/>
  <c r="B47" i="63"/>
  <c r="Z46" i="63"/>
  <c r="X46" i="63"/>
  <c r="N46" i="63"/>
  <c r="L46" i="63"/>
  <c r="B46" i="63"/>
  <c r="Z45" i="63"/>
  <c r="X45" i="63"/>
  <c r="R45" i="63"/>
  <c r="N45" i="63"/>
  <c r="L45" i="63"/>
  <c r="F45" i="63"/>
  <c r="B45" i="63"/>
  <c r="T44" i="63"/>
  <c r="P44" i="63"/>
  <c r="X44" i="63" s="1"/>
  <c r="N44" i="63"/>
  <c r="L44" i="63"/>
  <c r="H44" i="63"/>
  <c r="F44" i="63"/>
  <c r="D44" i="63"/>
  <c r="B44" i="63"/>
  <c r="Z43" i="63"/>
  <c r="X43" i="63"/>
  <c r="N43" i="63"/>
  <c r="L43" i="63"/>
  <c r="B43" i="63"/>
  <c r="Z42" i="63"/>
  <c r="T42" i="63"/>
  <c r="P42" i="63"/>
  <c r="X42" i="63" s="1"/>
  <c r="L42" i="63"/>
  <c r="H42" i="63"/>
  <c r="N42" i="63" s="1"/>
  <c r="D42" i="63"/>
  <c r="B42" i="63"/>
  <c r="Z41" i="63"/>
  <c r="X41" i="63"/>
  <c r="N41" i="63"/>
  <c r="L41" i="63"/>
  <c r="B41" i="63"/>
  <c r="Z40" i="63"/>
  <c r="X40" i="63"/>
  <c r="V40" i="63"/>
  <c r="L40" i="63"/>
  <c r="N40" i="63" s="1"/>
  <c r="B40" i="63"/>
  <c r="T39" i="63"/>
  <c r="P39" i="63"/>
  <c r="X39" i="63" s="1"/>
  <c r="Z39" i="63" s="1"/>
  <c r="L39" i="63"/>
  <c r="N39" i="63" s="1"/>
  <c r="H39" i="63"/>
  <c r="D39" i="63"/>
  <c r="B39" i="63"/>
  <c r="Z38" i="63"/>
  <c r="X38" i="63"/>
  <c r="N38" i="63"/>
  <c r="L38" i="63"/>
  <c r="B38" i="63"/>
  <c r="T37" i="63"/>
  <c r="Z37" i="63" s="1"/>
  <c r="R37" i="63"/>
  <c r="P37" i="63"/>
  <c r="X37" i="63" s="1"/>
  <c r="L37" i="63"/>
  <c r="H37" i="63"/>
  <c r="D37" i="63"/>
  <c r="B37" i="63"/>
  <c r="X36" i="63"/>
  <c r="Z36" i="63" s="1"/>
  <c r="R36" i="63"/>
  <c r="N36" i="63"/>
  <c r="L36" i="63"/>
  <c r="B36" i="63"/>
  <c r="Z35" i="63"/>
  <c r="X35" i="63"/>
  <c r="N35" i="63"/>
  <c r="L35" i="63"/>
  <c r="B35" i="63"/>
  <c r="Z34" i="63"/>
  <c r="X34" i="63"/>
  <c r="R34" i="63"/>
  <c r="L34" i="63"/>
  <c r="N34" i="63" s="1"/>
  <c r="F34" i="63"/>
  <c r="B34" i="63"/>
  <c r="Z33" i="63"/>
  <c r="X33" i="63"/>
  <c r="R33" i="63"/>
  <c r="L33" i="63"/>
  <c r="N33" i="63" s="1"/>
  <c r="B33" i="63"/>
  <c r="X32" i="63"/>
  <c r="Z32" i="63" s="1"/>
  <c r="R32" i="63"/>
  <c r="N32" i="63"/>
  <c r="L32" i="63"/>
  <c r="J32" i="63"/>
  <c r="B32" i="63"/>
  <c r="Z31" i="63"/>
  <c r="X31" i="63"/>
  <c r="N31" i="63"/>
  <c r="L31" i="63"/>
  <c r="B31" i="63"/>
  <c r="Z30" i="63"/>
  <c r="X30" i="63"/>
  <c r="R30" i="63"/>
  <c r="L30" i="63"/>
  <c r="N30" i="63" s="1"/>
  <c r="F30" i="63"/>
  <c r="B30" i="63"/>
  <c r="T29" i="63"/>
  <c r="P29" i="63"/>
  <c r="H29" i="63"/>
  <c r="F29" i="63"/>
  <c r="D29" i="63"/>
  <c r="L29" i="63" s="1"/>
  <c r="N29" i="63" s="1"/>
  <c r="B29" i="63"/>
  <c r="Z28" i="63"/>
  <c r="X28" i="63"/>
  <c r="V28" i="63"/>
  <c r="L28" i="63"/>
  <c r="N28" i="63" s="1"/>
  <c r="F28" i="63"/>
  <c r="B28" i="63"/>
  <c r="Z27" i="63"/>
  <c r="X27" i="63"/>
  <c r="L27" i="63"/>
  <c r="N27" i="63" s="1"/>
  <c r="B27" i="63"/>
  <c r="X26" i="63"/>
  <c r="Z26" i="63" s="1"/>
  <c r="R26" i="63"/>
  <c r="N26" i="63"/>
  <c r="L26" i="63"/>
  <c r="B26" i="63"/>
  <c r="X25" i="63"/>
  <c r="Z25" i="63" s="1"/>
  <c r="N25" i="63"/>
  <c r="L25" i="63"/>
  <c r="F25" i="63"/>
  <c r="B25" i="63"/>
  <c r="Z24" i="63"/>
  <c r="X24" i="63"/>
  <c r="V24" i="63"/>
  <c r="L24" i="63"/>
  <c r="N24" i="63" s="1"/>
  <c r="F24" i="63"/>
  <c r="B24" i="63"/>
  <c r="Z23" i="63"/>
  <c r="X23" i="63"/>
  <c r="R23" i="63"/>
  <c r="L23" i="63"/>
  <c r="N23" i="63" s="1"/>
  <c r="B23" i="63"/>
  <c r="X22" i="63"/>
  <c r="Z22" i="63" s="1"/>
  <c r="R22" i="63"/>
  <c r="N22" i="63"/>
  <c r="L22" i="63"/>
  <c r="B22" i="63"/>
  <c r="X21" i="63"/>
  <c r="Z21" i="63" s="1"/>
  <c r="N21" i="63"/>
  <c r="L21" i="63"/>
  <c r="F21" i="63"/>
  <c r="B21" i="63"/>
  <c r="V20" i="63"/>
  <c r="T20" i="63"/>
  <c r="R20" i="63"/>
  <c r="P20" i="63"/>
  <c r="X20" i="63" s="1"/>
  <c r="Z20" i="63" s="1"/>
  <c r="H20" i="63"/>
  <c r="F20" i="63"/>
  <c r="D20" i="63"/>
  <c r="B20" i="63"/>
  <c r="T19" i="63"/>
  <c r="R19" i="63"/>
  <c r="P19" i="63"/>
  <c r="X19" i="63" s="1"/>
  <c r="H19" i="63"/>
  <c r="D19" i="63"/>
  <c r="L19" i="63" s="1"/>
  <c r="R17" i="63"/>
  <c r="D17" i="63"/>
  <c r="X15" i="63"/>
  <c r="Z15" i="63" s="1"/>
  <c r="R15" i="63"/>
  <c r="N15" i="63"/>
  <c r="L15" i="63"/>
  <c r="B15" i="63"/>
  <c r="Z14" i="63"/>
  <c r="X14" i="63"/>
  <c r="V14" i="63"/>
  <c r="T14" i="63"/>
  <c r="R14" i="63"/>
  <c r="P14" i="63"/>
  <c r="N14" i="63"/>
  <c r="H14" i="63"/>
  <c r="D14" i="63"/>
  <c r="L14" i="63" s="1"/>
  <c r="Z12" i="63"/>
  <c r="T12" i="63"/>
  <c r="V90" i="63" s="1"/>
  <c r="P12" i="63"/>
  <c r="R89" i="63" s="1"/>
  <c r="H12" i="63"/>
  <c r="J88" i="63" s="1"/>
  <c r="D12" i="63"/>
  <c r="F102" i="63" s="1"/>
  <c r="D6" i="63"/>
  <c r="D4" i="63"/>
  <c r="V29" i="62"/>
  <c r="R29" i="62"/>
  <c r="J29" i="62"/>
  <c r="V26" i="62"/>
  <c r="R26" i="62"/>
  <c r="Z24" i="62"/>
  <c r="X24" i="62"/>
  <c r="V24" i="62"/>
  <c r="N24" i="62"/>
  <c r="L24" i="62"/>
  <c r="J24" i="62"/>
  <c r="Z22" i="62"/>
  <c r="F22" i="62"/>
  <c r="Z20" i="62"/>
  <c r="T20" i="62"/>
  <c r="P20" i="62"/>
  <c r="X20" i="62" s="1"/>
  <c r="N20" i="62"/>
  <c r="L20" i="62"/>
  <c r="H20" i="62"/>
  <c r="F20" i="62"/>
  <c r="D20" i="62"/>
  <c r="Z18" i="62"/>
  <c r="T18" i="62"/>
  <c r="P18" i="62"/>
  <c r="X18" i="62" s="1"/>
  <c r="N18" i="62"/>
  <c r="L18" i="62"/>
  <c r="J18" i="62"/>
  <c r="H18" i="62"/>
  <c r="F18" i="62"/>
  <c r="D18" i="62"/>
  <c r="Z16" i="62"/>
  <c r="J16" i="62"/>
  <c r="F16" i="62"/>
  <c r="Z14" i="62"/>
  <c r="T14" i="62"/>
  <c r="T16" i="62" s="1"/>
  <c r="T22" i="62" s="1"/>
  <c r="T26" i="62" s="1"/>
  <c r="P14" i="62"/>
  <c r="X14" i="62" s="1"/>
  <c r="N14" i="62"/>
  <c r="L14" i="62"/>
  <c r="J14" i="62"/>
  <c r="H14" i="62"/>
  <c r="F14" i="62"/>
  <c r="D14" i="62"/>
  <c r="Z12" i="62"/>
  <c r="T12" i="62"/>
  <c r="V22" i="62" s="1"/>
  <c r="P12" i="62"/>
  <c r="X12" i="62" s="1"/>
  <c r="H12" i="62"/>
  <c r="J26" i="62" s="1"/>
  <c r="D12" i="62"/>
  <c r="F29" i="62" s="1"/>
  <c r="D6" i="62"/>
  <c r="D4" i="62"/>
  <c r="V60" i="61"/>
  <c r="J60" i="61"/>
  <c r="F60" i="61"/>
  <c r="V57" i="61"/>
  <c r="J57" i="61"/>
  <c r="F57" i="61"/>
  <c r="Z55" i="61"/>
  <c r="X55" i="61"/>
  <c r="V55" i="61"/>
  <c r="N55" i="61"/>
  <c r="L55" i="61"/>
  <c r="F55" i="61"/>
  <c r="V53" i="61"/>
  <c r="Z51" i="61"/>
  <c r="X51" i="61"/>
  <c r="V51" i="61"/>
  <c r="T51" i="61"/>
  <c r="R51" i="61"/>
  <c r="P51" i="61"/>
  <c r="N51" i="61"/>
  <c r="H51" i="61"/>
  <c r="D51" i="61"/>
  <c r="L51" i="61" s="1"/>
  <c r="Z49" i="61"/>
  <c r="X49" i="61"/>
  <c r="V49" i="61"/>
  <c r="N49" i="61"/>
  <c r="L49" i="61"/>
  <c r="J49" i="61"/>
  <c r="F49" i="61"/>
  <c r="B49" i="61"/>
  <c r="V48" i="61"/>
  <c r="T48" i="61"/>
  <c r="P48" i="61"/>
  <c r="X48" i="61" s="1"/>
  <c r="L48" i="61"/>
  <c r="H48" i="61"/>
  <c r="N48" i="61" s="1"/>
  <c r="F48" i="61"/>
  <c r="D48" i="61"/>
  <c r="B48" i="61"/>
  <c r="X47" i="61"/>
  <c r="Z47" i="61" s="1"/>
  <c r="V47" i="61"/>
  <c r="N47" i="61"/>
  <c r="L47" i="61"/>
  <c r="J47" i="61"/>
  <c r="B47" i="61"/>
  <c r="V46" i="61"/>
  <c r="T46" i="61"/>
  <c r="P46" i="61"/>
  <c r="X46" i="61" s="1"/>
  <c r="Z46" i="61" s="1"/>
  <c r="H46" i="61"/>
  <c r="D46" i="61"/>
  <c r="L46" i="61" s="1"/>
  <c r="B46" i="61"/>
  <c r="X45" i="61"/>
  <c r="Z45" i="61" s="1"/>
  <c r="N45" i="61"/>
  <c r="L45" i="61"/>
  <c r="J45" i="61"/>
  <c r="B45" i="61"/>
  <c r="X44" i="61"/>
  <c r="Z44" i="61" s="1"/>
  <c r="V44" i="61"/>
  <c r="N44" i="61"/>
  <c r="L44" i="61"/>
  <c r="J44" i="61"/>
  <c r="F44" i="61"/>
  <c r="B44" i="61"/>
  <c r="V43" i="61"/>
  <c r="T43" i="61"/>
  <c r="P43" i="61"/>
  <c r="X43" i="61" s="1"/>
  <c r="Z43" i="61" s="1"/>
  <c r="H43" i="61"/>
  <c r="F43" i="61"/>
  <c r="D43" i="61"/>
  <c r="B43" i="61"/>
  <c r="X42" i="61"/>
  <c r="Z42" i="61" s="1"/>
  <c r="R42" i="61"/>
  <c r="N42" i="61"/>
  <c r="L42" i="61"/>
  <c r="B42" i="61"/>
  <c r="Z41" i="61"/>
  <c r="X41" i="61"/>
  <c r="V41" i="61"/>
  <c r="T41" i="61"/>
  <c r="P41" i="61"/>
  <c r="H41" i="61"/>
  <c r="D41" i="61"/>
  <c r="L41" i="61" s="1"/>
  <c r="N41" i="61" s="1"/>
  <c r="B41" i="61"/>
  <c r="Z40" i="61"/>
  <c r="X40" i="61"/>
  <c r="V40" i="61"/>
  <c r="N40" i="61"/>
  <c r="L40" i="61"/>
  <c r="B40" i="61"/>
  <c r="X39" i="61"/>
  <c r="V39" i="61"/>
  <c r="T39" i="61"/>
  <c r="Z39" i="61" s="1"/>
  <c r="R39" i="61"/>
  <c r="P39" i="61"/>
  <c r="N39" i="61"/>
  <c r="J39" i="61"/>
  <c r="H39" i="61"/>
  <c r="D39" i="61"/>
  <c r="L39" i="61" s="1"/>
  <c r="B39" i="61"/>
  <c r="X38" i="61"/>
  <c r="Z38" i="61" s="1"/>
  <c r="V38" i="61"/>
  <c r="L38" i="61"/>
  <c r="N38" i="61" s="1"/>
  <c r="F38" i="61"/>
  <c r="B38" i="61"/>
  <c r="V37" i="61"/>
  <c r="T37" i="61"/>
  <c r="P37" i="61"/>
  <c r="N37" i="61"/>
  <c r="J37" i="61"/>
  <c r="H37" i="61"/>
  <c r="F37" i="61"/>
  <c r="D37" i="61"/>
  <c r="L37" i="61" s="1"/>
  <c r="B37" i="61"/>
  <c r="Z36" i="61"/>
  <c r="X36" i="61"/>
  <c r="V36" i="61"/>
  <c r="L36" i="61"/>
  <c r="N36" i="61" s="1"/>
  <c r="F36" i="61"/>
  <c r="B36" i="61"/>
  <c r="Z35" i="61"/>
  <c r="V35" i="61"/>
  <c r="T35" i="61"/>
  <c r="P35" i="61"/>
  <c r="X35" i="61" s="1"/>
  <c r="N35" i="61"/>
  <c r="L35" i="61"/>
  <c r="J35" i="61"/>
  <c r="H35" i="61"/>
  <c r="F35" i="61"/>
  <c r="D35" i="61"/>
  <c r="B35" i="61"/>
  <c r="Z34" i="61"/>
  <c r="X34" i="61"/>
  <c r="V34" i="61"/>
  <c r="N34" i="61"/>
  <c r="L34" i="61"/>
  <c r="F34" i="61"/>
  <c r="B34" i="61"/>
  <c r="Z33" i="61"/>
  <c r="X33" i="61"/>
  <c r="V33" i="61"/>
  <c r="L33" i="61"/>
  <c r="N33" i="61" s="1"/>
  <c r="F33" i="61"/>
  <c r="B33" i="61"/>
  <c r="X32" i="61"/>
  <c r="Z32" i="61" s="1"/>
  <c r="V32" i="61"/>
  <c r="L32" i="61"/>
  <c r="N32" i="61" s="1"/>
  <c r="J32" i="61"/>
  <c r="B32" i="61"/>
  <c r="X31" i="61"/>
  <c r="Z31" i="61" s="1"/>
  <c r="V31" i="61"/>
  <c r="N31" i="61"/>
  <c r="L31" i="61"/>
  <c r="J31" i="61"/>
  <c r="B31" i="61"/>
  <c r="Z30" i="61"/>
  <c r="X30" i="61"/>
  <c r="V30" i="61"/>
  <c r="N30" i="61"/>
  <c r="L30" i="61"/>
  <c r="F30" i="61"/>
  <c r="B30" i="61"/>
  <c r="Z29" i="61"/>
  <c r="X29" i="61"/>
  <c r="V29" i="61"/>
  <c r="N29" i="61"/>
  <c r="L29" i="61"/>
  <c r="F29" i="61"/>
  <c r="B29" i="61"/>
  <c r="V28" i="61"/>
  <c r="T28" i="61"/>
  <c r="P28" i="61"/>
  <c r="X28" i="61" s="1"/>
  <c r="H28" i="61"/>
  <c r="F28" i="61"/>
  <c r="D28" i="61"/>
  <c r="L28" i="61" s="1"/>
  <c r="N28" i="61" s="1"/>
  <c r="B28" i="61"/>
  <c r="Z27" i="61"/>
  <c r="X27" i="61"/>
  <c r="V27" i="61"/>
  <c r="N27" i="61"/>
  <c r="L27" i="61"/>
  <c r="F27" i="61"/>
  <c r="B27" i="61"/>
  <c r="X26" i="61"/>
  <c r="Z26" i="61" s="1"/>
  <c r="V26" i="61"/>
  <c r="L26" i="61"/>
  <c r="N26" i="61" s="1"/>
  <c r="F26" i="61"/>
  <c r="B26" i="61"/>
  <c r="X25" i="61"/>
  <c r="Z25" i="61" s="1"/>
  <c r="V25" i="61"/>
  <c r="N25" i="61"/>
  <c r="L25" i="61"/>
  <c r="J25" i="61"/>
  <c r="B25" i="61"/>
  <c r="X24" i="61"/>
  <c r="Z24" i="61" s="1"/>
  <c r="V24" i="61"/>
  <c r="N24" i="61"/>
  <c r="L24" i="61"/>
  <c r="J24" i="61"/>
  <c r="F24" i="61"/>
  <c r="B24" i="61"/>
  <c r="Z23" i="61"/>
  <c r="X23" i="61"/>
  <c r="V23" i="61"/>
  <c r="N23" i="61"/>
  <c r="L23" i="61"/>
  <c r="F23" i="61"/>
  <c r="B23" i="61"/>
  <c r="X22" i="61"/>
  <c r="Z22" i="61" s="1"/>
  <c r="V22" i="61"/>
  <c r="L22" i="61"/>
  <c r="N22" i="61" s="1"/>
  <c r="F22" i="61"/>
  <c r="B22" i="61"/>
  <c r="X21" i="61"/>
  <c r="Z21" i="61" s="1"/>
  <c r="V21" i="61"/>
  <c r="N21" i="61"/>
  <c r="L21" i="61"/>
  <c r="J21" i="61"/>
  <c r="F21" i="61"/>
  <c r="B21" i="61"/>
  <c r="X20" i="61"/>
  <c r="Z20" i="61" s="1"/>
  <c r="V20" i="61"/>
  <c r="N20" i="61"/>
  <c r="L20" i="61"/>
  <c r="J20" i="61"/>
  <c r="F20" i="61"/>
  <c r="B20" i="61"/>
  <c r="V19" i="61"/>
  <c r="T19" i="61"/>
  <c r="R19" i="61"/>
  <c r="P19" i="61"/>
  <c r="X19" i="61" s="1"/>
  <c r="Z19" i="61" s="1"/>
  <c r="H19" i="61"/>
  <c r="F19" i="61"/>
  <c r="D19" i="61"/>
  <c r="L19" i="61" s="1"/>
  <c r="B19" i="61"/>
  <c r="T18" i="61"/>
  <c r="P18" i="61"/>
  <c r="J18" i="61"/>
  <c r="H18" i="61"/>
  <c r="F18" i="61"/>
  <c r="D18" i="61"/>
  <c r="L18" i="61" s="1"/>
  <c r="T16" i="61"/>
  <c r="J16" i="61"/>
  <c r="H16" i="61"/>
  <c r="F16" i="61"/>
  <c r="D16" i="61"/>
  <c r="X14" i="61"/>
  <c r="T14" i="61"/>
  <c r="Z14" i="61" s="1"/>
  <c r="P14" i="61"/>
  <c r="J14" i="61"/>
  <c r="H14" i="61"/>
  <c r="N14" i="61" s="1"/>
  <c r="F14" i="61"/>
  <c r="D14" i="61"/>
  <c r="Z12" i="61"/>
  <c r="T12" i="61"/>
  <c r="V45" i="61" s="1"/>
  <c r="P12" i="61"/>
  <c r="N12" i="61"/>
  <c r="H12" i="61"/>
  <c r="J40" i="61" s="1"/>
  <c r="D12" i="61"/>
  <c r="F40" i="61" s="1"/>
  <c r="D6" i="61"/>
  <c r="D4" i="61"/>
  <c r="J57" i="60"/>
  <c r="J54" i="60"/>
  <c r="Z52" i="60"/>
  <c r="X52" i="60"/>
  <c r="R52" i="60"/>
  <c r="N52" i="60"/>
  <c r="L52" i="60"/>
  <c r="J52" i="60"/>
  <c r="T48" i="60"/>
  <c r="Z48" i="60" s="1"/>
  <c r="P48" i="60"/>
  <c r="H48" i="60"/>
  <c r="N48" i="60" s="1"/>
  <c r="D48" i="60"/>
  <c r="Z46" i="60"/>
  <c r="X46" i="60"/>
  <c r="L46" i="60"/>
  <c r="N46" i="60" s="1"/>
  <c r="F46" i="60"/>
  <c r="B46" i="60"/>
  <c r="Z45" i="60"/>
  <c r="T45" i="60"/>
  <c r="P45" i="60"/>
  <c r="X45" i="60" s="1"/>
  <c r="N45" i="60"/>
  <c r="L45" i="60"/>
  <c r="J45" i="60"/>
  <c r="H45" i="60"/>
  <c r="D45" i="60"/>
  <c r="B45" i="60"/>
  <c r="Z44" i="60"/>
  <c r="X44" i="60"/>
  <c r="L44" i="60"/>
  <c r="N44" i="60" s="1"/>
  <c r="J44" i="60"/>
  <c r="B44" i="60"/>
  <c r="Z43" i="60"/>
  <c r="V43" i="60"/>
  <c r="T43" i="60"/>
  <c r="P43" i="60"/>
  <c r="X43" i="60" s="1"/>
  <c r="L43" i="60"/>
  <c r="J43" i="60"/>
  <c r="H43" i="60"/>
  <c r="N43" i="60" s="1"/>
  <c r="D43" i="60"/>
  <c r="B43" i="60"/>
  <c r="X42" i="60"/>
  <c r="Z42" i="60" s="1"/>
  <c r="N42" i="60"/>
  <c r="L42" i="60"/>
  <c r="J42" i="60"/>
  <c r="B42" i="60"/>
  <c r="Z41" i="60"/>
  <c r="X41" i="60"/>
  <c r="V41" i="60"/>
  <c r="N41" i="60"/>
  <c r="L41" i="60"/>
  <c r="B41" i="60"/>
  <c r="T40" i="60"/>
  <c r="P40" i="60"/>
  <c r="X40" i="60" s="1"/>
  <c r="L40" i="60"/>
  <c r="J40" i="60"/>
  <c r="H40" i="60"/>
  <c r="D40" i="60"/>
  <c r="B40" i="60"/>
  <c r="Z39" i="60"/>
  <c r="X39" i="60"/>
  <c r="V39" i="60"/>
  <c r="N39" i="60"/>
  <c r="L39" i="60"/>
  <c r="J39" i="60"/>
  <c r="B39" i="60"/>
  <c r="T38" i="60"/>
  <c r="P38" i="60"/>
  <c r="L38" i="60"/>
  <c r="H38" i="60"/>
  <c r="D38" i="60"/>
  <c r="B38" i="60"/>
  <c r="X37" i="60"/>
  <c r="Z37" i="60" s="1"/>
  <c r="V37" i="60"/>
  <c r="N37" i="60"/>
  <c r="L37" i="60"/>
  <c r="J37" i="60"/>
  <c r="B37" i="60"/>
  <c r="Z36" i="60"/>
  <c r="X36" i="60"/>
  <c r="L36" i="60"/>
  <c r="N36" i="60" s="1"/>
  <c r="J36" i="60"/>
  <c r="B36" i="60"/>
  <c r="Z35" i="60"/>
  <c r="X35" i="60"/>
  <c r="V35" i="60"/>
  <c r="N35" i="60"/>
  <c r="L35" i="60"/>
  <c r="B35" i="60"/>
  <c r="X34" i="60"/>
  <c r="T34" i="60"/>
  <c r="P34" i="60"/>
  <c r="J34" i="60"/>
  <c r="H34" i="60"/>
  <c r="D34" i="60"/>
  <c r="L34" i="60" s="1"/>
  <c r="N34" i="60" s="1"/>
  <c r="B34" i="60"/>
  <c r="Z33" i="60"/>
  <c r="X33" i="60"/>
  <c r="V33" i="60"/>
  <c r="N33" i="60"/>
  <c r="L33" i="60"/>
  <c r="B33" i="60"/>
  <c r="X32" i="60"/>
  <c r="T32" i="60"/>
  <c r="P32" i="60"/>
  <c r="L32" i="60"/>
  <c r="J32" i="60"/>
  <c r="H32" i="60"/>
  <c r="N32" i="60" s="1"/>
  <c r="D32" i="60"/>
  <c r="B32" i="60"/>
  <c r="Z31" i="60"/>
  <c r="X31" i="60"/>
  <c r="V31" i="60"/>
  <c r="N31" i="60"/>
  <c r="L31" i="60"/>
  <c r="J31" i="60"/>
  <c r="B31" i="60"/>
  <c r="T30" i="60"/>
  <c r="P30" i="60"/>
  <c r="X30" i="60" s="1"/>
  <c r="H30" i="60"/>
  <c r="L30" i="60" s="1"/>
  <c r="D30" i="60"/>
  <c r="B30" i="60"/>
  <c r="X29" i="60"/>
  <c r="Z29" i="60" s="1"/>
  <c r="V29" i="60"/>
  <c r="N29" i="60"/>
  <c r="L29" i="60"/>
  <c r="J29" i="60"/>
  <c r="B29" i="60"/>
  <c r="T28" i="60"/>
  <c r="P28" i="60"/>
  <c r="X28" i="60" s="1"/>
  <c r="Z28" i="60" s="1"/>
  <c r="H28" i="60"/>
  <c r="D28" i="60"/>
  <c r="L28" i="60" s="1"/>
  <c r="B28" i="60"/>
  <c r="X27" i="60"/>
  <c r="Z27" i="60" s="1"/>
  <c r="N27" i="60"/>
  <c r="L27" i="60"/>
  <c r="J27" i="60"/>
  <c r="B27" i="60"/>
  <c r="X26" i="60"/>
  <c r="Z26" i="60" s="1"/>
  <c r="N26" i="60"/>
  <c r="L26" i="60"/>
  <c r="J26" i="60"/>
  <c r="B26" i="60"/>
  <c r="Z25" i="60"/>
  <c r="X25" i="60"/>
  <c r="V25" i="60"/>
  <c r="N25" i="60"/>
  <c r="L25" i="60"/>
  <c r="B25" i="60"/>
  <c r="X24" i="60"/>
  <c r="Z24" i="60" s="1"/>
  <c r="N24" i="60"/>
  <c r="L24" i="60"/>
  <c r="B24" i="60"/>
  <c r="X23" i="60"/>
  <c r="Z23" i="60" s="1"/>
  <c r="N23" i="60"/>
  <c r="L23" i="60"/>
  <c r="J23" i="60"/>
  <c r="B23" i="60"/>
  <c r="X22" i="60"/>
  <c r="Z22" i="60" s="1"/>
  <c r="N22" i="60"/>
  <c r="L22" i="60"/>
  <c r="J22" i="60"/>
  <c r="B22" i="60"/>
  <c r="Z21" i="60"/>
  <c r="X21" i="60"/>
  <c r="V21" i="60"/>
  <c r="N21" i="60"/>
  <c r="L21" i="60"/>
  <c r="B21" i="60"/>
  <c r="X20" i="60"/>
  <c r="Z20" i="60" s="1"/>
  <c r="L20" i="60"/>
  <c r="N20" i="60" s="1"/>
  <c r="F20" i="60"/>
  <c r="B20" i="60"/>
  <c r="T19" i="60"/>
  <c r="Z19" i="60" s="1"/>
  <c r="R19" i="60"/>
  <c r="P19" i="60"/>
  <c r="X19" i="60" s="1"/>
  <c r="J19" i="60"/>
  <c r="H19" i="60"/>
  <c r="D19" i="60"/>
  <c r="L19" i="60" s="1"/>
  <c r="N19" i="60" s="1"/>
  <c r="B19" i="60"/>
  <c r="T18" i="60"/>
  <c r="P18" i="60"/>
  <c r="X18" i="60" s="1"/>
  <c r="H18" i="60"/>
  <c r="D18" i="60"/>
  <c r="H16" i="60"/>
  <c r="N16" i="60" s="1"/>
  <c r="T14" i="60"/>
  <c r="Z14" i="60" s="1"/>
  <c r="P14" i="60"/>
  <c r="H14" i="60"/>
  <c r="N14" i="60" s="1"/>
  <c r="D14" i="60"/>
  <c r="T12" i="60"/>
  <c r="V42" i="60" s="1"/>
  <c r="P12" i="60"/>
  <c r="P16" i="60" s="1"/>
  <c r="N12" i="60"/>
  <c r="H12" i="60"/>
  <c r="J41" i="60" s="1"/>
  <c r="D12" i="60"/>
  <c r="F42" i="60" s="1"/>
  <c r="D6" i="60"/>
  <c r="D4" i="60"/>
  <c r="Z69" i="59"/>
  <c r="X69" i="59"/>
  <c r="N69" i="59"/>
  <c r="L69" i="59"/>
  <c r="X65" i="59"/>
  <c r="T65" i="59"/>
  <c r="Z65" i="59" s="1"/>
  <c r="P65" i="59"/>
  <c r="J65" i="59"/>
  <c r="H65" i="59"/>
  <c r="N65" i="59" s="1"/>
  <c r="D65" i="59"/>
  <c r="Z63" i="59"/>
  <c r="X63" i="59"/>
  <c r="R63" i="59"/>
  <c r="N63" i="59"/>
  <c r="L63" i="59"/>
  <c r="B63" i="59"/>
  <c r="Z62" i="59"/>
  <c r="X62" i="59"/>
  <c r="N62" i="59"/>
  <c r="L62" i="59"/>
  <c r="B62" i="59"/>
  <c r="T61" i="59"/>
  <c r="P61" i="59"/>
  <c r="H61" i="59"/>
  <c r="N61" i="59" s="1"/>
  <c r="D61" i="59"/>
  <c r="B61" i="59"/>
  <c r="X60" i="59"/>
  <c r="Z60" i="59" s="1"/>
  <c r="N60" i="59"/>
  <c r="L60" i="59"/>
  <c r="B60" i="59"/>
  <c r="T59" i="59"/>
  <c r="P59" i="59"/>
  <c r="X59" i="59" s="1"/>
  <c r="Z59" i="59" s="1"/>
  <c r="L59" i="59"/>
  <c r="H59" i="59"/>
  <c r="D59" i="59"/>
  <c r="B59" i="59"/>
  <c r="X58" i="59"/>
  <c r="Z58" i="59" s="1"/>
  <c r="R58" i="59"/>
  <c r="N58" i="59"/>
  <c r="L58" i="59"/>
  <c r="B58" i="59"/>
  <c r="X57" i="59"/>
  <c r="Z57" i="59" s="1"/>
  <c r="N57" i="59"/>
  <c r="L57" i="59"/>
  <c r="B57" i="59"/>
  <c r="Z56" i="59"/>
  <c r="T56" i="59"/>
  <c r="P56" i="59"/>
  <c r="X56" i="59" s="1"/>
  <c r="H56" i="59"/>
  <c r="D56" i="59"/>
  <c r="B56" i="59"/>
  <c r="X55" i="59"/>
  <c r="Z55" i="59" s="1"/>
  <c r="N55" i="59"/>
  <c r="L55" i="59"/>
  <c r="B55" i="59"/>
  <c r="Z54" i="59"/>
  <c r="X54" i="59"/>
  <c r="N54" i="59"/>
  <c r="L54" i="59"/>
  <c r="B54" i="59"/>
  <c r="T53" i="59"/>
  <c r="P53" i="59"/>
  <c r="X53" i="59" s="1"/>
  <c r="L53" i="59"/>
  <c r="H53" i="59"/>
  <c r="D53" i="59"/>
  <c r="B53" i="59"/>
  <c r="X52" i="59"/>
  <c r="Z52" i="59" s="1"/>
  <c r="V52" i="59"/>
  <c r="N52" i="59"/>
  <c r="L52" i="59"/>
  <c r="J52" i="59"/>
  <c r="B52" i="59"/>
  <c r="T51" i="59"/>
  <c r="R51" i="59"/>
  <c r="P51" i="59"/>
  <c r="X51" i="59" s="1"/>
  <c r="Z51" i="59" s="1"/>
  <c r="L51" i="59"/>
  <c r="H51" i="59"/>
  <c r="D51" i="59"/>
  <c r="B51" i="59"/>
  <c r="X50" i="59"/>
  <c r="Z50" i="59" s="1"/>
  <c r="N50" i="59"/>
  <c r="L50" i="59"/>
  <c r="B50" i="59"/>
  <c r="X49" i="59"/>
  <c r="Z49" i="59" s="1"/>
  <c r="N49" i="59"/>
  <c r="L49" i="59"/>
  <c r="B49" i="59"/>
  <c r="Z48" i="59"/>
  <c r="X48" i="59"/>
  <c r="N48" i="59"/>
  <c r="L48" i="59"/>
  <c r="B48" i="59"/>
  <c r="X47" i="59"/>
  <c r="Z47" i="59" s="1"/>
  <c r="L47" i="59"/>
  <c r="N47" i="59" s="1"/>
  <c r="B47" i="59"/>
  <c r="T46" i="59"/>
  <c r="P46" i="59"/>
  <c r="X46" i="59" s="1"/>
  <c r="H46" i="59"/>
  <c r="D46" i="59"/>
  <c r="L46" i="59" s="1"/>
  <c r="N46" i="59" s="1"/>
  <c r="B46" i="59"/>
  <c r="Z45" i="59"/>
  <c r="X45" i="59"/>
  <c r="V45" i="59"/>
  <c r="L45" i="59"/>
  <c r="N45" i="59" s="1"/>
  <c r="B45" i="59"/>
  <c r="T44" i="59"/>
  <c r="P44" i="59"/>
  <c r="X44" i="59" s="1"/>
  <c r="Z44" i="59" s="1"/>
  <c r="N44" i="59"/>
  <c r="L44" i="59"/>
  <c r="H44" i="59"/>
  <c r="D44" i="59"/>
  <c r="B44" i="59"/>
  <c r="Z43" i="59"/>
  <c r="X43" i="59"/>
  <c r="N43" i="59"/>
  <c r="L43" i="59"/>
  <c r="J43" i="59"/>
  <c r="B43" i="59"/>
  <c r="V42" i="59"/>
  <c r="T42" i="59"/>
  <c r="P42" i="59"/>
  <c r="X42" i="59" s="1"/>
  <c r="Z42" i="59" s="1"/>
  <c r="L42" i="59"/>
  <c r="H42" i="59"/>
  <c r="N42" i="59" s="1"/>
  <c r="D42" i="59"/>
  <c r="B42" i="59"/>
  <c r="X41" i="59"/>
  <c r="Z41" i="59" s="1"/>
  <c r="N41" i="59"/>
  <c r="L41" i="59"/>
  <c r="J41" i="59"/>
  <c r="B41" i="59"/>
  <c r="Z40" i="59"/>
  <c r="X40" i="59"/>
  <c r="N40" i="59"/>
  <c r="L40" i="59"/>
  <c r="B40" i="59"/>
  <c r="T39" i="59"/>
  <c r="P39" i="59"/>
  <c r="X39" i="59" s="1"/>
  <c r="L39" i="59"/>
  <c r="H39" i="59"/>
  <c r="N39" i="59" s="1"/>
  <c r="D39" i="59"/>
  <c r="B39" i="59"/>
  <c r="X38" i="59"/>
  <c r="Z38" i="59" s="1"/>
  <c r="N38" i="59"/>
  <c r="L38" i="59"/>
  <c r="B38" i="59"/>
  <c r="T37" i="59"/>
  <c r="R37" i="59"/>
  <c r="P37" i="59"/>
  <c r="H37" i="59"/>
  <c r="D37" i="59"/>
  <c r="B37" i="59"/>
  <c r="X36" i="59"/>
  <c r="Z36" i="59" s="1"/>
  <c r="N36" i="59"/>
  <c r="L36" i="59"/>
  <c r="J36" i="59"/>
  <c r="B36" i="59"/>
  <c r="Z35" i="59"/>
  <c r="X35" i="59"/>
  <c r="L35" i="59"/>
  <c r="N35" i="59" s="1"/>
  <c r="J35" i="59"/>
  <c r="B35" i="59"/>
  <c r="Z34" i="59"/>
  <c r="X34" i="59"/>
  <c r="N34" i="59"/>
  <c r="L34" i="59"/>
  <c r="B34" i="59"/>
  <c r="X33" i="59"/>
  <c r="Z33" i="59" s="1"/>
  <c r="R33" i="59"/>
  <c r="L33" i="59"/>
  <c r="N33" i="59" s="1"/>
  <c r="B33" i="59"/>
  <c r="X32" i="59"/>
  <c r="Z32" i="59" s="1"/>
  <c r="V32" i="59"/>
  <c r="N32" i="59"/>
  <c r="L32" i="59"/>
  <c r="B32" i="59"/>
  <c r="Z31" i="59"/>
  <c r="X31" i="59"/>
  <c r="N31" i="59"/>
  <c r="L31" i="59"/>
  <c r="B31" i="59"/>
  <c r="Z30" i="59"/>
  <c r="T30" i="59"/>
  <c r="P30" i="59"/>
  <c r="X30" i="59" s="1"/>
  <c r="J30" i="59"/>
  <c r="H30" i="59"/>
  <c r="D30" i="59"/>
  <c r="B30" i="59"/>
  <c r="X29" i="59"/>
  <c r="Z29" i="59" s="1"/>
  <c r="N29" i="59"/>
  <c r="L29" i="59"/>
  <c r="J29" i="59"/>
  <c r="B29" i="59"/>
  <c r="Z28" i="59"/>
  <c r="X28" i="59"/>
  <c r="N28" i="59"/>
  <c r="L28" i="59"/>
  <c r="B28" i="59"/>
  <c r="X27" i="59"/>
  <c r="Z27" i="59" s="1"/>
  <c r="R27" i="59"/>
  <c r="L27" i="59"/>
  <c r="N27" i="59" s="1"/>
  <c r="B27" i="59"/>
  <c r="X26" i="59"/>
  <c r="Z26" i="59" s="1"/>
  <c r="R26" i="59"/>
  <c r="N26" i="59"/>
  <c r="L26" i="59"/>
  <c r="B26" i="59"/>
  <c r="Z25" i="59"/>
  <c r="X25" i="59"/>
  <c r="N25" i="59"/>
  <c r="L25" i="59"/>
  <c r="B25" i="59"/>
  <c r="Z24" i="59"/>
  <c r="X24" i="59"/>
  <c r="N24" i="59"/>
  <c r="L24" i="59"/>
  <c r="B24" i="59"/>
  <c r="X23" i="59"/>
  <c r="Z23" i="59" s="1"/>
  <c r="L23" i="59"/>
  <c r="N23" i="59" s="1"/>
  <c r="B23" i="59"/>
  <c r="X22" i="59"/>
  <c r="Z22" i="59" s="1"/>
  <c r="L22" i="59"/>
  <c r="N22" i="59" s="1"/>
  <c r="J22" i="59"/>
  <c r="B22" i="59"/>
  <c r="X21" i="59"/>
  <c r="Z21" i="59" s="1"/>
  <c r="N21" i="59"/>
  <c r="L21" i="59"/>
  <c r="J21" i="59"/>
  <c r="B21" i="59"/>
  <c r="Z20" i="59"/>
  <c r="X20" i="59"/>
  <c r="N20" i="59"/>
  <c r="L20" i="59"/>
  <c r="B20" i="59"/>
  <c r="T19" i="59"/>
  <c r="Z19" i="59" s="1"/>
  <c r="P19" i="59"/>
  <c r="X19" i="59" s="1"/>
  <c r="L19" i="59"/>
  <c r="J19" i="59"/>
  <c r="H19" i="59"/>
  <c r="D19" i="59"/>
  <c r="B19" i="59"/>
  <c r="T18" i="59"/>
  <c r="P18" i="59"/>
  <c r="X18" i="59" s="1"/>
  <c r="Z18" i="59" s="1"/>
  <c r="H18" i="59"/>
  <c r="D18" i="59"/>
  <c r="R16" i="59"/>
  <c r="H16" i="59"/>
  <c r="Z14" i="59"/>
  <c r="X14" i="59"/>
  <c r="T14" i="59"/>
  <c r="R14" i="59"/>
  <c r="P14" i="59"/>
  <c r="N14" i="59"/>
  <c r="L14" i="59"/>
  <c r="H14" i="59"/>
  <c r="D14" i="59"/>
  <c r="X12" i="59"/>
  <c r="T12" i="59"/>
  <c r="V24" i="59" s="1"/>
  <c r="P12" i="59"/>
  <c r="R56" i="59" s="1"/>
  <c r="N12" i="59"/>
  <c r="H12" i="59"/>
  <c r="J67" i="59" s="1"/>
  <c r="D12" i="59"/>
  <c r="D6" i="59"/>
  <c r="D4" i="59"/>
  <c r="Z76" i="58"/>
  <c r="X76" i="58"/>
  <c r="R76" i="58"/>
  <c r="N76" i="58"/>
  <c r="L76" i="58"/>
  <c r="F74" i="58"/>
  <c r="T72" i="58"/>
  <c r="X72" i="58" s="1"/>
  <c r="P72" i="58"/>
  <c r="J72" i="58"/>
  <c r="H72" i="58"/>
  <c r="N72" i="58" s="1"/>
  <c r="D72" i="58"/>
  <c r="X70" i="58"/>
  <c r="Z70" i="58" s="1"/>
  <c r="L70" i="58"/>
  <c r="N70" i="58" s="1"/>
  <c r="B70" i="58"/>
  <c r="X69" i="58"/>
  <c r="T69" i="58"/>
  <c r="Z69" i="58" s="1"/>
  <c r="P69" i="58"/>
  <c r="J69" i="58"/>
  <c r="H69" i="58"/>
  <c r="D69" i="58"/>
  <c r="L69" i="58" s="1"/>
  <c r="N69" i="58" s="1"/>
  <c r="B69" i="58"/>
  <c r="Z68" i="58"/>
  <c r="X68" i="58"/>
  <c r="V68" i="58"/>
  <c r="L68" i="58"/>
  <c r="N68" i="58" s="1"/>
  <c r="B68" i="58"/>
  <c r="T67" i="58"/>
  <c r="X67" i="58" s="1"/>
  <c r="Z67" i="58" s="1"/>
  <c r="P67" i="58"/>
  <c r="H67" i="58"/>
  <c r="D67" i="58"/>
  <c r="L67" i="58" s="1"/>
  <c r="N67" i="58" s="1"/>
  <c r="B67" i="58"/>
  <c r="X66" i="58"/>
  <c r="Z66" i="58" s="1"/>
  <c r="L66" i="58"/>
  <c r="N66" i="58" s="1"/>
  <c r="B66" i="58"/>
  <c r="X65" i="58"/>
  <c r="Z65" i="58" s="1"/>
  <c r="V65" i="58"/>
  <c r="T65" i="58"/>
  <c r="P65" i="58"/>
  <c r="L65" i="58"/>
  <c r="H65" i="58"/>
  <c r="D65" i="58"/>
  <c r="B65" i="58"/>
  <c r="X64" i="58"/>
  <c r="Z64" i="58" s="1"/>
  <c r="V64" i="58"/>
  <c r="N64" i="58"/>
  <c r="L64" i="58"/>
  <c r="J64" i="58"/>
  <c r="B64" i="58"/>
  <c r="Z63" i="58"/>
  <c r="X63" i="58"/>
  <c r="N63" i="58"/>
  <c r="L63" i="58"/>
  <c r="B63" i="58"/>
  <c r="Z62" i="58"/>
  <c r="X62" i="58"/>
  <c r="L62" i="58"/>
  <c r="N62" i="58" s="1"/>
  <c r="B62" i="58"/>
  <c r="Z61" i="58"/>
  <c r="X61" i="58"/>
  <c r="N61" i="58"/>
  <c r="L61" i="58"/>
  <c r="J61" i="58"/>
  <c r="B61" i="58"/>
  <c r="X60" i="58"/>
  <c r="Z60" i="58" s="1"/>
  <c r="T60" i="58"/>
  <c r="P60" i="58"/>
  <c r="H60" i="58"/>
  <c r="L60" i="58" s="1"/>
  <c r="N60" i="58" s="1"/>
  <c r="D60" i="58"/>
  <c r="B60" i="58"/>
  <c r="X59" i="58"/>
  <c r="Z59" i="58" s="1"/>
  <c r="V59" i="58"/>
  <c r="N59" i="58"/>
  <c r="L59" i="58"/>
  <c r="J59" i="58"/>
  <c r="B59" i="58"/>
  <c r="X58" i="58"/>
  <c r="Z58" i="58" s="1"/>
  <c r="N58" i="58"/>
  <c r="L58" i="58"/>
  <c r="B58" i="58"/>
  <c r="T57" i="58"/>
  <c r="P57" i="58"/>
  <c r="X57" i="58" s="1"/>
  <c r="Z57" i="58" s="1"/>
  <c r="H57" i="58"/>
  <c r="D57" i="58"/>
  <c r="B57" i="58"/>
  <c r="X56" i="58"/>
  <c r="Z56" i="58" s="1"/>
  <c r="L56" i="58"/>
  <c r="N56" i="58" s="1"/>
  <c r="J56" i="58"/>
  <c r="B56" i="58"/>
  <c r="X55" i="58"/>
  <c r="Z55" i="58" s="1"/>
  <c r="N55" i="58"/>
  <c r="L55" i="58"/>
  <c r="B55" i="58"/>
  <c r="X54" i="58"/>
  <c r="Z54" i="58" s="1"/>
  <c r="V54" i="58"/>
  <c r="T54" i="58"/>
  <c r="P54" i="58"/>
  <c r="H54" i="58"/>
  <c r="D54" i="58"/>
  <c r="B54" i="58"/>
  <c r="Z53" i="58"/>
  <c r="X53" i="58"/>
  <c r="N53" i="58"/>
  <c r="L53" i="58"/>
  <c r="B53" i="58"/>
  <c r="X52" i="58"/>
  <c r="Z52" i="58" s="1"/>
  <c r="N52" i="58"/>
  <c r="L52" i="58"/>
  <c r="B52" i="58"/>
  <c r="Z51" i="58"/>
  <c r="X51" i="58"/>
  <c r="V51" i="58"/>
  <c r="N51" i="58"/>
  <c r="L51" i="58"/>
  <c r="B51" i="58"/>
  <c r="T50" i="58"/>
  <c r="Z50" i="58" s="1"/>
  <c r="P50" i="58"/>
  <c r="X50" i="58" s="1"/>
  <c r="H50" i="58"/>
  <c r="D50" i="58"/>
  <c r="B50" i="58"/>
  <c r="Z49" i="58"/>
  <c r="X49" i="58"/>
  <c r="V49" i="58"/>
  <c r="N49" i="58"/>
  <c r="L49" i="58"/>
  <c r="B49" i="58"/>
  <c r="Z48" i="58"/>
  <c r="T48" i="58"/>
  <c r="P48" i="58"/>
  <c r="X48" i="58" s="1"/>
  <c r="H48" i="58"/>
  <c r="F48" i="58"/>
  <c r="D48" i="58"/>
  <c r="L48" i="58" s="1"/>
  <c r="B48" i="58"/>
  <c r="X47" i="58"/>
  <c r="Z47" i="58" s="1"/>
  <c r="N47" i="58"/>
  <c r="L47" i="58"/>
  <c r="B47" i="58"/>
  <c r="X46" i="58"/>
  <c r="Z46" i="58" s="1"/>
  <c r="V46" i="58"/>
  <c r="T46" i="58"/>
  <c r="P46" i="58"/>
  <c r="H46" i="58"/>
  <c r="N46" i="58" s="1"/>
  <c r="D46" i="58"/>
  <c r="B46" i="58"/>
  <c r="Z45" i="58"/>
  <c r="X45" i="58"/>
  <c r="N45" i="58"/>
  <c r="L45" i="58"/>
  <c r="B45" i="58"/>
  <c r="X44" i="58"/>
  <c r="T44" i="58"/>
  <c r="P44" i="58"/>
  <c r="H44" i="58"/>
  <c r="D44" i="58"/>
  <c r="L44" i="58" s="1"/>
  <c r="B44" i="58"/>
  <c r="Z43" i="58"/>
  <c r="X43" i="58"/>
  <c r="V43" i="58"/>
  <c r="L43" i="58"/>
  <c r="N43" i="58" s="1"/>
  <c r="J43" i="58"/>
  <c r="B43" i="58"/>
  <c r="V42" i="58"/>
  <c r="T42" i="58"/>
  <c r="P42" i="58"/>
  <c r="X42" i="58" s="1"/>
  <c r="H42" i="58"/>
  <c r="D42" i="58"/>
  <c r="B42" i="58"/>
  <c r="Z41" i="58"/>
  <c r="X41" i="58"/>
  <c r="N41" i="58"/>
  <c r="L41" i="58"/>
  <c r="B41" i="58"/>
  <c r="T40" i="58"/>
  <c r="P40" i="58"/>
  <c r="X40" i="58" s="1"/>
  <c r="H40" i="58"/>
  <c r="F40" i="58"/>
  <c r="D40" i="58"/>
  <c r="L40" i="58" s="1"/>
  <c r="N40" i="58" s="1"/>
  <c r="B40" i="58"/>
  <c r="Z39" i="58"/>
  <c r="X39" i="58"/>
  <c r="V39" i="58"/>
  <c r="L39" i="58"/>
  <c r="N39" i="58" s="1"/>
  <c r="B39" i="58"/>
  <c r="Z38" i="58"/>
  <c r="X38" i="58"/>
  <c r="T38" i="58"/>
  <c r="P38" i="58"/>
  <c r="L38" i="58"/>
  <c r="H38" i="58"/>
  <c r="D38" i="58"/>
  <c r="B38" i="58"/>
  <c r="Z37" i="58"/>
  <c r="X37" i="58"/>
  <c r="V37" i="58"/>
  <c r="L37" i="58"/>
  <c r="N37" i="58" s="1"/>
  <c r="F37" i="58"/>
  <c r="B37" i="58"/>
  <c r="X36" i="58"/>
  <c r="Z36" i="58" s="1"/>
  <c r="T36" i="58"/>
  <c r="P36" i="58"/>
  <c r="L36" i="58"/>
  <c r="J36" i="58"/>
  <c r="H36" i="58"/>
  <c r="D36" i="58"/>
  <c r="B36" i="58"/>
  <c r="X35" i="58"/>
  <c r="Z35" i="58" s="1"/>
  <c r="V35" i="58"/>
  <c r="N35" i="58"/>
  <c r="L35" i="58"/>
  <c r="J35" i="58"/>
  <c r="F35" i="58"/>
  <c r="B35" i="58"/>
  <c r="X34" i="58"/>
  <c r="Z34" i="58" s="1"/>
  <c r="R34" i="58"/>
  <c r="L34" i="58"/>
  <c r="N34" i="58" s="1"/>
  <c r="F34" i="58"/>
  <c r="B34" i="58"/>
  <c r="X33" i="58"/>
  <c r="Z33" i="58" s="1"/>
  <c r="V33" i="58"/>
  <c r="L33" i="58"/>
  <c r="N33" i="58" s="1"/>
  <c r="F33" i="58"/>
  <c r="B33" i="58"/>
  <c r="Z32" i="58"/>
  <c r="X32" i="58"/>
  <c r="N32" i="58"/>
  <c r="L32" i="58"/>
  <c r="J32" i="58"/>
  <c r="F32" i="58"/>
  <c r="B32" i="58"/>
  <c r="Z31" i="58"/>
  <c r="X31" i="58"/>
  <c r="V31" i="58"/>
  <c r="N31" i="58"/>
  <c r="L31" i="58"/>
  <c r="B31" i="58"/>
  <c r="V30" i="58"/>
  <c r="T30" i="58"/>
  <c r="P30" i="58"/>
  <c r="X30" i="58" s="1"/>
  <c r="Z30" i="58" s="1"/>
  <c r="J30" i="58"/>
  <c r="H30" i="58"/>
  <c r="D30" i="58"/>
  <c r="L30" i="58" s="1"/>
  <c r="B30" i="58"/>
  <c r="Z29" i="58"/>
  <c r="X29" i="58"/>
  <c r="V29" i="58"/>
  <c r="N29" i="58"/>
  <c r="L29" i="58"/>
  <c r="F29" i="58"/>
  <c r="B29" i="58"/>
  <c r="X28" i="58"/>
  <c r="Z28" i="58" s="1"/>
  <c r="V28" i="58"/>
  <c r="L28" i="58"/>
  <c r="N28" i="58" s="1"/>
  <c r="F28" i="58"/>
  <c r="B28" i="58"/>
  <c r="X27" i="58"/>
  <c r="Z27" i="58" s="1"/>
  <c r="L27" i="58"/>
  <c r="N27" i="58" s="1"/>
  <c r="J27" i="58"/>
  <c r="B27" i="58"/>
  <c r="X26" i="58"/>
  <c r="Z26" i="58" s="1"/>
  <c r="N26" i="58"/>
  <c r="L26" i="58"/>
  <c r="F26" i="58"/>
  <c r="B26" i="58"/>
  <c r="Z25" i="58"/>
  <c r="X25" i="58"/>
  <c r="V25" i="58"/>
  <c r="N25" i="58"/>
  <c r="L25" i="58"/>
  <c r="F25" i="58"/>
  <c r="B25" i="58"/>
  <c r="X24" i="58"/>
  <c r="Z24" i="58" s="1"/>
  <c r="V24" i="58"/>
  <c r="N24" i="58"/>
  <c r="L24" i="58"/>
  <c r="F24" i="58"/>
  <c r="B24" i="58"/>
  <c r="X23" i="58"/>
  <c r="Z23" i="58" s="1"/>
  <c r="V23" i="58"/>
  <c r="L23" i="58"/>
  <c r="N23" i="58" s="1"/>
  <c r="J23" i="58"/>
  <c r="B23" i="58"/>
  <c r="X22" i="58"/>
  <c r="Z22" i="58" s="1"/>
  <c r="V22" i="58"/>
  <c r="N22" i="58"/>
  <c r="L22" i="58"/>
  <c r="F22" i="58"/>
  <c r="B22" i="58"/>
  <c r="Z21" i="58"/>
  <c r="X21" i="58"/>
  <c r="V21" i="58"/>
  <c r="N21" i="58"/>
  <c r="L21" i="58"/>
  <c r="J21" i="58"/>
  <c r="F21" i="58"/>
  <c r="B21" i="58"/>
  <c r="X20" i="58"/>
  <c r="Z20" i="58" s="1"/>
  <c r="V20" i="58"/>
  <c r="R20" i="58"/>
  <c r="L20" i="58"/>
  <c r="N20" i="58" s="1"/>
  <c r="F20" i="58"/>
  <c r="B20" i="58"/>
  <c r="V19" i="58"/>
  <c r="T19" i="58"/>
  <c r="P19" i="58"/>
  <c r="X19" i="58" s="1"/>
  <c r="Z19" i="58" s="1"/>
  <c r="N19" i="58"/>
  <c r="L19" i="58"/>
  <c r="J19" i="58"/>
  <c r="H19" i="58"/>
  <c r="F19" i="58"/>
  <c r="D19" i="58"/>
  <c r="B19" i="58"/>
  <c r="T18" i="58"/>
  <c r="R18" i="58"/>
  <c r="P18" i="58"/>
  <c r="X18" i="58" s="1"/>
  <c r="H18" i="58"/>
  <c r="D18" i="58"/>
  <c r="R16" i="58"/>
  <c r="H16" i="58"/>
  <c r="T14" i="58"/>
  <c r="Z14" i="58" s="1"/>
  <c r="R14" i="58"/>
  <c r="P14" i="58"/>
  <c r="X14" i="58" s="1"/>
  <c r="H14" i="58"/>
  <c r="N14" i="58" s="1"/>
  <c r="D14" i="58"/>
  <c r="Z12" i="58"/>
  <c r="T12" i="58"/>
  <c r="V58" i="58" s="1"/>
  <c r="P12" i="58"/>
  <c r="R57" i="58" s="1"/>
  <c r="N12" i="58"/>
  <c r="L12" i="58"/>
  <c r="H12" i="58"/>
  <c r="J74" i="58" s="1"/>
  <c r="D12" i="58"/>
  <c r="F64" i="58" s="1"/>
  <c r="D6" i="58"/>
  <c r="D4" i="58"/>
  <c r="Z75" i="57"/>
  <c r="X75" i="57"/>
  <c r="N75" i="57"/>
  <c r="L75" i="57"/>
  <c r="T71" i="57"/>
  <c r="Z71" i="57" s="1"/>
  <c r="P71" i="57"/>
  <c r="X71" i="57" s="1"/>
  <c r="H71" i="57"/>
  <c r="N71" i="57" s="1"/>
  <c r="D71" i="57"/>
  <c r="L71" i="57" s="1"/>
  <c r="X69" i="57"/>
  <c r="Z69" i="57" s="1"/>
  <c r="R69" i="57"/>
  <c r="N69" i="57"/>
  <c r="L69" i="57"/>
  <c r="B69" i="57"/>
  <c r="X68" i="57"/>
  <c r="Z68" i="57" s="1"/>
  <c r="V68" i="57"/>
  <c r="N68" i="57"/>
  <c r="L68" i="57"/>
  <c r="J68" i="57"/>
  <c r="B68" i="57"/>
  <c r="T67" i="57"/>
  <c r="Z67" i="57" s="1"/>
  <c r="R67" i="57"/>
  <c r="P67" i="57"/>
  <c r="X67" i="57" s="1"/>
  <c r="H67" i="57"/>
  <c r="D67" i="57"/>
  <c r="B67" i="57"/>
  <c r="Z66" i="57"/>
  <c r="X66" i="57"/>
  <c r="R66" i="57"/>
  <c r="N66" i="57"/>
  <c r="L66" i="57"/>
  <c r="B66" i="57"/>
  <c r="T65" i="57"/>
  <c r="Z65" i="57" s="1"/>
  <c r="P65" i="57"/>
  <c r="X65" i="57" s="1"/>
  <c r="H65" i="57"/>
  <c r="D65" i="57"/>
  <c r="L65" i="57" s="1"/>
  <c r="N65" i="57" s="1"/>
  <c r="B65" i="57"/>
  <c r="X64" i="57"/>
  <c r="Z64" i="57" s="1"/>
  <c r="L64" i="57"/>
  <c r="N64" i="57" s="1"/>
  <c r="J64" i="57"/>
  <c r="B64" i="57"/>
  <c r="X63" i="57"/>
  <c r="T63" i="57"/>
  <c r="Z63" i="57" s="1"/>
  <c r="P63" i="57"/>
  <c r="J63" i="57"/>
  <c r="H63" i="57"/>
  <c r="D63" i="57"/>
  <c r="B63" i="57"/>
  <c r="Z62" i="57"/>
  <c r="X62" i="57"/>
  <c r="N62" i="57"/>
  <c r="L62" i="57"/>
  <c r="B62" i="57"/>
  <c r="X61" i="57"/>
  <c r="Z61" i="57" s="1"/>
  <c r="R61" i="57"/>
  <c r="L61" i="57"/>
  <c r="N61" i="57" s="1"/>
  <c r="B61" i="57"/>
  <c r="X60" i="57"/>
  <c r="Z60" i="57" s="1"/>
  <c r="V60" i="57"/>
  <c r="N60" i="57"/>
  <c r="L60" i="57"/>
  <c r="J60" i="57"/>
  <c r="B60" i="57"/>
  <c r="T59" i="57"/>
  <c r="Z59" i="57" s="1"/>
  <c r="R59" i="57"/>
  <c r="P59" i="57"/>
  <c r="X59" i="57" s="1"/>
  <c r="H59" i="57"/>
  <c r="D59" i="57"/>
  <c r="L59" i="57" s="1"/>
  <c r="B59" i="57"/>
  <c r="Z58" i="57"/>
  <c r="X58" i="57"/>
  <c r="R58" i="57"/>
  <c r="N58" i="57"/>
  <c r="L58" i="57"/>
  <c r="B58" i="57"/>
  <c r="Z57" i="57"/>
  <c r="T57" i="57"/>
  <c r="P57" i="57"/>
  <c r="X57" i="57" s="1"/>
  <c r="N57" i="57"/>
  <c r="H57" i="57"/>
  <c r="D57" i="57"/>
  <c r="L57" i="57" s="1"/>
  <c r="B57" i="57"/>
  <c r="X56" i="57"/>
  <c r="Z56" i="57" s="1"/>
  <c r="L56" i="57"/>
  <c r="N56" i="57" s="1"/>
  <c r="J56" i="57"/>
  <c r="B56" i="57"/>
  <c r="X55" i="57"/>
  <c r="T55" i="57"/>
  <c r="Z55" i="57" s="1"/>
  <c r="R55" i="57"/>
  <c r="P55" i="57"/>
  <c r="J55" i="57"/>
  <c r="H55" i="57"/>
  <c r="D55" i="57"/>
  <c r="B55" i="57"/>
  <c r="Z54" i="57"/>
  <c r="X54" i="57"/>
  <c r="R54" i="57"/>
  <c r="N54" i="57"/>
  <c r="L54" i="57"/>
  <c r="B54" i="57"/>
  <c r="X53" i="57"/>
  <c r="Z53" i="57" s="1"/>
  <c r="R53" i="57"/>
  <c r="L53" i="57"/>
  <c r="N53" i="57" s="1"/>
  <c r="B53" i="57"/>
  <c r="X52" i="57"/>
  <c r="Z52" i="57" s="1"/>
  <c r="V52" i="57"/>
  <c r="N52" i="57"/>
  <c r="L52" i="57"/>
  <c r="J52" i="57"/>
  <c r="B52" i="57"/>
  <c r="T51" i="57"/>
  <c r="R51" i="57"/>
  <c r="P51" i="57"/>
  <c r="X51" i="57" s="1"/>
  <c r="Z51" i="57" s="1"/>
  <c r="H51" i="57"/>
  <c r="D51" i="57"/>
  <c r="L51" i="57" s="1"/>
  <c r="B51" i="57"/>
  <c r="Z50" i="57"/>
  <c r="X50" i="57"/>
  <c r="R50" i="57"/>
  <c r="N50" i="57"/>
  <c r="L50" i="57"/>
  <c r="B50" i="57"/>
  <c r="T49" i="57"/>
  <c r="P49" i="57"/>
  <c r="X49" i="57" s="1"/>
  <c r="Z49" i="57" s="1"/>
  <c r="N49" i="57"/>
  <c r="H49" i="57"/>
  <c r="D49" i="57"/>
  <c r="L49" i="57" s="1"/>
  <c r="B49" i="57"/>
  <c r="X48" i="57"/>
  <c r="Z48" i="57" s="1"/>
  <c r="L48" i="57"/>
  <c r="N48" i="57" s="1"/>
  <c r="J48" i="57"/>
  <c r="B48" i="57"/>
  <c r="X47" i="57"/>
  <c r="T47" i="57"/>
  <c r="Z47" i="57" s="1"/>
  <c r="R47" i="57"/>
  <c r="P47" i="57"/>
  <c r="J47" i="57"/>
  <c r="H47" i="57"/>
  <c r="D47" i="57"/>
  <c r="B47" i="57"/>
  <c r="Z46" i="57"/>
  <c r="X46" i="57"/>
  <c r="R46" i="57"/>
  <c r="N46" i="57"/>
  <c r="L46" i="57"/>
  <c r="F46" i="57"/>
  <c r="B46" i="57"/>
  <c r="T45" i="57"/>
  <c r="P45" i="57"/>
  <c r="N45" i="57"/>
  <c r="H45" i="57"/>
  <c r="F45" i="57"/>
  <c r="D45" i="57"/>
  <c r="L45" i="57" s="1"/>
  <c r="B45" i="57"/>
  <c r="Z44" i="57"/>
  <c r="X44" i="57"/>
  <c r="V44" i="57"/>
  <c r="L44" i="57"/>
  <c r="N44" i="57" s="1"/>
  <c r="B44" i="57"/>
  <c r="T43" i="57"/>
  <c r="P43" i="57"/>
  <c r="X43" i="57" s="1"/>
  <c r="Z43" i="57" s="1"/>
  <c r="H43" i="57"/>
  <c r="D43" i="57"/>
  <c r="L43" i="57" s="1"/>
  <c r="N43" i="57" s="1"/>
  <c r="B43" i="57"/>
  <c r="Z42" i="57"/>
  <c r="X42" i="57"/>
  <c r="N42" i="57"/>
  <c r="L42" i="57"/>
  <c r="B42" i="57"/>
  <c r="V41" i="57"/>
  <c r="T41" i="57"/>
  <c r="P41" i="57"/>
  <c r="L41" i="57"/>
  <c r="H41" i="57"/>
  <c r="D41" i="57"/>
  <c r="B41" i="57"/>
  <c r="X40" i="57"/>
  <c r="Z40" i="57" s="1"/>
  <c r="V40" i="57"/>
  <c r="N40" i="57"/>
  <c r="L40" i="57"/>
  <c r="J40" i="57"/>
  <c r="B40" i="57"/>
  <c r="T39" i="57"/>
  <c r="Z39" i="57" s="1"/>
  <c r="R39" i="57"/>
  <c r="P39" i="57"/>
  <c r="X39" i="57" s="1"/>
  <c r="H39" i="57"/>
  <c r="D39" i="57"/>
  <c r="L39" i="57" s="1"/>
  <c r="B39" i="57"/>
  <c r="Z38" i="57"/>
  <c r="X38" i="57"/>
  <c r="V38" i="57"/>
  <c r="R38" i="57"/>
  <c r="N38" i="57"/>
  <c r="L38" i="57"/>
  <c r="B38" i="57"/>
  <c r="V37" i="57"/>
  <c r="T37" i="57"/>
  <c r="P37" i="57"/>
  <c r="X37" i="57" s="1"/>
  <c r="Z37" i="57" s="1"/>
  <c r="H37" i="57"/>
  <c r="D37" i="57"/>
  <c r="L37" i="57" s="1"/>
  <c r="N37" i="57" s="1"/>
  <c r="B37" i="57"/>
  <c r="X36" i="57"/>
  <c r="Z36" i="57" s="1"/>
  <c r="N36" i="57"/>
  <c r="L36" i="57"/>
  <c r="J36" i="57"/>
  <c r="B36" i="57"/>
  <c r="X35" i="57"/>
  <c r="T35" i="57"/>
  <c r="Z35" i="57" s="1"/>
  <c r="R35" i="57"/>
  <c r="P35" i="57"/>
  <c r="J35" i="57"/>
  <c r="H35" i="57"/>
  <c r="N35" i="57" s="1"/>
  <c r="D35" i="57"/>
  <c r="B35" i="57"/>
  <c r="Z34" i="57"/>
  <c r="X34" i="57"/>
  <c r="R34" i="57"/>
  <c r="N34" i="57"/>
  <c r="L34" i="57"/>
  <c r="J34" i="57"/>
  <c r="F34" i="57"/>
  <c r="B34" i="57"/>
  <c r="X33" i="57"/>
  <c r="Z33" i="57" s="1"/>
  <c r="R33" i="57"/>
  <c r="L33" i="57"/>
  <c r="N33" i="57" s="1"/>
  <c r="J33" i="57"/>
  <c r="B33" i="57"/>
  <c r="X32" i="57"/>
  <c r="Z32" i="57" s="1"/>
  <c r="V32" i="57"/>
  <c r="N32" i="57"/>
  <c r="L32" i="57"/>
  <c r="J32" i="57"/>
  <c r="B32" i="57"/>
  <c r="Z31" i="57"/>
  <c r="X31" i="57"/>
  <c r="R31" i="57"/>
  <c r="L31" i="57"/>
  <c r="N31" i="57" s="1"/>
  <c r="B31" i="57"/>
  <c r="Z30" i="57"/>
  <c r="X30" i="57"/>
  <c r="R30" i="57"/>
  <c r="N30" i="57"/>
  <c r="L30" i="57"/>
  <c r="J30" i="57"/>
  <c r="F30" i="57"/>
  <c r="B30" i="57"/>
  <c r="X29" i="57"/>
  <c r="Z29" i="57" s="1"/>
  <c r="R29" i="57"/>
  <c r="L29" i="57"/>
  <c r="N29" i="57" s="1"/>
  <c r="J29" i="57"/>
  <c r="B29" i="57"/>
  <c r="X28" i="57"/>
  <c r="Z28" i="57" s="1"/>
  <c r="V28" i="57"/>
  <c r="T28" i="57"/>
  <c r="R28" i="57"/>
  <c r="P28" i="57"/>
  <c r="N28" i="57"/>
  <c r="H28" i="57"/>
  <c r="L28" i="57" s="1"/>
  <c r="D28" i="57"/>
  <c r="B28" i="57"/>
  <c r="X27" i="57"/>
  <c r="Z27" i="57" s="1"/>
  <c r="R27" i="57"/>
  <c r="L27" i="57"/>
  <c r="N27" i="57" s="1"/>
  <c r="B27" i="57"/>
  <c r="Z26" i="57"/>
  <c r="X26" i="57"/>
  <c r="V26" i="57"/>
  <c r="R26" i="57"/>
  <c r="N26" i="57"/>
  <c r="L26" i="57"/>
  <c r="B26" i="57"/>
  <c r="X25" i="57"/>
  <c r="Z25" i="57" s="1"/>
  <c r="V25" i="57"/>
  <c r="L25" i="57"/>
  <c r="N25" i="57" s="1"/>
  <c r="J25" i="57"/>
  <c r="F25" i="57"/>
  <c r="B25" i="57"/>
  <c r="Z24" i="57"/>
  <c r="X24" i="57"/>
  <c r="V24" i="57"/>
  <c r="N24" i="57"/>
  <c r="L24" i="57"/>
  <c r="B24" i="57"/>
  <c r="X23" i="57"/>
  <c r="Z23" i="57" s="1"/>
  <c r="R23" i="57"/>
  <c r="L23" i="57"/>
  <c r="N23" i="57" s="1"/>
  <c r="B23" i="57"/>
  <c r="Z22" i="57"/>
  <c r="X22" i="57"/>
  <c r="V22" i="57"/>
  <c r="R22" i="57"/>
  <c r="N22" i="57"/>
  <c r="L22" i="57"/>
  <c r="B22" i="57"/>
  <c r="X21" i="57"/>
  <c r="Z21" i="57" s="1"/>
  <c r="V21" i="57"/>
  <c r="L21" i="57"/>
  <c r="N21" i="57" s="1"/>
  <c r="J21" i="57"/>
  <c r="F21" i="57"/>
  <c r="B21" i="57"/>
  <c r="Z20" i="57"/>
  <c r="X20" i="57"/>
  <c r="V20" i="57"/>
  <c r="L20" i="57"/>
  <c r="N20" i="57" s="1"/>
  <c r="B20" i="57"/>
  <c r="T19" i="57"/>
  <c r="P19" i="57"/>
  <c r="X19" i="57" s="1"/>
  <c r="Z19" i="57" s="1"/>
  <c r="J19" i="57"/>
  <c r="H19" i="57"/>
  <c r="D19" i="57"/>
  <c r="L19" i="57" s="1"/>
  <c r="N19" i="57" s="1"/>
  <c r="B19" i="57"/>
  <c r="T18" i="57"/>
  <c r="R18" i="57"/>
  <c r="P18" i="57"/>
  <c r="X18" i="57" s="1"/>
  <c r="Z18" i="57" s="1"/>
  <c r="H18" i="57"/>
  <c r="D18" i="57"/>
  <c r="L18" i="57" s="1"/>
  <c r="N18" i="57" s="1"/>
  <c r="R16" i="57"/>
  <c r="D16" i="57"/>
  <c r="Z14" i="57"/>
  <c r="T14" i="57"/>
  <c r="R14" i="57"/>
  <c r="P14" i="57"/>
  <c r="X14" i="57" s="1"/>
  <c r="N14" i="57"/>
  <c r="H14" i="57"/>
  <c r="D14" i="57"/>
  <c r="L14" i="57" s="1"/>
  <c r="Z12" i="57"/>
  <c r="T12" i="57"/>
  <c r="V62" i="57" s="1"/>
  <c r="P12" i="57"/>
  <c r="R63" i="57" s="1"/>
  <c r="N12" i="57"/>
  <c r="H12" i="57"/>
  <c r="J42" i="57" s="1"/>
  <c r="D12" i="57"/>
  <c r="F27" i="57" s="1"/>
  <c r="D6" i="57"/>
  <c r="D4" i="57"/>
  <c r="V81" i="56"/>
  <c r="Z76" i="56"/>
  <c r="X76" i="56"/>
  <c r="N76" i="56"/>
  <c r="L76" i="56"/>
  <c r="J76" i="56"/>
  <c r="F74" i="56"/>
  <c r="Z72" i="56"/>
  <c r="T72" i="56"/>
  <c r="P72" i="56"/>
  <c r="X72" i="56" s="1"/>
  <c r="N72" i="56"/>
  <c r="H72" i="56"/>
  <c r="F72" i="56"/>
  <c r="D72" i="56"/>
  <c r="L72" i="56" s="1"/>
  <c r="X70" i="56"/>
  <c r="Z70" i="56" s="1"/>
  <c r="N70" i="56"/>
  <c r="L70" i="56"/>
  <c r="J70" i="56"/>
  <c r="B70" i="56"/>
  <c r="X69" i="56"/>
  <c r="Z69" i="56" s="1"/>
  <c r="N69" i="56"/>
  <c r="L69" i="56"/>
  <c r="B69" i="56"/>
  <c r="Z68" i="56"/>
  <c r="T68" i="56"/>
  <c r="P68" i="56"/>
  <c r="X68" i="56" s="1"/>
  <c r="H68" i="56"/>
  <c r="D68" i="56"/>
  <c r="L68" i="56" s="1"/>
  <c r="N68" i="56" s="1"/>
  <c r="B68" i="56"/>
  <c r="X67" i="56"/>
  <c r="Z67" i="56" s="1"/>
  <c r="N67" i="56"/>
  <c r="L67" i="56"/>
  <c r="B67" i="56"/>
  <c r="X66" i="56"/>
  <c r="Z66" i="56" s="1"/>
  <c r="T66" i="56"/>
  <c r="P66" i="56"/>
  <c r="N66" i="56"/>
  <c r="H66" i="56"/>
  <c r="L66" i="56" s="1"/>
  <c r="D66" i="56"/>
  <c r="B66" i="56"/>
  <c r="Z65" i="56"/>
  <c r="X65" i="56"/>
  <c r="L65" i="56"/>
  <c r="N65" i="56" s="1"/>
  <c r="B65" i="56"/>
  <c r="T64" i="56"/>
  <c r="P64" i="56"/>
  <c r="J64" i="56"/>
  <c r="H64" i="56"/>
  <c r="D64" i="56"/>
  <c r="L64" i="56" s="1"/>
  <c r="N64" i="56" s="1"/>
  <c r="B64" i="56"/>
  <c r="X63" i="56"/>
  <c r="Z63" i="56" s="1"/>
  <c r="L63" i="56"/>
  <c r="N63" i="56" s="1"/>
  <c r="F63" i="56"/>
  <c r="B63" i="56"/>
  <c r="X62" i="56"/>
  <c r="Z62" i="56" s="1"/>
  <c r="L62" i="56"/>
  <c r="N62" i="56" s="1"/>
  <c r="J62" i="56"/>
  <c r="B62" i="56"/>
  <c r="Z61" i="56"/>
  <c r="X61" i="56"/>
  <c r="N61" i="56"/>
  <c r="L61" i="56"/>
  <c r="B61" i="56"/>
  <c r="Z60" i="56"/>
  <c r="X60" i="56"/>
  <c r="N60" i="56"/>
  <c r="L60" i="56"/>
  <c r="B60" i="56"/>
  <c r="T59" i="56"/>
  <c r="P59" i="56"/>
  <c r="L59" i="56"/>
  <c r="H59" i="56"/>
  <c r="D59" i="56"/>
  <c r="B59" i="56"/>
  <c r="X58" i="56"/>
  <c r="Z58" i="56" s="1"/>
  <c r="N58" i="56"/>
  <c r="L58" i="56"/>
  <c r="J58" i="56"/>
  <c r="B58" i="56"/>
  <c r="T57" i="56"/>
  <c r="P57" i="56"/>
  <c r="X57" i="56" s="1"/>
  <c r="Z57" i="56" s="1"/>
  <c r="H57" i="56"/>
  <c r="N57" i="56" s="1"/>
  <c r="D57" i="56"/>
  <c r="B57" i="56"/>
  <c r="X56" i="56"/>
  <c r="Z56" i="56" s="1"/>
  <c r="R56" i="56"/>
  <c r="N56" i="56"/>
  <c r="L56" i="56"/>
  <c r="B56" i="56"/>
  <c r="X55" i="56"/>
  <c r="Z55" i="56" s="1"/>
  <c r="L55" i="56"/>
  <c r="N55" i="56" s="1"/>
  <c r="J55" i="56"/>
  <c r="F55" i="56"/>
  <c r="B55" i="56"/>
  <c r="Z54" i="56"/>
  <c r="X54" i="56"/>
  <c r="N54" i="56"/>
  <c r="L54" i="56"/>
  <c r="B54" i="56"/>
  <c r="Z53" i="56"/>
  <c r="X53" i="56"/>
  <c r="T53" i="56"/>
  <c r="P53" i="56"/>
  <c r="H53" i="56"/>
  <c r="D53" i="56"/>
  <c r="L53" i="56" s="1"/>
  <c r="N53" i="56" s="1"/>
  <c r="B53" i="56"/>
  <c r="Z52" i="56"/>
  <c r="X52" i="56"/>
  <c r="N52" i="56"/>
  <c r="L52" i="56"/>
  <c r="B52" i="56"/>
  <c r="X51" i="56"/>
  <c r="Z51" i="56" s="1"/>
  <c r="L51" i="56"/>
  <c r="N51" i="56" s="1"/>
  <c r="F51" i="56"/>
  <c r="B51" i="56"/>
  <c r="X50" i="56"/>
  <c r="Z50" i="56" s="1"/>
  <c r="N50" i="56"/>
  <c r="L50" i="56"/>
  <c r="J50" i="56"/>
  <c r="B50" i="56"/>
  <c r="X49" i="56"/>
  <c r="T49" i="56"/>
  <c r="Z49" i="56" s="1"/>
  <c r="P49" i="56"/>
  <c r="J49" i="56"/>
  <c r="H49" i="56"/>
  <c r="D49" i="56"/>
  <c r="B49" i="56"/>
  <c r="Z48" i="56"/>
  <c r="X48" i="56"/>
  <c r="L48" i="56"/>
  <c r="N48" i="56" s="1"/>
  <c r="F48" i="56"/>
  <c r="B48" i="56"/>
  <c r="T47" i="56"/>
  <c r="P47" i="56"/>
  <c r="X47" i="56" s="1"/>
  <c r="H47" i="56"/>
  <c r="N47" i="56" s="1"/>
  <c r="F47" i="56"/>
  <c r="D47" i="56"/>
  <c r="L47" i="56" s="1"/>
  <c r="B47" i="56"/>
  <c r="Z46" i="56"/>
  <c r="X46" i="56"/>
  <c r="L46" i="56"/>
  <c r="N46" i="56" s="1"/>
  <c r="B46" i="56"/>
  <c r="Z45" i="56"/>
  <c r="X45" i="56"/>
  <c r="T45" i="56"/>
  <c r="P45" i="56"/>
  <c r="J45" i="56"/>
  <c r="H45" i="56"/>
  <c r="D45" i="56"/>
  <c r="L45" i="56" s="1"/>
  <c r="N45" i="56" s="1"/>
  <c r="B45" i="56"/>
  <c r="Z44" i="56"/>
  <c r="X44" i="56"/>
  <c r="N44" i="56"/>
  <c r="L44" i="56"/>
  <c r="F44" i="56"/>
  <c r="B44" i="56"/>
  <c r="T43" i="56"/>
  <c r="P43" i="56"/>
  <c r="L43" i="56"/>
  <c r="H43" i="56"/>
  <c r="N43" i="56" s="1"/>
  <c r="F43" i="56"/>
  <c r="D43" i="56"/>
  <c r="B43" i="56"/>
  <c r="X42" i="56"/>
  <c r="Z42" i="56" s="1"/>
  <c r="N42" i="56"/>
  <c r="L42" i="56"/>
  <c r="J42" i="56"/>
  <c r="B42" i="56"/>
  <c r="T41" i="56"/>
  <c r="P41" i="56"/>
  <c r="X41" i="56" s="1"/>
  <c r="H41" i="56"/>
  <c r="D41" i="56"/>
  <c r="B41" i="56"/>
  <c r="X40" i="56"/>
  <c r="Z40" i="56" s="1"/>
  <c r="R40" i="56"/>
  <c r="N40" i="56"/>
  <c r="L40" i="56"/>
  <c r="B40" i="56"/>
  <c r="T39" i="56"/>
  <c r="P39" i="56"/>
  <c r="X39" i="56" s="1"/>
  <c r="Z39" i="56" s="1"/>
  <c r="N39" i="56"/>
  <c r="L39" i="56"/>
  <c r="H39" i="56"/>
  <c r="D39" i="56"/>
  <c r="B39" i="56"/>
  <c r="X38" i="56"/>
  <c r="Z38" i="56" s="1"/>
  <c r="L38" i="56"/>
  <c r="N38" i="56" s="1"/>
  <c r="J38" i="56"/>
  <c r="B38" i="56"/>
  <c r="X37" i="56"/>
  <c r="T37" i="56"/>
  <c r="P37" i="56"/>
  <c r="L37" i="56"/>
  <c r="J37" i="56"/>
  <c r="H37" i="56"/>
  <c r="D37" i="56"/>
  <c r="B37" i="56"/>
  <c r="Z36" i="56"/>
  <c r="X36" i="56"/>
  <c r="N36" i="56"/>
  <c r="L36" i="56"/>
  <c r="J36" i="56"/>
  <c r="F36" i="56"/>
  <c r="B36" i="56"/>
  <c r="T35" i="56"/>
  <c r="P35" i="56"/>
  <c r="H35" i="56"/>
  <c r="F35" i="56"/>
  <c r="D35" i="56"/>
  <c r="B35" i="56"/>
  <c r="Z34" i="56"/>
  <c r="X34" i="56"/>
  <c r="L34" i="56"/>
  <c r="N34" i="56" s="1"/>
  <c r="B34" i="56"/>
  <c r="Z33" i="56"/>
  <c r="T33" i="56"/>
  <c r="P33" i="56"/>
  <c r="X33" i="56" s="1"/>
  <c r="J33" i="56"/>
  <c r="H33" i="56"/>
  <c r="D33" i="56"/>
  <c r="L33" i="56" s="1"/>
  <c r="N33" i="56" s="1"/>
  <c r="B33" i="56"/>
  <c r="Z32" i="56"/>
  <c r="X32" i="56"/>
  <c r="N32" i="56"/>
  <c r="L32" i="56"/>
  <c r="F32" i="56"/>
  <c r="B32" i="56"/>
  <c r="X31" i="56"/>
  <c r="Z31" i="56" s="1"/>
  <c r="V31" i="56"/>
  <c r="R31" i="56"/>
  <c r="L31" i="56"/>
  <c r="N31" i="56" s="1"/>
  <c r="F31" i="56"/>
  <c r="B31" i="56"/>
  <c r="X30" i="56"/>
  <c r="Z30" i="56" s="1"/>
  <c r="L30" i="56"/>
  <c r="N30" i="56" s="1"/>
  <c r="J30" i="56"/>
  <c r="B30" i="56"/>
  <c r="X29" i="56"/>
  <c r="T29" i="56"/>
  <c r="R29" i="56"/>
  <c r="P29" i="56"/>
  <c r="L29" i="56"/>
  <c r="J29" i="56"/>
  <c r="H29" i="56"/>
  <c r="D29" i="56"/>
  <c r="B29" i="56"/>
  <c r="Z28" i="56"/>
  <c r="X28" i="56"/>
  <c r="R28" i="56"/>
  <c r="N28" i="56"/>
  <c r="L28" i="56"/>
  <c r="J28" i="56"/>
  <c r="F28" i="56"/>
  <c r="B28" i="56"/>
  <c r="X27" i="56"/>
  <c r="Z27" i="56" s="1"/>
  <c r="R27" i="56"/>
  <c r="L27" i="56"/>
  <c r="N27" i="56" s="1"/>
  <c r="J27" i="56"/>
  <c r="B27" i="56"/>
  <c r="X26" i="56"/>
  <c r="Z26" i="56" s="1"/>
  <c r="N26" i="56"/>
  <c r="L26" i="56"/>
  <c r="J26" i="56"/>
  <c r="B26" i="56"/>
  <c r="Z25" i="56"/>
  <c r="X25" i="56"/>
  <c r="N25" i="56"/>
  <c r="L25" i="56"/>
  <c r="F25" i="56"/>
  <c r="B25" i="56"/>
  <c r="Z24" i="56"/>
  <c r="X24" i="56"/>
  <c r="R24" i="56"/>
  <c r="N24" i="56"/>
  <c r="L24" i="56"/>
  <c r="J24" i="56"/>
  <c r="F24" i="56"/>
  <c r="B24" i="56"/>
  <c r="X23" i="56"/>
  <c r="Z23" i="56" s="1"/>
  <c r="L23" i="56"/>
  <c r="N23" i="56" s="1"/>
  <c r="J23" i="56"/>
  <c r="B23" i="56"/>
  <c r="X22" i="56"/>
  <c r="Z22" i="56" s="1"/>
  <c r="N22" i="56"/>
  <c r="L22" i="56"/>
  <c r="J22" i="56"/>
  <c r="B22" i="56"/>
  <c r="Z21" i="56"/>
  <c r="X21" i="56"/>
  <c r="R21" i="56"/>
  <c r="N21" i="56"/>
  <c r="L21" i="56"/>
  <c r="F21" i="56"/>
  <c r="B21" i="56"/>
  <c r="Z20" i="56"/>
  <c r="X20" i="56"/>
  <c r="R20" i="56"/>
  <c r="N20" i="56"/>
  <c r="L20" i="56"/>
  <c r="J20" i="56"/>
  <c r="F20" i="56"/>
  <c r="B20" i="56"/>
  <c r="T19" i="56"/>
  <c r="P19" i="56"/>
  <c r="H19" i="56"/>
  <c r="F19" i="56"/>
  <c r="D19" i="56"/>
  <c r="B19" i="56"/>
  <c r="T18" i="56"/>
  <c r="P18" i="56"/>
  <c r="J18" i="56"/>
  <c r="H18" i="56"/>
  <c r="F18" i="56"/>
  <c r="D18" i="56"/>
  <c r="V16" i="56"/>
  <c r="R16" i="56"/>
  <c r="P16" i="56"/>
  <c r="P74" i="56" s="1"/>
  <c r="J16" i="56"/>
  <c r="F16" i="56"/>
  <c r="V14" i="56"/>
  <c r="T14" i="56"/>
  <c r="Z14" i="56" s="1"/>
  <c r="R14" i="56"/>
  <c r="P14" i="56"/>
  <c r="J14" i="56"/>
  <c r="H14" i="56"/>
  <c r="N14" i="56" s="1"/>
  <c r="F14" i="56"/>
  <c r="D14" i="56"/>
  <c r="D16" i="56" s="1"/>
  <c r="T12" i="56"/>
  <c r="V59" i="56" s="1"/>
  <c r="P12" i="56"/>
  <c r="R51" i="56" s="1"/>
  <c r="N12" i="56"/>
  <c r="L12" i="56"/>
  <c r="H12" i="56"/>
  <c r="J81" i="56" s="1"/>
  <c r="D12" i="56"/>
  <c r="F65" i="56" s="1"/>
  <c r="D6" i="56"/>
  <c r="D4" i="56"/>
  <c r="R41" i="55"/>
  <c r="R38" i="55"/>
  <c r="Z36" i="55"/>
  <c r="X36" i="55"/>
  <c r="N36" i="55"/>
  <c r="L36" i="55"/>
  <c r="J36" i="55"/>
  <c r="F36" i="55"/>
  <c r="V34" i="55"/>
  <c r="R34" i="55"/>
  <c r="T32" i="55"/>
  <c r="Z32" i="55" s="1"/>
  <c r="R32" i="55"/>
  <c r="P32" i="55"/>
  <c r="X32" i="55" s="1"/>
  <c r="H32" i="55"/>
  <c r="N32" i="55" s="1"/>
  <c r="D32" i="55"/>
  <c r="Z30" i="55"/>
  <c r="X30" i="55"/>
  <c r="N30" i="55"/>
  <c r="L30" i="55"/>
  <c r="B30" i="55"/>
  <c r="X29" i="55"/>
  <c r="Z29" i="55" s="1"/>
  <c r="V29" i="55"/>
  <c r="N29" i="55"/>
  <c r="L29" i="55"/>
  <c r="B29" i="55"/>
  <c r="V28" i="55"/>
  <c r="T28" i="55"/>
  <c r="R28" i="55"/>
  <c r="P28" i="55"/>
  <c r="H28" i="55"/>
  <c r="N28" i="55" s="1"/>
  <c r="D28" i="55"/>
  <c r="B28" i="55"/>
  <c r="X27" i="55"/>
  <c r="Z27" i="55" s="1"/>
  <c r="R27" i="55"/>
  <c r="N27" i="55"/>
  <c r="L27" i="55"/>
  <c r="B27" i="55"/>
  <c r="Z26" i="55"/>
  <c r="X26" i="55"/>
  <c r="V26" i="55"/>
  <c r="T26" i="55"/>
  <c r="R26" i="55"/>
  <c r="P26" i="55"/>
  <c r="N26" i="55"/>
  <c r="J26" i="55"/>
  <c r="H26" i="55"/>
  <c r="D26" i="55"/>
  <c r="L26" i="55" s="1"/>
  <c r="B26" i="55"/>
  <c r="X25" i="55"/>
  <c r="Z25" i="55" s="1"/>
  <c r="R25" i="55"/>
  <c r="N25" i="55"/>
  <c r="L25" i="55"/>
  <c r="B25" i="55"/>
  <c r="Z24" i="55"/>
  <c r="T24" i="55"/>
  <c r="X24" i="55" s="1"/>
  <c r="R24" i="55"/>
  <c r="P24" i="55"/>
  <c r="H24" i="55"/>
  <c r="D24" i="55"/>
  <c r="L24" i="55" s="1"/>
  <c r="N24" i="55" s="1"/>
  <c r="B24" i="55"/>
  <c r="Z23" i="55"/>
  <c r="X23" i="55"/>
  <c r="V23" i="55"/>
  <c r="R23" i="55"/>
  <c r="N23" i="55"/>
  <c r="L23" i="55"/>
  <c r="B23" i="55"/>
  <c r="X22" i="55"/>
  <c r="V22" i="55"/>
  <c r="T22" i="55"/>
  <c r="Z22" i="55" s="1"/>
  <c r="R22" i="55"/>
  <c r="P22" i="55"/>
  <c r="H22" i="55"/>
  <c r="D22" i="55"/>
  <c r="B22" i="55"/>
  <c r="X21" i="55"/>
  <c r="Z21" i="55" s="1"/>
  <c r="V21" i="55"/>
  <c r="R21" i="55"/>
  <c r="N21" i="55"/>
  <c r="L21" i="55"/>
  <c r="B21" i="55"/>
  <c r="Z20" i="55"/>
  <c r="X20" i="55"/>
  <c r="R20" i="55"/>
  <c r="N20" i="55"/>
  <c r="L20" i="55"/>
  <c r="F20" i="55"/>
  <c r="B20" i="55"/>
  <c r="Z19" i="55"/>
  <c r="X19" i="55"/>
  <c r="V19" i="55"/>
  <c r="T19" i="55"/>
  <c r="P19" i="55"/>
  <c r="L19" i="55"/>
  <c r="N19" i="55" s="1"/>
  <c r="H19" i="55"/>
  <c r="F19" i="55"/>
  <c r="D19" i="55"/>
  <c r="B19" i="55"/>
  <c r="T18" i="55"/>
  <c r="R18" i="55"/>
  <c r="P18" i="55"/>
  <c r="H18" i="55"/>
  <c r="D18" i="55"/>
  <c r="R16" i="55"/>
  <c r="P16" i="55"/>
  <c r="F16" i="55"/>
  <c r="Z14" i="55"/>
  <c r="T14" i="55"/>
  <c r="R14" i="55"/>
  <c r="P14" i="55"/>
  <c r="X14" i="55" s="1"/>
  <c r="N14" i="55"/>
  <c r="H14" i="55"/>
  <c r="F14" i="55"/>
  <c r="D14" i="55"/>
  <c r="D16" i="55" s="1"/>
  <c r="Z12" i="55"/>
  <c r="X12" i="55"/>
  <c r="T12" i="55"/>
  <c r="V32" i="55" s="1"/>
  <c r="P12" i="55"/>
  <c r="H12" i="55"/>
  <c r="J30" i="55" s="1"/>
  <c r="D12" i="55"/>
  <c r="F30" i="55" s="1"/>
  <c r="D6" i="55"/>
  <c r="D4" i="55"/>
  <c r="V31" i="54"/>
  <c r="J31" i="54"/>
  <c r="X29" i="54"/>
  <c r="V29" i="54"/>
  <c r="T29" i="54"/>
  <c r="Z29" i="54" s="1"/>
  <c r="P29" i="54"/>
  <c r="L29" i="54"/>
  <c r="J29" i="54"/>
  <c r="H29" i="54"/>
  <c r="N29" i="54" s="1"/>
  <c r="D29" i="54"/>
  <c r="X28" i="54"/>
  <c r="V28" i="54"/>
  <c r="T28" i="54"/>
  <c r="Z28" i="54" s="1"/>
  <c r="P28" i="54"/>
  <c r="L28" i="54"/>
  <c r="J28" i="54"/>
  <c r="H28" i="54"/>
  <c r="N28" i="54" s="1"/>
  <c r="D28" i="54"/>
  <c r="V26" i="54"/>
  <c r="J26" i="54"/>
  <c r="Z24" i="54"/>
  <c r="X24" i="54"/>
  <c r="V24" i="54"/>
  <c r="N24" i="54"/>
  <c r="L24" i="54"/>
  <c r="F24" i="54"/>
  <c r="Z22" i="54"/>
  <c r="Z20" i="54"/>
  <c r="T20" i="54"/>
  <c r="P20" i="54"/>
  <c r="X20" i="54" s="1"/>
  <c r="N20" i="54"/>
  <c r="H20" i="54"/>
  <c r="D20" i="54"/>
  <c r="L20" i="54" s="1"/>
  <c r="Z18" i="54"/>
  <c r="T18" i="54"/>
  <c r="P18" i="54"/>
  <c r="X18" i="54" s="1"/>
  <c r="N18" i="54"/>
  <c r="H18" i="54"/>
  <c r="D18" i="54"/>
  <c r="L18" i="54" s="1"/>
  <c r="Z16" i="54"/>
  <c r="Z14" i="54"/>
  <c r="T14" i="54"/>
  <c r="T16" i="54" s="1"/>
  <c r="T22" i="54" s="1"/>
  <c r="T26" i="54" s="1"/>
  <c r="P14" i="54"/>
  <c r="X14" i="54" s="1"/>
  <c r="N14" i="54"/>
  <c r="H14" i="54"/>
  <c r="D14" i="54"/>
  <c r="L14" i="54" s="1"/>
  <c r="Z12" i="54"/>
  <c r="T12" i="54"/>
  <c r="V22" i="54" s="1"/>
  <c r="P12" i="54"/>
  <c r="R22" i="54" s="1"/>
  <c r="N12" i="54"/>
  <c r="L12" i="54"/>
  <c r="H12" i="54"/>
  <c r="J22" i="54" s="1"/>
  <c r="D12" i="54"/>
  <c r="F31" i="54" s="1"/>
  <c r="D6" i="54"/>
  <c r="D4" i="54"/>
  <c r="Z121" i="51"/>
  <c r="X121" i="51"/>
  <c r="L121" i="51"/>
  <c r="N121" i="51" s="1"/>
  <c r="T117" i="51"/>
  <c r="P117" i="51"/>
  <c r="L117" i="51"/>
  <c r="H117" i="51"/>
  <c r="N117" i="51" s="1"/>
  <c r="D117" i="51"/>
  <c r="B117" i="51"/>
  <c r="T116" i="51"/>
  <c r="P116" i="51"/>
  <c r="X116" i="51" s="1"/>
  <c r="N116" i="51"/>
  <c r="L116" i="51"/>
  <c r="H116" i="51"/>
  <c r="D116" i="51"/>
  <c r="B116" i="51"/>
  <c r="X115" i="51"/>
  <c r="T115" i="51"/>
  <c r="Z115" i="51" s="1"/>
  <c r="P115" i="51"/>
  <c r="P113" i="51" s="1"/>
  <c r="H115" i="51"/>
  <c r="D115" i="51"/>
  <c r="B115" i="51"/>
  <c r="X114" i="51"/>
  <c r="Z114" i="51" s="1"/>
  <c r="T114" i="51"/>
  <c r="P114" i="51"/>
  <c r="N114" i="51"/>
  <c r="L114" i="51"/>
  <c r="H114" i="51"/>
  <c r="H113" i="51" s="1"/>
  <c r="D114" i="51"/>
  <c r="B114" i="51"/>
  <c r="D113" i="51"/>
  <c r="Z111" i="51"/>
  <c r="X111" i="51"/>
  <c r="N111" i="51"/>
  <c r="L111" i="51"/>
  <c r="B111" i="51"/>
  <c r="Z110" i="51"/>
  <c r="X110" i="51"/>
  <c r="N110" i="51"/>
  <c r="L110" i="51"/>
  <c r="B110" i="51"/>
  <c r="T109" i="51"/>
  <c r="P109" i="51"/>
  <c r="X109" i="51" s="1"/>
  <c r="Z109" i="51" s="1"/>
  <c r="N109" i="51"/>
  <c r="H109" i="51"/>
  <c r="D109" i="51"/>
  <c r="L109" i="51" s="1"/>
  <c r="B109" i="51"/>
  <c r="Z108" i="51"/>
  <c r="X108" i="51"/>
  <c r="N108" i="51"/>
  <c r="L108" i="51"/>
  <c r="B108" i="51"/>
  <c r="T107" i="51"/>
  <c r="P107" i="51"/>
  <c r="L107" i="51"/>
  <c r="H107" i="51"/>
  <c r="N107" i="51" s="1"/>
  <c r="D107" i="51"/>
  <c r="B107" i="51"/>
  <c r="Z106" i="51"/>
  <c r="X106" i="51"/>
  <c r="N106" i="51"/>
  <c r="L106" i="51"/>
  <c r="B106" i="51"/>
  <c r="X105" i="51"/>
  <c r="T105" i="51"/>
  <c r="Z105" i="51" s="1"/>
  <c r="P105" i="51"/>
  <c r="H105" i="51"/>
  <c r="D105" i="51"/>
  <c r="L105" i="51" s="1"/>
  <c r="B105" i="51"/>
  <c r="Z104" i="51"/>
  <c r="X104" i="51"/>
  <c r="N104" i="51"/>
  <c r="L104" i="51"/>
  <c r="B104" i="51"/>
  <c r="Z103" i="51"/>
  <c r="X103" i="51"/>
  <c r="L103" i="51"/>
  <c r="N103" i="51" s="1"/>
  <c r="B103" i="51"/>
  <c r="T102" i="51"/>
  <c r="P102" i="51"/>
  <c r="N102" i="51"/>
  <c r="L102" i="51"/>
  <c r="H102" i="51"/>
  <c r="D102" i="51"/>
  <c r="B102" i="51"/>
  <c r="X101" i="51"/>
  <c r="Z101" i="51" s="1"/>
  <c r="L101" i="51"/>
  <c r="N101" i="51" s="1"/>
  <c r="B101" i="51"/>
  <c r="T100" i="51"/>
  <c r="P100" i="51"/>
  <c r="X100" i="51" s="1"/>
  <c r="Z100" i="51" s="1"/>
  <c r="H100" i="51"/>
  <c r="D100" i="51"/>
  <c r="L100" i="51" s="1"/>
  <c r="N100" i="51" s="1"/>
  <c r="B100" i="51"/>
  <c r="Z99" i="51"/>
  <c r="X99" i="51"/>
  <c r="N99" i="51"/>
  <c r="L99" i="51"/>
  <c r="B99" i="51"/>
  <c r="Z98" i="51"/>
  <c r="X98" i="51"/>
  <c r="T98" i="51"/>
  <c r="P98" i="51"/>
  <c r="N98" i="51"/>
  <c r="L98" i="51"/>
  <c r="H98" i="51"/>
  <c r="D98" i="51"/>
  <c r="B98" i="51"/>
  <c r="X97" i="51"/>
  <c r="Z97" i="51" s="1"/>
  <c r="L97" i="51"/>
  <c r="N97" i="51" s="1"/>
  <c r="B97" i="51"/>
  <c r="Z96" i="51"/>
  <c r="X96" i="51"/>
  <c r="N96" i="51"/>
  <c r="L96" i="51"/>
  <c r="B96" i="51"/>
  <c r="Z95" i="51"/>
  <c r="X95" i="51"/>
  <c r="L95" i="51"/>
  <c r="N95" i="51" s="1"/>
  <c r="B95" i="51"/>
  <c r="X94" i="51"/>
  <c r="Z94" i="51" s="1"/>
  <c r="N94" i="51"/>
  <c r="L94" i="51"/>
  <c r="B94" i="51"/>
  <c r="X93" i="51"/>
  <c r="Z93" i="51" s="1"/>
  <c r="L93" i="51"/>
  <c r="N93" i="51" s="1"/>
  <c r="B93" i="51"/>
  <c r="Z92" i="51"/>
  <c r="X92" i="51"/>
  <c r="N92" i="51"/>
  <c r="L92" i="51"/>
  <c r="B92" i="51"/>
  <c r="Z91" i="51"/>
  <c r="X91" i="51"/>
  <c r="L91" i="51"/>
  <c r="N91" i="51" s="1"/>
  <c r="B91" i="51"/>
  <c r="Z90" i="51"/>
  <c r="X90" i="51"/>
  <c r="N90" i="51"/>
  <c r="L90" i="51"/>
  <c r="B90" i="51"/>
  <c r="T89" i="51"/>
  <c r="P89" i="51"/>
  <c r="X89" i="51" s="1"/>
  <c r="Z89" i="51" s="1"/>
  <c r="N89" i="51"/>
  <c r="H89" i="51"/>
  <c r="D89" i="51"/>
  <c r="L89" i="51" s="1"/>
  <c r="B89" i="51"/>
  <c r="Z88" i="51"/>
  <c r="X88" i="51"/>
  <c r="N88" i="51"/>
  <c r="L88" i="51"/>
  <c r="B88" i="51"/>
  <c r="T87" i="51"/>
  <c r="P87" i="51"/>
  <c r="L87" i="51"/>
  <c r="H87" i="51"/>
  <c r="N87" i="51" s="1"/>
  <c r="D87" i="51"/>
  <c r="B87" i="51"/>
  <c r="Z86" i="51"/>
  <c r="X86" i="51"/>
  <c r="N86" i="51"/>
  <c r="L86" i="51"/>
  <c r="B86" i="51"/>
  <c r="X85" i="51"/>
  <c r="Z85" i="51" s="1"/>
  <c r="N85" i="51"/>
  <c r="L85" i="51"/>
  <c r="B85" i="51"/>
  <c r="X84" i="51"/>
  <c r="Z84" i="51" s="1"/>
  <c r="T84" i="51"/>
  <c r="P84" i="51"/>
  <c r="N84" i="51"/>
  <c r="L84" i="51"/>
  <c r="H84" i="51"/>
  <c r="D84" i="51"/>
  <c r="B84" i="51"/>
  <c r="Z83" i="51"/>
  <c r="X83" i="51"/>
  <c r="N83" i="51"/>
  <c r="L83" i="51"/>
  <c r="B83" i="51"/>
  <c r="T82" i="51"/>
  <c r="P82" i="51"/>
  <c r="X82" i="51" s="1"/>
  <c r="N82" i="51"/>
  <c r="L82" i="51"/>
  <c r="H82" i="51"/>
  <c r="D82" i="51"/>
  <c r="B82" i="51"/>
  <c r="Z81" i="51"/>
  <c r="X81" i="51"/>
  <c r="N81" i="51"/>
  <c r="L81" i="51"/>
  <c r="B81" i="51"/>
  <c r="Z80" i="51"/>
  <c r="T80" i="51"/>
  <c r="P80" i="51"/>
  <c r="X80" i="51" s="1"/>
  <c r="N80" i="51"/>
  <c r="H80" i="51"/>
  <c r="D80" i="51"/>
  <c r="L80" i="51" s="1"/>
  <c r="B80" i="51"/>
  <c r="Z79" i="51"/>
  <c r="X79" i="51"/>
  <c r="N79" i="51"/>
  <c r="L79" i="51"/>
  <c r="B79" i="51"/>
  <c r="Z78" i="51"/>
  <c r="X78" i="51"/>
  <c r="T78" i="51"/>
  <c r="P78" i="51"/>
  <c r="N78" i="51"/>
  <c r="L78" i="51"/>
  <c r="H78" i="51"/>
  <c r="D78" i="51"/>
  <c r="B78" i="51"/>
  <c r="X77" i="51"/>
  <c r="Z77" i="51" s="1"/>
  <c r="L77" i="51"/>
  <c r="N77" i="51" s="1"/>
  <c r="B77" i="51"/>
  <c r="Z76" i="51"/>
  <c r="X76" i="51"/>
  <c r="T76" i="51"/>
  <c r="P76" i="51"/>
  <c r="H76" i="51"/>
  <c r="D76" i="51"/>
  <c r="L76" i="51" s="1"/>
  <c r="B76" i="51"/>
  <c r="X75" i="51"/>
  <c r="Z75" i="51" s="1"/>
  <c r="N75" i="51"/>
  <c r="L75" i="51"/>
  <c r="B75" i="51"/>
  <c r="T74" i="51"/>
  <c r="P74" i="51"/>
  <c r="X74" i="51" s="1"/>
  <c r="Z74" i="51" s="1"/>
  <c r="H74" i="51"/>
  <c r="D74" i="51"/>
  <c r="L74" i="51" s="1"/>
  <c r="N74" i="51" s="1"/>
  <c r="B74" i="51"/>
  <c r="X73" i="51"/>
  <c r="Z73" i="51" s="1"/>
  <c r="L73" i="51"/>
  <c r="N73" i="51" s="1"/>
  <c r="B73" i="51"/>
  <c r="X72" i="51"/>
  <c r="Z72" i="51" s="1"/>
  <c r="N72" i="51"/>
  <c r="L72" i="51"/>
  <c r="B72" i="51"/>
  <c r="Z71" i="51"/>
  <c r="X71" i="51"/>
  <c r="N71" i="51"/>
  <c r="L71" i="51"/>
  <c r="B71" i="51"/>
  <c r="Z70" i="51"/>
  <c r="X70" i="51"/>
  <c r="N70" i="51"/>
  <c r="L70" i="51"/>
  <c r="B70" i="51"/>
  <c r="X69" i="51"/>
  <c r="Z69" i="51" s="1"/>
  <c r="L69" i="51"/>
  <c r="N69" i="51" s="1"/>
  <c r="B69" i="51"/>
  <c r="Z68" i="51"/>
  <c r="X68" i="51"/>
  <c r="T68" i="51"/>
  <c r="P68" i="51"/>
  <c r="N68" i="51"/>
  <c r="L68" i="51"/>
  <c r="H68" i="51"/>
  <c r="D68" i="51"/>
  <c r="B68" i="51"/>
  <c r="Z67" i="51"/>
  <c r="X67" i="51"/>
  <c r="L67" i="51"/>
  <c r="N67" i="51" s="1"/>
  <c r="B67" i="51"/>
  <c r="X66" i="51"/>
  <c r="Z66" i="51" s="1"/>
  <c r="N66" i="51"/>
  <c r="L66" i="51"/>
  <c r="B66" i="51"/>
  <c r="X65" i="51"/>
  <c r="Z65" i="51" s="1"/>
  <c r="L65" i="51"/>
  <c r="N65" i="51" s="1"/>
  <c r="B65" i="51"/>
  <c r="Z64" i="51"/>
  <c r="X64" i="51"/>
  <c r="N64" i="51"/>
  <c r="L64" i="51"/>
  <c r="B64" i="51"/>
  <c r="Z63" i="51"/>
  <c r="X63" i="51"/>
  <c r="N63" i="51"/>
  <c r="L63" i="51"/>
  <c r="B63" i="51"/>
  <c r="X62" i="51"/>
  <c r="Z62" i="51" s="1"/>
  <c r="N62" i="51"/>
  <c r="L62" i="51"/>
  <c r="B62" i="51"/>
  <c r="X61" i="51"/>
  <c r="Z61" i="51" s="1"/>
  <c r="L61" i="51"/>
  <c r="N61" i="51" s="1"/>
  <c r="B61" i="51"/>
  <c r="Z60" i="51"/>
  <c r="X60" i="51"/>
  <c r="N60" i="51"/>
  <c r="L60" i="51"/>
  <c r="B60" i="51"/>
  <c r="Z59" i="51"/>
  <c r="X59" i="51"/>
  <c r="L59" i="51"/>
  <c r="N59" i="51" s="1"/>
  <c r="B59" i="51"/>
  <c r="T58" i="51"/>
  <c r="P58" i="51"/>
  <c r="X58" i="51" s="1"/>
  <c r="N58" i="51"/>
  <c r="L58" i="51"/>
  <c r="H58" i="51"/>
  <c r="D58" i="51"/>
  <c r="B58" i="51"/>
  <c r="X57" i="51"/>
  <c r="T57" i="51"/>
  <c r="P57" i="51"/>
  <c r="H57" i="51"/>
  <c r="D57" i="51"/>
  <c r="X53" i="51"/>
  <c r="Z53" i="51" s="1"/>
  <c r="N53" i="51"/>
  <c r="L53" i="51"/>
  <c r="B53" i="51"/>
  <c r="Z52" i="51"/>
  <c r="X52" i="51"/>
  <c r="N52" i="51"/>
  <c r="L52" i="51"/>
  <c r="B52" i="51"/>
  <c r="X51" i="51"/>
  <c r="Z51" i="51" s="1"/>
  <c r="N51" i="51"/>
  <c r="L51" i="5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N48" i="51"/>
  <c r="L48" i="51"/>
  <c r="B48" i="51"/>
  <c r="X47" i="51"/>
  <c r="Z47" i="51" s="1"/>
  <c r="N47" i="51"/>
  <c r="L47" i="51"/>
  <c r="B47" i="51"/>
  <c r="Z46" i="51"/>
  <c r="X46" i="51"/>
  <c r="N46" i="51"/>
  <c r="L46" i="51"/>
  <c r="B46" i="51"/>
  <c r="X45" i="51"/>
  <c r="Z45" i="51" s="1"/>
  <c r="L45" i="51"/>
  <c r="N45" i="51" s="1"/>
  <c r="B45" i="51"/>
  <c r="Z44" i="51"/>
  <c r="X44" i="51"/>
  <c r="N44" i="51"/>
  <c r="L44" i="51"/>
  <c r="B44" i="51"/>
  <c r="X43" i="51"/>
  <c r="Z43" i="51" s="1"/>
  <c r="N43" i="51"/>
  <c r="L43" i="51"/>
  <c r="B43" i="51"/>
  <c r="Z42" i="51"/>
  <c r="X42" i="51"/>
  <c r="N42" i="51"/>
  <c r="L42" i="51"/>
  <c r="B42" i="51"/>
  <c r="X41" i="51"/>
  <c r="Z41" i="51" s="1"/>
  <c r="L41" i="51"/>
  <c r="N41" i="51" s="1"/>
  <c r="B41" i="51"/>
  <c r="Z40" i="51"/>
  <c r="X40" i="51"/>
  <c r="L40" i="51"/>
  <c r="N40" i="51" s="1"/>
  <c r="B40" i="51"/>
  <c r="X39" i="51"/>
  <c r="Z39" i="51" s="1"/>
  <c r="N39" i="51"/>
  <c r="L39" i="51"/>
  <c r="B39" i="51"/>
  <c r="T38" i="51"/>
  <c r="P38" i="51"/>
  <c r="X38" i="51" s="1"/>
  <c r="Z38" i="51" s="1"/>
  <c r="N38" i="51"/>
  <c r="H38" i="51"/>
  <c r="D38" i="51"/>
  <c r="L38" i="51" s="1"/>
  <c r="T36" i="51"/>
  <c r="P36" i="51"/>
  <c r="X36" i="51" s="1"/>
  <c r="H36" i="51"/>
  <c r="D36" i="51"/>
  <c r="B36" i="51"/>
  <c r="T35" i="51"/>
  <c r="X35" i="51" s="1"/>
  <c r="P35" i="51"/>
  <c r="L35" i="51"/>
  <c r="H35" i="51"/>
  <c r="N35" i="51" s="1"/>
  <c r="D35" i="51"/>
  <c r="B35" i="51"/>
  <c r="Z34" i="51"/>
  <c r="X34" i="51"/>
  <c r="T34" i="51"/>
  <c r="P34" i="51"/>
  <c r="N34" i="51"/>
  <c r="L34" i="51"/>
  <c r="H34" i="51"/>
  <c r="D34" i="51"/>
  <c r="B34" i="51"/>
  <c r="T33" i="51"/>
  <c r="P33" i="51"/>
  <c r="X33" i="51" s="1"/>
  <c r="Z33" i="51" s="1"/>
  <c r="N33" i="51"/>
  <c r="H33" i="51"/>
  <c r="D33" i="51"/>
  <c r="L33" i="51" s="1"/>
  <c r="B33" i="51"/>
  <c r="T32" i="51"/>
  <c r="P32" i="51"/>
  <c r="X32" i="51" s="1"/>
  <c r="H32" i="51"/>
  <c r="D32" i="51"/>
  <c r="B32" i="51"/>
  <c r="T31" i="51"/>
  <c r="P31" i="51"/>
  <c r="L31" i="51"/>
  <c r="H31" i="51"/>
  <c r="N31" i="51" s="1"/>
  <c r="D31" i="51"/>
  <c r="B31" i="51"/>
  <c r="Z30" i="51"/>
  <c r="X30" i="51"/>
  <c r="T30" i="51"/>
  <c r="P30" i="51"/>
  <c r="N30" i="51"/>
  <c r="L30" i="51"/>
  <c r="H30" i="51"/>
  <c r="D30" i="51"/>
  <c r="B30" i="51"/>
  <c r="T29" i="51"/>
  <c r="P29" i="51"/>
  <c r="X29" i="51" s="1"/>
  <c r="Z29" i="51" s="1"/>
  <c r="H29" i="51"/>
  <c r="D29" i="51"/>
  <c r="L29" i="51" s="1"/>
  <c r="N29" i="51" s="1"/>
  <c r="B29" i="51"/>
  <c r="T28" i="51"/>
  <c r="P28" i="51"/>
  <c r="H28" i="51"/>
  <c r="D28" i="51"/>
  <c r="B28" i="51"/>
  <c r="X27" i="51"/>
  <c r="T27" i="51"/>
  <c r="P27" i="51"/>
  <c r="L27" i="51"/>
  <c r="H27" i="51"/>
  <c r="N27" i="51" s="1"/>
  <c r="D27" i="51"/>
  <c r="B27" i="51"/>
  <c r="Z26" i="51"/>
  <c r="X26" i="51"/>
  <c r="T26" i="51"/>
  <c r="P26" i="51"/>
  <c r="N26" i="51"/>
  <c r="L26" i="51"/>
  <c r="H26" i="51"/>
  <c r="D26" i="51"/>
  <c r="B26" i="51"/>
  <c r="T25" i="51"/>
  <c r="P25" i="51"/>
  <c r="X25" i="51" s="1"/>
  <c r="Z25" i="51" s="1"/>
  <c r="H25" i="51"/>
  <c r="D25" i="51"/>
  <c r="L25" i="51" s="1"/>
  <c r="N25" i="51" s="1"/>
  <c r="B25" i="51"/>
  <c r="T24" i="51"/>
  <c r="Z24" i="51" s="1"/>
  <c r="P24" i="51"/>
  <c r="X24" i="51" s="1"/>
  <c r="H24" i="51"/>
  <c r="D24" i="51"/>
  <c r="B24" i="51"/>
  <c r="T23" i="51"/>
  <c r="P23" i="51"/>
  <c r="L23" i="51"/>
  <c r="H23" i="51"/>
  <c r="N23" i="51" s="1"/>
  <c r="D23" i="51"/>
  <c r="B23" i="51"/>
  <c r="Z22" i="51"/>
  <c r="X22" i="51"/>
  <c r="T22" i="51"/>
  <c r="P22" i="51"/>
  <c r="H22" i="51"/>
  <c r="N22" i="51" s="1"/>
  <c r="D22" i="51"/>
  <c r="B22" i="51"/>
  <c r="T21" i="51"/>
  <c r="P21" i="51"/>
  <c r="X21" i="51" s="1"/>
  <c r="Z21" i="51" s="1"/>
  <c r="H21" i="51"/>
  <c r="D21" i="51"/>
  <c r="L21" i="51" s="1"/>
  <c r="N21" i="51" s="1"/>
  <c r="B21" i="51"/>
  <c r="Z20" i="51"/>
  <c r="T20" i="51"/>
  <c r="P20" i="51"/>
  <c r="X20" i="51" s="1"/>
  <c r="H20" i="51"/>
  <c r="D20" i="51"/>
  <c r="B20" i="51"/>
  <c r="X19" i="51"/>
  <c r="T19" i="51"/>
  <c r="P19" i="51"/>
  <c r="L19" i="51"/>
  <c r="H19" i="51"/>
  <c r="N19" i="51" s="1"/>
  <c r="D19" i="51"/>
  <c r="B19" i="51"/>
  <c r="Z18" i="51"/>
  <c r="X18" i="51"/>
  <c r="T18" i="51"/>
  <c r="P18" i="51"/>
  <c r="H18" i="51"/>
  <c r="D18" i="51"/>
  <c r="B18" i="51"/>
  <c r="T17" i="51"/>
  <c r="P17" i="51"/>
  <c r="X17" i="51" s="1"/>
  <c r="Z17" i="51" s="1"/>
  <c r="H17" i="51"/>
  <c r="D17" i="51"/>
  <c r="L17" i="51" s="1"/>
  <c r="N17" i="51" s="1"/>
  <c r="B17" i="51"/>
  <c r="T16" i="51"/>
  <c r="P16" i="51"/>
  <c r="H16" i="51"/>
  <c r="D16" i="51"/>
  <c r="B16" i="51"/>
  <c r="T15" i="51"/>
  <c r="P15" i="51"/>
  <c r="X15" i="51" s="1"/>
  <c r="L15" i="51"/>
  <c r="H15" i="51"/>
  <c r="D15" i="51"/>
  <c r="B15" i="51"/>
  <c r="Z14" i="51"/>
  <c r="X14" i="51"/>
  <c r="T14" i="51"/>
  <c r="P14" i="51"/>
  <c r="H14" i="51"/>
  <c r="L14" i="51" s="1"/>
  <c r="N14" i="51" s="1"/>
  <c r="D14" i="51"/>
  <c r="B14" i="51"/>
  <c r="T13" i="51"/>
  <c r="P13" i="51"/>
  <c r="H13" i="51"/>
  <c r="D13" i="51"/>
  <c r="B13" i="51"/>
  <c r="D4" i="51"/>
  <c r="Z75" i="48"/>
  <c r="X75" i="48"/>
  <c r="N75" i="48"/>
  <c r="L75" i="48"/>
  <c r="T71" i="48"/>
  <c r="P71" i="48"/>
  <c r="H71" i="48"/>
  <c r="N71" i="48" s="1"/>
  <c r="D71" i="48"/>
  <c r="L71" i="48" s="1"/>
  <c r="B71" i="48"/>
  <c r="T70" i="48"/>
  <c r="P70" i="48"/>
  <c r="X70" i="48" s="1"/>
  <c r="H70" i="48"/>
  <c r="H69" i="48" s="1"/>
  <c r="D70" i="48"/>
  <c r="B70" i="48"/>
  <c r="P69" i="48"/>
  <c r="X67" i="48"/>
  <c r="Z67" i="48" s="1"/>
  <c r="N67" i="48"/>
  <c r="L67" i="48"/>
  <c r="B67" i="48"/>
  <c r="Z66" i="48"/>
  <c r="T66" i="48"/>
  <c r="P66" i="48"/>
  <c r="X66" i="48" s="1"/>
  <c r="H66" i="48"/>
  <c r="N66" i="48" s="1"/>
  <c r="D66" i="48"/>
  <c r="B66" i="48"/>
  <c r="Z65" i="48"/>
  <c r="X65" i="48"/>
  <c r="L65" i="48"/>
  <c r="N65" i="48" s="1"/>
  <c r="B65" i="48"/>
  <c r="X64" i="48"/>
  <c r="Z64" i="48" s="1"/>
  <c r="T64" i="48"/>
  <c r="R64" i="48"/>
  <c r="P64" i="48"/>
  <c r="N64" i="48"/>
  <c r="L64" i="48"/>
  <c r="H64" i="48"/>
  <c r="D64" i="48"/>
  <c r="B64" i="48"/>
  <c r="Z63" i="48"/>
  <c r="X63" i="48"/>
  <c r="N63" i="48"/>
  <c r="L63" i="48"/>
  <c r="B63" i="48"/>
  <c r="Z62" i="48"/>
  <c r="X62" i="48"/>
  <c r="N62" i="48"/>
  <c r="L62" i="48"/>
  <c r="B62" i="48"/>
  <c r="Z61" i="48"/>
  <c r="X61" i="48"/>
  <c r="L61" i="48"/>
  <c r="N61" i="48" s="1"/>
  <c r="B61" i="48"/>
  <c r="Z60" i="48"/>
  <c r="X60" i="48"/>
  <c r="V60" i="48"/>
  <c r="R60" i="48"/>
  <c r="N60" i="48"/>
  <c r="L60" i="48"/>
  <c r="B60" i="48"/>
  <c r="X59" i="48"/>
  <c r="T59" i="48"/>
  <c r="Z59" i="48" s="1"/>
  <c r="P59" i="48"/>
  <c r="N59" i="48"/>
  <c r="L59" i="48"/>
  <c r="H59" i="48"/>
  <c r="D59" i="48"/>
  <c r="B59" i="48"/>
  <c r="Z58" i="48"/>
  <c r="X58" i="48"/>
  <c r="N58" i="48"/>
  <c r="L58" i="48"/>
  <c r="B58" i="48"/>
  <c r="T57" i="48"/>
  <c r="P57" i="48"/>
  <c r="X57" i="48" s="1"/>
  <c r="Z57" i="48" s="1"/>
  <c r="H57" i="48"/>
  <c r="N57" i="48" s="1"/>
  <c r="D57" i="48"/>
  <c r="L57" i="48" s="1"/>
  <c r="B57" i="48"/>
  <c r="Z56" i="48"/>
  <c r="X56" i="48"/>
  <c r="V56" i="48"/>
  <c r="N56" i="48"/>
  <c r="L56" i="48"/>
  <c r="B56" i="48"/>
  <c r="X55" i="48"/>
  <c r="Z55" i="48" s="1"/>
  <c r="N55" i="48"/>
  <c r="L55" i="48"/>
  <c r="B55" i="48"/>
  <c r="Z54" i="48"/>
  <c r="X54" i="48"/>
  <c r="N54" i="48"/>
  <c r="L54" i="48"/>
  <c r="B54" i="48"/>
  <c r="Z53" i="48"/>
  <c r="X53" i="48"/>
  <c r="T53" i="48"/>
  <c r="P53" i="48"/>
  <c r="L53" i="48"/>
  <c r="H53" i="48"/>
  <c r="D53" i="48"/>
  <c r="B53" i="48"/>
  <c r="Z52" i="48"/>
  <c r="X52" i="48"/>
  <c r="V52" i="48"/>
  <c r="N52" i="48"/>
  <c r="L52" i="48"/>
  <c r="B52" i="48"/>
  <c r="T51" i="48"/>
  <c r="P51" i="48"/>
  <c r="H51" i="48"/>
  <c r="D51" i="48"/>
  <c r="L51" i="48" s="1"/>
  <c r="N51" i="48" s="1"/>
  <c r="B51" i="48"/>
  <c r="X50" i="48"/>
  <c r="Z50" i="48" s="1"/>
  <c r="N50" i="48"/>
  <c r="L50" i="48"/>
  <c r="B50" i="48"/>
  <c r="T49" i="48"/>
  <c r="P49" i="48"/>
  <c r="H49" i="48"/>
  <c r="N49" i="48" s="1"/>
  <c r="D49" i="48"/>
  <c r="L49" i="48" s="1"/>
  <c r="B49" i="48"/>
  <c r="Z48" i="48"/>
  <c r="X48" i="48"/>
  <c r="N48" i="48"/>
  <c r="L48" i="48"/>
  <c r="B48" i="48"/>
  <c r="V47" i="48"/>
  <c r="T47" i="48"/>
  <c r="P47" i="48"/>
  <c r="X47" i="48" s="1"/>
  <c r="H47" i="48"/>
  <c r="D47" i="48"/>
  <c r="L47" i="48" s="1"/>
  <c r="N47" i="48" s="1"/>
  <c r="B47" i="48"/>
  <c r="X46" i="48"/>
  <c r="Z46" i="48" s="1"/>
  <c r="V46" i="48"/>
  <c r="N46" i="48"/>
  <c r="L46" i="48"/>
  <c r="B46" i="48"/>
  <c r="T45" i="48"/>
  <c r="P45" i="48"/>
  <c r="X45" i="48" s="1"/>
  <c r="Z45" i="48" s="1"/>
  <c r="N45" i="48"/>
  <c r="H45" i="48"/>
  <c r="L45" i="48" s="1"/>
  <c r="D45" i="48"/>
  <c r="B45" i="48"/>
  <c r="Z44" i="48"/>
  <c r="X44" i="48"/>
  <c r="N44" i="48"/>
  <c r="L44" i="48"/>
  <c r="B44" i="48"/>
  <c r="Z43" i="48"/>
  <c r="X43" i="48"/>
  <c r="N43" i="48"/>
  <c r="L43" i="48"/>
  <c r="B43" i="48"/>
  <c r="T42" i="48"/>
  <c r="P42" i="48"/>
  <c r="H42" i="48"/>
  <c r="N42" i="48" s="1"/>
  <c r="D42" i="48"/>
  <c r="B42" i="48"/>
  <c r="X41" i="48"/>
  <c r="Z41" i="48" s="1"/>
  <c r="V41" i="48"/>
  <c r="N41" i="48"/>
  <c r="L41" i="48"/>
  <c r="B41" i="48"/>
  <c r="T40" i="48"/>
  <c r="P40" i="48"/>
  <c r="X40" i="48" s="1"/>
  <c r="Z40" i="48" s="1"/>
  <c r="H40" i="48"/>
  <c r="N40" i="48" s="1"/>
  <c r="D40" i="48"/>
  <c r="L40" i="48" s="1"/>
  <c r="B40" i="48"/>
  <c r="Z39" i="48"/>
  <c r="X39" i="48"/>
  <c r="N39" i="48"/>
  <c r="L39" i="48"/>
  <c r="B39" i="48"/>
  <c r="X38" i="48"/>
  <c r="V38" i="48"/>
  <c r="T38" i="48"/>
  <c r="P38" i="48"/>
  <c r="L38" i="48"/>
  <c r="H38" i="48"/>
  <c r="D38" i="48"/>
  <c r="B38" i="48"/>
  <c r="Z37" i="48"/>
  <c r="X37" i="48"/>
  <c r="V37" i="48"/>
  <c r="L37" i="48"/>
  <c r="N37" i="48" s="1"/>
  <c r="B37" i="48"/>
  <c r="T36" i="48"/>
  <c r="P36" i="48"/>
  <c r="X36" i="48" s="1"/>
  <c r="H36" i="48"/>
  <c r="D36" i="48"/>
  <c r="L36" i="48" s="1"/>
  <c r="B36" i="48"/>
  <c r="Z35" i="48"/>
  <c r="X35" i="48"/>
  <c r="V35" i="48"/>
  <c r="N35" i="48"/>
  <c r="L35" i="48"/>
  <c r="B35" i="48"/>
  <c r="X34" i="48"/>
  <c r="Z34" i="48" s="1"/>
  <c r="L34" i="48"/>
  <c r="N34" i="48" s="1"/>
  <c r="B34" i="48"/>
  <c r="X33" i="48"/>
  <c r="Z33" i="48" s="1"/>
  <c r="V33" i="48"/>
  <c r="L33" i="48"/>
  <c r="N33" i="48" s="1"/>
  <c r="B33" i="48"/>
  <c r="Z32" i="48"/>
  <c r="X32" i="48"/>
  <c r="L32" i="48"/>
  <c r="N32" i="48" s="1"/>
  <c r="B32" i="48"/>
  <c r="Z31" i="48"/>
  <c r="X31" i="48"/>
  <c r="V31" i="48"/>
  <c r="N31" i="48"/>
  <c r="L31" i="48"/>
  <c r="B31" i="48"/>
  <c r="X30" i="48"/>
  <c r="Z30" i="48" s="1"/>
  <c r="L30" i="48"/>
  <c r="N30" i="48" s="1"/>
  <c r="B30" i="48"/>
  <c r="V29" i="48"/>
  <c r="T29" i="48"/>
  <c r="P29" i="48"/>
  <c r="X29" i="48" s="1"/>
  <c r="Z29" i="48" s="1"/>
  <c r="H29" i="48"/>
  <c r="D29" i="48"/>
  <c r="B29" i="48"/>
  <c r="X28" i="48"/>
  <c r="Z28" i="48" s="1"/>
  <c r="N28" i="48"/>
  <c r="L28" i="48"/>
  <c r="B28" i="48"/>
  <c r="Z27" i="48"/>
  <c r="X27" i="48"/>
  <c r="N27" i="48"/>
  <c r="L27" i="48"/>
  <c r="B27" i="48"/>
  <c r="X26" i="48"/>
  <c r="Z26" i="48" s="1"/>
  <c r="V26" i="48"/>
  <c r="N26" i="48"/>
  <c r="L26" i="48"/>
  <c r="B26" i="48"/>
  <c r="X25" i="48"/>
  <c r="Z25" i="48" s="1"/>
  <c r="N25" i="48"/>
  <c r="L25" i="48"/>
  <c r="B25" i="48"/>
  <c r="X24" i="48"/>
  <c r="Z24" i="48" s="1"/>
  <c r="N24" i="48"/>
  <c r="L24" i="48"/>
  <c r="B24" i="48"/>
  <c r="Z23" i="48"/>
  <c r="X23" i="48"/>
  <c r="N23" i="48"/>
  <c r="L23" i="48"/>
  <c r="B23" i="48"/>
  <c r="X22" i="48"/>
  <c r="Z22" i="48" s="1"/>
  <c r="V22" i="48"/>
  <c r="N22" i="48"/>
  <c r="L22" i="48"/>
  <c r="B22" i="48"/>
  <c r="X21" i="48"/>
  <c r="Z21" i="48" s="1"/>
  <c r="N21" i="48"/>
  <c r="L21" i="48"/>
  <c r="B21" i="48"/>
  <c r="X20" i="48"/>
  <c r="T20" i="48"/>
  <c r="P20" i="48"/>
  <c r="L20" i="48"/>
  <c r="H20" i="48"/>
  <c r="D20" i="48"/>
  <c r="B20" i="48"/>
  <c r="T19" i="48"/>
  <c r="P19" i="48"/>
  <c r="X19" i="48" s="1"/>
  <c r="Z19" i="48" s="1"/>
  <c r="H19" i="48"/>
  <c r="L19" i="48" s="1"/>
  <c r="N19" i="48" s="1"/>
  <c r="D19" i="48"/>
  <c r="Z15" i="48"/>
  <c r="T15" i="48"/>
  <c r="T17" i="48" s="1"/>
  <c r="P15" i="48"/>
  <c r="X15" i="48" s="1"/>
  <c r="N15" i="48"/>
  <c r="L15" i="48"/>
  <c r="H15" i="48"/>
  <c r="D15" i="48"/>
  <c r="Z13" i="48"/>
  <c r="T13" i="48"/>
  <c r="P13" i="48"/>
  <c r="X13" i="48" s="1"/>
  <c r="H13" i="48"/>
  <c r="D13" i="48"/>
  <c r="B13" i="48"/>
  <c r="T12" i="48"/>
  <c r="V67" i="48" s="1"/>
  <c r="P12" i="48"/>
  <c r="D4" i="48"/>
  <c r="Z97" i="45"/>
  <c r="X97" i="45"/>
  <c r="N97" i="45"/>
  <c r="L97" i="45"/>
  <c r="T93" i="45"/>
  <c r="Z93" i="45" s="1"/>
  <c r="P93" i="45"/>
  <c r="N93" i="45"/>
  <c r="L93" i="45"/>
  <c r="H93" i="45"/>
  <c r="D93" i="45"/>
  <c r="Z91" i="45"/>
  <c r="X91" i="45"/>
  <c r="N91" i="45"/>
  <c r="L91" i="45"/>
  <c r="B91" i="45"/>
  <c r="X90" i="45"/>
  <c r="Z90" i="45" s="1"/>
  <c r="N90" i="45"/>
  <c r="L90" i="45"/>
  <c r="B90" i="45"/>
  <c r="X89" i="45"/>
  <c r="Z89" i="45" s="1"/>
  <c r="T89" i="45"/>
  <c r="P89" i="45"/>
  <c r="H89" i="45"/>
  <c r="N89" i="45" s="1"/>
  <c r="D89" i="45"/>
  <c r="L89" i="45" s="1"/>
  <c r="B89" i="45"/>
  <c r="X88" i="45"/>
  <c r="Z88" i="45" s="1"/>
  <c r="N88" i="45"/>
  <c r="L88" i="45"/>
  <c r="B88" i="45"/>
  <c r="Z87" i="45"/>
  <c r="T87" i="45"/>
  <c r="X87" i="45" s="1"/>
  <c r="P87" i="45"/>
  <c r="H87" i="45"/>
  <c r="D87" i="45"/>
  <c r="L87" i="45" s="1"/>
  <c r="N87" i="45" s="1"/>
  <c r="B87" i="45"/>
  <c r="Z86" i="45"/>
  <c r="X86" i="45"/>
  <c r="L86" i="45"/>
  <c r="N86" i="45" s="1"/>
  <c r="B86" i="45"/>
  <c r="X85" i="45"/>
  <c r="Z85" i="45" s="1"/>
  <c r="T85" i="45"/>
  <c r="P85" i="45"/>
  <c r="H85" i="45"/>
  <c r="D85" i="45"/>
  <c r="L85" i="45" s="1"/>
  <c r="N85" i="45" s="1"/>
  <c r="B85" i="45"/>
  <c r="X84" i="45"/>
  <c r="Z84" i="45" s="1"/>
  <c r="N84" i="45"/>
  <c r="L84" i="45"/>
  <c r="B84" i="45"/>
  <c r="Z83" i="45"/>
  <c r="X83" i="45"/>
  <c r="N83" i="45"/>
  <c r="L83" i="45"/>
  <c r="B83" i="45"/>
  <c r="X82" i="45"/>
  <c r="Z82" i="45" s="1"/>
  <c r="L82" i="45"/>
  <c r="N82" i="45" s="1"/>
  <c r="B82" i="45"/>
  <c r="X81" i="45"/>
  <c r="Z81" i="45" s="1"/>
  <c r="L81" i="45"/>
  <c r="N81" i="45" s="1"/>
  <c r="B81" i="45"/>
  <c r="Z80" i="45"/>
  <c r="X80" i="45"/>
  <c r="L80" i="45"/>
  <c r="N80" i="45" s="1"/>
  <c r="B80" i="45"/>
  <c r="Z79" i="45"/>
  <c r="X79" i="45"/>
  <c r="N79" i="45"/>
  <c r="L79" i="45"/>
  <c r="B79" i="45"/>
  <c r="X78" i="45"/>
  <c r="Z78" i="45" s="1"/>
  <c r="L78" i="45"/>
  <c r="N78" i="45" s="1"/>
  <c r="B78" i="45"/>
  <c r="Z77" i="45"/>
  <c r="X77" i="45"/>
  <c r="N77" i="45"/>
  <c r="L77" i="45"/>
  <c r="B77" i="45"/>
  <c r="Z76" i="45"/>
  <c r="X76" i="45"/>
  <c r="N76" i="45"/>
  <c r="L76" i="45"/>
  <c r="B76" i="45"/>
  <c r="T75" i="45"/>
  <c r="P75" i="45"/>
  <c r="L75" i="45"/>
  <c r="N75" i="45" s="1"/>
  <c r="H75" i="45"/>
  <c r="D75" i="45"/>
  <c r="B75" i="45"/>
  <c r="X74" i="45"/>
  <c r="Z74" i="45" s="1"/>
  <c r="N74" i="45"/>
  <c r="L74" i="45"/>
  <c r="B74" i="45"/>
  <c r="X73" i="45"/>
  <c r="Z73" i="45" s="1"/>
  <c r="L73" i="45"/>
  <c r="N73" i="45" s="1"/>
  <c r="B73" i="45"/>
  <c r="Z72" i="45"/>
  <c r="X72" i="45"/>
  <c r="N72" i="45"/>
  <c r="L72" i="45"/>
  <c r="B72" i="45"/>
  <c r="T71" i="45"/>
  <c r="X71" i="45" s="1"/>
  <c r="P71" i="45"/>
  <c r="H71" i="45"/>
  <c r="D71" i="45"/>
  <c r="L71" i="45" s="1"/>
  <c r="N71" i="45" s="1"/>
  <c r="B71" i="45"/>
  <c r="Z70" i="45"/>
  <c r="X70" i="45"/>
  <c r="R70" i="45"/>
  <c r="N70" i="45"/>
  <c r="L70" i="45"/>
  <c r="B70" i="45"/>
  <c r="Z69" i="45"/>
  <c r="X69" i="45"/>
  <c r="L69" i="45"/>
  <c r="N69" i="45" s="1"/>
  <c r="B69" i="45"/>
  <c r="Z68" i="45"/>
  <c r="X68" i="45"/>
  <c r="R68" i="45"/>
  <c r="N68" i="45"/>
  <c r="L68" i="45"/>
  <c r="B68" i="45"/>
  <c r="Z67" i="45"/>
  <c r="T67" i="45"/>
  <c r="P67" i="45"/>
  <c r="X67" i="45" s="1"/>
  <c r="H67" i="45"/>
  <c r="D67" i="45"/>
  <c r="L67" i="45" s="1"/>
  <c r="N67" i="45" s="1"/>
  <c r="B67" i="45"/>
  <c r="X66" i="45"/>
  <c r="Z66" i="45" s="1"/>
  <c r="L66" i="45"/>
  <c r="N66" i="45" s="1"/>
  <c r="B66" i="45"/>
  <c r="X65" i="45"/>
  <c r="Z65" i="45" s="1"/>
  <c r="T65" i="45"/>
  <c r="P65" i="45"/>
  <c r="H65" i="45"/>
  <c r="D65" i="45"/>
  <c r="B65" i="45"/>
  <c r="X64" i="45"/>
  <c r="Z64" i="45" s="1"/>
  <c r="N64" i="45"/>
  <c r="L64" i="45"/>
  <c r="B64" i="45"/>
  <c r="T63" i="45"/>
  <c r="P63" i="45"/>
  <c r="H63" i="45"/>
  <c r="D63" i="45"/>
  <c r="L63" i="45" s="1"/>
  <c r="N63" i="45" s="1"/>
  <c r="B63" i="45"/>
  <c r="Z62" i="45"/>
  <c r="X62" i="45"/>
  <c r="L62" i="45"/>
  <c r="N62" i="45" s="1"/>
  <c r="B62" i="45"/>
  <c r="T61" i="45"/>
  <c r="P61" i="45"/>
  <c r="X61" i="45" s="1"/>
  <c r="Z61" i="45" s="1"/>
  <c r="H61" i="45"/>
  <c r="D61" i="45"/>
  <c r="B61" i="45"/>
  <c r="Z60" i="45"/>
  <c r="X60" i="45"/>
  <c r="N60" i="45"/>
  <c r="L60" i="45"/>
  <c r="B60" i="45"/>
  <c r="T59" i="45"/>
  <c r="P59" i="45"/>
  <c r="N59" i="45"/>
  <c r="H59" i="45"/>
  <c r="D59" i="45"/>
  <c r="L59" i="45" s="1"/>
  <c r="B59" i="45"/>
  <c r="X58" i="45"/>
  <c r="Z58" i="45" s="1"/>
  <c r="N58" i="45"/>
  <c r="L58" i="45"/>
  <c r="B58" i="45"/>
  <c r="T57" i="45"/>
  <c r="P57" i="45"/>
  <c r="X57" i="45" s="1"/>
  <c r="Z57" i="45" s="1"/>
  <c r="H57" i="45"/>
  <c r="L57" i="45" s="1"/>
  <c r="D57" i="45"/>
  <c r="B57" i="45"/>
  <c r="Z56" i="45"/>
  <c r="X56" i="45"/>
  <c r="L56" i="45"/>
  <c r="N56" i="45" s="1"/>
  <c r="B56" i="45"/>
  <c r="Z55" i="45"/>
  <c r="T55" i="45"/>
  <c r="P55" i="45"/>
  <c r="X55" i="45" s="1"/>
  <c r="H55" i="45"/>
  <c r="D55" i="45"/>
  <c r="L55" i="45" s="1"/>
  <c r="N55" i="45" s="1"/>
  <c r="B55" i="45"/>
  <c r="X54" i="45"/>
  <c r="Z54" i="45" s="1"/>
  <c r="N54" i="45"/>
  <c r="L54" i="45"/>
  <c r="B54" i="45"/>
  <c r="T53" i="45"/>
  <c r="P53" i="45"/>
  <c r="X53" i="45" s="1"/>
  <c r="Z53" i="45" s="1"/>
  <c r="H53" i="45"/>
  <c r="N53" i="45" s="1"/>
  <c r="D53" i="45"/>
  <c r="L53" i="45" s="1"/>
  <c r="B53" i="45"/>
  <c r="Z52" i="45"/>
  <c r="X52" i="45"/>
  <c r="N52" i="45"/>
  <c r="L52" i="45"/>
  <c r="B52" i="45"/>
  <c r="Z51" i="45"/>
  <c r="T51" i="45"/>
  <c r="X51" i="45" s="1"/>
  <c r="P51" i="45"/>
  <c r="N51" i="45"/>
  <c r="L51" i="45"/>
  <c r="H51" i="45"/>
  <c r="D51" i="45"/>
  <c r="B51" i="45"/>
  <c r="Z50" i="45"/>
  <c r="X50" i="45"/>
  <c r="L50" i="45"/>
  <c r="N50" i="45" s="1"/>
  <c r="J50" i="45"/>
  <c r="B50" i="45"/>
  <c r="Z49" i="45"/>
  <c r="T49" i="45"/>
  <c r="P49" i="45"/>
  <c r="X49" i="45" s="1"/>
  <c r="H49" i="45"/>
  <c r="N49" i="45" s="1"/>
  <c r="D49" i="45"/>
  <c r="L49" i="45" s="1"/>
  <c r="B49" i="45"/>
  <c r="X48" i="45"/>
  <c r="Z48" i="45" s="1"/>
  <c r="L48" i="45"/>
  <c r="N48" i="45" s="1"/>
  <c r="B48" i="45"/>
  <c r="T47" i="45"/>
  <c r="P47" i="45"/>
  <c r="L47" i="45"/>
  <c r="N47" i="45" s="1"/>
  <c r="H47" i="45"/>
  <c r="D47" i="45"/>
  <c r="B47" i="45"/>
  <c r="X46" i="45"/>
  <c r="Z46" i="45" s="1"/>
  <c r="N46" i="45"/>
  <c r="L46" i="45"/>
  <c r="B46" i="45"/>
  <c r="T45" i="45"/>
  <c r="P45" i="45"/>
  <c r="X45" i="45" s="1"/>
  <c r="Z45" i="45" s="1"/>
  <c r="H45" i="45"/>
  <c r="D45" i="45"/>
  <c r="B45" i="45"/>
  <c r="Z44" i="45"/>
  <c r="X44" i="45"/>
  <c r="N44" i="45"/>
  <c r="L44" i="45"/>
  <c r="B44" i="45"/>
  <c r="Z43" i="45"/>
  <c r="X43" i="45"/>
  <c r="R43" i="45"/>
  <c r="N43" i="45"/>
  <c r="L43" i="45"/>
  <c r="B43" i="45"/>
  <c r="Z42" i="45"/>
  <c r="X42" i="45"/>
  <c r="L42" i="45"/>
  <c r="N42" i="45" s="1"/>
  <c r="B42" i="45"/>
  <c r="X41" i="45"/>
  <c r="Z41" i="45" s="1"/>
  <c r="L41" i="45"/>
  <c r="N41" i="45" s="1"/>
  <c r="B41" i="45"/>
  <c r="Z40" i="45"/>
  <c r="X40" i="45"/>
  <c r="N40" i="45"/>
  <c r="L40" i="45"/>
  <c r="B40" i="45"/>
  <c r="Z39" i="45"/>
  <c r="X39" i="45"/>
  <c r="L39" i="45"/>
  <c r="N39" i="45" s="1"/>
  <c r="B39" i="45"/>
  <c r="Z38" i="45"/>
  <c r="X38" i="45"/>
  <c r="L38" i="45"/>
  <c r="N38" i="45" s="1"/>
  <c r="B38" i="45"/>
  <c r="T37" i="45"/>
  <c r="P37" i="45"/>
  <c r="X37" i="45" s="1"/>
  <c r="Z37" i="45" s="1"/>
  <c r="H37" i="45"/>
  <c r="D37" i="45"/>
  <c r="L37" i="45" s="1"/>
  <c r="N37" i="45" s="1"/>
  <c r="B37" i="45"/>
  <c r="Z36" i="45"/>
  <c r="X36" i="45"/>
  <c r="L36" i="45"/>
  <c r="N36" i="45" s="1"/>
  <c r="B36" i="45"/>
  <c r="X35" i="45"/>
  <c r="Z35" i="45" s="1"/>
  <c r="N35" i="45"/>
  <c r="L35" i="45"/>
  <c r="B35" i="45"/>
  <c r="X34" i="45"/>
  <c r="Z34" i="45" s="1"/>
  <c r="L34" i="45"/>
  <c r="N34" i="45" s="1"/>
  <c r="B34" i="45"/>
  <c r="X33" i="45"/>
  <c r="Z33" i="45" s="1"/>
  <c r="L33" i="45"/>
  <c r="N33" i="45" s="1"/>
  <c r="B33" i="45"/>
  <c r="Z32" i="45"/>
  <c r="X32" i="45"/>
  <c r="N32" i="45"/>
  <c r="L32" i="45"/>
  <c r="B32" i="45"/>
  <c r="X31" i="45"/>
  <c r="Z31" i="45" s="1"/>
  <c r="N31" i="45"/>
  <c r="L31" i="45"/>
  <c r="B31" i="45"/>
  <c r="X30" i="45"/>
  <c r="Z30" i="45" s="1"/>
  <c r="L30" i="45"/>
  <c r="N30" i="45" s="1"/>
  <c r="B30" i="45"/>
  <c r="X29" i="45"/>
  <c r="Z29" i="45" s="1"/>
  <c r="N29" i="45"/>
  <c r="L29" i="45"/>
  <c r="B29" i="45"/>
  <c r="Z28" i="45"/>
  <c r="X28" i="45"/>
  <c r="N28" i="45"/>
  <c r="L28" i="45"/>
  <c r="B28" i="45"/>
  <c r="T27" i="45"/>
  <c r="P27" i="45"/>
  <c r="X27" i="45" s="1"/>
  <c r="H27" i="45"/>
  <c r="D27" i="45"/>
  <c r="L27" i="45" s="1"/>
  <c r="N27" i="45" s="1"/>
  <c r="B27" i="45"/>
  <c r="T26" i="45"/>
  <c r="P26" i="45"/>
  <c r="L26" i="45"/>
  <c r="H26" i="45"/>
  <c r="D26" i="45"/>
  <c r="X22" i="45"/>
  <c r="Z22" i="45" s="1"/>
  <c r="N22" i="45"/>
  <c r="L22" i="45"/>
  <c r="B22" i="45"/>
  <c r="Z21" i="45"/>
  <c r="X21" i="45"/>
  <c r="N21" i="45"/>
  <c r="L21" i="45"/>
  <c r="B21" i="45"/>
  <c r="T20" i="45"/>
  <c r="Z20" i="45" s="1"/>
  <c r="P20" i="45"/>
  <c r="X20" i="45" s="1"/>
  <c r="H20" i="45"/>
  <c r="D20" i="45"/>
  <c r="X18" i="45"/>
  <c r="Z18" i="45" s="1"/>
  <c r="T18" i="45"/>
  <c r="P18" i="45"/>
  <c r="N18" i="45"/>
  <c r="L18" i="45"/>
  <c r="H18" i="45"/>
  <c r="D18" i="45"/>
  <c r="B18" i="45"/>
  <c r="T17" i="45"/>
  <c r="P17" i="45"/>
  <c r="N17" i="45"/>
  <c r="H17" i="45"/>
  <c r="D17" i="45"/>
  <c r="L17" i="45" s="1"/>
  <c r="B17" i="45"/>
  <c r="X16" i="45"/>
  <c r="T16" i="45"/>
  <c r="P16" i="45"/>
  <c r="H16" i="45"/>
  <c r="D16" i="45"/>
  <c r="L16" i="45" s="1"/>
  <c r="N16" i="45" s="1"/>
  <c r="B16" i="45"/>
  <c r="Z15" i="45"/>
  <c r="T15" i="45"/>
  <c r="X15" i="45" s="1"/>
  <c r="P15" i="45"/>
  <c r="H15" i="45"/>
  <c r="D15" i="45"/>
  <c r="L15" i="45" s="1"/>
  <c r="N15" i="45" s="1"/>
  <c r="B15" i="45"/>
  <c r="X14" i="45"/>
  <c r="Z14" i="45" s="1"/>
  <c r="T14" i="45"/>
  <c r="P14" i="45"/>
  <c r="P12" i="45" s="1"/>
  <c r="N14" i="45"/>
  <c r="H14" i="45"/>
  <c r="D14" i="45"/>
  <c r="L14" i="45" s="1"/>
  <c r="B14" i="45"/>
  <c r="X13" i="45"/>
  <c r="T13" i="45"/>
  <c r="T12" i="45" s="1"/>
  <c r="V38" i="45" s="1"/>
  <c r="P13" i="45"/>
  <c r="H13" i="45"/>
  <c r="H12" i="45" s="1"/>
  <c r="J21" i="45" s="1"/>
  <c r="D13" i="45"/>
  <c r="B13" i="45"/>
  <c r="D4" i="45"/>
  <c r="Z128" i="42"/>
  <c r="X128" i="42"/>
  <c r="N128" i="42"/>
  <c r="L128" i="42"/>
  <c r="T124" i="42"/>
  <c r="P124" i="42"/>
  <c r="X124" i="42" s="1"/>
  <c r="Z124" i="42" s="1"/>
  <c r="H124" i="42"/>
  <c r="D124" i="42"/>
  <c r="L124" i="42" s="1"/>
  <c r="N124" i="42" s="1"/>
  <c r="B124" i="42"/>
  <c r="T123" i="42"/>
  <c r="P123" i="42"/>
  <c r="X123" i="42" s="1"/>
  <c r="H123" i="42"/>
  <c r="D123" i="42"/>
  <c r="L123" i="42" s="1"/>
  <c r="N123" i="42" s="1"/>
  <c r="B123" i="42"/>
  <c r="T122" i="42"/>
  <c r="P122" i="42"/>
  <c r="H122" i="42"/>
  <c r="H121" i="42" s="1"/>
  <c r="D122" i="42"/>
  <c r="L122" i="42" s="1"/>
  <c r="B122" i="42"/>
  <c r="D121" i="42"/>
  <c r="Z119" i="42"/>
  <c r="X119" i="42"/>
  <c r="N119" i="42"/>
  <c r="L119" i="42"/>
  <c r="B119" i="42"/>
  <c r="T118" i="42"/>
  <c r="Z118" i="42" s="1"/>
  <c r="P118" i="42"/>
  <c r="X118" i="42" s="1"/>
  <c r="L118" i="42"/>
  <c r="N118" i="42" s="1"/>
  <c r="H118" i="42"/>
  <c r="D118" i="42"/>
  <c r="B118" i="42"/>
  <c r="X117" i="42"/>
  <c r="Z117" i="42" s="1"/>
  <c r="N117" i="42"/>
  <c r="L117" i="42"/>
  <c r="B117" i="42"/>
  <c r="X116" i="42"/>
  <c r="Z116" i="42" s="1"/>
  <c r="N116" i="42"/>
  <c r="L116" i="42"/>
  <c r="B116" i="42"/>
  <c r="Z115" i="42"/>
  <c r="X115" i="42"/>
  <c r="N115" i="42"/>
  <c r="L115" i="42"/>
  <c r="B115" i="42"/>
  <c r="T114" i="42"/>
  <c r="P114" i="42"/>
  <c r="L114" i="42"/>
  <c r="H114" i="42"/>
  <c r="N114" i="42" s="1"/>
  <c r="D114" i="42"/>
  <c r="B114" i="42"/>
  <c r="Z113" i="42"/>
  <c r="X113" i="42"/>
  <c r="L113" i="42"/>
  <c r="N113" i="42" s="1"/>
  <c r="B113" i="42"/>
  <c r="T112" i="42"/>
  <c r="P112" i="42"/>
  <c r="X112" i="42" s="1"/>
  <c r="H112" i="42"/>
  <c r="D112" i="42"/>
  <c r="L112" i="42" s="1"/>
  <c r="B112" i="42"/>
  <c r="Z111" i="42"/>
  <c r="X111" i="42"/>
  <c r="N111" i="42"/>
  <c r="L111" i="42"/>
  <c r="B111" i="42"/>
  <c r="T110" i="42"/>
  <c r="Z110" i="42" s="1"/>
  <c r="P110" i="42"/>
  <c r="X110" i="42" s="1"/>
  <c r="L110" i="42"/>
  <c r="N110" i="42" s="1"/>
  <c r="H110" i="42"/>
  <c r="D110" i="42"/>
  <c r="B110" i="42"/>
  <c r="X109" i="42"/>
  <c r="Z109" i="42" s="1"/>
  <c r="N109" i="42"/>
  <c r="L109" i="42"/>
  <c r="B109" i="42"/>
  <c r="X108" i="42"/>
  <c r="Z108" i="42" s="1"/>
  <c r="N108" i="42"/>
  <c r="L108" i="42"/>
  <c r="B108" i="42"/>
  <c r="Z107" i="42"/>
  <c r="X107" i="42"/>
  <c r="N107" i="42"/>
  <c r="L107" i="42"/>
  <c r="B107" i="42"/>
  <c r="X106" i="42"/>
  <c r="Z106" i="42" s="1"/>
  <c r="L106" i="42"/>
  <c r="N106" i="42" s="1"/>
  <c r="B106" i="42"/>
  <c r="X105" i="42"/>
  <c r="Z105" i="42" s="1"/>
  <c r="N105" i="42"/>
  <c r="L105" i="42"/>
  <c r="B105" i="42"/>
  <c r="X104" i="42"/>
  <c r="Z104" i="42" s="1"/>
  <c r="N104" i="42"/>
  <c r="L104" i="42"/>
  <c r="B104" i="42"/>
  <c r="Z103" i="42"/>
  <c r="X103" i="42"/>
  <c r="N103" i="42"/>
  <c r="L103" i="42"/>
  <c r="B103" i="42"/>
  <c r="X102" i="42"/>
  <c r="Z102" i="42" s="1"/>
  <c r="L102" i="42"/>
  <c r="N102" i="42" s="1"/>
  <c r="B102" i="42"/>
  <c r="Z101" i="42"/>
  <c r="X101" i="42"/>
  <c r="N101" i="42"/>
  <c r="L101" i="42"/>
  <c r="B101" i="42"/>
  <c r="X100" i="42"/>
  <c r="Z100" i="42" s="1"/>
  <c r="N100" i="42"/>
  <c r="L100" i="42"/>
  <c r="B100" i="42"/>
  <c r="Z99" i="42"/>
  <c r="T99" i="42"/>
  <c r="P99" i="42"/>
  <c r="X99" i="42" s="1"/>
  <c r="H99" i="42"/>
  <c r="D99" i="42"/>
  <c r="L99" i="42" s="1"/>
  <c r="N99" i="42" s="1"/>
  <c r="B99" i="42"/>
  <c r="X98" i="42"/>
  <c r="Z98" i="42" s="1"/>
  <c r="N98" i="42"/>
  <c r="L98" i="42"/>
  <c r="B98" i="42"/>
  <c r="Z97" i="42"/>
  <c r="X97" i="42"/>
  <c r="N97" i="42"/>
  <c r="L97" i="42"/>
  <c r="B97" i="42"/>
  <c r="T96" i="42"/>
  <c r="P96" i="42"/>
  <c r="H96" i="42"/>
  <c r="N96" i="42" s="1"/>
  <c r="D96" i="42"/>
  <c r="L96" i="42" s="1"/>
  <c r="B96" i="42"/>
  <c r="Z95" i="42"/>
  <c r="X95" i="42"/>
  <c r="N95" i="42"/>
  <c r="L95" i="42"/>
  <c r="B95" i="42"/>
  <c r="Z94" i="42"/>
  <c r="X94" i="42"/>
  <c r="L94" i="42"/>
  <c r="N94" i="42" s="1"/>
  <c r="B94" i="42"/>
  <c r="X93" i="42"/>
  <c r="Z93" i="42" s="1"/>
  <c r="L93" i="42"/>
  <c r="N93" i="42" s="1"/>
  <c r="B93" i="42"/>
  <c r="X92" i="42"/>
  <c r="Z92" i="42" s="1"/>
  <c r="L92" i="42"/>
  <c r="N92" i="42" s="1"/>
  <c r="B92" i="42"/>
  <c r="Z91" i="42"/>
  <c r="X91" i="42"/>
  <c r="N91" i="42"/>
  <c r="L91" i="42"/>
  <c r="B91" i="42"/>
  <c r="T90" i="42"/>
  <c r="Z90" i="42" s="1"/>
  <c r="P90" i="42"/>
  <c r="X90" i="42" s="1"/>
  <c r="L90" i="42"/>
  <c r="N90" i="42" s="1"/>
  <c r="H90" i="42"/>
  <c r="D90" i="42"/>
  <c r="B90" i="42"/>
  <c r="X89" i="42"/>
  <c r="Z89" i="42" s="1"/>
  <c r="N89" i="42"/>
  <c r="L89" i="42"/>
  <c r="B89" i="42"/>
  <c r="X88" i="42"/>
  <c r="Z88" i="42" s="1"/>
  <c r="N88" i="42"/>
  <c r="L88" i="42"/>
  <c r="B88" i="42"/>
  <c r="T87" i="42"/>
  <c r="P87" i="42"/>
  <c r="X87" i="42" s="1"/>
  <c r="Z87" i="42" s="1"/>
  <c r="H87" i="42"/>
  <c r="D87" i="42"/>
  <c r="L87" i="42" s="1"/>
  <c r="N87" i="42" s="1"/>
  <c r="B87" i="42"/>
  <c r="X86" i="42"/>
  <c r="Z86" i="42" s="1"/>
  <c r="N86" i="42"/>
  <c r="L86" i="42"/>
  <c r="B86" i="42"/>
  <c r="Z85" i="42"/>
  <c r="X85" i="42"/>
  <c r="L85" i="42"/>
  <c r="N85" i="42" s="1"/>
  <c r="B85" i="42"/>
  <c r="Z84" i="42"/>
  <c r="X84" i="42"/>
  <c r="N84" i="42"/>
  <c r="L84" i="42"/>
  <c r="B84" i="42"/>
  <c r="Z83" i="42"/>
  <c r="X83" i="42"/>
  <c r="N83" i="42"/>
  <c r="L83" i="42"/>
  <c r="B83" i="42"/>
  <c r="T82" i="42"/>
  <c r="Z82" i="42" s="1"/>
  <c r="P82" i="42"/>
  <c r="X82" i="42" s="1"/>
  <c r="H82" i="42"/>
  <c r="D82" i="42"/>
  <c r="B82" i="42"/>
  <c r="X81" i="42"/>
  <c r="Z81" i="42" s="1"/>
  <c r="L81" i="42"/>
  <c r="N81" i="42" s="1"/>
  <c r="B81" i="42"/>
  <c r="X80" i="42"/>
  <c r="Z80" i="42" s="1"/>
  <c r="T80" i="42"/>
  <c r="P80" i="42"/>
  <c r="H80" i="42"/>
  <c r="D80" i="42"/>
  <c r="L80" i="42" s="1"/>
  <c r="B80" i="42"/>
  <c r="Z79" i="42"/>
  <c r="X79" i="42"/>
  <c r="N79" i="42"/>
  <c r="L79" i="42"/>
  <c r="B79" i="42"/>
  <c r="X78" i="42"/>
  <c r="T78" i="42"/>
  <c r="Z78" i="42" s="1"/>
  <c r="P78" i="42"/>
  <c r="L78" i="42"/>
  <c r="H78" i="42"/>
  <c r="N78" i="42" s="1"/>
  <c r="D78" i="42"/>
  <c r="B78" i="42"/>
  <c r="Z77" i="42"/>
  <c r="X77" i="42"/>
  <c r="L77" i="42"/>
  <c r="N77" i="42" s="1"/>
  <c r="B77" i="42"/>
  <c r="T76" i="42"/>
  <c r="P76" i="42"/>
  <c r="H76" i="42"/>
  <c r="D76" i="42"/>
  <c r="L76" i="42" s="1"/>
  <c r="B76" i="42"/>
  <c r="Z75" i="42"/>
  <c r="X75" i="42"/>
  <c r="N75" i="42"/>
  <c r="L75" i="42"/>
  <c r="B75" i="42"/>
  <c r="T74" i="42"/>
  <c r="P74" i="42"/>
  <c r="X74" i="42" s="1"/>
  <c r="L74" i="42"/>
  <c r="N74" i="42" s="1"/>
  <c r="H74" i="42"/>
  <c r="D74" i="42"/>
  <c r="B74" i="42"/>
  <c r="X73" i="42"/>
  <c r="Z73" i="42" s="1"/>
  <c r="N73" i="42"/>
  <c r="L73" i="42"/>
  <c r="B73" i="42"/>
  <c r="X72" i="42"/>
  <c r="Z72" i="42" s="1"/>
  <c r="N72" i="42"/>
  <c r="L72" i="42"/>
  <c r="B72" i="42"/>
  <c r="T71" i="42"/>
  <c r="P71" i="42"/>
  <c r="X71" i="42" s="1"/>
  <c r="Z71" i="42" s="1"/>
  <c r="L71" i="42"/>
  <c r="N71" i="42" s="1"/>
  <c r="H71" i="42"/>
  <c r="D71" i="42"/>
  <c r="B71" i="42"/>
  <c r="X70" i="42"/>
  <c r="Z70" i="42" s="1"/>
  <c r="L70" i="42"/>
  <c r="N70" i="42" s="1"/>
  <c r="B70" i="42"/>
  <c r="Z69" i="42"/>
  <c r="X69" i="42"/>
  <c r="T69" i="42"/>
  <c r="P69" i="42"/>
  <c r="H69" i="42"/>
  <c r="D69" i="42"/>
  <c r="B69" i="42"/>
  <c r="X68" i="42"/>
  <c r="Z68" i="42" s="1"/>
  <c r="L68" i="42"/>
  <c r="N68" i="42" s="1"/>
  <c r="B68" i="42"/>
  <c r="T67" i="42"/>
  <c r="P67" i="42"/>
  <c r="H67" i="42"/>
  <c r="N67" i="42" s="1"/>
  <c r="D67" i="42"/>
  <c r="L67" i="42" s="1"/>
  <c r="B67" i="42"/>
  <c r="X66" i="42"/>
  <c r="Z66" i="42" s="1"/>
  <c r="L66" i="42"/>
  <c r="N66" i="42" s="1"/>
  <c r="B66" i="42"/>
  <c r="X65" i="42"/>
  <c r="Z65" i="42" s="1"/>
  <c r="T65" i="42"/>
  <c r="P65" i="42"/>
  <c r="H65" i="42"/>
  <c r="D65" i="42"/>
  <c r="L65" i="42" s="1"/>
  <c r="N65" i="42" s="1"/>
  <c r="B65" i="42"/>
  <c r="Z64" i="42"/>
  <c r="X64" i="42"/>
  <c r="N64" i="42"/>
  <c r="L64" i="42"/>
  <c r="B64" i="42"/>
  <c r="T63" i="42"/>
  <c r="P63" i="42"/>
  <c r="N63" i="42"/>
  <c r="L63" i="42"/>
  <c r="H63" i="42"/>
  <c r="D63" i="42"/>
  <c r="B63" i="42"/>
  <c r="Z62" i="42"/>
  <c r="X62" i="42"/>
  <c r="N62" i="42"/>
  <c r="L62" i="42"/>
  <c r="B62" i="42"/>
  <c r="T61" i="42"/>
  <c r="Z61" i="42" s="1"/>
  <c r="P61" i="42"/>
  <c r="X61" i="42" s="1"/>
  <c r="H61" i="42"/>
  <c r="N61" i="42" s="1"/>
  <c r="D61" i="42"/>
  <c r="B61" i="42"/>
  <c r="X60" i="42"/>
  <c r="Z60" i="42" s="1"/>
  <c r="N60" i="42"/>
  <c r="L60" i="42"/>
  <c r="B60" i="42"/>
  <c r="Z59" i="42"/>
  <c r="X59" i="42"/>
  <c r="N59" i="42"/>
  <c r="L59" i="42"/>
  <c r="B59" i="42"/>
  <c r="X58" i="42"/>
  <c r="Z58" i="42" s="1"/>
  <c r="L58" i="42"/>
  <c r="N58" i="42" s="1"/>
  <c r="B58" i="42"/>
  <c r="T57" i="42"/>
  <c r="P57" i="42"/>
  <c r="X57" i="42" s="1"/>
  <c r="Z57" i="42" s="1"/>
  <c r="H57" i="42"/>
  <c r="D57" i="42"/>
  <c r="L57" i="42" s="1"/>
  <c r="N57" i="42" s="1"/>
  <c r="B57" i="42"/>
  <c r="Z56" i="42"/>
  <c r="X56" i="42"/>
  <c r="N56" i="42"/>
  <c r="L56" i="42"/>
  <c r="B56" i="42"/>
  <c r="T55" i="42"/>
  <c r="P55" i="42"/>
  <c r="L55" i="42"/>
  <c r="N55" i="42" s="1"/>
  <c r="H55" i="42"/>
  <c r="D55" i="42"/>
  <c r="B55" i="42"/>
  <c r="Z54" i="42"/>
  <c r="X54" i="42"/>
  <c r="L54" i="42"/>
  <c r="N54" i="42" s="1"/>
  <c r="B54" i="42"/>
  <c r="T53" i="42"/>
  <c r="Z53" i="42" s="1"/>
  <c r="P53" i="42"/>
  <c r="X53" i="42" s="1"/>
  <c r="H53" i="42"/>
  <c r="D53" i="42"/>
  <c r="B53" i="42"/>
  <c r="X52" i="42"/>
  <c r="Z52" i="42" s="1"/>
  <c r="N52" i="42"/>
  <c r="L52" i="42"/>
  <c r="B52" i="42"/>
  <c r="Z51" i="42"/>
  <c r="T51" i="42"/>
  <c r="P51" i="42"/>
  <c r="X51" i="42" s="1"/>
  <c r="L51" i="42"/>
  <c r="N51" i="42" s="1"/>
  <c r="H51" i="42"/>
  <c r="D51" i="42"/>
  <c r="B51" i="42"/>
  <c r="X50" i="42"/>
  <c r="Z50" i="42" s="1"/>
  <c r="N50" i="42"/>
  <c r="L50" i="42"/>
  <c r="B50" i="42"/>
  <c r="Z49" i="42"/>
  <c r="X49" i="42"/>
  <c r="L49" i="42"/>
  <c r="N49" i="42" s="1"/>
  <c r="B49" i="42"/>
  <c r="Z48" i="42"/>
  <c r="X48" i="42"/>
  <c r="L48" i="42"/>
  <c r="N48" i="42" s="1"/>
  <c r="B48" i="42"/>
  <c r="Z47" i="42"/>
  <c r="X47" i="42"/>
  <c r="N47" i="42"/>
  <c r="L47" i="42"/>
  <c r="B47" i="42"/>
  <c r="X46" i="42"/>
  <c r="Z46" i="42" s="1"/>
  <c r="N46" i="42"/>
  <c r="L46" i="42"/>
  <c r="B46" i="42"/>
  <c r="Z45" i="42"/>
  <c r="X45" i="42"/>
  <c r="L45" i="42"/>
  <c r="N45" i="42" s="1"/>
  <c r="B45" i="42"/>
  <c r="Z44" i="42"/>
  <c r="X44" i="42"/>
  <c r="L44" i="42"/>
  <c r="N44" i="42" s="1"/>
  <c r="B44" i="42"/>
  <c r="T43" i="42"/>
  <c r="P43" i="42"/>
  <c r="L43" i="42"/>
  <c r="N43" i="42" s="1"/>
  <c r="H43" i="42"/>
  <c r="D43" i="42"/>
  <c r="B43" i="42"/>
  <c r="Z42" i="42"/>
  <c r="X42" i="42"/>
  <c r="L42" i="42"/>
  <c r="N42" i="42" s="1"/>
  <c r="B42" i="42"/>
  <c r="X41" i="42"/>
  <c r="Z41" i="42" s="1"/>
  <c r="L41" i="42"/>
  <c r="N41" i="42" s="1"/>
  <c r="B41" i="42"/>
  <c r="Z40" i="42"/>
  <c r="X40" i="42"/>
  <c r="L40" i="42"/>
  <c r="N40" i="42" s="1"/>
  <c r="B40" i="42"/>
  <c r="Z39" i="42"/>
  <c r="X39" i="42"/>
  <c r="N39" i="42"/>
  <c r="L39" i="42"/>
  <c r="B39" i="42"/>
  <c r="Z38" i="42"/>
  <c r="X38" i="42"/>
  <c r="N38" i="42"/>
  <c r="L38" i="42"/>
  <c r="B38" i="42"/>
  <c r="X37" i="42"/>
  <c r="Z37" i="42" s="1"/>
  <c r="L37" i="42"/>
  <c r="N37" i="42" s="1"/>
  <c r="B37" i="42"/>
  <c r="X36" i="42"/>
  <c r="Z36" i="42" s="1"/>
  <c r="L36" i="42"/>
  <c r="N36" i="42" s="1"/>
  <c r="B36" i="42"/>
  <c r="Z35" i="42"/>
  <c r="X35" i="42"/>
  <c r="N35" i="42"/>
  <c r="L35" i="42"/>
  <c r="B35" i="42"/>
  <c r="Z34" i="42"/>
  <c r="X34" i="42"/>
  <c r="L34" i="42"/>
  <c r="N34" i="42" s="1"/>
  <c r="B34" i="42"/>
  <c r="T33" i="42"/>
  <c r="P33" i="42"/>
  <c r="X33" i="42" s="1"/>
  <c r="H33" i="42"/>
  <c r="D33" i="42"/>
  <c r="L33" i="42" s="1"/>
  <c r="B33" i="42"/>
  <c r="T32" i="42"/>
  <c r="P32" i="42"/>
  <c r="X32" i="42" s="1"/>
  <c r="H32" i="42"/>
  <c r="D32" i="42"/>
  <c r="X28" i="42"/>
  <c r="Z28" i="42" s="1"/>
  <c r="L28" i="42"/>
  <c r="N28" i="42" s="1"/>
  <c r="B28" i="42"/>
  <c r="Z27" i="42"/>
  <c r="X27" i="42"/>
  <c r="N27" i="42"/>
  <c r="L27" i="42"/>
  <c r="B27" i="42"/>
  <c r="T26" i="42"/>
  <c r="P26" i="42"/>
  <c r="L26" i="42"/>
  <c r="H26" i="42"/>
  <c r="N26" i="42" s="1"/>
  <c r="D26" i="42"/>
  <c r="X24" i="42"/>
  <c r="T24" i="42"/>
  <c r="P24" i="42"/>
  <c r="H24" i="42"/>
  <c r="N24" i="42" s="1"/>
  <c r="D24" i="42"/>
  <c r="L24" i="42" s="1"/>
  <c r="B24" i="42"/>
  <c r="T23" i="42"/>
  <c r="P23" i="42"/>
  <c r="N23" i="42"/>
  <c r="L23" i="42"/>
  <c r="H23" i="42"/>
  <c r="D23" i="42"/>
  <c r="B23" i="42"/>
  <c r="X22" i="42"/>
  <c r="Z22" i="42" s="1"/>
  <c r="T22" i="42"/>
  <c r="P22" i="42"/>
  <c r="H22" i="42"/>
  <c r="D22" i="42"/>
  <c r="L22" i="42" s="1"/>
  <c r="N22" i="42" s="1"/>
  <c r="B22" i="42"/>
  <c r="Z21" i="42"/>
  <c r="T21" i="42"/>
  <c r="P21" i="42"/>
  <c r="X21" i="42" s="1"/>
  <c r="N21" i="42"/>
  <c r="H21" i="42"/>
  <c r="D21" i="42"/>
  <c r="L21" i="42" s="1"/>
  <c r="B21" i="42"/>
  <c r="X20" i="42"/>
  <c r="T20" i="42"/>
  <c r="P20" i="42"/>
  <c r="H20" i="42"/>
  <c r="D20" i="42"/>
  <c r="L20" i="42" s="1"/>
  <c r="B20" i="42"/>
  <c r="T19" i="42"/>
  <c r="P19" i="42"/>
  <c r="L19" i="42"/>
  <c r="N19" i="42" s="1"/>
  <c r="H19" i="42"/>
  <c r="D19" i="42"/>
  <c r="B19" i="42"/>
  <c r="X18" i="42"/>
  <c r="T18" i="42"/>
  <c r="P18" i="42"/>
  <c r="N18" i="42"/>
  <c r="H18" i="42"/>
  <c r="D18" i="42"/>
  <c r="L18" i="42" s="1"/>
  <c r="B18" i="42"/>
  <c r="Z17" i="42"/>
  <c r="T17" i="42"/>
  <c r="P17" i="42"/>
  <c r="X17" i="42" s="1"/>
  <c r="N17" i="42"/>
  <c r="H17" i="42"/>
  <c r="D17" i="42"/>
  <c r="L17" i="42" s="1"/>
  <c r="B17" i="42"/>
  <c r="T16" i="42"/>
  <c r="P16" i="42"/>
  <c r="P12" i="42" s="1"/>
  <c r="H16" i="42"/>
  <c r="D16" i="42"/>
  <c r="L16" i="42" s="1"/>
  <c r="B16" i="42"/>
  <c r="T15" i="42"/>
  <c r="P15" i="42"/>
  <c r="H15" i="42"/>
  <c r="D15" i="42"/>
  <c r="B15" i="42"/>
  <c r="X14" i="42"/>
  <c r="T14" i="42"/>
  <c r="P14" i="42"/>
  <c r="H14" i="42"/>
  <c r="D14" i="42"/>
  <c r="L14" i="42" s="1"/>
  <c r="N14" i="42" s="1"/>
  <c r="B14" i="42"/>
  <c r="T13" i="42"/>
  <c r="P13" i="42"/>
  <c r="X13" i="42" s="1"/>
  <c r="Z13" i="42" s="1"/>
  <c r="H13" i="42"/>
  <c r="D13" i="42"/>
  <c r="L13" i="42" s="1"/>
  <c r="N13" i="42" s="1"/>
  <c r="B13" i="42"/>
  <c r="D4" i="42"/>
  <c r="Z138" i="39"/>
  <c r="X138" i="39"/>
  <c r="N138" i="39"/>
  <c r="L138" i="39"/>
  <c r="J138" i="39"/>
  <c r="T134" i="39"/>
  <c r="T131" i="39" s="1"/>
  <c r="P134" i="39"/>
  <c r="L134" i="39"/>
  <c r="N134" i="39" s="1"/>
  <c r="H134" i="39"/>
  <c r="D134" i="39"/>
  <c r="B134" i="39"/>
  <c r="T133" i="39"/>
  <c r="P133" i="39"/>
  <c r="X133" i="39" s="1"/>
  <c r="Z133" i="39" s="1"/>
  <c r="H133" i="39"/>
  <c r="N133" i="39" s="1"/>
  <c r="D133" i="39"/>
  <c r="L133" i="39" s="1"/>
  <c r="B133" i="39"/>
  <c r="T132" i="39"/>
  <c r="P132" i="39"/>
  <c r="P131" i="39" s="1"/>
  <c r="X131" i="39" s="1"/>
  <c r="H132" i="39"/>
  <c r="D132" i="39"/>
  <c r="L132" i="39" s="1"/>
  <c r="B132" i="39"/>
  <c r="Z131" i="39"/>
  <c r="H131" i="39"/>
  <c r="D131" i="39"/>
  <c r="L131" i="39" s="1"/>
  <c r="Z129" i="39"/>
  <c r="X129" i="39"/>
  <c r="L129" i="39"/>
  <c r="N129" i="39" s="1"/>
  <c r="B129" i="39"/>
  <c r="T128" i="39"/>
  <c r="X128" i="39" s="1"/>
  <c r="Z128" i="39" s="1"/>
  <c r="P128" i="39"/>
  <c r="L128" i="39"/>
  <c r="N128" i="39" s="1"/>
  <c r="H128" i="39"/>
  <c r="D128" i="39"/>
  <c r="B128" i="39"/>
  <c r="X127" i="39"/>
  <c r="Z127" i="39" s="1"/>
  <c r="L127" i="39"/>
  <c r="N127" i="39" s="1"/>
  <c r="B127" i="39"/>
  <c r="X126" i="39"/>
  <c r="Z126" i="39" s="1"/>
  <c r="N126" i="39"/>
  <c r="L126" i="39"/>
  <c r="B126" i="39"/>
  <c r="Z125" i="39"/>
  <c r="X125" i="39"/>
  <c r="N125" i="39"/>
  <c r="L125" i="39"/>
  <c r="B125" i="39"/>
  <c r="T124" i="39"/>
  <c r="P124" i="39"/>
  <c r="X124" i="39" s="1"/>
  <c r="L124" i="39"/>
  <c r="H124" i="39"/>
  <c r="N124" i="39" s="1"/>
  <c r="D124" i="39"/>
  <c r="B124" i="39"/>
  <c r="X123" i="39"/>
  <c r="Z123" i="39" s="1"/>
  <c r="N123" i="39"/>
  <c r="L123" i="39"/>
  <c r="J123" i="39"/>
  <c r="B123" i="39"/>
  <c r="T122" i="39"/>
  <c r="P122" i="39"/>
  <c r="X122" i="39" s="1"/>
  <c r="Z122" i="39" s="1"/>
  <c r="L122" i="39"/>
  <c r="H122" i="39"/>
  <c r="N122" i="39" s="1"/>
  <c r="D122" i="39"/>
  <c r="B122" i="39"/>
  <c r="X121" i="39"/>
  <c r="Z121" i="39" s="1"/>
  <c r="L121" i="39"/>
  <c r="N121" i="39" s="1"/>
  <c r="J121" i="39"/>
  <c r="B121" i="39"/>
  <c r="X120" i="39"/>
  <c r="Z120" i="39" s="1"/>
  <c r="T120" i="39"/>
  <c r="P120" i="39"/>
  <c r="H120" i="39"/>
  <c r="D120" i="39"/>
  <c r="B120" i="39"/>
  <c r="X119" i="39"/>
  <c r="Z119" i="39" s="1"/>
  <c r="N119" i="39"/>
  <c r="L119" i="39"/>
  <c r="B119" i="39"/>
  <c r="X118" i="39"/>
  <c r="Z118" i="39" s="1"/>
  <c r="N118" i="39"/>
  <c r="L118" i="39"/>
  <c r="B118" i="39"/>
  <c r="Z117" i="39"/>
  <c r="X117" i="39"/>
  <c r="N117" i="39"/>
  <c r="L117" i="39"/>
  <c r="B117" i="39"/>
  <c r="Z116" i="39"/>
  <c r="X116" i="39"/>
  <c r="L116" i="39"/>
  <c r="N116" i="39" s="1"/>
  <c r="B116" i="39"/>
  <c r="X115" i="39"/>
  <c r="Z115" i="39" s="1"/>
  <c r="L115" i="39"/>
  <c r="N115" i="39" s="1"/>
  <c r="B115" i="39"/>
  <c r="X114" i="39"/>
  <c r="Z114" i="39" s="1"/>
  <c r="N114" i="39"/>
  <c r="L114" i="39"/>
  <c r="B114" i="39"/>
  <c r="X113" i="39"/>
  <c r="Z113" i="39" s="1"/>
  <c r="N113" i="39"/>
  <c r="L113" i="39"/>
  <c r="B113" i="39"/>
  <c r="Z112" i="39"/>
  <c r="X112" i="39"/>
  <c r="N112" i="39"/>
  <c r="L112" i="39"/>
  <c r="B112" i="39"/>
  <c r="Z111" i="39"/>
  <c r="X111" i="39"/>
  <c r="N111" i="39"/>
  <c r="L111" i="39"/>
  <c r="B111" i="39"/>
  <c r="X110" i="39"/>
  <c r="Z110" i="39" s="1"/>
  <c r="N110" i="39"/>
  <c r="L110" i="39"/>
  <c r="B110" i="39"/>
  <c r="X109" i="39"/>
  <c r="Z109" i="39" s="1"/>
  <c r="T109" i="39"/>
  <c r="P109" i="39"/>
  <c r="H109" i="39"/>
  <c r="D109" i="39"/>
  <c r="B109" i="39"/>
  <c r="X108" i="39"/>
  <c r="Z108" i="39" s="1"/>
  <c r="R108" i="39"/>
  <c r="L108" i="39"/>
  <c r="N108" i="39" s="1"/>
  <c r="B108" i="39"/>
  <c r="X107" i="39"/>
  <c r="Z107" i="39" s="1"/>
  <c r="N107" i="39"/>
  <c r="L107" i="39"/>
  <c r="J107" i="39"/>
  <c r="B107" i="39"/>
  <c r="T106" i="39"/>
  <c r="P106" i="39"/>
  <c r="X106" i="39" s="1"/>
  <c r="Z106" i="39" s="1"/>
  <c r="N106" i="39"/>
  <c r="L106" i="39"/>
  <c r="H106" i="39"/>
  <c r="D106" i="39"/>
  <c r="B106" i="39"/>
  <c r="X105" i="39"/>
  <c r="Z105" i="39" s="1"/>
  <c r="L105" i="39"/>
  <c r="N105" i="39" s="1"/>
  <c r="J105" i="39"/>
  <c r="B105" i="39"/>
  <c r="X104" i="39"/>
  <c r="Z104" i="39" s="1"/>
  <c r="N104" i="39"/>
  <c r="L104" i="39"/>
  <c r="B104" i="39"/>
  <c r="Z103" i="39"/>
  <c r="X103" i="39"/>
  <c r="L103" i="39"/>
  <c r="N103" i="39" s="1"/>
  <c r="B103" i="39"/>
  <c r="Z102" i="39"/>
  <c r="X102" i="39"/>
  <c r="L102" i="39"/>
  <c r="N102" i="39" s="1"/>
  <c r="B102" i="39"/>
  <c r="X101" i="39"/>
  <c r="Z101" i="39" s="1"/>
  <c r="L101" i="39"/>
  <c r="N101" i="39" s="1"/>
  <c r="J101" i="39"/>
  <c r="B101" i="39"/>
  <c r="X100" i="39"/>
  <c r="Z100" i="39" s="1"/>
  <c r="T100" i="39"/>
  <c r="P100" i="39"/>
  <c r="H100" i="39"/>
  <c r="D100" i="39"/>
  <c r="B100" i="39"/>
  <c r="X99" i="39"/>
  <c r="Z99" i="39" s="1"/>
  <c r="L99" i="39"/>
  <c r="N99" i="39" s="1"/>
  <c r="B99" i="39"/>
  <c r="X98" i="39"/>
  <c r="Z98" i="39" s="1"/>
  <c r="N98" i="39"/>
  <c r="L98" i="39"/>
  <c r="B98" i="39"/>
  <c r="X97" i="39"/>
  <c r="Z97" i="39" s="1"/>
  <c r="T97" i="39"/>
  <c r="P97" i="39"/>
  <c r="H97" i="39"/>
  <c r="D97" i="39"/>
  <c r="B97" i="39"/>
  <c r="Z96" i="39"/>
  <c r="X96" i="39"/>
  <c r="L96" i="39"/>
  <c r="N96" i="39" s="1"/>
  <c r="B96" i="39"/>
  <c r="X95" i="39"/>
  <c r="Z95" i="39" s="1"/>
  <c r="N95" i="39"/>
  <c r="L95" i="39"/>
  <c r="J95" i="39"/>
  <c r="B95" i="39"/>
  <c r="Z94" i="39"/>
  <c r="X94" i="39"/>
  <c r="N94" i="39"/>
  <c r="L94" i="39"/>
  <c r="J94" i="39"/>
  <c r="B94" i="39"/>
  <c r="Z93" i="39"/>
  <c r="X93" i="39"/>
  <c r="L93" i="39"/>
  <c r="N93" i="39" s="1"/>
  <c r="B93" i="39"/>
  <c r="Z92" i="39"/>
  <c r="X92" i="39"/>
  <c r="T92" i="39"/>
  <c r="P92" i="39"/>
  <c r="H92" i="39"/>
  <c r="D92" i="39"/>
  <c r="L92" i="39" s="1"/>
  <c r="N92" i="39" s="1"/>
  <c r="B92" i="39"/>
  <c r="Z91" i="39"/>
  <c r="X91" i="39"/>
  <c r="L91" i="39"/>
  <c r="N91" i="39" s="1"/>
  <c r="B91" i="39"/>
  <c r="T90" i="39"/>
  <c r="P90" i="39"/>
  <c r="L90" i="39"/>
  <c r="N90" i="39" s="1"/>
  <c r="H90" i="39"/>
  <c r="D90" i="39"/>
  <c r="B90" i="39"/>
  <c r="Z89" i="39"/>
  <c r="X89" i="39"/>
  <c r="N89" i="39"/>
  <c r="L89" i="39"/>
  <c r="B89" i="39"/>
  <c r="Z88" i="39"/>
  <c r="T88" i="39"/>
  <c r="P88" i="39"/>
  <c r="X88" i="39" s="1"/>
  <c r="L88" i="39"/>
  <c r="H88" i="39"/>
  <c r="N88" i="39" s="1"/>
  <c r="D88" i="39"/>
  <c r="B88" i="39"/>
  <c r="X87" i="39"/>
  <c r="Z87" i="39" s="1"/>
  <c r="N87" i="39"/>
  <c r="L87" i="39"/>
  <c r="J87" i="39"/>
  <c r="B87" i="39"/>
  <c r="T86" i="39"/>
  <c r="P86" i="39"/>
  <c r="X86" i="39" s="1"/>
  <c r="Z86" i="39" s="1"/>
  <c r="H86" i="39"/>
  <c r="D86" i="39"/>
  <c r="B86" i="39"/>
  <c r="X85" i="39"/>
  <c r="Z85" i="39" s="1"/>
  <c r="L85" i="39"/>
  <c r="N85" i="39" s="1"/>
  <c r="J85" i="39"/>
  <c r="B85" i="39"/>
  <c r="X84" i="39"/>
  <c r="T84" i="39"/>
  <c r="Z84" i="39" s="1"/>
  <c r="P84" i="39"/>
  <c r="H84" i="39"/>
  <c r="D84" i="39"/>
  <c r="L84" i="39" s="1"/>
  <c r="B84" i="39"/>
  <c r="X83" i="39"/>
  <c r="Z83" i="39" s="1"/>
  <c r="L83" i="39"/>
  <c r="N83" i="39" s="1"/>
  <c r="B83" i="39"/>
  <c r="X82" i="39"/>
  <c r="Z82" i="39" s="1"/>
  <c r="N82" i="39"/>
  <c r="L82" i="39"/>
  <c r="B82" i="39"/>
  <c r="X81" i="39"/>
  <c r="Z81" i="39" s="1"/>
  <c r="T81" i="39"/>
  <c r="P81" i="39"/>
  <c r="H81" i="39"/>
  <c r="D81" i="39"/>
  <c r="B81" i="39"/>
  <c r="Z80" i="39"/>
  <c r="X80" i="39"/>
  <c r="L80" i="39"/>
  <c r="N80" i="39" s="1"/>
  <c r="B80" i="39"/>
  <c r="X79" i="39"/>
  <c r="Z79" i="39" s="1"/>
  <c r="N79" i="39"/>
  <c r="L79" i="39"/>
  <c r="J79" i="39"/>
  <c r="B79" i="39"/>
  <c r="T78" i="39"/>
  <c r="P78" i="39"/>
  <c r="X78" i="39" s="1"/>
  <c r="Z78" i="39" s="1"/>
  <c r="H78" i="39"/>
  <c r="D78" i="39"/>
  <c r="B78" i="39"/>
  <c r="X77" i="39"/>
  <c r="Z77" i="39" s="1"/>
  <c r="L77" i="39"/>
  <c r="N77" i="39" s="1"/>
  <c r="J77" i="39"/>
  <c r="B77" i="39"/>
  <c r="X76" i="39"/>
  <c r="T76" i="39"/>
  <c r="Z76" i="39" s="1"/>
  <c r="P76" i="39"/>
  <c r="J76" i="39"/>
  <c r="H76" i="39"/>
  <c r="D76" i="39"/>
  <c r="L76" i="39" s="1"/>
  <c r="B76" i="39"/>
  <c r="X75" i="39"/>
  <c r="Z75" i="39" s="1"/>
  <c r="L75" i="39"/>
  <c r="N75" i="39" s="1"/>
  <c r="B75" i="39"/>
  <c r="X74" i="39"/>
  <c r="T74" i="39"/>
  <c r="Z74" i="39" s="1"/>
  <c r="P74" i="39"/>
  <c r="H74" i="39"/>
  <c r="D74" i="39"/>
  <c r="L74" i="39" s="1"/>
  <c r="N74" i="39" s="1"/>
  <c r="B74" i="39"/>
  <c r="Z73" i="39"/>
  <c r="X73" i="39"/>
  <c r="N73" i="39"/>
  <c r="L73" i="39"/>
  <c r="B73" i="39"/>
  <c r="X72" i="39"/>
  <c r="T72" i="39"/>
  <c r="Z72" i="39" s="1"/>
  <c r="P72" i="39"/>
  <c r="N72" i="39"/>
  <c r="H72" i="39"/>
  <c r="D72" i="39"/>
  <c r="L72" i="39" s="1"/>
  <c r="B72" i="39"/>
  <c r="Z71" i="39"/>
  <c r="X71" i="39"/>
  <c r="L71" i="39"/>
  <c r="N71" i="39" s="1"/>
  <c r="B71" i="39"/>
  <c r="T70" i="39"/>
  <c r="P70" i="39"/>
  <c r="L70" i="39"/>
  <c r="H70" i="39"/>
  <c r="N70" i="39" s="1"/>
  <c r="D70" i="39"/>
  <c r="B70" i="39"/>
  <c r="X69" i="39"/>
  <c r="Z69" i="39" s="1"/>
  <c r="N69" i="39"/>
  <c r="L69" i="39"/>
  <c r="B69" i="39"/>
  <c r="Z68" i="39"/>
  <c r="X68" i="39"/>
  <c r="N68" i="39"/>
  <c r="L68" i="39"/>
  <c r="B68" i="39"/>
  <c r="X67" i="39"/>
  <c r="Z67" i="39" s="1"/>
  <c r="L67" i="39"/>
  <c r="N67" i="39" s="1"/>
  <c r="B67" i="39"/>
  <c r="X66" i="39"/>
  <c r="T66" i="39"/>
  <c r="P66" i="39"/>
  <c r="H66" i="39"/>
  <c r="D66" i="39"/>
  <c r="L66" i="39" s="1"/>
  <c r="N66" i="39" s="1"/>
  <c r="B66" i="39"/>
  <c r="Z65" i="39"/>
  <c r="X65" i="39"/>
  <c r="L65" i="39"/>
  <c r="N65" i="39" s="1"/>
  <c r="B65" i="39"/>
  <c r="X64" i="39"/>
  <c r="T64" i="39"/>
  <c r="Z64" i="39" s="1"/>
  <c r="P64" i="39"/>
  <c r="H64" i="39"/>
  <c r="D64" i="39"/>
  <c r="L64" i="39" s="1"/>
  <c r="N64" i="39" s="1"/>
  <c r="B64" i="39"/>
  <c r="Z63" i="39"/>
  <c r="X63" i="39"/>
  <c r="L63" i="39"/>
  <c r="N63" i="39" s="1"/>
  <c r="B63" i="39"/>
  <c r="T62" i="39"/>
  <c r="P62" i="39"/>
  <c r="L62" i="39"/>
  <c r="H62" i="39"/>
  <c r="N62" i="39" s="1"/>
  <c r="D62" i="39"/>
  <c r="B62" i="39"/>
  <c r="X61" i="39"/>
  <c r="Z61" i="39" s="1"/>
  <c r="N61" i="39"/>
  <c r="L61" i="39"/>
  <c r="B61" i="39"/>
  <c r="T60" i="39"/>
  <c r="P60" i="39"/>
  <c r="X60" i="39" s="1"/>
  <c r="Z60" i="39" s="1"/>
  <c r="L60" i="39"/>
  <c r="H60" i="39"/>
  <c r="D60" i="39"/>
  <c r="B60" i="39"/>
  <c r="X59" i="39"/>
  <c r="Z59" i="39" s="1"/>
  <c r="N59" i="39"/>
  <c r="L59" i="39"/>
  <c r="J59" i="39"/>
  <c r="B59" i="39"/>
  <c r="Z58" i="39"/>
  <c r="X58" i="39"/>
  <c r="N58" i="39"/>
  <c r="L58" i="39"/>
  <c r="J58" i="39"/>
  <c r="B58" i="39"/>
  <c r="Z57" i="39"/>
  <c r="X57" i="39"/>
  <c r="L57" i="39"/>
  <c r="N57" i="39" s="1"/>
  <c r="B57" i="39"/>
  <c r="X56" i="39"/>
  <c r="Z56" i="39" s="1"/>
  <c r="L56" i="39"/>
  <c r="N56" i="39" s="1"/>
  <c r="B56" i="39"/>
  <c r="X55" i="39"/>
  <c r="Z55" i="39" s="1"/>
  <c r="N55" i="39"/>
  <c r="L55" i="39"/>
  <c r="J55" i="39"/>
  <c r="B55" i="39"/>
  <c r="Z54" i="39"/>
  <c r="X54" i="39"/>
  <c r="N54" i="39"/>
  <c r="L54" i="39"/>
  <c r="J54" i="39"/>
  <c r="B54" i="39"/>
  <c r="Z53" i="39"/>
  <c r="X53" i="39"/>
  <c r="L53" i="39"/>
  <c r="N53" i="39" s="1"/>
  <c r="B53" i="39"/>
  <c r="Z52" i="39"/>
  <c r="X52" i="39"/>
  <c r="T52" i="39"/>
  <c r="P52" i="39"/>
  <c r="H52" i="39"/>
  <c r="D52" i="39"/>
  <c r="L52" i="39" s="1"/>
  <c r="N52" i="39" s="1"/>
  <c r="B52" i="39"/>
  <c r="Z51" i="39"/>
  <c r="X51" i="39"/>
  <c r="L51" i="39"/>
  <c r="N51" i="39" s="1"/>
  <c r="B51" i="39"/>
  <c r="Z50" i="39"/>
  <c r="X50" i="39"/>
  <c r="L50" i="39"/>
  <c r="N50" i="39" s="1"/>
  <c r="B50" i="39"/>
  <c r="X49" i="39"/>
  <c r="Z49" i="39" s="1"/>
  <c r="L49" i="39"/>
  <c r="N49" i="39" s="1"/>
  <c r="J49" i="39"/>
  <c r="B49" i="39"/>
  <c r="X48" i="39"/>
  <c r="Z48" i="39" s="1"/>
  <c r="N48" i="39"/>
  <c r="L48" i="39"/>
  <c r="B48" i="39"/>
  <c r="Z47" i="39"/>
  <c r="X47" i="39"/>
  <c r="N47" i="39"/>
  <c r="L47" i="39"/>
  <c r="B47" i="39"/>
  <c r="Z46" i="39"/>
  <c r="X46" i="39"/>
  <c r="L46" i="39"/>
  <c r="N46" i="39" s="1"/>
  <c r="B46" i="39"/>
  <c r="X45" i="39"/>
  <c r="Z45" i="39" s="1"/>
  <c r="L45" i="39"/>
  <c r="N45" i="39" s="1"/>
  <c r="J45" i="39"/>
  <c r="B45" i="39"/>
  <c r="X44" i="39"/>
  <c r="Z44" i="39" s="1"/>
  <c r="N44" i="39"/>
  <c r="L44" i="39"/>
  <c r="B44" i="39"/>
  <c r="Z43" i="39"/>
  <c r="X43" i="39"/>
  <c r="L43" i="39"/>
  <c r="N43" i="39" s="1"/>
  <c r="B43" i="39"/>
  <c r="T42" i="39"/>
  <c r="P42" i="39"/>
  <c r="X42" i="39" s="1"/>
  <c r="L42" i="39"/>
  <c r="H42" i="39"/>
  <c r="N42" i="39" s="1"/>
  <c r="D42" i="39"/>
  <c r="B42" i="39"/>
  <c r="T41" i="39"/>
  <c r="P41" i="39"/>
  <c r="X41" i="39" s="1"/>
  <c r="Z41" i="39" s="1"/>
  <c r="H41" i="39"/>
  <c r="D41" i="39"/>
  <c r="X37" i="39"/>
  <c r="Z37" i="39" s="1"/>
  <c r="N37" i="39"/>
  <c r="L37" i="39"/>
  <c r="B37" i="39"/>
  <c r="Z36" i="39"/>
  <c r="X36" i="39"/>
  <c r="N36" i="39"/>
  <c r="L36" i="39"/>
  <c r="B36" i="39"/>
  <c r="T35" i="39"/>
  <c r="Z35" i="39" s="1"/>
  <c r="P35" i="39"/>
  <c r="X35" i="39" s="1"/>
  <c r="L35" i="39"/>
  <c r="J35" i="39"/>
  <c r="H35" i="39"/>
  <c r="N35" i="39" s="1"/>
  <c r="D35" i="39"/>
  <c r="T33" i="39"/>
  <c r="P33" i="39"/>
  <c r="X33" i="39" s="1"/>
  <c r="Z33" i="39" s="1"/>
  <c r="H33" i="39"/>
  <c r="N33" i="39" s="1"/>
  <c r="D33" i="39"/>
  <c r="L33" i="39" s="1"/>
  <c r="B33" i="39"/>
  <c r="X32" i="39"/>
  <c r="Z32" i="39" s="1"/>
  <c r="T32" i="39"/>
  <c r="P32" i="39"/>
  <c r="H32" i="39"/>
  <c r="N32" i="39" s="1"/>
  <c r="D32" i="39"/>
  <c r="B32" i="39"/>
  <c r="X31" i="39"/>
  <c r="T31" i="39"/>
  <c r="P31" i="39"/>
  <c r="N31" i="39"/>
  <c r="H31" i="39"/>
  <c r="D31" i="39"/>
  <c r="L31" i="39" s="1"/>
  <c r="B31" i="39"/>
  <c r="T30" i="39"/>
  <c r="P30" i="39"/>
  <c r="X30" i="39" s="1"/>
  <c r="Z30" i="39" s="1"/>
  <c r="H30" i="39"/>
  <c r="D30" i="39"/>
  <c r="L30" i="39" s="1"/>
  <c r="N30" i="39" s="1"/>
  <c r="B30" i="39"/>
  <c r="T29" i="39"/>
  <c r="P29" i="39"/>
  <c r="X29" i="39" s="1"/>
  <c r="Z29" i="39" s="1"/>
  <c r="H29" i="39"/>
  <c r="N29" i="39" s="1"/>
  <c r="D29" i="39"/>
  <c r="L29" i="39" s="1"/>
  <c r="B29" i="39"/>
  <c r="X28" i="39"/>
  <c r="Z28" i="39" s="1"/>
  <c r="T28" i="39"/>
  <c r="P28" i="39"/>
  <c r="H28" i="39"/>
  <c r="D28" i="39"/>
  <c r="B28" i="39"/>
  <c r="T27" i="39"/>
  <c r="P27" i="39"/>
  <c r="N27" i="39"/>
  <c r="H27" i="39"/>
  <c r="D27" i="39"/>
  <c r="L27" i="39" s="1"/>
  <c r="B27" i="39"/>
  <c r="T26" i="39"/>
  <c r="P26" i="39"/>
  <c r="X26" i="39" s="1"/>
  <c r="Z26" i="39" s="1"/>
  <c r="L26" i="39"/>
  <c r="N26" i="39" s="1"/>
  <c r="H26" i="39"/>
  <c r="D26" i="39"/>
  <c r="B26" i="39"/>
  <c r="T25" i="39"/>
  <c r="P25" i="39"/>
  <c r="X25" i="39" s="1"/>
  <c r="Z25" i="39" s="1"/>
  <c r="H25" i="39"/>
  <c r="N25" i="39" s="1"/>
  <c r="D25" i="39"/>
  <c r="L25" i="39" s="1"/>
  <c r="B25" i="39"/>
  <c r="Z24" i="39"/>
  <c r="X24" i="39"/>
  <c r="T24" i="39"/>
  <c r="P24" i="39"/>
  <c r="H24" i="39"/>
  <c r="N24" i="39" s="1"/>
  <c r="D24" i="39"/>
  <c r="B24" i="39"/>
  <c r="T23" i="39"/>
  <c r="P23" i="39"/>
  <c r="N23" i="39"/>
  <c r="H23" i="39"/>
  <c r="D23" i="39"/>
  <c r="L23" i="39" s="1"/>
  <c r="B23" i="39"/>
  <c r="Z22" i="39"/>
  <c r="T22" i="39"/>
  <c r="P22" i="39"/>
  <c r="X22" i="39" s="1"/>
  <c r="N22" i="39"/>
  <c r="H22" i="39"/>
  <c r="D22" i="39"/>
  <c r="L22" i="39" s="1"/>
  <c r="B22" i="39"/>
  <c r="T21" i="39"/>
  <c r="P21" i="39"/>
  <c r="X21" i="39" s="1"/>
  <c r="Z21" i="39" s="1"/>
  <c r="H21" i="39"/>
  <c r="N21" i="39" s="1"/>
  <c r="D21" i="39"/>
  <c r="L21" i="39" s="1"/>
  <c r="B21" i="39"/>
  <c r="X20" i="39"/>
  <c r="Z20" i="39" s="1"/>
  <c r="T20" i="39"/>
  <c r="P20" i="39"/>
  <c r="H20" i="39"/>
  <c r="N20" i="39" s="1"/>
  <c r="D20" i="39"/>
  <c r="B20" i="39"/>
  <c r="X19" i="39"/>
  <c r="T19" i="39"/>
  <c r="P19" i="39"/>
  <c r="H19" i="39"/>
  <c r="D19" i="39"/>
  <c r="L19" i="39" s="1"/>
  <c r="N19" i="39" s="1"/>
  <c r="B19" i="39"/>
  <c r="T18" i="39"/>
  <c r="P18" i="39"/>
  <c r="X18" i="39" s="1"/>
  <c r="Z18" i="39" s="1"/>
  <c r="H18" i="39"/>
  <c r="D18" i="39"/>
  <c r="L18" i="39" s="1"/>
  <c r="N18" i="39" s="1"/>
  <c r="B18" i="39"/>
  <c r="T17" i="39"/>
  <c r="P17" i="39"/>
  <c r="X17" i="39" s="1"/>
  <c r="Z17" i="39" s="1"/>
  <c r="H17" i="39"/>
  <c r="D17" i="39"/>
  <c r="L17" i="39" s="1"/>
  <c r="B17" i="39"/>
  <c r="X16" i="39"/>
  <c r="Z16" i="39" s="1"/>
  <c r="T16" i="39"/>
  <c r="P16" i="39"/>
  <c r="H16" i="39"/>
  <c r="D16" i="39"/>
  <c r="B16" i="39"/>
  <c r="X15" i="39"/>
  <c r="T15" i="39"/>
  <c r="P15" i="39"/>
  <c r="N15" i="39"/>
  <c r="H15" i="39"/>
  <c r="D15" i="39"/>
  <c r="L15" i="39" s="1"/>
  <c r="B15" i="39"/>
  <c r="T14" i="39"/>
  <c r="P14" i="39"/>
  <c r="X14" i="39" s="1"/>
  <c r="Z14" i="39" s="1"/>
  <c r="N14" i="39"/>
  <c r="L14" i="39"/>
  <c r="H14" i="39"/>
  <c r="D14" i="39"/>
  <c r="B14" i="39"/>
  <c r="T13" i="39"/>
  <c r="P13" i="39"/>
  <c r="P12" i="39" s="1"/>
  <c r="R109" i="39" s="1"/>
  <c r="H13" i="39"/>
  <c r="D13" i="39"/>
  <c r="B13" i="39"/>
  <c r="H12" i="39"/>
  <c r="J131" i="39" s="1"/>
  <c r="D4" i="39"/>
  <c r="Z131" i="36"/>
  <c r="X131" i="36"/>
  <c r="L131" i="36"/>
  <c r="N131" i="36" s="1"/>
  <c r="T127" i="36"/>
  <c r="P127" i="36"/>
  <c r="N127" i="36"/>
  <c r="H127" i="36"/>
  <c r="D127" i="36"/>
  <c r="L127" i="36" s="1"/>
  <c r="B127" i="36"/>
  <c r="T126" i="36"/>
  <c r="P126" i="36"/>
  <c r="L126" i="36"/>
  <c r="H126" i="36"/>
  <c r="N126" i="36" s="1"/>
  <c r="D126" i="36"/>
  <c r="B126" i="36"/>
  <c r="X125" i="36"/>
  <c r="Z125" i="36" s="1"/>
  <c r="T125" i="36"/>
  <c r="P125" i="36"/>
  <c r="H125" i="36"/>
  <c r="D125" i="36"/>
  <c r="L125" i="36" s="1"/>
  <c r="B125" i="36"/>
  <c r="T124" i="36"/>
  <c r="Z122" i="36"/>
  <c r="X122" i="36"/>
  <c r="L122" i="36"/>
  <c r="N122" i="36" s="1"/>
  <c r="B122" i="36"/>
  <c r="T121" i="36"/>
  <c r="P121" i="36"/>
  <c r="H121" i="36"/>
  <c r="D121" i="36"/>
  <c r="L121" i="36" s="1"/>
  <c r="N121" i="36" s="1"/>
  <c r="B121" i="36"/>
  <c r="Z120" i="36"/>
  <c r="X120" i="36"/>
  <c r="L120" i="36"/>
  <c r="N120" i="36" s="1"/>
  <c r="B120" i="36"/>
  <c r="X119" i="36"/>
  <c r="Z119" i="36" s="1"/>
  <c r="N119" i="36"/>
  <c r="L119" i="36"/>
  <c r="B119" i="36"/>
  <c r="X118" i="36"/>
  <c r="Z118" i="36" s="1"/>
  <c r="N118" i="36"/>
  <c r="L118" i="36"/>
  <c r="B118" i="36"/>
  <c r="Z117" i="36"/>
  <c r="T117" i="36"/>
  <c r="P117" i="36"/>
  <c r="X117" i="36" s="1"/>
  <c r="H117" i="36"/>
  <c r="N117" i="36" s="1"/>
  <c r="D117" i="36"/>
  <c r="L117" i="36" s="1"/>
  <c r="B117" i="36"/>
  <c r="X116" i="36"/>
  <c r="Z116" i="36" s="1"/>
  <c r="N116" i="36"/>
  <c r="L116" i="36"/>
  <c r="B116" i="36"/>
  <c r="X115" i="36"/>
  <c r="Z115" i="36" s="1"/>
  <c r="T115" i="36"/>
  <c r="P115" i="36"/>
  <c r="H115" i="36"/>
  <c r="N115" i="36" s="1"/>
  <c r="D115" i="36"/>
  <c r="L115" i="36" s="1"/>
  <c r="B115" i="36"/>
  <c r="Z114" i="36"/>
  <c r="X114" i="36"/>
  <c r="L114" i="36"/>
  <c r="N114" i="36" s="1"/>
  <c r="B114" i="36"/>
  <c r="T113" i="36"/>
  <c r="P113" i="36"/>
  <c r="H113" i="36"/>
  <c r="D113" i="36"/>
  <c r="L113" i="36" s="1"/>
  <c r="N113" i="36" s="1"/>
  <c r="B113" i="36"/>
  <c r="Z112" i="36"/>
  <c r="X112" i="36"/>
  <c r="N112" i="36"/>
  <c r="L112" i="36"/>
  <c r="B112" i="36"/>
  <c r="X111" i="36"/>
  <c r="Z111" i="36" s="1"/>
  <c r="L111" i="36"/>
  <c r="N111" i="36" s="1"/>
  <c r="B111" i="36"/>
  <c r="Z110" i="36"/>
  <c r="X110" i="36"/>
  <c r="N110" i="36"/>
  <c r="L110" i="36"/>
  <c r="B110" i="36"/>
  <c r="Z109" i="36"/>
  <c r="X109" i="36"/>
  <c r="L109" i="36"/>
  <c r="N109" i="36" s="1"/>
  <c r="B109" i="36"/>
  <c r="Z108" i="36"/>
  <c r="X108" i="36"/>
  <c r="V108" i="36"/>
  <c r="L108" i="36"/>
  <c r="N108" i="36" s="1"/>
  <c r="B108" i="36"/>
  <c r="X107" i="36"/>
  <c r="Z107" i="36" s="1"/>
  <c r="L107" i="36"/>
  <c r="N107" i="36" s="1"/>
  <c r="B107" i="36"/>
  <c r="X106" i="36"/>
  <c r="Z106" i="36" s="1"/>
  <c r="N106" i="36"/>
  <c r="L106" i="36"/>
  <c r="B106" i="36"/>
  <c r="Z105" i="36"/>
  <c r="X105" i="36"/>
  <c r="L105" i="36"/>
  <c r="N105" i="36" s="1"/>
  <c r="B105" i="36"/>
  <c r="Z104" i="36"/>
  <c r="X104" i="36"/>
  <c r="N104" i="36"/>
  <c r="L104" i="36"/>
  <c r="B104" i="36"/>
  <c r="X103" i="36"/>
  <c r="Z103" i="36" s="1"/>
  <c r="L103" i="36"/>
  <c r="N103" i="36" s="1"/>
  <c r="B103" i="36"/>
  <c r="T102" i="36"/>
  <c r="P102" i="36"/>
  <c r="X102" i="36" s="1"/>
  <c r="H102" i="36"/>
  <c r="D102" i="36"/>
  <c r="B102" i="36"/>
  <c r="X101" i="36"/>
  <c r="Z101" i="36" s="1"/>
  <c r="L101" i="36"/>
  <c r="N101" i="36" s="1"/>
  <c r="B101" i="36"/>
  <c r="Z100" i="36"/>
  <c r="X100" i="36"/>
  <c r="N100" i="36"/>
  <c r="L100" i="36"/>
  <c r="B100" i="36"/>
  <c r="X99" i="36"/>
  <c r="Z99" i="36" s="1"/>
  <c r="T99" i="36"/>
  <c r="P99" i="36"/>
  <c r="H99" i="36"/>
  <c r="N99" i="36" s="1"/>
  <c r="D99" i="36"/>
  <c r="L99" i="36" s="1"/>
  <c r="B99" i="36"/>
  <c r="Z98" i="36"/>
  <c r="X98" i="36"/>
  <c r="N98" i="36"/>
  <c r="L98" i="36"/>
  <c r="B98" i="36"/>
  <c r="X97" i="36"/>
  <c r="Z97" i="36" s="1"/>
  <c r="N97" i="36"/>
  <c r="L97" i="36"/>
  <c r="B97" i="36"/>
  <c r="Z96" i="36"/>
  <c r="X96" i="36"/>
  <c r="N96" i="36"/>
  <c r="L96" i="36"/>
  <c r="B96" i="36"/>
  <c r="Z95" i="36"/>
  <c r="X95" i="36"/>
  <c r="L95" i="36"/>
  <c r="N95" i="36" s="1"/>
  <c r="B95" i="36"/>
  <c r="Z94" i="36"/>
  <c r="X94" i="36"/>
  <c r="N94" i="36"/>
  <c r="L94" i="36"/>
  <c r="B94" i="36"/>
  <c r="T93" i="36"/>
  <c r="P93" i="36"/>
  <c r="H93" i="36"/>
  <c r="D93" i="36"/>
  <c r="L93" i="36" s="1"/>
  <c r="N93" i="36" s="1"/>
  <c r="B93" i="36"/>
  <c r="Z92" i="36"/>
  <c r="X92" i="36"/>
  <c r="L92" i="36"/>
  <c r="N92" i="36" s="1"/>
  <c r="B92" i="36"/>
  <c r="X91" i="36"/>
  <c r="Z91" i="36" s="1"/>
  <c r="L91" i="36"/>
  <c r="N91" i="36" s="1"/>
  <c r="B91" i="36"/>
  <c r="T90" i="36"/>
  <c r="P90" i="36"/>
  <c r="X90" i="36" s="1"/>
  <c r="Z90" i="36" s="1"/>
  <c r="H90" i="36"/>
  <c r="D90" i="36"/>
  <c r="L90" i="36" s="1"/>
  <c r="B90" i="36"/>
  <c r="X89" i="36"/>
  <c r="Z89" i="36" s="1"/>
  <c r="L89" i="36"/>
  <c r="N89" i="36" s="1"/>
  <c r="B89" i="36"/>
  <c r="X88" i="36"/>
  <c r="Z88" i="36" s="1"/>
  <c r="N88" i="36"/>
  <c r="L88" i="36"/>
  <c r="B88" i="36"/>
  <c r="X87" i="36"/>
  <c r="Z87" i="36" s="1"/>
  <c r="N87" i="36"/>
  <c r="L87" i="36"/>
  <c r="B87" i="36"/>
  <c r="Z86" i="36"/>
  <c r="X86" i="36"/>
  <c r="N86" i="36"/>
  <c r="L86" i="36"/>
  <c r="B86" i="36"/>
  <c r="T85" i="36"/>
  <c r="Z85" i="36" s="1"/>
  <c r="P85" i="36"/>
  <c r="X85" i="36" s="1"/>
  <c r="L85" i="36"/>
  <c r="N85" i="36" s="1"/>
  <c r="H85" i="36"/>
  <c r="D85" i="36"/>
  <c r="B85" i="36"/>
  <c r="Z84" i="36"/>
  <c r="X84" i="36"/>
  <c r="N84" i="36"/>
  <c r="L84" i="36"/>
  <c r="B84" i="36"/>
  <c r="Z83" i="36"/>
  <c r="T83" i="36"/>
  <c r="P83" i="36"/>
  <c r="X83" i="36" s="1"/>
  <c r="L83" i="36"/>
  <c r="H83" i="36"/>
  <c r="D83" i="36"/>
  <c r="B83" i="36"/>
  <c r="Z82" i="36"/>
  <c r="X82" i="36"/>
  <c r="N82" i="36"/>
  <c r="L82" i="36"/>
  <c r="B82" i="36"/>
  <c r="Z81" i="36"/>
  <c r="T81" i="36"/>
  <c r="P81" i="36"/>
  <c r="X81" i="36" s="1"/>
  <c r="H81" i="36"/>
  <c r="D81" i="36"/>
  <c r="L81" i="36" s="1"/>
  <c r="B81" i="36"/>
  <c r="Z80" i="36"/>
  <c r="X80" i="36"/>
  <c r="N80" i="36"/>
  <c r="L80" i="36"/>
  <c r="B80" i="36"/>
  <c r="Z79" i="36"/>
  <c r="X79" i="36"/>
  <c r="T79" i="36"/>
  <c r="P79" i="36"/>
  <c r="H79" i="36"/>
  <c r="N79" i="36" s="1"/>
  <c r="D79" i="36"/>
  <c r="L79" i="36" s="1"/>
  <c r="B79" i="36"/>
  <c r="X78" i="36"/>
  <c r="Z78" i="36" s="1"/>
  <c r="N78" i="36"/>
  <c r="L78" i="36"/>
  <c r="B78" i="36"/>
  <c r="X77" i="36"/>
  <c r="T77" i="36"/>
  <c r="P77" i="36"/>
  <c r="N77" i="36"/>
  <c r="H77" i="36"/>
  <c r="D77" i="36"/>
  <c r="L77" i="36" s="1"/>
  <c r="B77" i="36"/>
  <c r="Z76" i="36"/>
  <c r="X76" i="36"/>
  <c r="L76" i="36"/>
  <c r="N76" i="36" s="1"/>
  <c r="B76" i="36"/>
  <c r="T75" i="36"/>
  <c r="P75" i="36"/>
  <c r="N75" i="36"/>
  <c r="H75" i="36"/>
  <c r="D75" i="36"/>
  <c r="L75" i="36" s="1"/>
  <c r="B75" i="36"/>
  <c r="Z74" i="36"/>
  <c r="X74" i="36"/>
  <c r="N74" i="36"/>
  <c r="L74" i="36"/>
  <c r="B74" i="36"/>
  <c r="X73" i="36"/>
  <c r="Z73" i="36" s="1"/>
  <c r="N73" i="36"/>
  <c r="L73" i="36"/>
  <c r="B73" i="36"/>
  <c r="X72" i="36"/>
  <c r="Z72" i="36" s="1"/>
  <c r="T72" i="36"/>
  <c r="P72" i="36"/>
  <c r="H72" i="36"/>
  <c r="D72" i="36"/>
  <c r="L72" i="36" s="1"/>
  <c r="N72" i="36" s="1"/>
  <c r="B72" i="36"/>
  <c r="Z71" i="36"/>
  <c r="X71" i="36"/>
  <c r="L71" i="36"/>
  <c r="N71" i="36" s="1"/>
  <c r="B71" i="36"/>
  <c r="T70" i="36"/>
  <c r="P70" i="36"/>
  <c r="H70" i="36"/>
  <c r="D70" i="36"/>
  <c r="L70" i="36" s="1"/>
  <c r="N70" i="36" s="1"/>
  <c r="B70" i="36"/>
  <c r="Z69" i="36"/>
  <c r="X69" i="36"/>
  <c r="L69" i="36"/>
  <c r="N69" i="36" s="1"/>
  <c r="B69" i="36"/>
  <c r="T68" i="36"/>
  <c r="P68" i="36"/>
  <c r="H68" i="36"/>
  <c r="D68" i="36"/>
  <c r="L68" i="36" s="1"/>
  <c r="N68" i="36" s="1"/>
  <c r="B68" i="36"/>
  <c r="X67" i="36"/>
  <c r="Z67" i="36" s="1"/>
  <c r="N67" i="36"/>
  <c r="L67" i="36"/>
  <c r="B67" i="36"/>
  <c r="Z66" i="36"/>
  <c r="T66" i="36"/>
  <c r="P66" i="36"/>
  <c r="X66" i="36" s="1"/>
  <c r="L66" i="36"/>
  <c r="N66" i="36" s="1"/>
  <c r="H66" i="36"/>
  <c r="D66" i="36"/>
  <c r="B66" i="36"/>
  <c r="X65" i="36"/>
  <c r="Z65" i="36" s="1"/>
  <c r="N65" i="36"/>
  <c r="L65" i="36"/>
  <c r="B65" i="36"/>
  <c r="T64" i="36"/>
  <c r="P64" i="36"/>
  <c r="X64" i="36" s="1"/>
  <c r="Z64" i="36" s="1"/>
  <c r="N64" i="36"/>
  <c r="L64" i="36"/>
  <c r="H64" i="36"/>
  <c r="D64" i="36"/>
  <c r="B64" i="36"/>
  <c r="Z63" i="36"/>
  <c r="X63" i="36"/>
  <c r="N63" i="36"/>
  <c r="L63" i="36"/>
  <c r="B63" i="36"/>
  <c r="Z62" i="36"/>
  <c r="T62" i="36"/>
  <c r="P62" i="36"/>
  <c r="X62" i="36" s="1"/>
  <c r="H62" i="36"/>
  <c r="N62" i="36" s="1"/>
  <c r="D62" i="36"/>
  <c r="B62" i="36"/>
  <c r="X61" i="36"/>
  <c r="Z61" i="36" s="1"/>
  <c r="L61" i="36"/>
  <c r="N61" i="36" s="1"/>
  <c r="B61" i="36"/>
  <c r="X60" i="36"/>
  <c r="Z60" i="36" s="1"/>
  <c r="N60" i="36"/>
  <c r="L60" i="36"/>
  <c r="J60" i="36"/>
  <c r="B60" i="36"/>
  <c r="X59" i="36"/>
  <c r="Z59" i="36" s="1"/>
  <c r="N59" i="36"/>
  <c r="L59" i="36"/>
  <c r="B59" i="36"/>
  <c r="Z58" i="36"/>
  <c r="T58" i="36"/>
  <c r="P58" i="36"/>
  <c r="X58" i="36" s="1"/>
  <c r="L58" i="36"/>
  <c r="H58" i="36"/>
  <c r="D58" i="36"/>
  <c r="B58" i="36"/>
  <c r="X57" i="36"/>
  <c r="Z57" i="36" s="1"/>
  <c r="N57" i="36"/>
  <c r="L57" i="36"/>
  <c r="B57" i="36"/>
  <c r="T56" i="36"/>
  <c r="P56" i="36"/>
  <c r="X56" i="36" s="1"/>
  <c r="Z56" i="36" s="1"/>
  <c r="N56" i="36"/>
  <c r="L56" i="36"/>
  <c r="H56" i="36"/>
  <c r="D56" i="36"/>
  <c r="B56" i="36"/>
  <c r="X55" i="36"/>
  <c r="Z55" i="36" s="1"/>
  <c r="L55" i="36"/>
  <c r="N55" i="36" s="1"/>
  <c r="B55" i="36"/>
  <c r="T54" i="36"/>
  <c r="X54" i="36" s="1"/>
  <c r="Z54" i="36" s="1"/>
  <c r="P54" i="36"/>
  <c r="H54" i="36"/>
  <c r="D54" i="36"/>
  <c r="B54" i="36"/>
  <c r="X53" i="36"/>
  <c r="Z53" i="36" s="1"/>
  <c r="L53" i="36"/>
  <c r="N53" i="36" s="1"/>
  <c r="B53" i="36"/>
  <c r="X52" i="36"/>
  <c r="T52" i="36"/>
  <c r="P52" i="36"/>
  <c r="N52" i="36"/>
  <c r="H52" i="36"/>
  <c r="D52" i="36"/>
  <c r="L52" i="36" s="1"/>
  <c r="B52" i="36"/>
  <c r="Z51" i="36"/>
  <c r="X51" i="36"/>
  <c r="L51" i="36"/>
  <c r="N51" i="36" s="1"/>
  <c r="B51" i="36"/>
  <c r="Z50" i="36"/>
  <c r="X50" i="36"/>
  <c r="N50" i="36"/>
  <c r="L50" i="36"/>
  <c r="B50" i="36"/>
  <c r="X49" i="36"/>
  <c r="Z49" i="36" s="1"/>
  <c r="N49" i="36"/>
  <c r="L49" i="36"/>
  <c r="B49" i="36"/>
  <c r="Z48" i="36"/>
  <c r="X48" i="36"/>
  <c r="N48" i="36"/>
  <c r="L48" i="36"/>
  <c r="B48" i="36"/>
  <c r="Z47" i="36"/>
  <c r="X47" i="36"/>
  <c r="L47" i="36"/>
  <c r="N47" i="36" s="1"/>
  <c r="B47" i="36"/>
  <c r="Z46" i="36"/>
  <c r="X46" i="36"/>
  <c r="N46" i="36"/>
  <c r="L46" i="36"/>
  <c r="B46" i="36"/>
  <c r="X45" i="36"/>
  <c r="Z45" i="36" s="1"/>
  <c r="N45" i="36"/>
  <c r="L45" i="36"/>
  <c r="B45" i="36"/>
  <c r="T44" i="36"/>
  <c r="P44" i="36"/>
  <c r="X44" i="36" s="1"/>
  <c r="Z44" i="36" s="1"/>
  <c r="H44" i="36"/>
  <c r="D44" i="36"/>
  <c r="B44" i="36"/>
  <c r="X43" i="36"/>
  <c r="Z43" i="36" s="1"/>
  <c r="N43" i="36"/>
  <c r="L43" i="36"/>
  <c r="B43" i="36"/>
  <c r="Z42" i="36"/>
  <c r="X42" i="36"/>
  <c r="N42" i="36"/>
  <c r="L42" i="36"/>
  <c r="B42" i="36"/>
  <c r="Z41" i="36"/>
  <c r="X41" i="36"/>
  <c r="V41" i="36"/>
  <c r="L41" i="36"/>
  <c r="N41" i="36" s="1"/>
  <c r="B41" i="36"/>
  <c r="X40" i="36"/>
  <c r="Z40" i="36" s="1"/>
  <c r="L40" i="36"/>
  <c r="N40" i="36" s="1"/>
  <c r="B40" i="36"/>
  <c r="X39" i="36"/>
  <c r="Z39" i="36" s="1"/>
  <c r="N39" i="36"/>
  <c r="L39" i="36"/>
  <c r="B39" i="36"/>
  <c r="Z38" i="36"/>
  <c r="X38" i="36"/>
  <c r="N38" i="36"/>
  <c r="L38" i="36"/>
  <c r="B38" i="36"/>
  <c r="Z37" i="36"/>
  <c r="X37" i="36"/>
  <c r="L37" i="36"/>
  <c r="N37" i="36" s="1"/>
  <c r="B37" i="36"/>
  <c r="X36" i="36"/>
  <c r="Z36" i="36" s="1"/>
  <c r="L36" i="36"/>
  <c r="N36" i="36" s="1"/>
  <c r="B36" i="36"/>
  <c r="X35" i="36"/>
  <c r="Z35" i="36" s="1"/>
  <c r="N35" i="36"/>
  <c r="L35" i="36"/>
  <c r="B35" i="36"/>
  <c r="T34" i="36"/>
  <c r="P34" i="36"/>
  <c r="X34" i="36" s="1"/>
  <c r="Z34" i="36" s="1"/>
  <c r="J34" i="36"/>
  <c r="H34" i="36"/>
  <c r="N34" i="36" s="1"/>
  <c r="D34" i="36"/>
  <c r="L34" i="36" s="1"/>
  <c r="B34" i="36"/>
  <c r="T33" i="36"/>
  <c r="P33" i="36"/>
  <c r="X33" i="36" s="1"/>
  <c r="H33" i="36"/>
  <c r="D33" i="36"/>
  <c r="L33" i="36" s="1"/>
  <c r="N33" i="36" s="1"/>
  <c r="X29" i="36"/>
  <c r="Z29" i="36" s="1"/>
  <c r="L29" i="36"/>
  <c r="N29" i="36" s="1"/>
  <c r="B29" i="36"/>
  <c r="X28" i="36"/>
  <c r="Z28" i="36" s="1"/>
  <c r="N28" i="36"/>
  <c r="L28" i="36"/>
  <c r="B28" i="36"/>
  <c r="Z27" i="36"/>
  <c r="X27" i="36"/>
  <c r="T27" i="36"/>
  <c r="P27" i="36"/>
  <c r="H27" i="36"/>
  <c r="L27" i="36" s="1"/>
  <c r="N27" i="36" s="1"/>
  <c r="D27" i="36"/>
  <c r="X25" i="36"/>
  <c r="T25" i="36"/>
  <c r="Z25" i="36" s="1"/>
  <c r="P25" i="36"/>
  <c r="H25" i="36"/>
  <c r="N25" i="36" s="1"/>
  <c r="D25" i="36"/>
  <c r="L25" i="36" s="1"/>
  <c r="B25" i="36"/>
  <c r="T24" i="36"/>
  <c r="P24" i="36"/>
  <c r="X24" i="36" s="1"/>
  <c r="Z24" i="36" s="1"/>
  <c r="N24" i="36"/>
  <c r="L24" i="36"/>
  <c r="H24" i="36"/>
  <c r="D24" i="36"/>
  <c r="B24" i="36"/>
  <c r="Z23" i="36"/>
  <c r="X23" i="36"/>
  <c r="T23" i="36"/>
  <c r="P23" i="36"/>
  <c r="H23" i="36"/>
  <c r="N23" i="36" s="1"/>
  <c r="D23" i="36"/>
  <c r="L23" i="36" s="1"/>
  <c r="B23" i="36"/>
  <c r="T22" i="36"/>
  <c r="P22" i="36"/>
  <c r="X22" i="36" s="1"/>
  <c r="Z22" i="36" s="1"/>
  <c r="H22" i="36"/>
  <c r="L22" i="36" s="1"/>
  <c r="N22" i="36" s="1"/>
  <c r="D22" i="36"/>
  <c r="B22" i="36"/>
  <c r="X21" i="36"/>
  <c r="T21" i="36"/>
  <c r="P21" i="36"/>
  <c r="H21" i="36"/>
  <c r="N21" i="36" s="1"/>
  <c r="D21" i="36"/>
  <c r="L21" i="36" s="1"/>
  <c r="B21" i="36"/>
  <c r="T20" i="36"/>
  <c r="P20" i="36"/>
  <c r="X20" i="36" s="1"/>
  <c r="Z20" i="36" s="1"/>
  <c r="N20" i="36"/>
  <c r="L20" i="36"/>
  <c r="H20" i="36"/>
  <c r="D20" i="36"/>
  <c r="B20" i="36"/>
  <c r="Z19" i="36"/>
  <c r="X19" i="36"/>
  <c r="T19" i="36"/>
  <c r="P19" i="36"/>
  <c r="H19" i="36"/>
  <c r="D19" i="36"/>
  <c r="L19" i="36" s="1"/>
  <c r="B19" i="36"/>
  <c r="T18" i="36"/>
  <c r="P18" i="36"/>
  <c r="X18" i="36" s="1"/>
  <c r="Z18" i="36" s="1"/>
  <c r="N18" i="36"/>
  <c r="H18" i="36"/>
  <c r="L18" i="36" s="1"/>
  <c r="D18" i="36"/>
  <c r="B18" i="36"/>
  <c r="X17" i="36"/>
  <c r="T17" i="36"/>
  <c r="P17" i="36"/>
  <c r="H17" i="36"/>
  <c r="N17" i="36" s="1"/>
  <c r="D17" i="36"/>
  <c r="L17" i="36" s="1"/>
  <c r="B17" i="36"/>
  <c r="T16" i="36"/>
  <c r="P16" i="36"/>
  <c r="X16" i="36" s="1"/>
  <c r="N16" i="36"/>
  <c r="L16" i="36"/>
  <c r="H16" i="36"/>
  <c r="D16" i="36"/>
  <c r="B16" i="36"/>
  <c r="Z15" i="36"/>
  <c r="X15" i="36"/>
  <c r="T15" i="36"/>
  <c r="P15" i="36"/>
  <c r="H15" i="36"/>
  <c r="D15" i="36"/>
  <c r="L15" i="36" s="1"/>
  <c r="B15" i="36"/>
  <c r="T14" i="36"/>
  <c r="P14" i="36"/>
  <c r="X14" i="36" s="1"/>
  <c r="Z14" i="36" s="1"/>
  <c r="H14" i="36"/>
  <c r="L14" i="36" s="1"/>
  <c r="N14" i="36" s="1"/>
  <c r="D14" i="36"/>
  <c r="B14" i="36"/>
  <c r="X13" i="36"/>
  <c r="T13" i="36"/>
  <c r="T12" i="36" s="1"/>
  <c r="P13" i="36"/>
  <c r="P12" i="36" s="1"/>
  <c r="R56" i="36" s="1"/>
  <c r="H13" i="36"/>
  <c r="H12" i="36" s="1"/>
  <c r="J70" i="36" s="1"/>
  <c r="D13" i="36"/>
  <c r="B13" i="36"/>
  <c r="D4" i="36"/>
  <c r="X104" i="33"/>
  <c r="Z104" i="33" s="1"/>
  <c r="L104" i="33"/>
  <c r="N104" i="33" s="1"/>
  <c r="T100" i="33"/>
  <c r="Z100" i="33" s="1"/>
  <c r="P100" i="33"/>
  <c r="X100" i="33" s="1"/>
  <c r="H100" i="33"/>
  <c r="N100" i="33" s="1"/>
  <c r="D100" i="33"/>
  <c r="B100" i="33"/>
  <c r="X99" i="33"/>
  <c r="T99" i="33"/>
  <c r="Z99" i="33" s="1"/>
  <c r="P99" i="33"/>
  <c r="H99" i="33"/>
  <c r="N99" i="33" s="1"/>
  <c r="D99" i="33"/>
  <c r="L99" i="33" s="1"/>
  <c r="B99" i="33"/>
  <c r="Z98" i="33"/>
  <c r="X98" i="33"/>
  <c r="T98" i="33"/>
  <c r="P98" i="33"/>
  <c r="L98" i="33"/>
  <c r="H98" i="33"/>
  <c r="N98" i="33" s="1"/>
  <c r="D98" i="33"/>
  <c r="B98" i="33"/>
  <c r="Z97" i="33"/>
  <c r="X97" i="33"/>
  <c r="T97" i="33"/>
  <c r="P97" i="33"/>
  <c r="N97" i="33"/>
  <c r="L97" i="33"/>
  <c r="H97" i="33"/>
  <c r="D97" i="33"/>
  <c r="B97" i="33"/>
  <c r="T96" i="33"/>
  <c r="P96" i="33"/>
  <c r="X96" i="33" s="1"/>
  <c r="Z96" i="33" s="1"/>
  <c r="N96" i="33"/>
  <c r="H96" i="33"/>
  <c r="D96" i="33"/>
  <c r="L96" i="33" s="1"/>
  <c r="B96" i="33"/>
  <c r="T95" i="33"/>
  <c r="R95" i="33"/>
  <c r="P95" i="33"/>
  <c r="H95" i="33"/>
  <c r="N95" i="33" s="1"/>
  <c r="D95" i="33"/>
  <c r="L95" i="33" s="1"/>
  <c r="B95" i="33"/>
  <c r="T94" i="33"/>
  <c r="Z92" i="33"/>
  <c r="X92" i="33"/>
  <c r="N92" i="33"/>
  <c r="L92" i="33"/>
  <c r="B92" i="33"/>
  <c r="Z91" i="33"/>
  <c r="X91" i="33"/>
  <c r="T91" i="33"/>
  <c r="P91" i="33"/>
  <c r="N91" i="33"/>
  <c r="L91" i="33"/>
  <c r="H91" i="33"/>
  <c r="D91" i="33"/>
  <c r="B91" i="33"/>
  <c r="X90" i="33"/>
  <c r="Z90" i="33" s="1"/>
  <c r="L90" i="33"/>
  <c r="N90" i="33" s="1"/>
  <c r="B90" i="33"/>
  <c r="X89" i="33"/>
  <c r="T89" i="33"/>
  <c r="Z89" i="33" s="1"/>
  <c r="P89" i="33"/>
  <c r="J89" i="33"/>
  <c r="H89" i="33"/>
  <c r="D89" i="33"/>
  <c r="L89" i="33" s="1"/>
  <c r="B89" i="33"/>
  <c r="Z88" i="33"/>
  <c r="X88" i="33"/>
  <c r="L88" i="33"/>
  <c r="N88" i="33" s="1"/>
  <c r="B88" i="33"/>
  <c r="Z87" i="33"/>
  <c r="X87" i="33"/>
  <c r="N87" i="33"/>
  <c r="L87" i="33"/>
  <c r="B87" i="33"/>
  <c r="X86" i="33"/>
  <c r="Z86" i="33" s="1"/>
  <c r="N86" i="33"/>
  <c r="L86" i="33"/>
  <c r="B86" i="33"/>
  <c r="Z85" i="33"/>
  <c r="X85" i="33"/>
  <c r="N85" i="33"/>
  <c r="L85" i="33"/>
  <c r="B85" i="33"/>
  <c r="Z84" i="33"/>
  <c r="X84" i="33"/>
  <c r="N84" i="33"/>
  <c r="L84" i="33"/>
  <c r="B84" i="33"/>
  <c r="T83" i="33"/>
  <c r="P83" i="33"/>
  <c r="X83" i="33" s="1"/>
  <c r="H83" i="33"/>
  <c r="D83" i="33"/>
  <c r="L83" i="33" s="1"/>
  <c r="N83" i="33" s="1"/>
  <c r="B83" i="33"/>
  <c r="Z82" i="33"/>
  <c r="X82" i="33"/>
  <c r="N82" i="33"/>
  <c r="L82" i="33"/>
  <c r="B82" i="33"/>
  <c r="Z81" i="33"/>
  <c r="X81" i="33"/>
  <c r="T81" i="33"/>
  <c r="P81" i="33"/>
  <c r="N81" i="33"/>
  <c r="L81" i="33"/>
  <c r="H81" i="33"/>
  <c r="D81" i="33"/>
  <c r="B81" i="33"/>
  <c r="Z80" i="33"/>
  <c r="X80" i="33"/>
  <c r="N80" i="33"/>
  <c r="L80" i="33"/>
  <c r="B80" i="33"/>
  <c r="Z79" i="33"/>
  <c r="X79" i="33"/>
  <c r="V79" i="33"/>
  <c r="N79" i="33"/>
  <c r="L79" i="33"/>
  <c r="B79" i="33"/>
  <c r="T78" i="33"/>
  <c r="P78" i="33"/>
  <c r="X78" i="33" s="1"/>
  <c r="Z78" i="33" s="1"/>
  <c r="H78" i="33"/>
  <c r="D78" i="33"/>
  <c r="L78" i="33" s="1"/>
  <c r="N78" i="33" s="1"/>
  <c r="B78" i="33"/>
  <c r="Z77" i="33"/>
  <c r="X77" i="33"/>
  <c r="N77" i="33"/>
  <c r="L77" i="33"/>
  <c r="B77" i="33"/>
  <c r="Z76" i="33"/>
  <c r="X76" i="33"/>
  <c r="L76" i="33"/>
  <c r="N76" i="33" s="1"/>
  <c r="B76" i="33"/>
  <c r="Z75" i="33"/>
  <c r="X75" i="33"/>
  <c r="N75" i="33"/>
  <c r="L75" i="33"/>
  <c r="B75" i="33"/>
  <c r="X74" i="33"/>
  <c r="T74" i="33"/>
  <c r="Z74" i="33" s="1"/>
  <c r="P74" i="33"/>
  <c r="H74" i="33"/>
  <c r="D74" i="33"/>
  <c r="L74" i="33" s="1"/>
  <c r="N74" i="33" s="1"/>
  <c r="B74" i="33"/>
  <c r="Z73" i="33"/>
  <c r="X73" i="33"/>
  <c r="L73" i="33"/>
  <c r="N73" i="33" s="1"/>
  <c r="B73" i="33"/>
  <c r="T72" i="33"/>
  <c r="P72" i="33"/>
  <c r="H72" i="33"/>
  <c r="D72" i="33"/>
  <c r="L72" i="33" s="1"/>
  <c r="B72" i="33"/>
  <c r="Z71" i="33"/>
  <c r="X71" i="33"/>
  <c r="V71" i="33"/>
  <c r="N71" i="33"/>
  <c r="L71" i="33"/>
  <c r="B71" i="33"/>
  <c r="X70" i="33"/>
  <c r="Z70" i="33" s="1"/>
  <c r="L70" i="33"/>
  <c r="N70" i="33" s="1"/>
  <c r="B70" i="33"/>
  <c r="X69" i="33"/>
  <c r="T69" i="33"/>
  <c r="Z69" i="33" s="1"/>
  <c r="P69" i="33"/>
  <c r="J69" i="33"/>
  <c r="H69" i="33"/>
  <c r="N69" i="33" s="1"/>
  <c r="D69" i="33"/>
  <c r="L69" i="33" s="1"/>
  <c r="B69" i="33"/>
  <c r="Z68" i="33"/>
  <c r="X68" i="33"/>
  <c r="L68" i="33"/>
  <c r="N68" i="33" s="1"/>
  <c r="B68" i="33"/>
  <c r="T67" i="33"/>
  <c r="P67" i="33"/>
  <c r="X67" i="33" s="1"/>
  <c r="H67" i="33"/>
  <c r="D67" i="33"/>
  <c r="L67" i="33" s="1"/>
  <c r="N67" i="33" s="1"/>
  <c r="B67" i="33"/>
  <c r="X66" i="33"/>
  <c r="Z66" i="33" s="1"/>
  <c r="L66" i="33"/>
  <c r="N66" i="33" s="1"/>
  <c r="B66" i="33"/>
  <c r="Z65" i="33"/>
  <c r="X65" i="33"/>
  <c r="T65" i="33"/>
  <c r="P65" i="33"/>
  <c r="N65" i="33"/>
  <c r="L65" i="33"/>
  <c r="H65" i="33"/>
  <c r="D65" i="33"/>
  <c r="B65" i="33"/>
  <c r="Z64" i="33"/>
  <c r="X64" i="33"/>
  <c r="N64" i="33"/>
  <c r="L64" i="33"/>
  <c r="B64" i="33"/>
  <c r="V63" i="33"/>
  <c r="T63" i="33"/>
  <c r="Z63" i="33" s="1"/>
  <c r="P63" i="33"/>
  <c r="X63" i="33" s="1"/>
  <c r="L63" i="33"/>
  <c r="H63" i="33"/>
  <c r="N63" i="33" s="1"/>
  <c r="D63" i="33"/>
  <c r="B63" i="33"/>
  <c r="X62" i="33"/>
  <c r="Z62" i="33" s="1"/>
  <c r="L62" i="33"/>
  <c r="N62" i="33" s="1"/>
  <c r="B62" i="33"/>
  <c r="T61" i="33"/>
  <c r="P61" i="33"/>
  <c r="X61" i="33" s="1"/>
  <c r="Z61" i="33" s="1"/>
  <c r="H61" i="33"/>
  <c r="D61" i="33"/>
  <c r="L61" i="33" s="1"/>
  <c r="B61" i="33"/>
  <c r="X60" i="33"/>
  <c r="Z60" i="33" s="1"/>
  <c r="R60" i="33"/>
  <c r="N60" i="33"/>
  <c r="L60" i="33"/>
  <c r="B60" i="33"/>
  <c r="Z59" i="33"/>
  <c r="X59" i="33"/>
  <c r="N59" i="33"/>
  <c r="L59" i="33"/>
  <c r="B59" i="33"/>
  <c r="X58" i="33"/>
  <c r="Z58" i="33" s="1"/>
  <c r="N58" i="33"/>
  <c r="L58" i="33"/>
  <c r="B58" i="33"/>
  <c r="Z57" i="33"/>
  <c r="X57" i="33"/>
  <c r="L57" i="33"/>
  <c r="N57" i="33" s="1"/>
  <c r="B57" i="33"/>
  <c r="X56" i="33"/>
  <c r="Z56" i="33" s="1"/>
  <c r="R56" i="33"/>
  <c r="N56" i="33"/>
  <c r="L56" i="33"/>
  <c r="B56" i="33"/>
  <c r="Z55" i="33"/>
  <c r="X55" i="33"/>
  <c r="N55" i="33"/>
  <c r="L55" i="33"/>
  <c r="B55" i="33"/>
  <c r="T54" i="33"/>
  <c r="P54" i="33"/>
  <c r="X54" i="33" s="1"/>
  <c r="H54" i="33"/>
  <c r="D54" i="33"/>
  <c r="B54" i="33"/>
  <c r="X53" i="33"/>
  <c r="Z53" i="33" s="1"/>
  <c r="N53" i="33"/>
  <c r="L53" i="33"/>
  <c r="B53" i="33"/>
  <c r="Z52" i="33"/>
  <c r="X52" i="33"/>
  <c r="N52" i="33"/>
  <c r="L52" i="33"/>
  <c r="B52" i="33"/>
  <c r="Z51" i="33"/>
  <c r="X51" i="33"/>
  <c r="V51" i="33"/>
  <c r="N51" i="33"/>
  <c r="L51" i="33"/>
  <c r="B51" i="33"/>
  <c r="X50" i="33"/>
  <c r="Z50" i="33" s="1"/>
  <c r="N50" i="33"/>
  <c r="L50" i="33"/>
  <c r="B50" i="33"/>
  <c r="X49" i="33"/>
  <c r="Z49" i="33" s="1"/>
  <c r="N49" i="33"/>
  <c r="L49" i="33"/>
  <c r="B49" i="33"/>
  <c r="Z48" i="33"/>
  <c r="X48" i="33"/>
  <c r="N48" i="33"/>
  <c r="L48" i="33"/>
  <c r="B48" i="33"/>
  <c r="Z47" i="33"/>
  <c r="X47" i="33"/>
  <c r="V47" i="33"/>
  <c r="L47" i="33"/>
  <c r="N47" i="33" s="1"/>
  <c r="B47" i="33"/>
  <c r="X46" i="33"/>
  <c r="Z46" i="33" s="1"/>
  <c r="L46" i="33"/>
  <c r="N46" i="33" s="1"/>
  <c r="B46" i="33"/>
  <c r="X45" i="33"/>
  <c r="T45" i="33"/>
  <c r="Z45" i="33" s="1"/>
  <c r="P45" i="33"/>
  <c r="H45" i="33"/>
  <c r="D45" i="33"/>
  <c r="L45" i="33" s="1"/>
  <c r="B45" i="33"/>
  <c r="T44" i="33"/>
  <c r="P44" i="33"/>
  <c r="X44" i="33" s="1"/>
  <c r="L44" i="33"/>
  <c r="H44" i="33"/>
  <c r="D44" i="33"/>
  <c r="Z40" i="33"/>
  <c r="X40" i="33"/>
  <c r="L40" i="33"/>
  <c r="N40" i="33" s="1"/>
  <c r="B40" i="33"/>
  <c r="X39" i="33"/>
  <c r="Z39" i="33" s="1"/>
  <c r="N39" i="33"/>
  <c r="L39" i="33"/>
  <c r="B39" i="33"/>
  <c r="X38" i="33"/>
  <c r="Z38" i="33" s="1"/>
  <c r="L38" i="33"/>
  <c r="N38" i="33" s="1"/>
  <c r="B38" i="33"/>
  <c r="Z37" i="33"/>
  <c r="X37" i="33"/>
  <c r="N37" i="33"/>
  <c r="L37" i="33"/>
  <c r="B37" i="33"/>
  <c r="Z36" i="33"/>
  <c r="X36" i="33"/>
  <c r="L36" i="33"/>
  <c r="N36" i="33" s="1"/>
  <c r="B36" i="33"/>
  <c r="T35" i="33"/>
  <c r="P35" i="33"/>
  <c r="H35" i="33"/>
  <c r="D35" i="33"/>
  <c r="L35" i="33" s="1"/>
  <c r="N35" i="33" s="1"/>
  <c r="T33" i="33"/>
  <c r="Z33" i="33" s="1"/>
  <c r="P33" i="33"/>
  <c r="X33" i="33" s="1"/>
  <c r="H33" i="33"/>
  <c r="N33" i="33" s="1"/>
  <c r="D33" i="33"/>
  <c r="B33" i="33"/>
  <c r="X32" i="33"/>
  <c r="T32" i="33"/>
  <c r="Z32" i="33" s="1"/>
  <c r="P32" i="33"/>
  <c r="H32" i="33"/>
  <c r="N32" i="33" s="1"/>
  <c r="D32" i="33"/>
  <c r="B32" i="33"/>
  <c r="T31" i="33"/>
  <c r="Z31" i="33" s="1"/>
  <c r="P31" i="33"/>
  <c r="N31" i="33"/>
  <c r="L31" i="33"/>
  <c r="H31" i="33"/>
  <c r="D31" i="33"/>
  <c r="B31" i="33"/>
  <c r="T30" i="33"/>
  <c r="P30" i="33"/>
  <c r="X30" i="33" s="1"/>
  <c r="Z30" i="33" s="1"/>
  <c r="N30" i="33"/>
  <c r="H30" i="33"/>
  <c r="D30" i="33"/>
  <c r="L30" i="33" s="1"/>
  <c r="B30" i="33"/>
  <c r="T29" i="33"/>
  <c r="P29" i="33"/>
  <c r="X29" i="33" s="1"/>
  <c r="H29" i="33"/>
  <c r="N29" i="33" s="1"/>
  <c r="D29" i="33"/>
  <c r="B29" i="33"/>
  <c r="X28" i="33"/>
  <c r="T28" i="33"/>
  <c r="P28" i="33"/>
  <c r="L28" i="33"/>
  <c r="H28" i="33"/>
  <c r="N28" i="33" s="1"/>
  <c r="D28" i="33"/>
  <c r="B28" i="33"/>
  <c r="T27" i="33"/>
  <c r="Z27" i="33" s="1"/>
  <c r="P27" i="33"/>
  <c r="N27" i="33"/>
  <c r="L27" i="33"/>
  <c r="H27" i="33"/>
  <c r="D27" i="33"/>
  <c r="B27" i="33"/>
  <c r="T26" i="33"/>
  <c r="P26" i="33"/>
  <c r="X26" i="33" s="1"/>
  <c r="Z26" i="33" s="1"/>
  <c r="N26" i="33"/>
  <c r="H26" i="33"/>
  <c r="D26" i="33"/>
  <c r="L26" i="33" s="1"/>
  <c r="B26" i="33"/>
  <c r="T25" i="33"/>
  <c r="Z25" i="33" s="1"/>
  <c r="P25" i="33"/>
  <c r="X25" i="33" s="1"/>
  <c r="H25" i="33"/>
  <c r="D25" i="33"/>
  <c r="B25" i="33"/>
  <c r="X24" i="33"/>
  <c r="T24" i="33"/>
  <c r="Z24" i="33" s="1"/>
  <c r="P24" i="33"/>
  <c r="L24" i="33"/>
  <c r="H24" i="33"/>
  <c r="N24" i="33" s="1"/>
  <c r="D24" i="33"/>
  <c r="B24" i="33"/>
  <c r="T23" i="33"/>
  <c r="P23" i="33"/>
  <c r="N23" i="33"/>
  <c r="L23" i="33"/>
  <c r="H23" i="33"/>
  <c r="D23" i="33"/>
  <c r="B23" i="33"/>
  <c r="T22" i="33"/>
  <c r="P22" i="33"/>
  <c r="X22" i="33" s="1"/>
  <c r="Z22" i="33" s="1"/>
  <c r="H22" i="33"/>
  <c r="D22" i="33"/>
  <c r="L22" i="33" s="1"/>
  <c r="N22" i="33" s="1"/>
  <c r="B22" i="33"/>
  <c r="T21" i="33"/>
  <c r="Z21" i="33" s="1"/>
  <c r="P21" i="33"/>
  <c r="X21" i="33" s="1"/>
  <c r="H21" i="33"/>
  <c r="D21" i="33"/>
  <c r="B21" i="33"/>
  <c r="X20" i="33"/>
  <c r="T20" i="33"/>
  <c r="Z20" i="33" s="1"/>
  <c r="P20" i="33"/>
  <c r="L20" i="33"/>
  <c r="H20" i="33"/>
  <c r="N20" i="33" s="1"/>
  <c r="D20" i="33"/>
  <c r="B20" i="33"/>
  <c r="T19" i="33"/>
  <c r="P19" i="33"/>
  <c r="N19" i="33"/>
  <c r="L19" i="33"/>
  <c r="H19" i="33"/>
  <c r="D19" i="33"/>
  <c r="B19" i="33"/>
  <c r="Z18" i="33"/>
  <c r="T18" i="33"/>
  <c r="P18" i="33"/>
  <c r="X18" i="33" s="1"/>
  <c r="N18" i="33"/>
  <c r="H18" i="33"/>
  <c r="D18" i="33"/>
  <c r="L18" i="33" s="1"/>
  <c r="B18" i="33"/>
  <c r="T17" i="33"/>
  <c r="P17" i="33"/>
  <c r="X17" i="33" s="1"/>
  <c r="H17" i="33"/>
  <c r="D17" i="33"/>
  <c r="B17" i="33"/>
  <c r="X16" i="33"/>
  <c r="T16" i="33"/>
  <c r="Z16" i="33" s="1"/>
  <c r="P16" i="33"/>
  <c r="L16" i="33"/>
  <c r="H16" i="33"/>
  <c r="N16" i="33" s="1"/>
  <c r="D16" i="33"/>
  <c r="B16" i="33"/>
  <c r="T15" i="33"/>
  <c r="P15" i="33"/>
  <c r="N15" i="33"/>
  <c r="L15" i="33"/>
  <c r="H15" i="33"/>
  <c r="D15" i="33"/>
  <c r="B15" i="33"/>
  <c r="T14" i="33"/>
  <c r="P14" i="33"/>
  <c r="X14" i="33" s="1"/>
  <c r="Z14" i="33" s="1"/>
  <c r="H14" i="33"/>
  <c r="D14" i="33"/>
  <c r="B14" i="33"/>
  <c r="T13" i="33"/>
  <c r="P13" i="33"/>
  <c r="P12" i="33" s="1"/>
  <c r="X12" i="33" s="1"/>
  <c r="H13" i="33"/>
  <c r="H12" i="33" s="1"/>
  <c r="J59" i="33" s="1"/>
  <c r="D13" i="33"/>
  <c r="B13" i="33"/>
  <c r="T12" i="33"/>
  <c r="V81" i="33" s="1"/>
  <c r="D4" i="33"/>
  <c r="Z167" i="30"/>
  <c r="X167" i="30"/>
  <c r="V167" i="30"/>
  <c r="L167" i="30"/>
  <c r="N167" i="30" s="1"/>
  <c r="X163" i="30"/>
  <c r="Z163" i="30" s="1"/>
  <c r="T163" i="30"/>
  <c r="P163" i="30"/>
  <c r="N163" i="30"/>
  <c r="L163" i="30"/>
  <c r="H163" i="30"/>
  <c r="D163" i="30"/>
  <c r="D162" i="30" s="1"/>
  <c r="L162" i="30" s="1"/>
  <c r="B163" i="30"/>
  <c r="T162" i="30"/>
  <c r="Z162" i="30" s="1"/>
  <c r="P162" i="30"/>
  <c r="X162" i="30" s="1"/>
  <c r="N162" i="30"/>
  <c r="H162" i="30"/>
  <c r="Z160" i="30"/>
  <c r="X160" i="30"/>
  <c r="L160" i="30"/>
  <c r="N160" i="30" s="1"/>
  <c r="B160" i="30"/>
  <c r="T159" i="30"/>
  <c r="X159" i="30" s="1"/>
  <c r="Z159" i="30" s="1"/>
  <c r="P159" i="30"/>
  <c r="H159" i="30"/>
  <c r="D159" i="30"/>
  <c r="B159" i="30"/>
  <c r="Z158" i="30"/>
  <c r="X158" i="30"/>
  <c r="L158" i="30"/>
  <c r="N158" i="30" s="1"/>
  <c r="B158" i="30"/>
  <c r="Z157" i="30"/>
  <c r="X157" i="30"/>
  <c r="N157" i="30"/>
  <c r="L157" i="30"/>
  <c r="B157" i="30"/>
  <c r="X156" i="30"/>
  <c r="T156" i="30"/>
  <c r="Z156" i="30" s="1"/>
  <c r="P156" i="30"/>
  <c r="H156" i="30"/>
  <c r="D156" i="30"/>
  <c r="L156" i="30" s="1"/>
  <c r="B156" i="30"/>
  <c r="X155" i="30"/>
  <c r="Z155" i="30" s="1"/>
  <c r="N155" i="30"/>
  <c r="L155" i="30"/>
  <c r="B155" i="30"/>
  <c r="T154" i="30"/>
  <c r="P154" i="30"/>
  <c r="N154" i="30"/>
  <c r="L154" i="30"/>
  <c r="H154" i="30"/>
  <c r="D154" i="30"/>
  <c r="B154" i="30"/>
  <c r="Z153" i="30"/>
  <c r="X153" i="30"/>
  <c r="V153" i="30"/>
  <c r="L153" i="30"/>
  <c r="N153" i="30" s="1"/>
  <c r="B153" i="30"/>
  <c r="T152" i="30"/>
  <c r="Z152" i="30" s="1"/>
  <c r="P152" i="30"/>
  <c r="X152" i="30" s="1"/>
  <c r="H152" i="30"/>
  <c r="D152" i="30"/>
  <c r="L152" i="30" s="1"/>
  <c r="N152" i="30" s="1"/>
  <c r="B152" i="30"/>
  <c r="Z151" i="30"/>
  <c r="X151" i="30"/>
  <c r="N151" i="30"/>
  <c r="L151" i="30"/>
  <c r="B151" i="30"/>
  <c r="Z150" i="30"/>
  <c r="X150" i="30"/>
  <c r="L150" i="30"/>
  <c r="N150" i="30" s="1"/>
  <c r="B150" i="30"/>
  <c r="X149" i="30"/>
  <c r="Z149" i="30" s="1"/>
  <c r="N149" i="30"/>
  <c r="L149" i="30"/>
  <c r="B149" i="30"/>
  <c r="X148" i="30"/>
  <c r="Z148" i="30" s="1"/>
  <c r="L148" i="30"/>
  <c r="N148" i="30" s="1"/>
  <c r="B148" i="30"/>
  <c r="Z147" i="30"/>
  <c r="X147" i="30"/>
  <c r="N147" i="30"/>
  <c r="L147" i="30"/>
  <c r="B147" i="30"/>
  <c r="Z146" i="30"/>
  <c r="X146" i="30"/>
  <c r="L146" i="30"/>
  <c r="N146" i="30" s="1"/>
  <c r="F146" i="30"/>
  <c r="B146" i="30"/>
  <c r="T145" i="30"/>
  <c r="P145" i="30"/>
  <c r="X145" i="30" s="1"/>
  <c r="H145" i="30"/>
  <c r="D145" i="30"/>
  <c r="L145" i="30" s="1"/>
  <c r="N145" i="30" s="1"/>
  <c r="B145" i="30"/>
  <c r="X144" i="30"/>
  <c r="Z144" i="30" s="1"/>
  <c r="N144" i="30"/>
  <c r="L144" i="30"/>
  <c r="B144" i="30"/>
  <c r="Z143" i="30"/>
  <c r="X143" i="30"/>
  <c r="N143" i="30"/>
  <c r="L143" i="30"/>
  <c r="B143" i="30"/>
  <c r="T142" i="30"/>
  <c r="P142" i="30"/>
  <c r="L142" i="30"/>
  <c r="N142" i="30" s="1"/>
  <c r="H142" i="30"/>
  <c r="D142" i="30"/>
  <c r="B142" i="30"/>
  <c r="Z141" i="30"/>
  <c r="X141" i="30"/>
  <c r="L141" i="30"/>
  <c r="N141" i="30" s="1"/>
  <c r="B141" i="30"/>
  <c r="Z140" i="30"/>
  <c r="X140" i="30"/>
  <c r="L140" i="30"/>
  <c r="N140" i="30" s="1"/>
  <c r="B140" i="30"/>
  <c r="Z139" i="30"/>
  <c r="X139" i="30"/>
  <c r="N139" i="30"/>
  <c r="L139" i="30"/>
  <c r="B139" i="30"/>
  <c r="Z138" i="30"/>
  <c r="T138" i="30"/>
  <c r="P138" i="30"/>
  <c r="X138" i="30" s="1"/>
  <c r="H138" i="30"/>
  <c r="D138" i="30"/>
  <c r="L138" i="30" s="1"/>
  <c r="B138" i="30"/>
  <c r="X137" i="30"/>
  <c r="Z137" i="30" s="1"/>
  <c r="N137" i="30"/>
  <c r="L137" i="30"/>
  <c r="B137" i="30"/>
  <c r="X136" i="30"/>
  <c r="Z136" i="30" s="1"/>
  <c r="N136" i="30"/>
  <c r="L136" i="30"/>
  <c r="B136" i="30"/>
  <c r="T135" i="30"/>
  <c r="P135" i="30"/>
  <c r="X135" i="30" s="1"/>
  <c r="Z135" i="30" s="1"/>
  <c r="H135" i="30"/>
  <c r="N135" i="30" s="1"/>
  <c r="D135" i="30"/>
  <c r="L135" i="30" s="1"/>
  <c r="B135" i="30"/>
  <c r="X134" i="30"/>
  <c r="Z134" i="30" s="1"/>
  <c r="N134" i="30"/>
  <c r="L134" i="30"/>
  <c r="B134" i="30"/>
  <c r="X133" i="30"/>
  <c r="Z133" i="30" s="1"/>
  <c r="N133" i="30"/>
  <c r="L133" i="30"/>
  <c r="B133" i="30"/>
  <c r="X132" i="30"/>
  <c r="Z132" i="30" s="1"/>
  <c r="N132" i="30"/>
  <c r="L132" i="30"/>
  <c r="B132" i="30"/>
  <c r="Z131" i="30"/>
  <c r="X131" i="30"/>
  <c r="T131" i="30"/>
  <c r="P131" i="30"/>
  <c r="L131" i="30"/>
  <c r="N131" i="30" s="1"/>
  <c r="H131" i="30"/>
  <c r="D131" i="30"/>
  <c r="B131" i="30"/>
  <c r="Z130" i="30"/>
  <c r="X130" i="30"/>
  <c r="N130" i="30"/>
  <c r="L130" i="30"/>
  <c r="B130" i="30"/>
  <c r="T129" i="30"/>
  <c r="P129" i="30"/>
  <c r="X129" i="30" s="1"/>
  <c r="H129" i="30"/>
  <c r="D129" i="30"/>
  <c r="B129" i="30"/>
  <c r="X128" i="30"/>
  <c r="Z128" i="30" s="1"/>
  <c r="V128" i="30"/>
  <c r="N128" i="30"/>
  <c r="L128" i="30"/>
  <c r="B128" i="30"/>
  <c r="T127" i="30"/>
  <c r="P127" i="30"/>
  <c r="X127" i="30" s="1"/>
  <c r="Z127" i="30" s="1"/>
  <c r="H127" i="30"/>
  <c r="N127" i="30" s="1"/>
  <c r="D127" i="30"/>
  <c r="L127" i="30" s="1"/>
  <c r="B127" i="30"/>
  <c r="X126" i="30"/>
  <c r="Z126" i="30" s="1"/>
  <c r="N126" i="30"/>
  <c r="L126" i="30"/>
  <c r="B126" i="30"/>
  <c r="X125" i="30"/>
  <c r="Z125" i="30" s="1"/>
  <c r="N125" i="30"/>
  <c r="L125" i="30"/>
  <c r="B125" i="30"/>
  <c r="X124" i="30"/>
  <c r="Z124" i="30" s="1"/>
  <c r="N124" i="30"/>
  <c r="L124" i="30"/>
  <c r="B124" i="30"/>
  <c r="Z123" i="30"/>
  <c r="X123" i="30"/>
  <c r="N123" i="30"/>
  <c r="L123" i="30"/>
  <c r="B123" i="30"/>
  <c r="X122" i="30"/>
  <c r="Z122" i="30" s="1"/>
  <c r="N122" i="30"/>
  <c r="L122" i="30"/>
  <c r="B122" i="30"/>
  <c r="X121" i="30"/>
  <c r="Z121" i="30" s="1"/>
  <c r="N121" i="30"/>
  <c r="L121" i="30"/>
  <c r="B121" i="30"/>
  <c r="X120" i="30"/>
  <c r="Z120" i="30" s="1"/>
  <c r="N120" i="30"/>
  <c r="L120" i="30"/>
  <c r="B120" i="30"/>
  <c r="X119" i="30"/>
  <c r="Z119" i="30" s="1"/>
  <c r="N119" i="30"/>
  <c r="L119" i="30"/>
  <c r="B119" i="30"/>
  <c r="X118" i="30"/>
  <c r="Z118" i="30" s="1"/>
  <c r="N118" i="30"/>
  <c r="L118" i="30"/>
  <c r="B118" i="30"/>
  <c r="X117" i="30"/>
  <c r="Z117" i="30" s="1"/>
  <c r="N117" i="30"/>
  <c r="L117" i="30"/>
  <c r="B117" i="30"/>
  <c r="X116" i="30"/>
  <c r="Z116" i="30" s="1"/>
  <c r="L116" i="30"/>
  <c r="N116" i="30" s="1"/>
  <c r="B116" i="30"/>
  <c r="Z115" i="30"/>
  <c r="X115" i="30"/>
  <c r="N115" i="30"/>
  <c r="L115" i="30"/>
  <c r="B115" i="30"/>
  <c r="X114" i="30"/>
  <c r="Z114" i="30" s="1"/>
  <c r="N114" i="30"/>
  <c r="L114" i="30"/>
  <c r="B114" i="30"/>
  <c r="X113" i="30"/>
  <c r="Z113" i="30" s="1"/>
  <c r="N113" i="30"/>
  <c r="L113" i="30"/>
  <c r="B113" i="30"/>
  <c r="Z112" i="30"/>
  <c r="X112" i="30"/>
  <c r="L112" i="30"/>
  <c r="N112" i="30" s="1"/>
  <c r="B112" i="30"/>
  <c r="Z111" i="30"/>
  <c r="X111" i="30"/>
  <c r="T111" i="30"/>
  <c r="P111" i="30"/>
  <c r="L111" i="30"/>
  <c r="H111" i="30"/>
  <c r="N111" i="30" s="1"/>
  <c r="D111" i="30"/>
  <c r="B111" i="30"/>
  <c r="Z110" i="30"/>
  <c r="X110" i="30"/>
  <c r="N110" i="30"/>
  <c r="L110" i="30"/>
  <c r="B110" i="30"/>
  <c r="T109" i="30"/>
  <c r="P109" i="30"/>
  <c r="H109" i="30"/>
  <c r="D109" i="30"/>
  <c r="B109" i="30"/>
  <c r="X108" i="30"/>
  <c r="Z108" i="30" s="1"/>
  <c r="V108" i="30"/>
  <c r="N108" i="30"/>
  <c r="L108" i="30"/>
  <c r="B108" i="30"/>
  <c r="Z107" i="30"/>
  <c r="T107" i="30"/>
  <c r="P107" i="30"/>
  <c r="X107" i="30" s="1"/>
  <c r="H107" i="30"/>
  <c r="N107" i="30" s="1"/>
  <c r="D107" i="30"/>
  <c r="L107" i="30" s="1"/>
  <c r="B107" i="30"/>
  <c r="Z106" i="30"/>
  <c r="X106" i="30"/>
  <c r="N106" i="30"/>
  <c r="L106" i="30"/>
  <c r="B106" i="30"/>
  <c r="X105" i="30"/>
  <c r="Z105" i="30" s="1"/>
  <c r="N105" i="30"/>
  <c r="L105" i="30"/>
  <c r="B105" i="30"/>
  <c r="X104" i="30"/>
  <c r="Z104" i="30" s="1"/>
  <c r="T104" i="30"/>
  <c r="P104" i="30"/>
  <c r="H104" i="30"/>
  <c r="D104" i="30"/>
  <c r="B104" i="30"/>
  <c r="Z103" i="30"/>
  <c r="X103" i="30"/>
  <c r="N103" i="30"/>
  <c r="L103" i="30"/>
  <c r="B103" i="30"/>
  <c r="T102" i="30"/>
  <c r="X102" i="30" s="1"/>
  <c r="P102" i="30"/>
  <c r="H102" i="30"/>
  <c r="L102" i="30" s="1"/>
  <c r="N102" i="30" s="1"/>
  <c r="D102" i="30"/>
  <c r="B102" i="30"/>
  <c r="Z101" i="30"/>
  <c r="X101" i="30"/>
  <c r="N101" i="30"/>
  <c r="L101" i="30"/>
  <c r="B101" i="30"/>
  <c r="X100" i="30"/>
  <c r="T100" i="30"/>
  <c r="P100" i="30"/>
  <c r="H100" i="30"/>
  <c r="N100" i="30" s="1"/>
  <c r="D100" i="30"/>
  <c r="B100" i="30"/>
  <c r="Z99" i="30"/>
  <c r="X99" i="30"/>
  <c r="N99" i="30"/>
  <c r="L99" i="30"/>
  <c r="B99" i="30"/>
  <c r="X98" i="30"/>
  <c r="Z98" i="30" s="1"/>
  <c r="N98" i="30"/>
  <c r="L98" i="30"/>
  <c r="B98" i="30"/>
  <c r="X97" i="30"/>
  <c r="T97" i="30"/>
  <c r="P97" i="30"/>
  <c r="H97" i="30"/>
  <c r="D97" i="30"/>
  <c r="L97" i="30" s="1"/>
  <c r="N97" i="30" s="1"/>
  <c r="B97" i="30"/>
  <c r="X96" i="30"/>
  <c r="Z96" i="30" s="1"/>
  <c r="L96" i="30"/>
  <c r="N96" i="30" s="1"/>
  <c r="B96" i="30"/>
  <c r="V95" i="30"/>
  <c r="T95" i="30"/>
  <c r="P95" i="30"/>
  <c r="H95" i="30"/>
  <c r="D95" i="30"/>
  <c r="L95" i="30" s="1"/>
  <c r="N95" i="30" s="1"/>
  <c r="B95" i="30"/>
  <c r="Z94" i="30"/>
  <c r="X94" i="30"/>
  <c r="V94" i="30"/>
  <c r="L94" i="30"/>
  <c r="N94" i="30" s="1"/>
  <c r="B94" i="30"/>
  <c r="T93" i="30"/>
  <c r="P93" i="30"/>
  <c r="N93" i="30"/>
  <c r="H93" i="30"/>
  <c r="D93" i="30"/>
  <c r="L93" i="30" s="1"/>
  <c r="B93" i="30"/>
  <c r="X92" i="30"/>
  <c r="Z92" i="30" s="1"/>
  <c r="N92" i="30"/>
  <c r="L92" i="30"/>
  <c r="B92" i="30"/>
  <c r="X91" i="30"/>
  <c r="Z91" i="30" s="1"/>
  <c r="T91" i="30"/>
  <c r="P91" i="30"/>
  <c r="H91" i="30"/>
  <c r="D91" i="30"/>
  <c r="L91" i="30" s="1"/>
  <c r="N91" i="30" s="1"/>
  <c r="B91" i="30"/>
  <c r="X90" i="30"/>
  <c r="Z90" i="30" s="1"/>
  <c r="N90" i="30"/>
  <c r="L90" i="30"/>
  <c r="B90" i="30"/>
  <c r="Z89" i="30"/>
  <c r="X89" i="30"/>
  <c r="N89" i="30"/>
  <c r="L89" i="30"/>
  <c r="B89" i="30"/>
  <c r="X88" i="30"/>
  <c r="Z88" i="30" s="1"/>
  <c r="N88" i="30"/>
  <c r="L88" i="30"/>
  <c r="B88" i="30"/>
  <c r="X87" i="30"/>
  <c r="Z87" i="30" s="1"/>
  <c r="N87" i="30"/>
  <c r="L87" i="30"/>
  <c r="B87" i="30"/>
  <c r="Z86" i="30"/>
  <c r="X86" i="30"/>
  <c r="N86" i="30"/>
  <c r="L86" i="30"/>
  <c r="B86" i="30"/>
  <c r="Z85" i="30"/>
  <c r="X85" i="30"/>
  <c r="N85" i="30"/>
  <c r="L85" i="30"/>
  <c r="B85" i="30"/>
  <c r="T84" i="30"/>
  <c r="P84" i="30"/>
  <c r="L84" i="30"/>
  <c r="N84" i="30" s="1"/>
  <c r="H84" i="30"/>
  <c r="D84" i="30"/>
  <c r="B84" i="30"/>
  <c r="Z83" i="30"/>
  <c r="X83" i="30"/>
  <c r="V83" i="30"/>
  <c r="L83" i="30"/>
  <c r="N83" i="30" s="1"/>
  <c r="B83" i="30"/>
  <c r="X82" i="30"/>
  <c r="Z82" i="30" s="1"/>
  <c r="L82" i="30"/>
  <c r="N82" i="30" s="1"/>
  <c r="B82" i="30"/>
  <c r="Z81" i="30"/>
  <c r="X81" i="30"/>
  <c r="N81" i="30"/>
  <c r="L81" i="30"/>
  <c r="B81" i="30"/>
  <c r="Z80" i="30"/>
  <c r="X80" i="30"/>
  <c r="N80" i="30"/>
  <c r="L80" i="30"/>
  <c r="B80" i="30"/>
  <c r="Z79" i="30"/>
  <c r="X79" i="30"/>
  <c r="V79" i="30"/>
  <c r="L79" i="30"/>
  <c r="N79" i="30" s="1"/>
  <c r="B79" i="30"/>
  <c r="X78" i="30"/>
  <c r="Z78" i="30" s="1"/>
  <c r="L78" i="30"/>
  <c r="N78" i="30" s="1"/>
  <c r="B78" i="30"/>
  <c r="Z77" i="30"/>
  <c r="X77" i="30"/>
  <c r="N77" i="30"/>
  <c r="L77" i="30"/>
  <c r="B77" i="30"/>
  <c r="Z76" i="30"/>
  <c r="X76" i="30"/>
  <c r="L76" i="30"/>
  <c r="N76" i="30" s="1"/>
  <c r="B76" i="30"/>
  <c r="V75" i="30"/>
  <c r="T75" i="30"/>
  <c r="P75" i="30"/>
  <c r="X75" i="30" s="1"/>
  <c r="H75" i="30"/>
  <c r="D75" i="30"/>
  <c r="L75" i="30" s="1"/>
  <c r="N75" i="30" s="1"/>
  <c r="B75" i="30"/>
  <c r="T74" i="30"/>
  <c r="P74" i="30"/>
  <c r="X74" i="30" s="1"/>
  <c r="H74" i="30"/>
  <c r="D74" i="30"/>
  <c r="X70" i="30"/>
  <c r="Z70" i="30" s="1"/>
  <c r="L70" i="30"/>
  <c r="N70" i="30" s="1"/>
  <c r="B70" i="30"/>
  <c r="Z69" i="30"/>
  <c r="X69" i="30"/>
  <c r="N69" i="30"/>
  <c r="L69" i="30"/>
  <c r="B69" i="30"/>
  <c r="X68" i="30"/>
  <c r="Z68" i="30" s="1"/>
  <c r="N68" i="30"/>
  <c r="L68" i="30"/>
  <c r="B68" i="30"/>
  <c r="X67" i="30"/>
  <c r="Z67" i="30" s="1"/>
  <c r="L67" i="30"/>
  <c r="N67" i="30" s="1"/>
  <c r="B67" i="30"/>
  <c r="X66" i="30"/>
  <c r="Z66" i="30" s="1"/>
  <c r="L66" i="30"/>
  <c r="N66" i="30" s="1"/>
  <c r="B66" i="30"/>
  <c r="Z65" i="30"/>
  <c r="X65" i="30"/>
  <c r="N65" i="30"/>
  <c r="L65" i="30"/>
  <c r="B65" i="30"/>
  <c r="X64" i="30"/>
  <c r="Z64" i="30" s="1"/>
  <c r="N64" i="30"/>
  <c r="L64" i="30"/>
  <c r="B64" i="30"/>
  <c r="X63" i="30"/>
  <c r="Z63" i="30" s="1"/>
  <c r="L63" i="30"/>
  <c r="N63" i="30" s="1"/>
  <c r="B63" i="30"/>
  <c r="X62" i="30"/>
  <c r="Z62" i="30" s="1"/>
  <c r="L62" i="30"/>
  <c r="N62" i="30" s="1"/>
  <c r="B62" i="30"/>
  <c r="Z61" i="30"/>
  <c r="X61" i="30"/>
  <c r="N61" i="30"/>
  <c r="L61" i="30"/>
  <c r="B61" i="30"/>
  <c r="X60" i="30"/>
  <c r="Z60" i="30" s="1"/>
  <c r="L60" i="30"/>
  <c r="N60" i="30" s="1"/>
  <c r="B60" i="30"/>
  <c r="X59" i="30"/>
  <c r="Z59" i="30" s="1"/>
  <c r="N59" i="30"/>
  <c r="L59" i="30"/>
  <c r="B59" i="30"/>
  <c r="X58" i="30"/>
  <c r="Z58" i="30" s="1"/>
  <c r="L58" i="30"/>
  <c r="N58" i="30" s="1"/>
  <c r="B58" i="30"/>
  <c r="Z57" i="30"/>
  <c r="X57" i="30"/>
  <c r="N57" i="30"/>
  <c r="L57" i="30"/>
  <c r="B57" i="30"/>
  <c r="X56" i="30"/>
  <c r="Z56" i="30" s="1"/>
  <c r="L56" i="30"/>
  <c r="N56" i="30" s="1"/>
  <c r="B56" i="30"/>
  <c r="X55" i="30"/>
  <c r="Z55" i="30" s="1"/>
  <c r="L55" i="30"/>
  <c r="N55" i="30" s="1"/>
  <c r="B55" i="30"/>
  <c r="X54" i="30"/>
  <c r="Z54" i="30" s="1"/>
  <c r="L54" i="30"/>
  <c r="N54" i="30" s="1"/>
  <c r="B54" i="30"/>
  <c r="Z53" i="30"/>
  <c r="X53" i="30"/>
  <c r="N53" i="30"/>
  <c r="L53" i="30"/>
  <c r="B53" i="30"/>
  <c r="X52" i="30"/>
  <c r="Z52" i="30" s="1"/>
  <c r="N52" i="30"/>
  <c r="L52" i="30"/>
  <c r="B52" i="30"/>
  <c r="X51" i="30"/>
  <c r="Z51" i="30" s="1"/>
  <c r="N51" i="30"/>
  <c r="L51" i="30"/>
  <c r="B51" i="30"/>
  <c r="X50" i="30"/>
  <c r="Z50" i="30" s="1"/>
  <c r="N50" i="30"/>
  <c r="L50" i="30"/>
  <c r="B50" i="30"/>
  <c r="Z49" i="30"/>
  <c r="X49" i="30"/>
  <c r="N49" i="30"/>
  <c r="L49" i="30"/>
  <c r="B49" i="30"/>
  <c r="X48" i="30"/>
  <c r="Z48" i="30" s="1"/>
  <c r="N48" i="30"/>
  <c r="L48" i="30"/>
  <c r="F48" i="30"/>
  <c r="B48" i="30"/>
  <c r="Z47" i="30"/>
  <c r="X47" i="30"/>
  <c r="L47" i="30"/>
  <c r="N47" i="30" s="1"/>
  <c r="B47" i="30"/>
  <c r="X46" i="30"/>
  <c r="T46" i="30"/>
  <c r="P46" i="30"/>
  <c r="H46" i="30"/>
  <c r="N46" i="30" s="1"/>
  <c r="D46" i="30"/>
  <c r="L46" i="30" s="1"/>
  <c r="X44" i="30"/>
  <c r="T44" i="30"/>
  <c r="Z44" i="30" s="1"/>
  <c r="P44" i="30"/>
  <c r="L44" i="30"/>
  <c r="N44" i="30" s="1"/>
  <c r="H44" i="30"/>
  <c r="D44" i="30"/>
  <c r="B44" i="30"/>
  <c r="T43" i="30"/>
  <c r="X43" i="30" s="1"/>
  <c r="Z43" i="30" s="1"/>
  <c r="P43" i="30"/>
  <c r="N43" i="30"/>
  <c r="L43" i="30"/>
  <c r="H43" i="30"/>
  <c r="D43" i="30"/>
  <c r="B43" i="30"/>
  <c r="T42" i="30"/>
  <c r="P42" i="30"/>
  <c r="X42" i="30" s="1"/>
  <c r="H42" i="30"/>
  <c r="D42" i="30"/>
  <c r="L42" i="30" s="1"/>
  <c r="N42" i="30" s="1"/>
  <c r="B42" i="30"/>
  <c r="T41" i="30"/>
  <c r="Z41" i="30" s="1"/>
  <c r="P41" i="30"/>
  <c r="H41" i="30"/>
  <c r="N41" i="30" s="1"/>
  <c r="D41" i="30"/>
  <c r="L41" i="30" s="1"/>
  <c r="B41" i="30"/>
  <c r="X40" i="30"/>
  <c r="T40" i="30"/>
  <c r="Z40" i="30" s="1"/>
  <c r="P40" i="30"/>
  <c r="L40" i="30"/>
  <c r="N40" i="30" s="1"/>
  <c r="H40" i="30"/>
  <c r="D40" i="30"/>
  <c r="B40" i="30"/>
  <c r="T39" i="30"/>
  <c r="X39" i="30" s="1"/>
  <c r="Z39" i="30" s="1"/>
  <c r="P39" i="30"/>
  <c r="N39" i="30"/>
  <c r="L39" i="30"/>
  <c r="H39" i="30"/>
  <c r="D39" i="30"/>
  <c r="B39" i="30"/>
  <c r="T38" i="30"/>
  <c r="P38" i="30"/>
  <c r="X38" i="30" s="1"/>
  <c r="N38" i="30"/>
  <c r="H38" i="30"/>
  <c r="D38" i="30"/>
  <c r="L38" i="30" s="1"/>
  <c r="B38" i="30"/>
  <c r="T37" i="30"/>
  <c r="P37" i="30"/>
  <c r="H37" i="30"/>
  <c r="N37" i="30" s="1"/>
  <c r="D37" i="30"/>
  <c r="L37" i="30" s="1"/>
  <c r="B37" i="30"/>
  <c r="X36" i="30"/>
  <c r="T36" i="30"/>
  <c r="P36" i="30"/>
  <c r="L36" i="30"/>
  <c r="N36" i="30" s="1"/>
  <c r="H36" i="30"/>
  <c r="D36" i="30"/>
  <c r="B36" i="30"/>
  <c r="T35" i="30"/>
  <c r="X35" i="30" s="1"/>
  <c r="Z35" i="30" s="1"/>
  <c r="P35" i="30"/>
  <c r="N35" i="30"/>
  <c r="L35" i="30"/>
  <c r="H35" i="30"/>
  <c r="D35" i="30"/>
  <c r="B35" i="30"/>
  <c r="T34" i="30"/>
  <c r="P34" i="30"/>
  <c r="X34" i="30" s="1"/>
  <c r="N34" i="30"/>
  <c r="H34" i="30"/>
  <c r="D34" i="30"/>
  <c r="L34" i="30" s="1"/>
  <c r="B34" i="30"/>
  <c r="T33" i="30"/>
  <c r="P33" i="30"/>
  <c r="H33" i="30"/>
  <c r="N33" i="30" s="1"/>
  <c r="D33" i="30"/>
  <c r="L33" i="30" s="1"/>
  <c r="B33" i="30"/>
  <c r="X32" i="30"/>
  <c r="T32" i="30"/>
  <c r="Z32" i="30" s="1"/>
  <c r="P32" i="30"/>
  <c r="N32" i="30"/>
  <c r="L32" i="30"/>
  <c r="H32" i="30"/>
  <c r="D32" i="30"/>
  <c r="B32" i="30"/>
  <c r="T31" i="30"/>
  <c r="X31" i="30" s="1"/>
  <c r="Z31" i="30" s="1"/>
  <c r="P31" i="30"/>
  <c r="N31" i="30"/>
  <c r="L31" i="30"/>
  <c r="H31" i="30"/>
  <c r="D31" i="30"/>
  <c r="B31" i="30"/>
  <c r="T30" i="30"/>
  <c r="Z30" i="30" s="1"/>
  <c r="P30" i="30"/>
  <c r="X30" i="30" s="1"/>
  <c r="N30" i="30"/>
  <c r="H30" i="30"/>
  <c r="D30" i="30"/>
  <c r="L30" i="30" s="1"/>
  <c r="B30" i="30"/>
  <c r="T29" i="30"/>
  <c r="P29" i="30"/>
  <c r="H29" i="30"/>
  <c r="N29" i="30" s="1"/>
  <c r="D29" i="30"/>
  <c r="L29" i="30" s="1"/>
  <c r="B29" i="30"/>
  <c r="X28" i="30"/>
  <c r="T28" i="30"/>
  <c r="Z28" i="30" s="1"/>
  <c r="P28" i="30"/>
  <c r="L28" i="30"/>
  <c r="N28" i="30" s="1"/>
  <c r="H28" i="30"/>
  <c r="D28" i="30"/>
  <c r="B28" i="30"/>
  <c r="T27" i="30"/>
  <c r="X27" i="30" s="1"/>
  <c r="Z27" i="30" s="1"/>
  <c r="P27" i="30"/>
  <c r="N27" i="30"/>
  <c r="L27" i="30"/>
  <c r="H27" i="30"/>
  <c r="D27" i="30"/>
  <c r="B27" i="30"/>
  <c r="T26" i="30"/>
  <c r="P26" i="30"/>
  <c r="X26" i="30" s="1"/>
  <c r="H26" i="30"/>
  <c r="D26" i="30"/>
  <c r="L26" i="30" s="1"/>
  <c r="N26" i="30" s="1"/>
  <c r="B26" i="30"/>
  <c r="T25" i="30"/>
  <c r="P25" i="30"/>
  <c r="H25" i="30"/>
  <c r="N25" i="30" s="1"/>
  <c r="D25" i="30"/>
  <c r="L25" i="30" s="1"/>
  <c r="B25" i="30"/>
  <c r="X24" i="30"/>
  <c r="T24" i="30"/>
  <c r="Z24" i="30" s="1"/>
  <c r="P24" i="30"/>
  <c r="N24" i="30"/>
  <c r="L24" i="30"/>
  <c r="H24" i="30"/>
  <c r="D24" i="30"/>
  <c r="B24" i="30"/>
  <c r="T23" i="30"/>
  <c r="X23" i="30" s="1"/>
  <c r="Z23" i="30" s="1"/>
  <c r="P23" i="30"/>
  <c r="N23" i="30"/>
  <c r="L23" i="30"/>
  <c r="H23" i="30"/>
  <c r="D23" i="30"/>
  <c r="B23" i="30"/>
  <c r="T22" i="30"/>
  <c r="Z22" i="30" s="1"/>
  <c r="P22" i="30"/>
  <c r="X22" i="30" s="1"/>
  <c r="H22" i="30"/>
  <c r="D22" i="30"/>
  <c r="L22" i="30" s="1"/>
  <c r="N22" i="30" s="1"/>
  <c r="B22" i="30"/>
  <c r="T21" i="30"/>
  <c r="P21" i="30"/>
  <c r="H21" i="30"/>
  <c r="D21" i="30"/>
  <c r="L21" i="30" s="1"/>
  <c r="B21" i="30"/>
  <c r="X20" i="30"/>
  <c r="T20" i="30"/>
  <c r="P20" i="30"/>
  <c r="L20" i="30"/>
  <c r="N20" i="30" s="1"/>
  <c r="H20" i="30"/>
  <c r="D20" i="30"/>
  <c r="B20" i="30"/>
  <c r="T19" i="30"/>
  <c r="X19" i="30" s="1"/>
  <c r="Z19" i="30" s="1"/>
  <c r="P19" i="30"/>
  <c r="N19" i="30"/>
  <c r="L19" i="30"/>
  <c r="H19" i="30"/>
  <c r="D19" i="30"/>
  <c r="B19" i="30"/>
  <c r="T18" i="30"/>
  <c r="Z18" i="30" s="1"/>
  <c r="P18" i="30"/>
  <c r="X18" i="30" s="1"/>
  <c r="H18" i="30"/>
  <c r="D18" i="30"/>
  <c r="L18" i="30" s="1"/>
  <c r="N18" i="30" s="1"/>
  <c r="B18" i="30"/>
  <c r="T17" i="30"/>
  <c r="P17" i="30"/>
  <c r="H17" i="30"/>
  <c r="N17" i="30" s="1"/>
  <c r="D17" i="30"/>
  <c r="L17" i="30" s="1"/>
  <c r="B17" i="30"/>
  <c r="X16" i="30"/>
  <c r="T16" i="30"/>
  <c r="P16" i="30"/>
  <c r="N16" i="30"/>
  <c r="L16" i="30"/>
  <c r="H16" i="30"/>
  <c r="D16" i="30"/>
  <c r="B16" i="30"/>
  <c r="T15" i="30"/>
  <c r="X15" i="30" s="1"/>
  <c r="Z15" i="30" s="1"/>
  <c r="P15" i="30"/>
  <c r="N15" i="30"/>
  <c r="L15" i="30"/>
  <c r="H15" i="30"/>
  <c r="D15" i="30"/>
  <c r="B15" i="30"/>
  <c r="T14" i="30"/>
  <c r="P14" i="30"/>
  <c r="P12" i="30" s="1"/>
  <c r="R103" i="30" s="1"/>
  <c r="N14" i="30"/>
  <c r="H14" i="30"/>
  <c r="D14" i="30"/>
  <c r="L14" i="30" s="1"/>
  <c r="B14" i="30"/>
  <c r="T13" i="30"/>
  <c r="Z13" i="30" s="1"/>
  <c r="P13" i="30"/>
  <c r="H13" i="30"/>
  <c r="H12" i="30" s="1"/>
  <c r="J159" i="30" s="1"/>
  <c r="D13" i="30"/>
  <c r="D12" i="30" s="1"/>
  <c r="F52" i="30" s="1"/>
  <c r="B13" i="30"/>
  <c r="T12" i="30"/>
  <c r="D4" i="30"/>
  <c r="Z134" i="27"/>
  <c r="X134" i="27"/>
  <c r="V134" i="27"/>
  <c r="L134" i="27"/>
  <c r="N134" i="27" s="1"/>
  <c r="X130" i="27"/>
  <c r="T130" i="27"/>
  <c r="Z130" i="27" s="1"/>
  <c r="P130" i="27"/>
  <c r="N130" i="27"/>
  <c r="L130" i="27"/>
  <c r="H130" i="27"/>
  <c r="D130" i="27"/>
  <c r="B130" i="27"/>
  <c r="T129" i="27"/>
  <c r="Z129" i="27" s="1"/>
  <c r="P129" i="27"/>
  <c r="X129" i="27" s="1"/>
  <c r="N129" i="27"/>
  <c r="H129" i="27"/>
  <c r="L129" i="27" s="1"/>
  <c r="D129" i="27"/>
  <c r="B129" i="27"/>
  <c r="T128" i="27"/>
  <c r="P128" i="27"/>
  <c r="P127" i="27" s="1"/>
  <c r="X127" i="27" s="1"/>
  <c r="L128" i="27"/>
  <c r="N128" i="27" s="1"/>
  <c r="H128" i="27"/>
  <c r="D128" i="27"/>
  <c r="B128" i="27"/>
  <c r="T127" i="27"/>
  <c r="D127" i="27"/>
  <c r="X125" i="27"/>
  <c r="Z125" i="27" s="1"/>
  <c r="N125" i="27"/>
  <c r="L125" i="27"/>
  <c r="B125" i="27"/>
  <c r="X124" i="27"/>
  <c r="T124" i="27"/>
  <c r="Z124" i="27" s="1"/>
  <c r="P124" i="27"/>
  <c r="N124" i="27"/>
  <c r="L124" i="27"/>
  <c r="H124" i="27"/>
  <c r="D124" i="27"/>
  <c r="B124" i="27"/>
  <c r="X123" i="27"/>
  <c r="Z123" i="27" s="1"/>
  <c r="N123" i="27"/>
  <c r="L123" i="27"/>
  <c r="B123" i="27"/>
  <c r="T122" i="27"/>
  <c r="P122" i="27"/>
  <c r="X122" i="27" s="1"/>
  <c r="Z122" i="27" s="1"/>
  <c r="H122" i="27"/>
  <c r="N122" i="27" s="1"/>
  <c r="D122" i="27"/>
  <c r="L122" i="27" s="1"/>
  <c r="B122" i="27"/>
  <c r="X121" i="27"/>
  <c r="Z121" i="27" s="1"/>
  <c r="L121" i="27"/>
  <c r="N121" i="27" s="1"/>
  <c r="B121" i="27"/>
  <c r="X120" i="27"/>
  <c r="Z120" i="27" s="1"/>
  <c r="L120" i="27"/>
  <c r="N120" i="27" s="1"/>
  <c r="B120" i="27"/>
  <c r="X119" i="27"/>
  <c r="T119" i="27"/>
  <c r="Z119" i="27" s="1"/>
  <c r="P119" i="27"/>
  <c r="H119" i="27"/>
  <c r="N119" i="27" s="1"/>
  <c r="D119" i="27"/>
  <c r="L119" i="27" s="1"/>
  <c r="B119" i="27"/>
  <c r="Z118" i="27"/>
  <c r="X118" i="27"/>
  <c r="N118" i="27"/>
  <c r="L118" i="27"/>
  <c r="B118" i="27"/>
  <c r="X117" i="27"/>
  <c r="Z117" i="27" s="1"/>
  <c r="N117" i="27"/>
  <c r="L117" i="27"/>
  <c r="B117" i="27"/>
  <c r="X116" i="27"/>
  <c r="Z116" i="27" s="1"/>
  <c r="N116" i="27"/>
  <c r="L116" i="27"/>
  <c r="B116" i="27"/>
  <c r="X115" i="27"/>
  <c r="Z115" i="27" s="1"/>
  <c r="N115" i="27"/>
  <c r="L115" i="27"/>
  <c r="B115" i="27"/>
  <c r="Z114" i="27"/>
  <c r="X114" i="27"/>
  <c r="T114" i="27"/>
  <c r="P114" i="27"/>
  <c r="L114" i="27"/>
  <c r="H114" i="27"/>
  <c r="N114" i="27" s="1"/>
  <c r="D114" i="27"/>
  <c r="B114" i="27"/>
  <c r="Z113" i="27"/>
  <c r="X113" i="27"/>
  <c r="N113" i="27"/>
  <c r="L113" i="27"/>
  <c r="B113" i="27"/>
  <c r="Z112" i="27"/>
  <c r="X112" i="27"/>
  <c r="V112" i="27"/>
  <c r="L112" i="27"/>
  <c r="N112" i="27" s="1"/>
  <c r="B112" i="27"/>
  <c r="T111" i="27"/>
  <c r="Z111" i="27" s="1"/>
  <c r="P111" i="27"/>
  <c r="X111" i="27" s="1"/>
  <c r="H111" i="27"/>
  <c r="L111" i="27" s="1"/>
  <c r="N111" i="27" s="1"/>
  <c r="D111" i="27"/>
  <c r="B111" i="27"/>
  <c r="Z110" i="27"/>
  <c r="X110" i="27"/>
  <c r="N110" i="27"/>
  <c r="L110" i="27"/>
  <c r="B110" i="27"/>
  <c r="X109" i="27"/>
  <c r="Z109" i="27" s="1"/>
  <c r="L109" i="27"/>
  <c r="N109" i="27" s="1"/>
  <c r="B109" i="27"/>
  <c r="X108" i="27"/>
  <c r="Z108" i="27" s="1"/>
  <c r="N108" i="27"/>
  <c r="L108" i="27"/>
  <c r="B108" i="27"/>
  <c r="X107" i="27"/>
  <c r="T107" i="27"/>
  <c r="P107" i="27"/>
  <c r="H107" i="27"/>
  <c r="N107" i="27" s="1"/>
  <c r="D107" i="27"/>
  <c r="L107" i="27" s="1"/>
  <c r="B107" i="27"/>
  <c r="Z106" i="27"/>
  <c r="X106" i="27"/>
  <c r="N106" i="27"/>
  <c r="L106" i="27"/>
  <c r="B106" i="27"/>
  <c r="X105" i="27"/>
  <c r="Z105" i="27" s="1"/>
  <c r="N105" i="27"/>
  <c r="L105" i="27"/>
  <c r="B105" i="27"/>
  <c r="X104" i="27"/>
  <c r="Z104" i="27" s="1"/>
  <c r="N104" i="27"/>
  <c r="L104" i="27"/>
  <c r="B104" i="27"/>
  <c r="X103" i="27"/>
  <c r="Z103" i="27" s="1"/>
  <c r="L103" i="27"/>
  <c r="N103" i="27" s="1"/>
  <c r="B103" i="27"/>
  <c r="Z102" i="27"/>
  <c r="X102" i="27"/>
  <c r="N102" i="27"/>
  <c r="L102" i="27"/>
  <c r="B102" i="27"/>
  <c r="X101" i="27"/>
  <c r="Z101" i="27" s="1"/>
  <c r="N101" i="27"/>
  <c r="L101" i="27"/>
  <c r="B101" i="27"/>
  <c r="X100" i="27"/>
  <c r="Z100" i="27" s="1"/>
  <c r="N100" i="27"/>
  <c r="L100" i="27"/>
  <c r="B100" i="27"/>
  <c r="X99" i="27"/>
  <c r="Z99" i="27" s="1"/>
  <c r="L99" i="27"/>
  <c r="N99" i="27" s="1"/>
  <c r="B99" i="27"/>
  <c r="Z98" i="27"/>
  <c r="X98" i="27"/>
  <c r="N98" i="27"/>
  <c r="L98" i="27"/>
  <c r="B98" i="27"/>
  <c r="T97" i="27"/>
  <c r="P97" i="27"/>
  <c r="L97" i="27"/>
  <c r="N97" i="27" s="1"/>
  <c r="H97" i="27"/>
  <c r="D97" i="27"/>
  <c r="B97" i="27"/>
  <c r="Z96" i="27"/>
  <c r="X96" i="27"/>
  <c r="L96" i="27"/>
  <c r="N96" i="27" s="1"/>
  <c r="B96" i="27"/>
  <c r="T95" i="27"/>
  <c r="Z95" i="27" s="1"/>
  <c r="P95" i="27"/>
  <c r="X95" i="27" s="1"/>
  <c r="H95" i="27"/>
  <c r="L95" i="27" s="1"/>
  <c r="N95" i="27" s="1"/>
  <c r="D95" i="27"/>
  <c r="B95" i="27"/>
  <c r="Z94" i="27"/>
  <c r="X94" i="27"/>
  <c r="N94" i="27"/>
  <c r="L94" i="27"/>
  <c r="B94" i="27"/>
  <c r="X93" i="27"/>
  <c r="Z93" i="27" s="1"/>
  <c r="L93" i="27"/>
  <c r="N93" i="27" s="1"/>
  <c r="B93" i="27"/>
  <c r="X92" i="27"/>
  <c r="Z92" i="27" s="1"/>
  <c r="T92" i="27"/>
  <c r="P92" i="27"/>
  <c r="H92" i="27"/>
  <c r="D92" i="27"/>
  <c r="L92" i="27" s="1"/>
  <c r="N92" i="27" s="1"/>
  <c r="B92" i="27"/>
  <c r="X91" i="27"/>
  <c r="Z91" i="27" s="1"/>
  <c r="L91" i="27"/>
  <c r="N91" i="27" s="1"/>
  <c r="B91" i="27"/>
  <c r="Z90" i="27"/>
  <c r="X90" i="27"/>
  <c r="T90" i="27"/>
  <c r="P90" i="27"/>
  <c r="L90" i="27"/>
  <c r="H90" i="27"/>
  <c r="N90" i="27" s="1"/>
  <c r="D90" i="27"/>
  <c r="B90" i="27"/>
  <c r="Z89" i="27"/>
  <c r="X89" i="27"/>
  <c r="L89" i="27"/>
  <c r="N89" i="27" s="1"/>
  <c r="B89" i="27"/>
  <c r="V88" i="27"/>
  <c r="T88" i="27"/>
  <c r="P88" i="27"/>
  <c r="X88" i="27" s="1"/>
  <c r="H88" i="27"/>
  <c r="D88" i="27"/>
  <c r="L88" i="27" s="1"/>
  <c r="N88" i="27" s="1"/>
  <c r="B88" i="27"/>
  <c r="X87" i="27"/>
  <c r="Z87" i="27" s="1"/>
  <c r="L87" i="27"/>
  <c r="N87" i="27" s="1"/>
  <c r="B87" i="27"/>
  <c r="Z86" i="27"/>
  <c r="X86" i="27"/>
  <c r="N86" i="27"/>
  <c r="L86" i="27"/>
  <c r="B86" i="27"/>
  <c r="T85" i="27"/>
  <c r="Z85" i="27" s="1"/>
  <c r="P85" i="27"/>
  <c r="X85" i="27" s="1"/>
  <c r="L85" i="27"/>
  <c r="H85" i="27"/>
  <c r="D85" i="27"/>
  <c r="B85" i="27"/>
  <c r="X84" i="27"/>
  <c r="Z84" i="27" s="1"/>
  <c r="N84" i="27"/>
  <c r="L84" i="27"/>
  <c r="B84" i="27"/>
  <c r="X83" i="27"/>
  <c r="Z83" i="27" s="1"/>
  <c r="T83" i="27"/>
  <c r="P83" i="27"/>
  <c r="H83" i="27"/>
  <c r="D83" i="27"/>
  <c r="B83" i="27"/>
  <c r="Z82" i="27"/>
  <c r="X82" i="27"/>
  <c r="N82" i="27"/>
  <c r="L82" i="27"/>
  <c r="B82" i="27"/>
  <c r="Z81" i="27"/>
  <c r="X81" i="27"/>
  <c r="N81" i="27"/>
  <c r="L81" i="27"/>
  <c r="B81" i="27"/>
  <c r="Z80" i="27"/>
  <c r="X80" i="27"/>
  <c r="L80" i="27"/>
  <c r="N80" i="27" s="1"/>
  <c r="B80" i="27"/>
  <c r="X79" i="27"/>
  <c r="Z79" i="27" s="1"/>
  <c r="L79" i="27"/>
  <c r="N79" i="27" s="1"/>
  <c r="B79" i="27"/>
  <c r="Z78" i="27"/>
  <c r="X78" i="27"/>
  <c r="N78" i="27"/>
  <c r="L78" i="27"/>
  <c r="B78" i="27"/>
  <c r="T77" i="27"/>
  <c r="X77" i="27" s="1"/>
  <c r="Z77" i="27" s="1"/>
  <c r="P77" i="27"/>
  <c r="H77" i="27"/>
  <c r="N77" i="27" s="1"/>
  <c r="D77" i="27"/>
  <c r="L77" i="27" s="1"/>
  <c r="B77" i="27"/>
  <c r="X76" i="27"/>
  <c r="Z76" i="27" s="1"/>
  <c r="L76" i="27"/>
  <c r="N76" i="27" s="1"/>
  <c r="B76" i="27"/>
  <c r="X75" i="27"/>
  <c r="Z75" i="27" s="1"/>
  <c r="L75" i="27"/>
  <c r="N75" i="27" s="1"/>
  <c r="B75" i="27"/>
  <c r="Z74" i="27"/>
  <c r="X74" i="27"/>
  <c r="N74" i="27"/>
  <c r="L74" i="27"/>
  <c r="B74" i="27"/>
  <c r="X73" i="27"/>
  <c r="Z73" i="27" s="1"/>
  <c r="L73" i="27"/>
  <c r="N73" i="27" s="1"/>
  <c r="B73" i="27"/>
  <c r="X72" i="27"/>
  <c r="Z72" i="27" s="1"/>
  <c r="N72" i="27"/>
  <c r="L72" i="27"/>
  <c r="B72" i="27"/>
  <c r="X71" i="27"/>
  <c r="Z71" i="27" s="1"/>
  <c r="L71" i="27"/>
  <c r="N71" i="27" s="1"/>
  <c r="B71" i="27"/>
  <c r="Z70" i="27"/>
  <c r="X70" i="27"/>
  <c r="N70" i="27"/>
  <c r="L70" i="27"/>
  <c r="B70" i="27"/>
  <c r="X69" i="27"/>
  <c r="Z69" i="27" s="1"/>
  <c r="L69" i="27"/>
  <c r="N69" i="27" s="1"/>
  <c r="B69" i="27"/>
  <c r="X68" i="27"/>
  <c r="Z68" i="27" s="1"/>
  <c r="L68" i="27"/>
  <c r="N68" i="27" s="1"/>
  <c r="B68" i="27"/>
  <c r="X67" i="27"/>
  <c r="T67" i="27"/>
  <c r="Z67" i="27" s="1"/>
  <c r="P67" i="27"/>
  <c r="H67" i="27"/>
  <c r="N67" i="27" s="1"/>
  <c r="D67" i="27"/>
  <c r="L67" i="27" s="1"/>
  <c r="B67" i="27"/>
  <c r="X66" i="27"/>
  <c r="T66" i="27"/>
  <c r="P66" i="27"/>
  <c r="H66" i="27"/>
  <c r="D66" i="27"/>
  <c r="Z62" i="27"/>
  <c r="X62" i="27"/>
  <c r="N62" i="27"/>
  <c r="L62" i="27"/>
  <c r="B62" i="27"/>
  <c r="X61" i="27"/>
  <c r="Z61" i="27" s="1"/>
  <c r="N61" i="27"/>
  <c r="L61" i="27"/>
  <c r="B61" i="27"/>
  <c r="X60" i="27"/>
  <c r="Z60" i="27" s="1"/>
  <c r="N60" i="27"/>
  <c r="L60" i="27"/>
  <c r="B60" i="27"/>
  <c r="X59" i="27"/>
  <c r="Z59" i="27" s="1"/>
  <c r="L59" i="27"/>
  <c r="N59" i="27" s="1"/>
  <c r="B59" i="27"/>
  <c r="Z58" i="27"/>
  <c r="X58" i="27"/>
  <c r="N58" i="27"/>
  <c r="L58" i="27"/>
  <c r="B58" i="27"/>
  <c r="X57" i="27"/>
  <c r="Z57" i="27" s="1"/>
  <c r="N57" i="27"/>
  <c r="L57" i="27"/>
  <c r="B57" i="27"/>
  <c r="X56" i="27"/>
  <c r="Z56" i="27" s="1"/>
  <c r="N56" i="27"/>
  <c r="L56" i="27"/>
  <c r="B56" i="27"/>
  <c r="X55" i="27"/>
  <c r="Z55" i="27" s="1"/>
  <c r="L55" i="27"/>
  <c r="N55" i="27" s="1"/>
  <c r="B55" i="27"/>
  <c r="Z54" i="27"/>
  <c r="X54" i="27"/>
  <c r="N54" i="27"/>
  <c r="L54" i="27"/>
  <c r="B54" i="27"/>
  <c r="X53" i="27"/>
  <c r="Z53" i="27" s="1"/>
  <c r="N53" i="27"/>
  <c r="L53" i="27"/>
  <c r="B53" i="27"/>
  <c r="X52" i="27"/>
  <c r="Z52" i="27" s="1"/>
  <c r="N52" i="27"/>
  <c r="L52" i="27"/>
  <c r="B52" i="27"/>
  <c r="X51" i="27"/>
  <c r="Z51" i="27" s="1"/>
  <c r="L51" i="27"/>
  <c r="N51" i="27" s="1"/>
  <c r="B51" i="27"/>
  <c r="Z50" i="27"/>
  <c r="X50" i="27"/>
  <c r="N50" i="27"/>
  <c r="L50" i="27"/>
  <c r="B50" i="27"/>
  <c r="X49" i="27"/>
  <c r="Z49" i="27" s="1"/>
  <c r="N49" i="27"/>
  <c r="L49" i="27"/>
  <c r="B49" i="27"/>
  <c r="X48" i="27"/>
  <c r="Z48" i="27" s="1"/>
  <c r="N48" i="27"/>
  <c r="L48" i="27"/>
  <c r="B48" i="27"/>
  <c r="X47" i="27"/>
  <c r="Z47" i="27" s="1"/>
  <c r="L47" i="27"/>
  <c r="N47" i="27" s="1"/>
  <c r="B47" i="27"/>
  <c r="Z46" i="27"/>
  <c r="X46" i="27"/>
  <c r="T46" i="27"/>
  <c r="P46" i="27"/>
  <c r="H46" i="27"/>
  <c r="D46" i="27"/>
  <c r="Z44" i="27"/>
  <c r="X44" i="27"/>
  <c r="T44" i="27"/>
  <c r="P44" i="27"/>
  <c r="H44" i="27"/>
  <c r="D44" i="27"/>
  <c r="L44" i="27" s="1"/>
  <c r="N44" i="27" s="1"/>
  <c r="B44" i="27"/>
  <c r="T43" i="27"/>
  <c r="P43" i="27"/>
  <c r="X43" i="27" s="1"/>
  <c r="Z43" i="27" s="1"/>
  <c r="H43" i="27"/>
  <c r="D43" i="27"/>
  <c r="L43" i="27" s="1"/>
  <c r="N43" i="27" s="1"/>
  <c r="B43" i="27"/>
  <c r="T42" i="27"/>
  <c r="Z42" i="27" s="1"/>
  <c r="P42" i="27"/>
  <c r="X42" i="27" s="1"/>
  <c r="H42" i="27"/>
  <c r="D42" i="27"/>
  <c r="B42" i="27"/>
  <c r="X41" i="27"/>
  <c r="Z41" i="27" s="1"/>
  <c r="T41" i="27"/>
  <c r="P41" i="27"/>
  <c r="L41" i="27"/>
  <c r="H41" i="27"/>
  <c r="N41" i="27" s="1"/>
  <c r="D41" i="27"/>
  <c r="B41" i="27"/>
  <c r="Z40" i="27"/>
  <c r="X40" i="27"/>
  <c r="T40" i="27"/>
  <c r="P40" i="27"/>
  <c r="N40" i="27"/>
  <c r="H40" i="27"/>
  <c r="D40" i="27"/>
  <c r="L40" i="27" s="1"/>
  <c r="B40" i="27"/>
  <c r="T39" i="27"/>
  <c r="P39" i="27"/>
  <c r="X39" i="27" s="1"/>
  <c r="Z39" i="27" s="1"/>
  <c r="H39" i="27"/>
  <c r="D39" i="27"/>
  <c r="L39" i="27" s="1"/>
  <c r="N39" i="27" s="1"/>
  <c r="B39" i="27"/>
  <c r="T38" i="27"/>
  <c r="Z38" i="27" s="1"/>
  <c r="P38" i="27"/>
  <c r="X38" i="27" s="1"/>
  <c r="H38" i="27"/>
  <c r="D38" i="27"/>
  <c r="L38" i="27" s="1"/>
  <c r="B38" i="27"/>
  <c r="X37" i="27"/>
  <c r="Z37" i="27" s="1"/>
  <c r="T37" i="27"/>
  <c r="P37" i="27"/>
  <c r="L37" i="27"/>
  <c r="H37" i="27"/>
  <c r="N37" i="27" s="1"/>
  <c r="D37" i="27"/>
  <c r="B37" i="27"/>
  <c r="Z36" i="27"/>
  <c r="X36" i="27"/>
  <c r="T36" i="27"/>
  <c r="P36" i="27"/>
  <c r="N36" i="27"/>
  <c r="H36" i="27"/>
  <c r="D36" i="27"/>
  <c r="L36" i="27" s="1"/>
  <c r="B36" i="27"/>
  <c r="T35" i="27"/>
  <c r="P35" i="27"/>
  <c r="X35" i="27" s="1"/>
  <c r="Z35" i="27" s="1"/>
  <c r="H35" i="27"/>
  <c r="D35" i="27"/>
  <c r="L35" i="27" s="1"/>
  <c r="N35" i="27" s="1"/>
  <c r="B35" i="27"/>
  <c r="T34" i="27"/>
  <c r="Z34" i="27" s="1"/>
  <c r="P34" i="27"/>
  <c r="X34" i="27" s="1"/>
  <c r="H34" i="27"/>
  <c r="D34" i="27"/>
  <c r="B34" i="27"/>
  <c r="X33" i="27"/>
  <c r="Z33" i="27" s="1"/>
  <c r="T33" i="27"/>
  <c r="P33" i="27"/>
  <c r="L33" i="27"/>
  <c r="H33" i="27"/>
  <c r="N33" i="27" s="1"/>
  <c r="D33" i="27"/>
  <c r="B33" i="27"/>
  <c r="Z32" i="27"/>
  <c r="X32" i="27"/>
  <c r="T32" i="27"/>
  <c r="P32" i="27"/>
  <c r="H32" i="27"/>
  <c r="D32" i="27"/>
  <c r="L32" i="27" s="1"/>
  <c r="N32" i="27" s="1"/>
  <c r="B32" i="27"/>
  <c r="T31" i="27"/>
  <c r="P31" i="27"/>
  <c r="X31" i="27" s="1"/>
  <c r="H31" i="27"/>
  <c r="D31" i="27"/>
  <c r="L31" i="27" s="1"/>
  <c r="N31" i="27" s="1"/>
  <c r="B31" i="27"/>
  <c r="T30" i="27"/>
  <c r="Z30" i="27" s="1"/>
  <c r="P30" i="27"/>
  <c r="X30" i="27" s="1"/>
  <c r="H30" i="27"/>
  <c r="D30" i="27"/>
  <c r="B30" i="27"/>
  <c r="Z29" i="27"/>
  <c r="X29" i="27"/>
  <c r="T29" i="27"/>
  <c r="P29" i="27"/>
  <c r="L29" i="27"/>
  <c r="H29" i="27"/>
  <c r="N29" i="27" s="1"/>
  <c r="D29" i="27"/>
  <c r="B29" i="27"/>
  <c r="Z28" i="27"/>
  <c r="X28" i="27"/>
  <c r="T28" i="27"/>
  <c r="P28" i="27"/>
  <c r="H28" i="27"/>
  <c r="D28" i="27"/>
  <c r="L28" i="27" s="1"/>
  <c r="N28" i="27" s="1"/>
  <c r="B28" i="27"/>
  <c r="T27" i="27"/>
  <c r="Z27" i="27" s="1"/>
  <c r="P27" i="27"/>
  <c r="X27" i="27" s="1"/>
  <c r="H27" i="27"/>
  <c r="D27" i="27"/>
  <c r="L27" i="27" s="1"/>
  <c r="N27" i="27" s="1"/>
  <c r="B27" i="27"/>
  <c r="T26" i="27"/>
  <c r="P26" i="27"/>
  <c r="X26" i="27" s="1"/>
  <c r="H26" i="27"/>
  <c r="D26" i="27"/>
  <c r="L26" i="27" s="1"/>
  <c r="B26" i="27"/>
  <c r="X25" i="27"/>
  <c r="Z25" i="27" s="1"/>
  <c r="T25" i="27"/>
  <c r="P25" i="27"/>
  <c r="N25" i="27"/>
  <c r="L25" i="27"/>
  <c r="H25" i="27"/>
  <c r="D25" i="27"/>
  <c r="B25" i="27"/>
  <c r="Z24" i="27"/>
  <c r="X24" i="27"/>
  <c r="T24" i="27"/>
  <c r="P24" i="27"/>
  <c r="H24" i="27"/>
  <c r="D24" i="27"/>
  <c r="L24" i="27" s="1"/>
  <c r="N24" i="27" s="1"/>
  <c r="B24" i="27"/>
  <c r="T23" i="27"/>
  <c r="P23" i="27"/>
  <c r="X23" i="27" s="1"/>
  <c r="H23" i="27"/>
  <c r="D23" i="27"/>
  <c r="L23" i="27" s="1"/>
  <c r="N23" i="27" s="1"/>
  <c r="B23" i="27"/>
  <c r="T22" i="27"/>
  <c r="P22" i="27"/>
  <c r="H22" i="27"/>
  <c r="D22" i="27"/>
  <c r="L22" i="27" s="1"/>
  <c r="B22" i="27"/>
  <c r="X21" i="27"/>
  <c r="Z21" i="27" s="1"/>
  <c r="T21" i="27"/>
  <c r="P21" i="27"/>
  <c r="L21" i="27"/>
  <c r="N21" i="27" s="1"/>
  <c r="H21" i="27"/>
  <c r="D21" i="27"/>
  <c r="B21" i="27"/>
  <c r="Z20" i="27"/>
  <c r="X20" i="27"/>
  <c r="T20" i="27"/>
  <c r="P20" i="27"/>
  <c r="H20" i="27"/>
  <c r="D20" i="27"/>
  <c r="L20" i="27" s="1"/>
  <c r="N20" i="27" s="1"/>
  <c r="B20" i="27"/>
  <c r="T19" i="27"/>
  <c r="P19" i="27"/>
  <c r="X19" i="27" s="1"/>
  <c r="H19" i="27"/>
  <c r="D19" i="27"/>
  <c r="L19" i="27" s="1"/>
  <c r="N19" i="27" s="1"/>
  <c r="B19" i="27"/>
  <c r="T18" i="27"/>
  <c r="P18" i="27"/>
  <c r="H18" i="27"/>
  <c r="D18" i="27"/>
  <c r="L18" i="27" s="1"/>
  <c r="B18" i="27"/>
  <c r="X17" i="27"/>
  <c r="Z17" i="27" s="1"/>
  <c r="T17" i="27"/>
  <c r="P17" i="27"/>
  <c r="N17" i="27"/>
  <c r="L17" i="27"/>
  <c r="H17" i="27"/>
  <c r="D17" i="27"/>
  <c r="B17" i="27"/>
  <c r="Z16" i="27"/>
  <c r="X16" i="27"/>
  <c r="T16" i="27"/>
  <c r="P16" i="27"/>
  <c r="H16" i="27"/>
  <c r="D16" i="27"/>
  <c r="L16" i="27" s="1"/>
  <c r="N16" i="27" s="1"/>
  <c r="B16" i="27"/>
  <c r="T15" i="27"/>
  <c r="P15" i="27"/>
  <c r="H15" i="27"/>
  <c r="D15" i="27"/>
  <c r="L15" i="27" s="1"/>
  <c r="N15" i="27" s="1"/>
  <c r="B15" i="27"/>
  <c r="T14" i="27"/>
  <c r="T12" i="27" s="1"/>
  <c r="P14" i="27"/>
  <c r="H14" i="27"/>
  <c r="D14" i="27"/>
  <c r="B14" i="27"/>
  <c r="X13" i="27"/>
  <c r="Z13" i="27" s="1"/>
  <c r="T13" i="27"/>
  <c r="P13" i="27"/>
  <c r="N13" i="27"/>
  <c r="L13" i="27"/>
  <c r="H13" i="27"/>
  <c r="D13" i="27"/>
  <c r="D12" i="27" s="1"/>
  <c r="F109" i="27" s="1"/>
  <c r="B13" i="27"/>
  <c r="D4" i="27"/>
  <c r="X166" i="24"/>
  <c r="Z166" i="24" s="1"/>
  <c r="L166" i="24"/>
  <c r="N166" i="24" s="1"/>
  <c r="T162" i="24"/>
  <c r="Z162" i="24" s="1"/>
  <c r="P162" i="24"/>
  <c r="X162" i="24" s="1"/>
  <c r="N162" i="24"/>
  <c r="H162" i="24"/>
  <c r="L162" i="24" s="1"/>
  <c r="D162" i="24"/>
  <c r="B162" i="24"/>
  <c r="D161" i="24"/>
  <c r="Z159" i="24"/>
  <c r="X159" i="24"/>
  <c r="L159" i="24"/>
  <c r="N159" i="24" s="1"/>
  <c r="B159" i="24"/>
  <c r="T158" i="24"/>
  <c r="P158" i="24"/>
  <c r="X158" i="24" s="1"/>
  <c r="L158" i="24"/>
  <c r="N158" i="24" s="1"/>
  <c r="H158" i="24"/>
  <c r="D158" i="24"/>
  <c r="B158" i="24"/>
  <c r="Z157" i="24"/>
  <c r="X157" i="24"/>
  <c r="N157" i="24"/>
  <c r="L157" i="24"/>
  <c r="B157" i="24"/>
  <c r="Z156" i="24"/>
  <c r="T156" i="24"/>
  <c r="P156" i="24"/>
  <c r="X156" i="24" s="1"/>
  <c r="H156" i="24"/>
  <c r="D156" i="24"/>
  <c r="B156" i="24"/>
  <c r="Z155" i="24"/>
  <c r="X155" i="24"/>
  <c r="N155" i="24"/>
  <c r="L155" i="24"/>
  <c r="B155" i="24"/>
  <c r="T154" i="24"/>
  <c r="X154" i="24" s="1"/>
  <c r="Z154" i="24" s="1"/>
  <c r="P154" i="24"/>
  <c r="H154" i="24"/>
  <c r="N154" i="24" s="1"/>
  <c r="D154" i="24"/>
  <c r="L154" i="24" s="1"/>
  <c r="B154" i="24"/>
  <c r="X153" i="24"/>
  <c r="Z153" i="24" s="1"/>
  <c r="N153" i="24"/>
  <c r="L153" i="24"/>
  <c r="B153" i="24"/>
  <c r="X152" i="24"/>
  <c r="Z152" i="24" s="1"/>
  <c r="N152" i="24"/>
  <c r="L152" i="24"/>
  <c r="B152" i="24"/>
  <c r="Z151" i="24"/>
  <c r="X151" i="24"/>
  <c r="N151" i="24"/>
  <c r="L151" i="24"/>
  <c r="B151" i="24"/>
  <c r="T150" i="24"/>
  <c r="P150" i="24"/>
  <c r="X150" i="24" s="1"/>
  <c r="N150" i="24"/>
  <c r="L150" i="24"/>
  <c r="H150" i="24"/>
  <c r="D150" i="24"/>
  <c r="B150" i="24"/>
  <c r="X149" i="24"/>
  <c r="Z149" i="24" s="1"/>
  <c r="N149" i="24"/>
  <c r="L149" i="24"/>
  <c r="B149" i="24"/>
  <c r="T148" i="24"/>
  <c r="P148" i="24"/>
  <c r="X148" i="24" s="1"/>
  <c r="Z148" i="24" s="1"/>
  <c r="H148" i="24"/>
  <c r="D148" i="24"/>
  <c r="B148" i="24"/>
  <c r="Z147" i="24"/>
  <c r="X147" i="24"/>
  <c r="N147" i="24"/>
  <c r="L147" i="24"/>
  <c r="B147" i="24"/>
  <c r="Z146" i="24"/>
  <c r="X146" i="24"/>
  <c r="N146" i="24"/>
  <c r="L146" i="24"/>
  <c r="B146" i="24"/>
  <c r="T145" i="24"/>
  <c r="P145" i="24"/>
  <c r="H145" i="24"/>
  <c r="D145" i="24"/>
  <c r="L145" i="24" s="1"/>
  <c r="N145" i="24" s="1"/>
  <c r="B145" i="24"/>
  <c r="X144" i="24"/>
  <c r="Z144" i="24" s="1"/>
  <c r="N144" i="24"/>
  <c r="L144" i="24"/>
  <c r="B144" i="24"/>
  <c r="Z143" i="24"/>
  <c r="X143" i="24"/>
  <c r="N143" i="24"/>
  <c r="L143" i="24"/>
  <c r="B143" i="24"/>
  <c r="T142" i="24"/>
  <c r="P142" i="24"/>
  <c r="X142" i="24" s="1"/>
  <c r="L142" i="24"/>
  <c r="N142" i="24" s="1"/>
  <c r="H142" i="24"/>
  <c r="D142" i="24"/>
  <c r="B142" i="24"/>
  <c r="Z141" i="24"/>
  <c r="X141" i="24"/>
  <c r="N141" i="24"/>
  <c r="L141" i="24"/>
  <c r="B141" i="24"/>
  <c r="Z140" i="24"/>
  <c r="T140" i="24"/>
  <c r="P140" i="24"/>
  <c r="X140" i="24" s="1"/>
  <c r="H140" i="24"/>
  <c r="D140" i="24"/>
  <c r="B140" i="24"/>
  <c r="Z139" i="24"/>
  <c r="X139" i="24"/>
  <c r="N139" i="24"/>
  <c r="L139" i="24"/>
  <c r="B139" i="24"/>
  <c r="Z138" i="24"/>
  <c r="T138" i="24"/>
  <c r="X138" i="24" s="1"/>
  <c r="P138" i="24"/>
  <c r="H138" i="24"/>
  <c r="N138" i="24" s="1"/>
  <c r="D138" i="24"/>
  <c r="L138" i="24" s="1"/>
  <c r="B138" i="24"/>
  <c r="X137" i="24"/>
  <c r="Z137" i="24" s="1"/>
  <c r="L137" i="24"/>
  <c r="N137" i="24" s="1"/>
  <c r="B137" i="24"/>
  <c r="X136" i="24"/>
  <c r="Z136" i="24" s="1"/>
  <c r="L136" i="24"/>
  <c r="N136" i="24" s="1"/>
  <c r="B136" i="24"/>
  <c r="Z135" i="24"/>
  <c r="X135" i="24"/>
  <c r="N135" i="24"/>
  <c r="L135" i="24"/>
  <c r="B135" i="24"/>
  <c r="Z134" i="24"/>
  <c r="X134" i="24"/>
  <c r="L134" i="24"/>
  <c r="N134" i="24" s="1"/>
  <c r="B134" i="24"/>
  <c r="Z133" i="24"/>
  <c r="X133" i="24"/>
  <c r="N133" i="24"/>
  <c r="L133" i="24"/>
  <c r="B133" i="24"/>
  <c r="X132" i="24"/>
  <c r="Z132" i="24" s="1"/>
  <c r="L132" i="24"/>
  <c r="N132" i="24" s="1"/>
  <c r="B132" i="24"/>
  <c r="Z131" i="24"/>
  <c r="X131" i="24"/>
  <c r="N131" i="24"/>
  <c r="L131" i="24"/>
  <c r="B131" i="24"/>
  <c r="Z130" i="24"/>
  <c r="X130" i="24"/>
  <c r="L130" i="24"/>
  <c r="N130" i="24" s="1"/>
  <c r="B130" i="24"/>
  <c r="X129" i="24"/>
  <c r="Z129" i="24" s="1"/>
  <c r="L129" i="24"/>
  <c r="N129" i="24" s="1"/>
  <c r="B129" i="24"/>
  <c r="X128" i="24"/>
  <c r="Z128" i="24" s="1"/>
  <c r="L128" i="24"/>
  <c r="N128" i="24" s="1"/>
  <c r="B128" i="24"/>
  <c r="Z127" i="24"/>
  <c r="X127" i="24"/>
  <c r="N127" i="24"/>
  <c r="L127" i="24"/>
  <c r="B127" i="24"/>
  <c r="Z126" i="24"/>
  <c r="X126" i="24"/>
  <c r="L126" i="24"/>
  <c r="N126" i="24" s="1"/>
  <c r="B126" i="24"/>
  <c r="X125" i="24"/>
  <c r="Z125" i="24" s="1"/>
  <c r="L125" i="24"/>
  <c r="N125" i="24" s="1"/>
  <c r="B125" i="24"/>
  <c r="X124" i="24"/>
  <c r="Z124" i="24" s="1"/>
  <c r="L124" i="24"/>
  <c r="N124" i="24" s="1"/>
  <c r="B124" i="24"/>
  <c r="Z123" i="24"/>
  <c r="X123" i="24"/>
  <c r="L123" i="24"/>
  <c r="N123" i="24" s="1"/>
  <c r="B123" i="24"/>
  <c r="Z122" i="24"/>
  <c r="X122" i="24"/>
  <c r="L122" i="24"/>
  <c r="N122" i="24" s="1"/>
  <c r="B122" i="24"/>
  <c r="X121" i="24"/>
  <c r="Z121" i="24" s="1"/>
  <c r="L121" i="24"/>
  <c r="N121" i="24" s="1"/>
  <c r="B121" i="24"/>
  <c r="X120" i="24"/>
  <c r="Z120" i="24" s="1"/>
  <c r="L120" i="24"/>
  <c r="N120" i="24" s="1"/>
  <c r="B120" i="24"/>
  <c r="Z119" i="24"/>
  <c r="X119" i="24"/>
  <c r="N119" i="24"/>
  <c r="L119" i="24"/>
  <c r="B119" i="24"/>
  <c r="Z118" i="24"/>
  <c r="X118" i="24"/>
  <c r="N118" i="24"/>
  <c r="L118" i="24"/>
  <c r="B118" i="24"/>
  <c r="X117" i="24"/>
  <c r="Z117" i="24" s="1"/>
  <c r="L117" i="24"/>
  <c r="N117" i="24" s="1"/>
  <c r="B117" i="24"/>
  <c r="Z116" i="24"/>
  <c r="X116" i="24"/>
  <c r="L116" i="24"/>
  <c r="N116" i="24" s="1"/>
  <c r="B116" i="24"/>
  <c r="T115" i="24"/>
  <c r="R115" i="24"/>
  <c r="P115" i="24"/>
  <c r="X115" i="24" s="1"/>
  <c r="Z115" i="24" s="1"/>
  <c r="L115" i="24"/>
  <c r="N115" i="24" s="1"/>
  <c r="H115" i="24"/>
  <c r="D115" i="24"/>
  <c r="B115" i="24"/>
  <c r="X114" i="24"/>
  <c r="Z114" i="24" s="1"/>
  <c r="R114" i="24"/>
  <c r="N114" i="24"/>
  <c r="L114" i="24"/>
  <c r="B114" i="24"/>
  <c r="X113" i="24"/>
  <c r="T113" i="24"/>
  <c r="Z113" i="24" s="1"/>
  <c r="P113" i="24"/>
  <c r="N113" i="24"/>
  <c r="L113" i="24"/>
  <c r="H113" i="24"/>
  <c r="D113" i="24"/>
  <c r="B113" i="24"/>
  <c r="X112" i="24"/>
  <c r="Z112" i="24" s="1"/>
  <c r="N112" i="24"/>
  <c r="L112" i="24"/>
  <c r="B112" i="24"/>
  <c r="T111" i="24"/>
  <c r="P111" i="24"/>
  <c r="X111" i="24" s="1"/>
  <c r="Z111" i="24" s="1"/>
  <c r="H111" i="24"/>
  <c r="N111" i="24" s="1"/>
  <c r="D111" i="24"/>
  <c r="L111" i="24" s="1"/>
  <c r="B111" i="24"/>
  <c r="Z110" i="24"/>
  <c r="X110" i="24"/>
  <c r="N110" i="24"/>
  <c r="L110" i="24"/>
  <c r="B110" i="24"/>
  <c r="X109" i="24"/>
  <c r="Z109" i="24" s="1"/>
  <c r="T109" i="24"/>
  <c r="P109" i="24"/>
  <c r="N109" i="24"/>
  <c r="H109" i="24"/>
  <c r="D109" i="24"/>
  <c r="L109" i="24" s="1"/>
  <c r="B109" i="24"/>
  <c r="X108" i="24"/>
  <c r="Z108" i="24" s="1"/>
  <c r="N108" i="24"/>
  <c r="L108" i="24"/>
  <c r="B108" i="24"/>
  <c r="Z107" i="24"/>
  <c r="X107" i="24"/>
  <c r="N107" i="24"/>
  <c r="L107" i="24"/>
  <c r="B107" i="24"/>
  <c r="T106" i="24"/>
  <c r="R106" i="24"/>
  <c r="P106" i="24"/>
  <c r="L106" i="24"/>
  <c r="N106" i="24" s="1"/>
  <c r="H106" i="24"/>
  <c r="D106" i="24"/>
  <c r="B106" i="24"/>
  <c r="Z105" i="24"/>
  <c r="X105" i="24"/>
  <c r="R105" i="24"/>
  <c r="L105" i="24"/>
  <c r="N105" i="24" s="1"/>
  <c r="B105" i="24"/>
  <c r="T104" i="24"/>
  <c r="Z104" i="24" s="1"/>
  <c r="P104" i="24"/>
  <c r="X104" i="24" s="1"/>
  <c r="N104" i="24"/>
  <c r="H104" i="24"/>
  <c r="L104" i="24" s="1"/>
  <c r="D104" i="24"/>
  <c r="B104" i="24"/>
  <c r="Z103" i="24"/>
  <c r="X103" i="24"/>
  <c r="N103" i="24"/>
  <c r="L103" i="24"/>
  <c r="B103" i="24"/>
  <c r="T102" i="24"/>
  <c r="Z102" i="24" s="1"/>
  <c r="P102" i="24"/>
  <c r="X102" i="24" s="1"/>
  <c r="N102" i="24"/>
  <c r="L102" i="24"/>
  <c r="H102" i="24"/>
  <c r="D102" i="24"/>
  <c r="B102" i="24"/>
  <c r="X101" i="24"/>
  <c r="Z101" i="24" s="1"/>
  <c r="N101" i="24"/>
  <c r="L101" i="24"/>
  <c r="B101" i="24"/>
  <c r="X100" i="24"/>
  <c r="Z100" i="24" s="1"/>
  <c r="N100" i="24"/>
  <c r="L100" i="24"/>
  <c r="B100" i="24"/>
  <c r="Z99" i="24"/>
  <c r="X99" i="24"/>
  <c r="N99" i="24"/>
  <c r="L99" i="24"/>
  <c r="B99" i="24"/>
  <c r="Z98" i="24"/>
  <c r="X98" i="24"/>
  <c r="R98" i="24"/>
  <c r="N98" i="24"/>
  <c r="L98" i="24"/>
  <c r="B98" i="24"/>
  <c r="X97" i="24"/>
  <c r="Z97" i="24" s="1"/>
  <c r="N97" i="24"/>
  <c r="L97" i="24"/>
  <c r="B97" i="24"/>
  <c r="X96" i="24"/>
  <c r="Z96" i="24" s="1"/>
  <c r="T96" i="24"/>
  <c r="P96" i="24"/>
  <c r="H96" i="24"/>
  <c r="D96" i="24"/>
  <c r="B96" i="24"/>
  <c r="Z95" i="24"/>
  <c r="X95" i="24"/>
  <c r="N95" i="24"/>
  <c r="L95" i="24"/>
  <c r="B95" i="24"/>
  <c r="Z94" i="24"/>
  <c r="X94" i="24"/>
  <c r="N94" i="24"/>
  <c r="L94" i="24"/>
  <c r="B94" i="24"/>
  <c r="Z93" i="24"/>
  <c r="X93" i="24"/>
  <c r="R93" i="24"/>
  <c r="L93" i="24"/>
  <c r="N93" i="24" s="1"/>
  <c r="B93" i="24"/>
  <c r="Z92" i="24"/>
  <c r="X92" i="24"/>
  <c r="N92" i="24"/>
  <c r="L92" i="24"/>
  <c r="B92" i="24"/>
  <c r="Z91" i="24"/>
  <c r="X91" i="24"/>
  <c r="N91" i="24"/>
  <c r="L91" i="24"/>
  <c r="B91" i="24"/>
  <c r="Z90" i="24"/>
  <c r="X90" i="24"/>
  <c r="N90" i="24"/>
  <c r="L90" i="24"/>
  <c r="B90" i="24"/>
  <c r="Z89" i="24"/>
  <c r="X89" i="24"/>
  <c r="R89" i="24"/>
  <c r="L89" i="24"/>
  <c r="N89" i="24" s="1"/>
  <c r="B89" i="24"/>
  <c r="X88" i="24"/>
  <c r="Z88" i="24" s="1"/>
  <c r="L88" i="24"/>
  <c r="N88" i="24" s="1"/>
  <c r="B88" i="24"/>
  <c r="Z87" i="24"/>
  <c r="X87" i="24"/>
  <c r="N87" i="24"/>
  <c r="L87" i="24"/>
  <c r="B87" i="24"/>
  <c r="Z86" i="24"/>
  <c r="T86" i="24"/>
  <c r="X86" i="24" s="1"/>
  <c r="P86" i="24"/>
  <c r="H86" i="24"/>
  <c r="D86" i="24"/>
  <c r="L86" i="24" s="1"/>
  <c r="B86" i="24"/>
  <c r="T85" i="24"/>
  <c r="P85" i="24"/>
  <c r="H85" i="24"/>
  <c r="D85" i="24"/>
  <c r="L85" i="24" s="1"/>
  <c r="N85" i="24" s="1"/>
  <c r="X81" i="24"/>
  <c r="Z81" i="24" s="1"/>
  <c r="L81" i="24"/>
  <c r="N81" i="24" s="1"/>
  <c r="B81" i="24"/>
  <c r="X80" i="24"/>
  <c r="Z80" i="24" s="1"/>
  <c r="L80" i="24"/>
  <c r="N80" i="24" s="1"/>
  <c r="B80" i="24"/>
  <c r="Z79" i="24"/>
  <c r="X79" i="24"/>
  <c r="N79" i="24"/>
  <c r="L79" i="24"/>
  <c r="B79" i="24"/>
  <c r="Z78" i="24"/>
  <c r="X78" i="24"/>
  <c r="N78" i="24"/>
  <c r="L78" i="24"/>
  <c r="B78" i="24"/>
  <c r="Z77" i="24"/>
  <c r="X77" i="24"/>
  <c r="N77" i="24"/>
  <c r="L77" i="24"/>
  <c r="B77" i="24"/>
  <c r="X76" i="24"/>
  <c r="Z76" i="24" s="1"/>
  <c r="L76" i="24"/>
  <c r="N76" i="24" s="1"/>
  <c r="B76" i="24"/>
  <c r="Z75" i="24"/>
  <c r="X75" i="24"/>
  <c r="L75" i="24"/>
  <c r="N75" i="24" s="1"/>
  <c r="B75" i="24"/>
  <c r="Z74" i="24"/>
  <c r="X74" i="24"/>
  <c r="N74" i="24"/>
  <c r="L74" i="24"/>
  <c r="B74" i="24"/>
  <c r="X73" i="24"/>
  <c r="Z73" i="24" s="1"/>
  <c r="N73" i="24"/>
  <c r="L73" i="24"/>
  <c r="B73" i="24"/>
  <c r="X72" i="24"/>
  <c r="Z72" i="24" s="1"/>
  <c r="N72" i="24"/>
  <c r="L72" i="24"/>
  <c r="B72" i="24"/>
  <c r="Z71" i="24"/>
  <c r="X71" i="24"/>
  <c r="N71" i="24"/>
  <c r="L71" i="24"/>
  <c r="B71" i="24"/>
  <c r="Z70" i="24"/>
  <c r="X70" i="24"/>
  <c r="N70" i="24"/>
  <c r="L70" i="24"/>
  <c r="B70" i="24"/>
  <c r="X69" i="24"/>
  <c r="Z69" i="24" s="1"/>
  <c r="L69" i="24"/>
  <c r="N69" i="24" s="1"/>
  <c r="B69" i="24"/>
  <c r="X68" i="24"/>
  <c r="Z68" i="24" s="1"/>
  <c r="N68" i="24"/>
  <c r="L68" i="24"/>
  <c r="B68" i="24"/>
  <c r="Z67" i="24"/>
  <c r="X67" i="24"/>
  <c r="L67" i="24"/>
  <c r="N67" i="24" s="1"/>
  <c r="B67" i="24"/>
  <c r="Z66" i="24"/>
  <c r="X66" i="24"/>
  <c r="L66" i="24"/>
  <c r="N66" i="24" s="1"/>
  <c r="B66" i="24"/>
  <c r="X65" i="24"/>
  <c r="Z65" i="24" s="1"/>
  <c r="L65" i="24"/>
  <c r="N65" i="24" s="1"/>
  <c r="B65" i="24"/>
  <c r="X64" i="24"/>
  <c r="Z64" i="24" s="1"/>
  <c r="L64" i="24"/>
  <c r="N64" i="24" s="1"/>
  <c r="B64" i="24"/>
  <c r="Z63" i="24"/>
  <c r="X63" i="24"/>
  <c r="N63" i="24"/>
  <c r="L63" i="24"/>
  <c r="B63" i="24"/>
  <c r="Z62" i="24"/>
  <c r="X62" i="24"/>
  <c r="L62" i="24"/>
  <c r="N62" i="24" s="1"/>
  <c r="B62" i="24"/>
  <c r="X61" i="24"/>
  <c r="Z61" i="24" s="1"/>
  <c r="L61" i="24"/>
  <c r="N61" i="24" s="1"/>
  <c r="B61" i="24"/>
  <c r="X60" i="24"/>
  <c r="Z60" i="24" s="1"/>
  <c r="L60" i="24"/>
  <c r="N60" i="24" s="1"/>
  <c r="B60" i="24"/>
  <c r="Z59" i="24"/>
  <c r="X59" i="24"/>
  <c r="N59" i="24"/>
  <c r="L59" i="24"/>
  <c r="B59" i="24"/>
  <c r="Z58" i="24"/>
  <c r="X58" i="24"/>
  <c r="N58" i="24"/>
  <c r="L58" i="24"/>
  <c r="B58" i="24"/>
  <c r="T57" i="24"/>
  <c r="Z57" i="24" s="1"/>
  <c r="P57" i="24"/>
  <c r="X57" i="24" s="1"/>
  <c r="H57" i="24"/>
  <c r="D57" i="24"/>
  <c r="L57" i="24" s="1"/>
  <c r="N57" i="24" s="1"/>
  <c r="T55" i="24"/>
  <c r="Z55" i="24" s="1"/>
  <c r="P55" i="24"/>
  <c r="H55" i="24"/>
  <c r="N55" i="24" s="1"/>
  <c r="D55" i="24"/>
  <c r="B55" i="24"/>
  <c r="X54" i="24"/>
  <c r="T54" i="24"/>
  <c r="Z54" i="24" s="1"/>
  <c r="P54" i="24"/>
  <c r="N54" i="24"/>
  <c r="L54" i="24"/>
  <c r="H54" i="24"/>
  <c r="D54" i="24"/>
  <c r="B54" i="24"/>
  <c r="T53" i="24"/>
  <c r="P53" i="24"/>
  <c r="X53" i="24" s="1"/>
  <c r="Z53" i="24" s="1"/>
  <c r="N53" i="24"/>
  <c r="L53" i="24"/>
  <c r="H53" i="24"/>
  <c r="D53" i="24"/>
  <c r="B53" i="24"/>
  <c r="T52" i="24"/>
  <c r="P52" i="24"/>
  <c r="X52" i="24" s="1"/>
  <c r="H52" i="24"/>
  <c r="N52" i="24" s="1"/>
  <c r="D52" i="24"/>
  <c r="L52" i="24" s="1"/>
  <c r="B52" i="24"/>
  <c r="T51" i="24"/>
  <c r="P51" i="24"/>
  <c r="H51" i="24"/>
  <c r="N51" i="24" s="1"/>
  <c r="D51" i="24"/>
  <c r="B51" i="24"/>
  <c r="T50" i="24"/>
  <c r="P50" i="24"/>
  <c r="L50" i="24"/>
  <c r="N50" i="24" s="1"/>
  <c r="H50" i="24"/>
  <c r="D50" i="24"/>
  <c r="B50" i="24"/>
  <c r="T49" i="24"/>
  <c r="P49" i="24"/>
  <c r="X49" i="24" s="1"/>
  <c r="Z49" i="24" s="1"/>
  <c r="N49" i="24"/>
  <c r="L49" i="24"/>
  <c r="H49" i="24"/>
  <c r="D49" i="24"/>
  <c r="B49" i="24"/>
  <c r="T48" i="24"/>
  <c r="P48" i="24"/>
  <c r="X48" i="24" s="1"/>
  <c r="H48" i="24"/>
  <c r="D48" i="24"/>
  <c r="L48" i="24" s="1"/>
  <c r="B48" i="24"/>
  <c r="T47" i="24"/>
  <c r="P47" i="24"/>
  <c r="H47" i="24"/>
  <c r="D47" i="24"/>
  <c r="B47" i="24"/>
  <c r="T46" i="24"/>
  <c r="P46" i="24"/>
  <c r="L46" i="24"/>
  <c r="N46" i="24" s="1"/>
  <c r="H46" i="24"/>
  <c r="D46" i="24"/>
  <c r="B46" i="24"/>
  <c r="T45" i="24"/>
  <c r="P45" i="24"/>
  <c r="X45" i="24" s="1"/>
  <c r="Z45" i="24" s="1"/>
  <c r="N45" i="24"/>
  <c r="L45" i="24"/>
  <c r="H45" i="24"/>
  <c r="D45" i="24"/>
  <c r="B45" i="24"/>
  <c r="T44" i="24"/>
  <c r="P44" i="24"/>
  <c r="X44" i="24" s="1"/>
  <c r="H44" i="24"/>
  <c r="N44" i="24" s="1"/>
  <c r="D44" i="24"/>
  <c r="L44" i="24" s="1"/>
  <c r="B44" i="24"/>
  <c r="T43" i="24"/>
  <c r="P43" i="24"/>
  <c r="H43" i="24"/>
  <c r="N43" i="24" s="1"/>
  <c r="D43" i="24"/>
  <c r="B43" i="24"/>
  <c r="T42" i="24"/>
  <c r="P42" i="24"/>
  <c r="L42" i="24"/>
  <c r="N42" i="24" s="1"/>
  <c r="H42" i="24"/>
  <c r="D42" i="24"/>
  <c r="B42" i="24"/>
  <c r="T41" i="24"/>
  <c r="P41" i="24"/>
  <c r="X41" i="24" s="1"/>
  <c r="Z41" i="24" s="1"/>
  <c r="N41" i="24"/>
  <c r="L41" i="24"/>
  <c r="H41" i="24"/>
  <c r="D41" i="24"/>
  <c r="B41" i="24"/>
  <c r="T40" i="24"/>
  <c r="P40" i="24"/>
  <c r="X40" i="24" s="1"/>
  <c r="H40" i="24"/>
  <c r="N40" i="24" s="1"/>
  <c r="D40" i="24"/>
  <c r="L40" i="24" s="1"/>
  <c r="B40" i="24"/>
  <c r="T39" i="24"/>
  <c r="P39" i="24"/>
  <c r="H39" i="24"/>
  <c r="D39" i="24"/>
  <c r="B39" i="24"/>
  <c r="T38" i="24"/>
  <c r="P38" i="24"/>
  <c r="L38" i="24"/>
  <c r="N38" i="24" s="1"/>
  <c r="H38" i="24"/>
  <c r="D38" i="24"/>
  <c r="B38" i="24"/>
  <c r="T37" i="24"/>
  <c r="P37" i="24"/>
  <c r="X37" i="24" s="1"/>
  <c r="Z37" i="24" s="1"/>
  <c r="N37" i="24"/>
  <c r="L37" i="24"/>
  <c r="H37" i="24"/>
  <c r="D37" i="24"/>
  <c r="B37" i="24"/>
  <c r="T36" i="24"/>
  <c r="P36" i="24"/>
  <c r="X36" i="24" s="1"/>
  <c r="H36" i="24"/>
  <c r="D36" i="24"/>
  <c r="L36" i="24" s="1"/>
  <c r="B36" i="24"/>
  <c r="T35" i="24"/>
  <c r="P35" i="24"/>
  <c r="L35" i="24"/>
  <c r="H35" i="24"/>
  <c r="N35" i="24" s="1"/>
  <c r="D35" i="24"/>
  <c r="B35" i="24"/>
  <c r="X34" i="24"/>
  <c r="T34" i="24"/>
  <c r="P34" i="24"/>
  <c r="L34" i="24"/>
  <c r="N34" i="24" s="1"/>
  <c r="H34" i="24"/>
  <c r="D34" i="24"/>
  <c r="B34" i="24"/>
  <c r="T33" i="24"/>
  <c r="P33" i="24"/>
  <c r="X33" i="24" s="1"/>
  <c r="Z33" i="24" s="1"/>
  <c r="N33" i="24"/>
  <c r="L33" i="24"/>
  <c r="H33" i="24"/>
  <c r="D33" i="24"/>
  <c r="B33" i="24"/>
  <c r="T32" i="24"/>
  <c r="P32" i="24"/>
  <c r="X32" i="24" s="1"/>
  <c r="H32" i="24"/>
  <c r="N32" i="24" s="1"/>
  <c r="D32" i="24"/>
  <c r="L32" i="24" s="1"/>
  <c r="B32" i="24"/>
  <c r="T31" i="24"/>
  <c r="P31" i="24"/>
  <c r="L31" i="24"/>
  <c r="H31" i="24"/>
  <c r="N31" i="24" s="1"/>
  <c r="D31" i="24"/>
  <c r="B31" i="24"/>
  <c r="T30" i="24"/>
  <c r="X30" i="24" s="1"/>
  <c r="P30" i="24"/>
  <c r="N30" i="24"/>
  <c r="L30" i="24"/>
  <c r="H30" i="24"/>
  <c r="D30" i="24"/>
  <c r="B30" i="24"/>
  <c r="T29" i="24"/>
  <c r="P29" i="24"/>
  <c r="X29" i="24" s="1"/>
  <c r="Z29" i="24" s="1"/>
  <c r="L29" i="24"/>
  <c r="N29" i="24" s="1"/>
  <c r="H29" i="24"/>
  <c r="D29" i="24"/>
  <c r="B29" i="24"/>
  <c r="T28" i="24"/>
  <c r="Z28" i="24" s="1"/>
  <c r="P28" i="24"/>
  <c r="X28" i="24" s="1"/>
  <c r="H28" i="24"/>
  <c r="N28" i="24" s="1"/>
  <c r="D28" i="24"/>
  <c r="L28" i="24" s="1"/>
  <c r="B28" i="24"/>
  <c r="T27" i="24"/>
  <c r="P27" i="24"/>
  <c r="L27" i="24"/>
  <c r="H27" i="24"/>
  <c r="N27" i="24" s="1"/>
  <c r="D27" i="24"/>
  <c r="B27" i="24"/>
  <c r="T26" i="24"/>
  <c r="Z26" i="24" s="1"/>
  <c r="P26" i="24"/>
  <c r="N26" i="24"/>
  <c r="L26" i="24"/>
  <c r="H26" i="24"/>
  <c r="D26" i="24"/>
  <c r="B26" i="24"/>
  <c r="T25" i="24"/>
  <c r="P25" i="24"/>
  <c r="X25" i="24" s="1"/>
  <c r="Z25" i="24" s="1"/>
  <c r="L25" i="24"/>
  <c r="N25" i="24" s="1"/>
  <c r="H25" i="24"/>
  <c r="D25" i="24"/>
  <c r="B25" i="24"/>
  <c r="T24" i="24"/>
  <c r="Z24" i="24" s="1"/>
  <c r="P24" i="24"/>
  <c r="X24" i="24" s="1"/>
  <c r="H24" i="24"/>
  <c r="N24" i="24" s="1"/>
  <c r="D24" i="24"/>
  <c r="L24" i="24" s="1"/>
  <c r="B24" i="24"/>
  <c r="T23" i="24"/>
  <c r="P23" i="24"/>
  <c r="L23" i="24"/>
  <c r="H23" i="24"/>
  <c r="N23" i="24" s="1"/>
  <c r="D23" i="24"/>
  <c r="B23" i="24"/>
  <c r="T22" i="24"/>
  <c r="P22" i="24"/>
  <c r="L22" i="24"/>
  <c r="N22" i="24" s="1"/>
  <c r="H22" i="24"/>
  <c r="D22" i="24"/>
  <c r="B22" i="24"/>
  <c r="T21" i="24"/>
  <c r="P21" i="24"/>
  <c r="X21" i="24" s="1"/>
  <c r="Z21" i="24" s="1"/>
  <c r="L21" i="24"/>
  <c r="N21" i="24" s="1"/>
  <c r="H21" i="24"/>
  <c r="D21" i="24"/>
  <c r="B21" i="24"/>
  <c r="T20" i="24"/>
  <c r="P20" i="24"/>
  <c r="X20" i="24" s="1"/>
  <c r="H20" i="24"/>
  <c r="N20" i="24" s="1"/>
  <c r="D20" i="24"/>
  <c r="L20" i="24" s="1"/>
  <c r="B20" i="24"/>
  <c r="T19" i="24"/>
  <c r="P19" i="24"/>
  <c r="L19" i="24"/>
  <c r="H19" i="24"/>
  <c r="N19" i="24" s="1"/>
  <c r="D19" i="24"/>
  <c r="B19" i="24"/>
  <c r="X18" i="24"/>
  <c r="T18" i="24"/>
  <c r="P18" i="24"/>
  <c r="L18" i="24"/>
  <c r="N18" i="24" s="1"/>
  <c r="H18" i="24"/>
  <c r="D18" i="24"/>
  <c r="B18" i="24"/>
  <c r="T17" i="24"/>
  <c r="P17" i="24"/>
  <c r="X17" i="24" s="1"/>
  <c r="Z17" i="24" s="1"/>
  <c r="L17" i="24"/>
  <c r="N17" i="24" s="1"/>
  <c r="H17" i="24"/>
  <c r="D17" i="24"/>
  <c r="B17" i="24"/>
  <c r="T16" i="24"/>
  <c r="Z16" i="24" s="1"/>
  <c r="P16" i="24"/>
  <c r="X16" i="24" s="1"/>
  <c r="H16" i="24"/>
  <c r="N16" i="24" s="1"/>
  <c r="D16" i="24"/>
  <c r="L16" i="24" s="1"/>
  <c r="B16" i="24"/>
  <c r="T15" i="24"/>
  <c r="P15" i="24"/>
  <c r="L15" i="24"/>
  <c r="H15" i="24"/>
  <c r="N15" i="24" s="1"/>
  <c r="D15" i="24"/>
  <c r="B15" i="24"/>
  <c r="T14" i="24"/>
  <c r="P14" i="24"/>
  <c r="L14" i="24"/>
  <c r="N14" i="24" s="1"/>
  <c r="H14" i="24"/>
  <c r="D14" i="24"/>
  <c r="B14" i="24"/>
  <c r="T13" i="24"/>
  <c r="P13" i="24"/>
  <c r="X13" i="24" s="1"/>
  <c r="Z13" i="24" s="1"/>
  <c r="N13" i="24"/>
  <c r="L13" i="24"/>
  <c r="H13" i="24"/>
  <c r="D13" i="24"/>
  <c r="B13" i="24"/>
  <c r="P12" i="24"/>
  <c r="R166" i="24" s="1"/>
  <c r="D4" i="24"/>
  <c r="Z111" i="21"/>
  <c r="X111" i="21"/>
  <c r="N111" i="21"/>
  <c r="L111" i="21"/>
  <c r="Z107" i="21"/>
  <c r="X107" i="21"/>
  <c r="T107" i="21"/>
  <c r="P107" i="21"/>
  <c r="L107" i="21"/>
  <c r="H107" i="21"/>
  <c r="N107" i="21" s="1"/>
  <c r="D107" i="21"/>
  <c r="X105" i="21"/>
  <c r="Z105" i="21" s="1"/>
  <c r="N105" i="21"/>
  <c r="L105" i="21"/>
  <c r="B105" i="21"/>
  <c r="T104" i="21"/>
  <c r="P104" i="21"/>
  <c r="L104" i="21"/>
  <c r="N104" i="21" s="1"/>
  <c r="H104" i="21"/>
  <c r="D104" i="21"/>
  <c r="B104" i="21"/>
  <c r="Z103" i="21"/>
  <c r="X103" i="21"/>
  <c r="N103" i="21"/>
  <c r="L103" i="21"/>
  <c r="B103" i="21"/>
  <c r="Z102" i="21"/>
  <c r="T102" i="21"/>
  <c r="P102" i="21"/>
  <c r="X102" i="21" s="1"/>
  <c r="H102" i="21"/>
  <c r="L102" i="21" s="1"/>
  <c r="D102" i="21"/>
  <c r="B102" i="21"/>
  <c r="Z101" i="21"/>
  <c r="X101" i="21"/>
  <c r="N101" i="21"/>
  <c r="L101" i="21"/>
  <c r="B101" i="21"/>
  <c r="T100" i="21"/>
  <c r="P100" i="21"/>
  <c r="X100" i="21" s="1"/>
  <c r="N100" i="21"/>
  <c r="L100" i="21"/>
  <c r="H100" i="21"/>
  <c r="D100" i="21"/>
  <c r="B100" i="21"/>
  <c r="X99" i="21"/>
  <c r="Z99" i="21" s="1"/>
  <c r="N99" i="21"/>
  <c r="L99" i="21"/>
  <c r="B99" i="21"/>
  <c r="X98" i="21"/>
  <c r="Z98" i="21" s="1"/>
  <c r="T98" i="21"/>
  <c r="P98" i="21"/>
  <c r="H98" i="21"/>
  <c r="D98" i="21"/>
  <c r="B98" i="21"/>
  <c r="Z97" i="21"/>
  <c r="X97" i="21"/>
  <c r="N97" i="21"/>
  <c r="L97" i="21"/>
  <c r="B97" i="21"/>
  <c r="Z96" i="21"/>
  <c r="X96" i="21"/>
  <c r="N96" i="21"/>
  <c r="L96" i="21"/>
  <c r="B96" i="21"/>
  <c r="Z95" i="21"/>
  <c r="X95" i="21"/>
  <c r="N95" i="21"/>
  <c r="L95" i="21"/>
  <c r="B95" i="21"/>
  <c r="X94" i="21"/>
  <c r="Z94" i="21" s="1"/>
  <c r="N94" i="21"/>
  <c r="L94" i="21"/>
  <c r="B94" i="21"/>
  <c r="Z93" i="21"/>
  <c r="X93" i="21"/>
  <c r="N93" i="21"/>
  <c r="L93" i="21"/>
  <c r="B93" i="21"/>
  <c r="Z92" i="21"/>
  <c r="X92" i="21"/>
  <c r="N92" i="21"/>
  <c r="L92" i="21"/>
  <c r="B92" i="21"/>
  <c r="Z91" i="21"/>
  <c r="X91" i="21"/>
  <c r="L91" i="21"/>
  <c r="N91" i="21" s="1"/>
  <c r="B91" i="21"/>
  <c r="X90" i="21"/>
  <c r="Z90" i="21" s="1"/>
  <c r="N90" i="21"/>
  <c r="L90" i="21"/>
  <c r="B90" i="21"/>
  <c r="T89" i="21"/>
  <c r="P89" i="21"/>
  <c r="H89" i="21"/>
  <c r="D89" i="21"/>
  <c r="B89" i="21"/>
  <c r="Z88" i="21"/>
  <c r="X88" i="21"/>
  <c r="L88" i="21"/>
  <c r="N88" i="21" s="1"/>
  <c r="B88" i="21"/>
  <c r="X87" i="21"/>
  <c r="Z87" i="21" s="1"/>
  <c r="N87" i="21"/>
  <c r="L87" i="21"/>
  <c r="B87" i="21"/>
  <c r="X86" i="21"/>
  <c r="Z86" i="21" s="1"/>
  <c r="T86" i="21"/>
  <c r="P86" i="21"/>
  <c r="H86" i="21"/>
  <c r="D86" i="21"/>
  <c r="L86" i="21" s="1"/>
  <c r="B86" i="21"/>
  <c r="Z85" i="21"/>
  <c r="X85" i="21"/>
  <c r="N85" i="21"/>
  <c r="L85" i="21"/>
  <c r="B85" i="21"/>
  <c r="X84" i="21"/>
  <c r="Z84" i="21" s="1"/>
  <c r="N84" i="21"/>
  <c r="L84" i="21"/>
  <c r="B84" i="21"/>
  <c r="X83" i="21"/>
  <c r="Z83" i="21" s="1"/>
  <c r="N83" i="21"/>
  <c r="L83" i="21"/>
  <c r="B83" i="21"/>
  <c r="X82" i="21"/>
  <c r="Z82" i="21" s="1"/>
  <c r="N82" i="21"/>
  <c r="L82" i="21"/>
  <c r="B82" i="21"/>
  <c r="X81" i="21"/>
  <c r="Z81" i="21" s="1"/>
  <c r="T81" i="21"/>
  <c r="P81" i="21"/>
  <c r="L81" i="21"/>
  <c r="H81" i="21"/>
  <c r="D81" i="21"/>
  <c r="B81" i="21"/>
  <c r="Z80" i="21"/>
  <c r="X80" i="21"/>
  <c r="N80" i="21"/>
  <c r="L80" i="21"/>
  <c r="B80" i="21"/>
  <c r="T79" i="21"/>
  <c r="P79" i="21"/>
  <c r="N79" i="21"/>
  <c r="H79" i="21"/>
  <c r="D79" i="21"/>
  <c r="L79" i="21" s="1"/>
  <c r="B79" i="21"/>
  <c r="X78" i="21"/>
  <c r="Z78" i="21" s="1"/>
  <c r="L78" i="21"/>
  <c r="N78" i="21" s="1"/>
  <c r="B78" i="21"/>
  <c r="Z77" i="21"/>
  <c r="X77" i="21"/>
  <c r="L77" i="21"/>
  <c r="N77" i="21" s="1"/>
  <c r="B77" i="21"/>
  <c r="Z76" i="21"/>
  <c r="X76" i="21"/>
  <c r="N76" i="21"/>
  <c r="L76" i="21"/>
  <c r="B76" i="21"/>
  <c r="T75" i="21"/>
  <c r="P75" i="21"/>
  <c r="X75" i="21" s="1"/>
  <c r="H75" i="21"/>
  <c r="D75" i="21"/>
  <c r="L75" i="21" s="1"/>
  <c r="N75" i="21" s="1"/>
  <c r="B75" i="21"/>
  <c r="X74" i="21"/>
  <c r="Z74" i="21" s="1"/>
  <c r="L74" i="21"/>
  <c r="N74" i="21" s="1"/>
  <c r="B74" i="21"/>
  <c r="Z73" i="21"/>
  <c r="X73" i="21"/>
  <c r="T73" i="21"/>
  <c r="P73" i="21"/>
  <c r="L73" i="21"/>
  <c r="H73" i="21"/>
  <c r="D73" i="21"/>
  <c r="B73" i="21"/>
  <c r="Z72" i="21"/>
  <c r="X72" i="21"/>
  <c r="N72" i="21"/>
  <c r="L72" i="21"/>
  <c r="B72" i="21"/>
  <c r="T71" i="21"/>
  <c r="P71" i="21"/>
  <c r="X71" i="21" s="1"/>
  <c r="H71" i="21"/>
  <c r="D71" i="21"/>
  <c r="B71" i="21"/>
  <c r="X70" i="21"/>
  <c r="Z70" i="21" s="1"/>
  <c r="L70" i="21"/>
  <c r="N70" i="21" s="1"/>
  <c r="B70" i="21"/>
  <c r="Z69" i="21"/>
  <c r="T69" i="21"/>
  <c r="P69" i="21"/>
  <c r="X69" i="21" s="1"/>
  <c r="H69" i="21"/>
  <c r="N69" i="21" s="1"/>
  <c r="D69" i="21"/>
  <c r="L69" i="21" s="1"/>
  <c r="B69" i="21"/>
  <c r="X68" i="21"/>
  <c r="Z68" i="21" s="1"/>
  <c r="N68" i="21"/>
  <c r="L68" i="21"/>
  <c r="B68" i="21"/>
  <c r="X67" i="21"/>
  <c r="T67" i="21"/>
  <c r="Z67" i="21" s="1"/>
  <c r="P67" i="21"/>
  <c r="N67" i="21"/>
  <c r="L67" i="21"/>
  <c r="H67" i="21"/>
  <c r="D67" i="21"/>
  <c r="B67" i="21"/>
  <c r="Z66" i="21"/>
  <c r="X66" i="21"/>
  <c r="N66" i="21"/>
  <c r="L66" i="21"/>
  <c r="B66" i="21"/>
  <c r="Z65" i="21"/>
  <c r="X65" i="21"/>
  <c r="N65" i="21"/>
  <c r="L65" i="21"/>
  <c r="B65" i="21"/>
  <c r="T64" i="21"/>
  <c r="P64" i="21"/>
  <c r="X64" i="21" s="1"/>
  <c r="Z64" i="21" s="1"/>
  <c r="L64" i="21"/>
  <c r="N64" i="21" s="1"/>
  <c r="H64" i="21"/>
  <c r="D64" i="21"/>
  <c r="B64" i="21"/>
  <c r="X63" i="21"/>
  <c r="Z63" i="21" s="1"/>
  <c r="L63" i="21"/>
  <c r="N63" i="21" s="1"/>
  <c r="B63" i="21"/>
  <c r="T62" i="21"/>
  <c r="P62" i="21"/>
  <c r="X62" i="21" s="1"/>
  <c r="Z62" i="21" s="1"/>
  <c r="H62" i="21"/>
  <c r="D62" i="21"/>
  <c r="B62" i="21"/>
  <c r="X61" i="21"/>
  <c r="Z61" i="21" s="1"/>
  <c r="N61" i="21"/>
  <c r="L61" i="21"/>
  <c r="B61" i="21"/>
  <c r="T60" i="21"/>
  <c r="P60" i="21"/>
  <c r="N60" i="21"/>
  <c r="H60" i="21"/>
  <c r="D60" i="21"/>
  <c r="L60" i="21" s="1"/>
  <c r="B60" i="21"/>
  <c r="Z59" i="21"/>
  <c r="X59" i="21"/>
  <c r="L59" i="21"/>
  <c r="N59" i="21" s="1"/>
  <c r="B59" i="21"/>
  <c r="X58" i="21"/>
  <c r="Z58" i="21" s="1"/>
  <c r="T58" i="21"/>
  <c r="P58" i="21"/>
  <c r="H58" i="21"/>
  <c r="D58" i="21"/>
  <c r="B58" i="21"/>
  <c r="Z57" i="21"/>
  <c r="X57" i="21"/>
  <c r="N57" i="21"/>
  <c r="L57" i="21"/>
  <c r="B57" i="21"/>
  <c r="X56" i="21"/>
  <c r="Z56" i="21" s="1"/>
  <c r="L56" i="21"/>
  <c r="N56" i="21" s="1"/>
  <c r="B56" i="21"/>
  <c r="T55" i="21"/>
  <c r="P55" i="21"/>
  <c r="X55" i="21" s="1"/>
  <c r="N55" i="21"/>
  <c r="H55" i="21"/>
  <c r="D55" i="21"/>
  <c r="L55" i="21" s="1"/>
  <c r="B55" i="21"/>
  <c r="X54" i="21"/>
  <c r="Z54" i="21" s="1"/>
  <c r="L54" i="21"/>
  <c r="N54" i="21" s="1"/>
  <c r="B54" i="21"/>
  <c r="Z53" i="21"/>
  <c r="X53" i="21"/>
  <c r="T53" i="21"/>
  <c r="P53" i="21"/>
  <c r="H53" i="21"/>
  <c r="D53" i="21"/>
  <c r="L53" i="21" s="1"/>
  <c r="B53" i="21"/>
  <c r="Z52" i="21"/>
  <c r="X52" i="21"/>
  <c r="N52" i="21"/>
  <c r="L52" i="21"/>
  <c r="B52" i="21"/>
  <c r="T51" i="21"/>
  <c r="P51" i="21"/>
  <c r="H51" i="21"/>
  <c r="F51" i="21"/>
  <c r="D51" i="21"/>
  <c r="B51" i="21"/>
  <c r="X50" i="21"/>
  <c r="Z50" i="21" s="1"/>
  <c r="N50" i="21"/>
  <c r="L50" i="21"/>
  <c r="B50" i="21"/>
  <c r="T49" i="21"/>
  <c r="P49" i="21"/>
  <c r="H49" i="21"/>
  <c r="D49" i="21"/>
  <c r="L49" i="21" s="1"/>
  <c r="B49" i="21"/>
  <c r="Z48" i="21"/>
  <c r="X48" i="21"/>
  <c r="N48" i="21"/>
  <c r="L48" i="21"/>
  <c r="B48" i="21"/>
  <c r="X47" i="21"/>
  <c r="Z47" i="21" s="1"/>
  <c r="N47" i="21"/>
  <c r="L47" i="21"/>
  <c r="B47" i="21"/>
  <c r="X46" i="21"/>
  <c r="Z46" i="21" s="1"/>
  <c r="N46" i="21"/>
  <c r="L46" i="21"/>
  <c r="B46" i="21"/>
  <c r="Z45" i="21"/>
  <c r="X45" i="21"/>
  <c r="L45" i="21"/>
  <c r="N45" i="21" s="1"/>
  <c r="B45" i="21"/>
  <c r="Z44" i="21"/>
  <c r="X44" i="21"/>
  <c r="N44" i="21"/>
  <c r="L44" i="21"/>
  <c r="B44" i="21"/>
  <c r="X43" i="21"/>
  <c r="Z43" i="21" s="1"/>
  <c r="N43" i="21"/>
  <c r="L43" i="21"/>
  <c r="B43" i="21"/>
  <c r="X42" i="21"/>
  <c r="T42" i="21"/>
  <c r="Z42" i="21" s="1"/>
  <c r="P42" i="21"/>
  <c r="H42" i="21"/>
  <c r="D42" i="21"/>
  <c r="B42" i="21"/>
  <c r="Z41" i="21"/>
  <c r="X41" i="21"/>
  <c r="N41" i="21"/>
  <c r="L41" i="21"/>
  <c r="B41" i="21"/>
  <c r="Z40" i="21"/>
  <c r="X40" i="21"/>
  <c r="L40" i="21"/>
  <c r="N40" i="21" s="1"/>
  <c r="B40" i="21"/>
  <c r="Z39" i="21"/>
  <c r="X39" i="21"/>
  <c r="N39" i="21"/>
  <c r="L39" i="21"/>
  <c r="B39" i="21"/>
  <c r="X38" i="21"/>
  <c r="Z38" i="21" s="1"/>
  <c r="N38" i="21"/>
  <c r="L38" i="21"/>
  <c r="B38" i="21"/>
  <c r="Z37" i="21"/>
  <c r="X37" i="21"/>
  <c r="N37" i="21"/>
  <c r="L37" i="21"/>
  <c r="B37" i="21"/>
  <c r="Z36" i="21"/>
  <c r="X36" i="21"/>
  <c r="L36" i="21"/>
  <c r="N36" i="21" s="1"/>
  <c r="B36" i="21"/>
  <c r="Z35" i="21"/>
  <c r="X35" i="21"/>
  <c r="N35" i="21"/>
  <c r="L35" i="21"/>
  <c r="B35" i="21"/>
  <c r="X34" i="21"/>
  <c r="Z34" i="21" s="1"/>
  <c r="L34" i="21"/>
  <c r="N34" i="21" s="1"/>
  <c r="B34" i="21"/>
  <c r="T33" i="21"/>
  <c r="P33" i="21"/>
  <c r="X33" i="21" s="1"/>
  <c r="Z33" i="21" s="1"/>
  <c r="H33" i="21"/>
  <c r="D33" i="21"/>
  <c r="L33" i="21" s="1"/>
  <c r="N33" i="21" s="1"/>
  <c r="B33" i="21"/>
  <c r="T32" i="21"/>
  <c r="P32" i="21"/>
  <c r="H32" i="21"/>
  <c r="D32" i="21"/>
  <c r="X28" i="21"/>
  <c r="Z28" i="21" s="1"/>
  <c r="L28" i="21"/>
  <c r="N28" i="21" s="1"/>
  <c r="B28" i="21"/>
  <c r="Z27" i="21"/>
  <c r="X27" i="21"/>
  <c r="L27" i="21"/>
  <c r="N27" i="21" s="1"/>
  <c r="B27" i="21"/>
  <c r="T26" i="21"/>
  <c r="Z26" i="21" s="1"/>
  <c r="P26" i="21"/>
  <c r="X26" i="21" s="1"/>
  <c r="H26" i="21"/>
  <c r="N26" i="21" s="1"/>
  <c r="D26" i="21"/>
  <c r="L26" i="21" s="1"/>
  <c r="X24" i="21"/>
  <c r="T24" i="21"/>
  <c r="Z24" i="21" s="1"/>
  <c r="P24" i="21"/>
  <c r="N24" i="21"/>
  <c r="L24" i="21"/>
  <c r="H24" i="21"/>
  <c r="D24" i="21"/>
  <c r="B24" i="21"/>
  <c r="T23" i="21"/>
  <c r="P23" i="21"/>
  <c r="N23" i="21"/>
  <c r="L23" i="21"/>
  <c r="H23" i="21"/>
  <c r="D23" i="21"/>
  <c r="B23" i="21"/>
  <c r="T22" i="21"/>
  <c r="Z22" i="21" s="1"/>
  <c r="P22" i="21"/>
  <c r="X22" i="21" s="1"/>
  <c r="H22" i="21"/>
  <c r="D22" i="21"/>
  <c r="L22" i="21" s="1"/>
  <c r="N22" i="21" s="1"/>
  <c r="B22" i="21"/>
  <c r="T21" i="21"/>
  <c r="P21" i="21"/>
  <c r="H21" i="21"/>
  <c r="D21" i="21"/>
  <c r="B21" i="21"/>
  <c r="X20" i="21"/>
  <c r="T20" i="21"/>
  <c r="Z20" i="21" s="1"/>
  <c r="P20" i="21"/>
  <c r="N20" i="21"/>
  <c r="L20" i="21"/>
  <c r="H20" i="21"/>
  <c r="D20" i="21"/>
  <c r="B20" i="21"/>
  <c r="T19" i="21"/>
  <c r="Z19" i="21" s="1"/>
  <c r="P19" i="21"/>
  <c r="N19" i="21"/>
  <c r="L19" i="21"/>
  <c r="H19" i="21"/>
  <c r="D19" i="21"/>
  <c r="B19" i="21"/>
  <c r="T18" i="21"/>
  <c r="P18" i="21"/>
  <c r="X18" i="21" s="1"/>
  <c r="H18" i="21"/>
  <c r="D18" i="21"/>
  <c r="L18" i="21" s="1"/>
  <c r="N18" i="21" s="1"/>
  <c r="B18" i="21"/>
  <c r="T17" i="21"/>
  <c r="P17" i="21"/>
  <c r="H17" i="21"/>
  <c r="N17" i="21" s="1"/>
  <c r="D17" i="21"/>
  <c r="B17" i="21"/>
  <c r="X16" i="21"/>
  <c r="T16" i="21"/>
  <c r="Z16" i="21" s="1"/>
  <c r="P16" i="21"/>
  <c r="L16" i="21"/>
  <c r="N16" i="21" s="1"/>
  <c r="H16" i="21"/>
  <c r="D16" i="21"/>
  <c r="B16" i="21"/>
  <c r="T15" i="21"/>
  <c r="P15" i="21"/>
  <c r="N15" i="21"/>
  <c r="L15" i="21"/>
  <c r="H15" i="21"/>
  <c r="D15" i="21"/>
  <c r="B15" i="21"/>
  <c r="T14" i="21"/>
  <c r="P14" i="21"/>
  <c r="X14" i="21" s="1"/>
  <c r="N14" i="21"/>
  <c r="H14" i="21"/>
  <c r="D14" i="21"/>
  <c r="D12" i="21" s="1"/>
  <c r="F44" i="21" s="1"/>
  <c r="B14" i="21"/>
  <c r="T13" i="21"/>
  <c r="P13" i="21"/>
  <c r="H13" i="21"/>
  <c r="D13" i="21"/>
  <c r="B13" i="21"/>
  <c r="D4" i="21"/>
  <c r="Z339" i="18"/>
  <c r="X339" i="18"/>
  <c r="N339" i="18"/>
  <c r="L339" i="18"/>
  <c r="X335" i="18"/>
  <c r="Z335" i="18" s="1"/>
  <c r="T335" i="18"/>
  <c r="P335" i="18"/>
  <c r="N335" i="18"/>
  <c r="L335" i="18"/>
  <c r="H335" i="18"/>
  <c r="F335" i="18"/>
  <c r="D335" i="18"/>
  <c r="B335" i="18"/>
  <c r="T334" i="18"/>
  <c r="Z334" i="18" s="1"/>
  <c r="P334" i="18"/>
  <c r="X334" i="18" s="1"/>
  <c r="H334" i="18"/>
  <c r="N334" i="18" s="1"/>
  <c r="D334" i="18"/>
  <c r="B334" i="18"/>
  <c r="T333" i="18"/>
  <c r="P333" i="18"/>
  <c r="X333" i="18" s="1"/>
  <c r="Z333" i="18" s="1"/>
  <c r="N333" i="18"/>
  <c r="H333" i="18"/>
  <c r="D333" i="18"/>
  <c r="L333" i="18" s="1"/>
  <c r="B333" i="18"/>
  <c r="T332" i="18"/>
  <c r="P332" i="18"/>
  <c r="L332" i="18"/>
  <c r="H332" i="18"/>
  <c r="D332" i="18"/>
  <c r="B332" i="18"/>
  <c r="T331" i="18"/>
  <c r="P331" i="18"/>
  <c r="X331" i="18" s="1"/>
  <c r="Z331" i="18" s="1"/>
  <c r="N331" i="18"/>
  <c r="H331" i="18"/>
  <c r="D331" i="18"/>
  <c r="L331" i="18" s="1"/>
  <c r="B331" i="18"/>
  <c r="T330" i="18"/>
  <c r="Z330" i="18" s="1"/>
  <c r="P330" i="18"/>
  <c r="X330" i="18" s="1"/>
  <c r="H330" i="18"/>
  <c r="N330" i="18" s="1"/>
  <c r="D330" i="18"/>
  <c r="L330" i="18" s="1"/>
  <c r="B330" i="18"/>
  <c r="Z329" i="18"/>
  <c r="X329" i="18"/>
  <c r="T329" i="18"/>
  <c r="P329" i="18"/>
  <c r="L329" i="18"/>
  <c r="H329" i="18"/>
  <c r="N329" i="18" s="1"/>
  <c r="D329" i="18"/>
  <c r="B329" i="18"/>
  <c r="T328" i="18"/>
  <c r="P328" i="18"/>
  <c r="H328" i="18"/>
  <c r="N328" i="18" s="1"/>
  <c r="D328" i="18"/>
  <c r="L328" i="18" s="1"/>
  <c r="B328" i="18"/>
  <c r="T327" i="18"/>
  <c r="Z327" i="18" s="1"/>
  <c r="P327" i="18"/>
  <c r="X327" i="18" s="1"/>
  <c r="H327" i="18"/>
  <c r="D327" i="18"/>
  <c r="L327" i="18" s="1"/>
  <c r="N327" i="18" s="1"/>
  <c r="B327" i="18"/>
  <c r="X326" i="18"/>
  <c r="T326" i="18"/>
  <c r="Z326" i="18" s="1"/>
  <c r="P326" i="18"/>
  <c r="H326" i="18"/>
  <c r="N326" i="18" s="1"/>
  <c r="D326" i="18"/>
  <c r="B326" i="18"/>
  <c r="T325" i="18"/>
  <c r="P325" i="18"/>
  <c r="X325" i="18" s="1"/>
  <c r="Z325" i="18" s="1"/>
  <c r="H325" i="18"/>
  <c r="L325" i="18" s="1"/>
  <c r="N325" i="18" s="1"/>
  <c r="D325" i="18"/>
  <c r="B325" i="18"/>
  <c r="T324" i="18"/>
  <c r="P324" i="18"/>
  <c r="X324" i="18" s="1"/>
  <c r="H324" i="18"/>
  <c r="D324" i="18"/>
  <c r="B324" i="18"/>
  <c r="X321" i="18"/>
  <c r="Z321" i="18" s="1"/>
  <c r="N321" i="18"/>
  <c r="L321" i="18"/>
  <c r="B321" i="18"/>
  <c r="X320" i="18"/>
  <c r="T320" i="18"/>
  <c r="Z320" i="18" s="1"/>
  <c r="P320" i="18"/>
  <c r="H320" i="18"/>
  <c r="D320" i="18"/>
  <c r="B320" i="18"/>
  <c r="Z319" i="18"/>
  <c r="X319" i="18"/>
  <c r="N319" i="18"/>
  <c r="L319" i="18"/>
  <c r="B319" i="18"/>
  <c r="Z318" i="18"/>
  <c r="X318" i="18"/>
  <c r="L318" i="18"/>
  <c r="N318" i="18" s="1"/>
  <c r="B318" i="18"/>
  <c r="Z317" i="18"/>
  <c r="X317" i="18"/>
  <c r="L317" i="18"/>
  <c r="N317" i="18" s="1"/>
  <c r="J317" i="18"/>
  <c r="B317" i="18"/>
  <c r="T316" i="18"/>
  <c r="Z316" i="18" s="1"/>
  <c r="P316" i="18"/>
  <c r="X316" i="18" s="1"/>
  <c r="H316" i="18"/>
  <c r="D316" i="18"/>
  <c r="L316" i="18" s="1"/>
  <c r="B316" i="18"/>
  <c r="Z315" i="18"/>
  <c r="X315" i="18"/>
  <c r="N315" i="18"/>
  <c r="L315" i="18"/>
  <c r="B315" i="18"/>
  <c r="T314" i="18"/>
  <c r="Z314" i="18" s="1"/>
  <c r="P314" i="18"/>
  <c r="X314" i="18" s="1"/>
  <c r="H314" i="18"/>
  <c r="N314" i="18" s="1"/>
  <c r="D314" i="18"/>
  <c r="L314" i="18" s="1"/>
  <c r="B314" i="18"/>
  <c r="X313" i="18"/>
  <c r="Z313" i="18" s="1"/>
  <c r="N313" i="18"/>
  <c r="L313" i="18"/>
  <c r="B313" i="18"/>
  <c r="X312" i="18"/>
  <c r="Z312" i="18" s="1"/>
  <c r="L312" i="18"/>
  <c r="N312" i="18" s="1"/>
  <c r="B312" i="18"/>
  <c r="T311" i="18"/>
  <c r="X311" i="18" s="1"/>
  <c r="Z311" i="18" s="1"/>
  <c r="P311" i="18"/>
  <c r="L311" i="18"/>
  <c r="H311" i="18"/>
  <c r="N311" i="18" s="1"/>
  <c r="D311" i="18"/>
  <c r="B311" i="18"/>
  <c r="Z310" i="18"/>
  <c r="X310" i="18"/>
  <c r="N310" i="18"/>
  <c r="L310" i="18"/>
  <c r="B310" i="18"/>
  <c r="Z309" i="18"/>
  <c r="X309" i="18"/>
  <c r="L309" i="18"/>
  <c r="N309" i="18" s="1"/>
  <c r="B309" i="18"/>
  <c r="X308" i="18"/>
  <c r="Z308" i="18" s="1"/>
  <c r="L308" i="18"/>
  <c r="N308" i="18" s="1"/>
  <c r="B308" i="18"/>
  <c r="Z307" i="18"/>
  <c r="X307" i="18"/>
  <c r="N307" i="18"/>
  <c r="L307" i="18"/>
  <c r="B307" i="18"/>
  <c r="Z306" i="18"/>
  <c r="X306" i="18"/>
  <c r="L306" i="18"/>
  <c r="N306" i="18" s="1"/>
  <c r="B306" i="18"/>
  <c r="Z305" i="18"/>
  <c r="X305" i="18"/>
  <c r="L305" i="18"/>
  <c r="N305" i="18" s="1"/>
  <c r="B305" i="18"/>
  <c r="Z304" i="18"/>
  <c r="X304" i="18"/>
  <c r="N304" i="18"/>
  <c r="L304" i="18"/>
  <c r="B304" i="18"/>
  <c r="Z303" i="18"/>
  <c r="X303" i="18"/>
  <c r="N303" i="18"/>
  <c r="L303" i="18"/>
  <c r="B303" i="18"/>
  <c r="T302" i="18"/>
  <c r="P302" i="18"/>
  <c r="H302" i="18"/>
  <c r="N302" i="18" s="1"/>
  <c r="D302" i="18"/>
  <c r="L302" i="18" s="1"/>
  <c r="B302" i="18"/>
  <c r="X301" i="18"/>
  <c r="Z301" i="18" s="1"/>
  <c r="L301" i="18"/>
  <c r="N301" i="18" s="1"/>
  <c r="B301" i="18"/>
  <c r="X300" i="18"/>
  <c r="Z300" i="18" s="1"/>
  <c r="L300" i="18"/>
  <c r="N300" i="18" s="1"/>
  <c r="B300" i="18"/>
  <c r="Z299" i="18"/>
  <c r="X299" i="18"/>
  <c r="T299" i="18"/>
  <c r="P299" i="18"/>
  <c r="L299" i="18"/>
  <c r="H299" i="18"/>
  <c r="N299" i="18" s="1"/>
  <c r="D299" i="18"/>
  <c r="B299" i="18"/>
  <c r="X298" i="18"/>
  <c r="Z298" i="18" s="1"/>
  <c r="N298" i="18"/>
  <c r="L298" i="18"/>
  <c r="F298" i="18"/>
  <c r="B298" i="18"/>
  <c r="X297" i="18"/>
  <c r="Z297" i="18" s="1"/>
  <c r="N297" i="18"/>
  <c r="L297" i="18"/>
  <c r="B297" i="18"/>
  <c r="X296" i="18"/>
  <c r="Z296" i="18" s="1"/>
  <c r="L296" i="18"/>
  <c r="N296" i="18" s="1"/>
  <c r="B296" i="18"/>
  <c r="Z295" i="18"/>
  <c r="X295" i="18"/>
  <c r="N295" i="18"/>
  <c r="L295" i="18"/>
  <c r="B295" i="18"/>
  <c r="T294" i="18"/>
  <c r="P294" i="18"/>
  <c r="L294" i="18"/>
  <c r="N294" i="18" s="1"/>
  <c r="H294" i="18"/>
  <c r="D294" i="18"/>
  <c r="B294" i="18"/>
  <c r="Z293" i="18"/>
  <c r="X293" i="18"/>
  <c r="L293" i="18"/>
  <c r="N293" i="18" s="1"/>
  <c r="B293" i="18"/>
  <c r="X292" i="18"/>
  <c r="Z292" i="18" s="1"/>
  <c r="N292" i="18"/>
  <c r="L292" i="18"/>
  <c r="B292" i="18"/>
  <c r="Z291" i="18"/>
  <c r="X291" i="18"/>
  <c r="N291" i="18"/>
  <c r="L291" i="18"/>
  <c r="B291" i="18"/>
  <c r="T290" i="18"/>
  <c r="P290" i="18"/>
  <c r="H290" i="18"/>
  <c r="N290" i="18" s="1"/>
  <c r="D290" i="18"/>
  <c r="L290" i="18" s="1"/>
  <c r="B290" i="18"/>
  <c r="X289" i="18"/>
  <c r="Z289" i="18" s="1"/>
  <c r="N289" i="18"/>
  <c r="L289" i="18"/>
  <c r="B289" i="18"/>
  <c r="X288" i="18"/>
  <c r="Z288" i="18" s="1"/>
  <c r="L288" i="18"/>
  <c r="N288" i="18" s="1"/>
  <c r="B288" i="18"/>
  <c r="Z287" i="18"/>
  <c r="X287" i="18"/>
  <c r="N287" i="18"/>
  <c r="L287" i="18"/>
  <c r="B287" i="18"/>
  <c r="X286" i="18"/>
  <c r="Z286" i="18" s="1"/>
  <c r="L286" i="18"/>
  <c r="N286" i="18" s="1"/>
  <c r="B286" i="18"/>
  <c r="X285" i="18"/>
  <c r="T285" i="18"/>
  <c r="Z285" i="18" s="1"/>
  <c r="P285" i="18"/>
  <c r="N285" i="18"/>
  <c r="L285" i="18"/>
  <c r="H285" i="18"/>
  <c r="D285" i="18"/>
  <c r="B285" i="18"/>
  <c r="X284" i="18"/>
  <c r="Z284" i="18" s="1"/>
  <c r="L284" i="18"/>
  <c r="N284" i="18" s="1"/>
  <c r="B284" i="18"/>
  <c r="T283" i="18"/>
  <c r="X283" i="18" s="1"/>
  <c r="Z283" i="18" s="1"/>
  <c r="P283" i="18"/>
  <c r="H283" i="18"/>
  <c r="N283" i="18" s="1"/>
  <c r="D283" i="18"/>
  <c r="L283" i="18" s="1"/>
  <c r="B283" i="18"/>
  <c r="Z282" i="18"/>
  <c r="X282" i="18"/>
  <c r="N282" i="18"/>
  <c r="L282" i="18"/>
  <c r="B282" i="18"/>
  <c r="T281" i="18"/>
  <c r="P281" i="18"/>
  <c r="X281" i="18" s="1"/>
  <c r="Z281" i="18" s="1"/>
  <c r="N281" i="18"/>
  <c r="H281" i="18"/>
  <c r="D281" i="18"/>
  <c r="L281" i="18" s="1"/>
  <c r="B281" i="18"/>
  <c r="X280" i="18"/>
  <c r="Z280" i="18" s="1"/>
  <c r="L280" i="18"/>
  <c r="N280" i="18" s="1"/>
  <c r="B280" i="18"/>
  <c r="Z279" i="18"/>
  <c r="X279" i="18"/>
  <c r="N279" i="18"/>
  <c r="L279" i="18"/>
  <c r="B279" i="18"/>
  <c r="X278" i="18"/>
  <c r="Z278" i="18" s="1"/>
  <c r="L278" i="18"/>
  <c r="N278" i="18" s="1"/>
  <c r="B278" i="18"/>
  <c r="X277" i="18"/>
  <c r="Z277" i="18" s="1"/>
  <c r="L277" i="18"/>
  <c r="N277" i="18" s="1"/>
  <c r="B277" i="18"/>
  <c r="X276" i="18"/>
  <c r="Z276" i="18" s="1"/>
  <c r="L276" i="18"/>
  <c r="N276" i="18" s="1"/>
  <c r="B276" i="18"/>
  <c r="X275" i="18"/>
  <c r="Z275" i="18" s="1"/>
  <c r="N275" i="18"/>
  <c r="L275" i="18"/>
  <c r="B275" i="18"/>
  <c r="Z274" i="18"/>
  <c r="X274" i="18"/>
  <c r="L274" i="18"/>
  <c r="N274" i="18" s="1"/>
  <c r="B274" i="18"/>
  <c r="X273" i="18"/>
  <c r="Z273" i="18" s="1"/>
  <c r="L273" i="18"/>
  <c r="N273" i="18" s="1"/>
  <c r="B273" i="18"/>
  <c r="X272" i="18"/>
  <c r="Z272" i="18" s="1"/>
  <c r="L272" i="18"/>
  <c r="N272" i="18" s="1"/>
  <c r="B272" i="18"/>
  <c r="X271" i="18"/>
  <c r="Z271" i="18" s="1"/>
  <c r="N271" i="18"/>
  <c r="L271" i="18"/>
  <c r="B271" i="18"/>
  <c r="X270" i="18"/>
  <c r="Z270" i="18" s="1"/>
  <c r="L270" i="18"/>
  <c r="N270" i="18" s="1"/>
  <c r="B270" i="18"/>
  <c r="X269" i="18"/>
  <c r="Z269" i="18" s="1"/>
  <c r="L269" i="18"/>
  <c r="N269" i="18" s="1"/>
  <c r="B269" i="18"/>
  <c r="X268" i="18"/>
  <c r="Z268" i="18" s="1"/>
  <c r="L268" i="18"/>
  <c r="N268" i="18" s="1"/>
  <c r="B268" i="18"/>
  <c r="X267" i="18"/>
  <c r="Z267" i="18" s="1"/>
  <c r="N267" i="18"/>
  <c r="L267" i="18"/>
  <c r="B267" i="18"/>
  <c r="X266" i="18"/>
  <c r="Z266" i="18" s="1"/>
  <c r="L266" i="18"/>
  <c r="N266" i="18" s="1"/>
  <c r="B266" i="18"/>
  <c r="X265" i="18"/>
  <c r="Z265" i="18" s="1"/>
  <c r="L265" i="18"/>
  <c r="N265" i="18" s="1"/>
  <c r="B265" i="18"/>
  <c r="X264" i="18"/>
  <c r="Z264" i="18" s="1"/>
  <c r="L264" i="18"/>
  <c r="N264" i="18" s="1"/>
  <c r="B264" i="18"/>
  <c r="X263" i="18"/>
  <c r="Z263" i="18" s="1"/>
  <c r="N263" i="18"/>
  <c r="L263" i="18"/>
  <c r="B263" i="18"/>
  <c r="X262" i="18"/>
  <c r="Z262" i="18" s="1"/>
  <c r="L262" i="18"/>
  <c r="N262" i="18" s="1"/>
  <c r="B262" i="18"/>
  <c r="X261" i="18"/>
  <c r="Z261" i="18" s="1"/>
  <c r="L261" i="18"/>
  <c r="N261" i="18" s="1"/>
  <c r="B261" i="18"/>
  <c r="X260" i="18"/>
  <c r="Z260" i="18" s="1"/>
  <c r="L260" i="18"/>
  <c r="N260" i="18" s="1"/>
  <c r="B260" i="18"/>
  <c r="X259" i="18"/>
  <c r="Z259" i="18" s="1"/>
  <c r="N259" i="18"/>
  <c r="L259" i="18"/>
  <c r="B259" i="18"/>
  <c r="Z258" i="18"/>
  <c r="X258" i="18"/>
  <c r="L258" i="18"/>
  <c r="N258" i="18" s="1"/>
  <c r="B258" i="18"/>
  <c r="X257" i="18"/>
  <c r="Z257" i="18" s="1"/>
  <c r="L257" i="18"/>
  <c r="N257" i="18" s="1"/>
  <c r="B257" i="18"/>
  <c r="X256" i="18"/>
  <c r="Z256" i="18" s="1"/>
  <c r="L256" i="18"/>
  <c r="N256" i="18" s="1"/>
  <c r="B256" i="18"/>
  <c r="X255" i="18"/>
  <c r="Z255" i="18" s="1"/>
  <c r="N255" i="18"/>
  <c r="L255" i="18"/>
  <c r="B255" i="18"/>
  <c r="Z254" i="18"/>
  <c r="X254" i="18"/>
  <c r="L254" i="18"/>
  <c r="N254" i="18" s="1"/>
  <c r="B254" i="18"/>
  <c r="X253" i="18"/>
  <c r="Z253" i="18" s="1"/>
  <c r="L253" i="18"/>
  <c r="N253" i="18" s="1"/>
  <c r="B253" i="18"/>
  <c r="X252" i="18"/>
  <c r="Z252" i="18" s="1"/>
  <c r="L252" i="18"/>
  <c r="N252" i="18" s="1"/>
  <c r="B252" i="18"/>
  <c r="X251" i="18"/>
  <c r="Z251" i="18" s="1"/>
  <c r="N251" i="18"/>
  <c r="L251" i="18"/>
  <c r="B251" i="18"/>
  <c r="Z250" i="18"/>
  <c r="X250" i="18"/>
  <c r="L250" i="18"/>
  <c r="N250" i="18" s="1"/>
  <c r="B250" i="18"/>
  <c r="X249" i="18"/>
  <c r="Z249" i="18" s="1"/>
  <c r="L249" i="18"/>
  <c r="N249" i="18" s="1"/>
  <c r="B249" i="18"/>
  <c r="X248" i="18"/>
  <c r="Z248" i="18" s="1"/>
  <c r="L248" i="18"/>
  <c r="N248" i="18" s="1"/>
  <c r="B248" i="18"/>
  <c r="X247" i="18"/>
  <c r="Z247" i="18" s="1"/>
  <c r="N247" i="18"/>
  <c r="L247" i="18"/>
  <c r="B247" i="18"/>
  <c r="Z246" i="18"/>
  <c r="X246" i="18"/>
  <c r="L246" i="18"/>
  <c r="N246" i="18" s="1"/>
  <c r="B246" i="18"/>
  <c r="X245" i="18"/>
  <c r="Z245" i="18" s="1"/>
  <c r="L245" i="18"/>
  <c r="N245" i="18" s="1"/>
  <c r="B245" i="18"/>
  <c r="Z244" i="18"/>
  <c r="X244" i="18"/>
  <c r="L244" i="18"/>
  <c r="N244" i="18" s="1"/>
  <c r="B244" i="18"/>
  <c r="T243" i="18"/>
  <c r="Z243" i="18" s="1"/>
  <c r="P243" i="18"/>
  <c r="X243" i="18" s="1"/>
  <c r="H243" i="18"/>
  <c r="N243" i="18" s="1"/>
  <c r="D243" i="18"/>
  <c r="L243" i="18" s="1"/>
  <c r="B243" i="18"/>
  <c r="X242" i="18"/>
  <c r="Z242" i="18" s="1"/>
  <c r="N242" i="18"/>
  <c r="L242" i="18"/>
  <c r="F242" i="18"/>
  <c r="B242" i="18"/>
  <c r="X241" i="18"/>
  <c r="T241" i="18"/>
  <c r="Z241" i="18" s="1"/>
  <c r="P241" i="18"/>
  <c r="H241" i="18"/>
  <c r="L241" i="18" s="1"/>
  <c r="N241" i="18" s="1"/>
  <c r="F241" i="18"/>
  <c r="D241" i="18"/>
  <c r="B241" i="18"/>
  <c r="Z240" i="18"/>
  <c r="X240" i="18"/>
  <c r="L240" i="18"/>
  <c r="N240" i="18" s="1"/>
  <c r="B240" i="18"/>
  <c r="T239" i="18"/>
  <c r="X239" i="18" s="1"/>
  <c r="Z239" i="18" s="1"/>
  <c r="P239" i="18"/>
  <c r="H239" i="18"/>
  <c r="D239" i="18"/>
  <c r="L239" i="18" s="1"/>
  <c r="N239" i="18" s="1"/>
  <c r="B239" i="18"/>
  <c r="Z238" i="18"/>
  <c r="X238" i="18"/>
  <c r="L238" i="18"/>
  <c r="N238" i="18" s="1"/>
  <c r="B238" i="18"/>
  <c r="X237" i="18"/>
  <c r="Z237" i="18" s="1"/>
  <c r="L237" i="18"/>
  <c r="N237" i="18" s="1"/>
  <c r="B237" i="18"/>
  <c r="T236" i="18"/>
  <c r="P236" i="18"/>
  <c r="X236" i="18" s="1"/>
  <c r="Z236" i="18" s="1"/>
  <c r="H236" i="18"/>
  <c r="D236" i="18"/>
  <c r="L236" i="18" s="1"/>
  <c r="N236" i="18" s="1"/>
  <c r="B236" i="18"/>
  <c r="Z235" i="18"/>
  <c r="X235" i="18"/>
  <c r="N235" i="18"/>
  <c r="L235" i="18"/>
  <c r="B235" i="18"/>
  <c r="T234" i="18"/>
  <c r="P234" i="18"/>
  <c r="L234" i="18"/>
  <c r="N234" i="18" s="1"/>
  <c r="H234" i="18"/>
  <c r="D234" i="18"/>
  <c r="B234" i="18"/>
  <c r="Z233" i="18"/>
  <c r="X233" i="18"/>
  <c r="L233" i="18"/>
  <c r="N233" i="18" s="1"/>
  <c r="B233" i="18"/>
  <c r="T232" i="18"/>
  <c r="Z232" i="18" s="1"/>
  <c r="P232" i="18"/>
  <c r="X232" i="18" s="1"/>
  <c r="H232" i="18"/>
  <c r="D232" i="18"/>
  <c r="B232" i="18"/>
  <c r="X231" i="18"/>
  <c r="Z231" i="18" s="1"/>
  <c r="N231" i="18"/>
  <c r="L231" i="18"/>
  <c r="B231" i="18"/>
  <c r="T230" i="18"/>
  <c r="P230" i="18"/>
  <c r="X230" i="18" s="1"/>
  <c r="H230" i="18"/>
  <c r="D230" i="18"/>
  <c r="L230" i="18" s="1"/>
  <c r="B230" i="18"/>
  <c r="X229" i="18"/>
  <c r="Z229" i="18" s="1"/>
  <c r="N229" i="18"/>
  <c r="L229" i="18"/>
  <c r="B229" i="18"/>
  <c r="X228" i="18"/>
  <c r="Z228" i="18" s="1"/>
  <c r="N228" i="18"/>
  <c r="L228" i="18"/>
  <c r="B228" i="18"/>
  <c r="T227" i="18"/>
  <c r="X227" i="18" s="1"/>
  <c r="Z227" i="18" s="1"/>
  <c r="P227" i="18"/>
  <c r="L227" i="18"/>
  <c r="H227" i="18"/>
  <c r="N227" i="18" s="1"/>
  <c r="D227" i="18"/>
  <c r="B227" i="18"/>
  <c r="Z226" i="18"/>
  <c r="X226" i="18"/>
  <c r="N226" i="18"/>
  <c r="L226" i="18"/>
  <c r="B226" i="18"/>
  <c r="Z225" i="18"/>
  <c r="X225" i="18"/>
  <c r="L225" i="18"/>
  <c r="N225" i="18" s="1"/>
  <c r="B225" i="18"/>
  <c r="T224" i="18"/>
  <c r="P224" i="18"/>
  <c r="X224" i="18" s="1"/>
  <c r="H224" i="18"/>
  <c r="D224" i="18"/>
  <c r="B224" i="18"/>
  <c r="X223" i="18"/>
  <c r="Z223" i="18" s="1"/>
  <c r="N223" i="18"/>
  <c r="L223" i="18"/>
  <c r="B223" i="18"/>
  <c r="T222" i="18"/>
  <c r="P222" i="18"/>
  <c r="X222" i="18" s="1"/>
  <c r="H222" i="18"/>
  <c r="N222" i="18" s="1"/>
  <c r="D222" i="18"/>
  <c r="L222" i="18" s="1"/>
  <c r="B222" i="18"/>
  <c r="Z221" i="18"/>
  <c r="X221" i="18"/>
  <c r="N221" i="18"/>
  <c r="L221" i="18"/>
  <c r="B221" i="18"/>
  <c r="X220" i="18"/>
  <c r="Z220" i="18" s="1"/>
  <c r="N220" i="18"/>
  <c r="L220" i="18"/>
  <c r="B220" i="18"/>
  <c r="T219" i="18"/>
  <c r="X219" i="18" s="1"/>
  <c r="Z219" i="18" s="1"/>
  <c r="P219" i="18"/>
  <c r="L219" i="18"/>
  <c r="H219" i="18"/>
  <c r="N219" i="18" s="1"/>
  <c r="D219" i="18"/>
  <c r="B219" i="18"/>
  <c r="X218" i="18"/>
  <c r="Z218" i="18" s="1"/>
  <c r="L218" i="18"/>
  <c r="N218" i="18" s="1"/>
  <c r="B218" i="18"/>
  <c r="T217" i="18"/>
  <c r="P217" i="18"/>
  <c r="X217" i="18" s="1"/>
  <c r="Z217" i="18" s="1"/>
  <c r="H217" i="18"/>
  <c r="D217" i="18"/>
  <c r="L217" i="18" s="1"/>
  <c r="N217" i="18" s="1"/>
  <c r="B217" i="18"/>
  <c r="X216" i="18"/>
  <c r="Z216" i="18" s="1"/>
  <c r="N216" i="18"/>
  <c r="L216" i="18"/>
  <c r="B216" i="18"/>
  <c r="X215" i="18"/>
  <c r="Z215" i="18" s="1"/>
  <c r="N215" i="18"/>
  <c r="L215" i="18"/>
  <c r="B215" i="18"/>
  <c r="Z214" i="18"/>
  <c r="X214" i="18"/>
  <c r="L214" i="18"/>
  <c r="N214" i="18" s="1"/>
  <c r="B214" i="18"/>
  <c r="X213" i="18"/>
  <c r="Z213" i="18" s="1"/>
  <c r="L213" i="18"/>
  <c r="N213" i="18" s="1"/>
  <c r="B213" i="18"/>
  <c r="X212" i="18"/>
  <c r="Z212" i="18" s="1"/>
  <c r="L212" i="18"/>
  <c r="N212" i="18" s="1"/>
  <c r="B212" i="18"/>
  <c r="X211" i="18"/>
  <c r="Z211" i="18" s="1"/>
  <c r="N211" i="18"/>
  <c r="L211" i="18"/>
  <c r="B211" i="18"/>
  <c r="X210" i="18"/>
  <c r="Z210" i="18" s="1"/>
  <c r="L210" i="18"/>
  <c r="N210" i="18" s="1"/>
  <c r="B210" i="18"/>
  <c r="T209" i="18"/>
  <c r="P209" i="18"/>
  <c r="X209" i="18" s="1"/>
  <c r="H209" i="18"/>
  <c r="D209" i="18"/>
  <c r="L209" i="18" s="1"/>
  <c r="B209" i="18"/>
  <c r="X208" i="18"/>
  <c r="Z208" i="18" s="1"/>
  <c r="N208" i="18"/>
  <c r="L208" i="18"/>
  <c r="B208" i="18"/>
  <c r="Z207" i="18"/>
  <c r="X207" i="18"/>
  <c r="N207" i="18"/>
  <c r="L207" i="18"/>
  <c r="B207" i="18"/>
  <c r="X206" i="18"/>
  <c r="Z206" i="18" s="1"/>
  <c r="N206" i="18"/>
  <c r="L206" i="18"/>
  <c r="F206" i="18"/>
  <c r="B206" i="18"/>
  <c r="X205" i="18"/>
  <c r="Z205" i="18" s="1"/>
  <c r="N205" i="18"/>
  <c r="L205" i="18"/>
  <c r="B205" i="18"/>
  <c r="X204" i="18"/>
  <c r="Z204" i="18" s="1"/>
  <c r="N204" i="18"/>
  <c r="L204" i="18"/>
  <c r="B204" i="18"/>
  <c r="Z203" i="18"/>
  <c r="X203" i="18"/>
  <c r="N203" i="18"/>
  <c r="L203" i="18"/>
  <c r="B203" i="18"/>
  <c r="X202" i="18"/>
  <c r="Z202" i="18" s="1"/>
  <c r="L202" i="18"/>
  <c r="N202" i="18" s="1"/>
  <c r="F202" i="18"/>
  <c r="B202" i="18"/>
  <c r="X201" i="18"/>
  <c r="Z201" i="18" s="1"/>
  <c r="N201" i="18"/>
  <c r="L201" i="18"/>
  <c r="B201" i="18"/>
  <c r="X200" i="18"/>
  <c r="Z200" i="18" s="1"/>
  <c r="N200" i="18"/>
  <c r="L200" i="18"/>
  <c r="B200" i="18"/>
  <c r="T199" i="18"/>
  <c r="P199" i="18"/>
  <c r="X199" i="18" s="1"/>
  <c r="Z199" i="18" s="1"/>
  <c r="L199" i="18"/>
  <c r="H199" i="18"/>
  <c r="N199" i="18" s="1"/>
  <c r="D199" i="18"/>
  <c r="B199" i="18"/>
  <c r="T198" i="18"/>
  <c r="P198" i="18"/>
  <c r="H198" i="18"/>
  <c r="D198" i="18"/>
  <c r="X194" i="18"/>
  <c r="Z194" i="18" s="1"/>
  <c r="L194" i="18"/>
  <c r="N194" i="18" s="1"/>
  <c r="B194" i="18"/>
  <c r="Z193" i="18"/>
  <c r="X193" i="18"/>
  <c r="N193" i="18"/>
  <c r="L193" i="18"/>
  <c r="B193" i="18"/>
  <c r="Z192" i="18"/>
  <c r="X192" i="18"/>
  <c r="N192" i="18"/>
  <c r="L192" i="18"/>
  <c r="B192" i="18"/>
  <c r="Z191" i="18"/>
  <c r="X191" i="18"/>
  <c r="N191" i="18"/>
  <c r="L191" i="18"/>
  <c r="B191" i="18"/>
  <c r="X190" i="18"/>
  <c r="Z190" i="18" s="1"/>
  <c r="N190" i="18"/>
  <c r="L190" i="18"/>
  <c r="B190" i="18"/>
  <c r="Z189" i="18"/>
  <c r="X189" i="18"/>
  <c r="N189" i="18"/>
  <c r="L189" i="18"/>
  <c r="J189" i="18"/>
  <c r="B189" i="18"/>
  <c r="Z188" i="18"/>
  <c r="X188" i="18"/>
  <c r="L188" i="18"/>
  <c r="N188" i="18" s="1"/>
  <c r="B188" i="18"/>
  <c r="Z187" i="18"/>
  <c r="X187" i="18"/>
  <c r="N187" i="18"/>
  <c r="L187" i="18"/>
  <c r="B187" i="18"/>
  <c r="X186" i="18"/>
  <c r="Z186" i="18" s="1"/>
  <c r="N186" i="18"/>
  <c r="L186" i="18"/>
  <c r="B186" i="18"/>
  <c r="Z185" i="18"/>
  <c r="X185" i="18"/>
  <c r="N185" i="18"/>
  <c r="L185" i="18"/>
  <c r="B185" i="18"/>
  <c r="Z184" i="18"/>
  <c r="X184" i="18"/>
  <c r="L184" i="18"/>
  <c r="N184" i="18" s="1"/>
  <c r="B184" i="18"/>
  <c r="Z183" i="18"/>
  <c r="X183" i="18"/>
  <c r="L183" i="18"/>
  <c r="N183" i="18" s="1"/>
  <c r="B183" i="18"/>
  <c r="X182" i="18"/>
  <c r="Z182" i="18" s="1"/>
  <c r="L182" i="18"/>
  <c r="N182" i="18" s="1"/>
  <c r="B182" i="18"/>
  <c r="Z181" i="18"/>
  <c r="X181" i="18"/>
  <c r="N181" i="18"/>
  <c r="L181" i="18"/>
  <c r="B181" i="18"/>
  <c r="Z180" i="18"/>
  <c r="X180" i="18"/>
  <c r="L180" i="18"/>
  <c r="N180" i="18" s="1"/>
  <c r="B180" i="18"/>
  <c r="Z179" i="18"/>
  <c r="X179" i="18"/>
  <c r="N179" i="18"/>
  <c r="L179" i="18"/>
  <c r="B179" i="18"/>
  <c r="Z178" i="18"/>
  <c r="X178" i="18"/>
  <c r="N178" i="18"/>
  <c r="L178" i="18"/>
  <c r="B178" i="18"/>
  <c r="Z177" i="18"/>
  <c r="X177" i="18"/>
  <c r="N177" i="18"/>
  <c r="L177" i="18"/>
  <c r="B177" i="18"/>
  <c r="Z176" i="18"/>
  <c r="X176" i="18"/>
  <c r="N176" i="18"/>
  <c r="L176" i="18"/>
  <c r="B176" i="18"/>
  <c r="Z175" i="18"/>
  <c r="X175" i="18"/>
  <c r="L175" i="18"/>
  <c r="N175" i="18" s="1"/>
  <c r="B175" i="18"/>
  <c r="X174" i="18"/>
  <c r="Z174" i="18" s="1"/>
  <c r="L174" i="18"/>
  <c r="N174" i="18" s="1"/>
  <c r="B174" i="18"/>
  <c r="Z173" i="18"/>
  <c r="X173" i="18"/>
  <c r="N173" i="18"/>
  <c r="L173" i="18"/>
  <c r="B173" i="18"/>
  <c r="Z172" i="18"/>
  <c r="X172" i="18"/>
  <c r="L172" i="18"/>
  <c r="N172" i="18" s="1"/>
  <c r="B172" i="18"/>
  <c r="Z171" i="18"/>
  <c r="X171" i="18"/>
  <c r="L171" i="18"/>
  <c r="N171" i="18" s="1"/>
  <c r="B171" i="18"/>
  <c r="Z170" i="18"/>
  <c r="X170" i="18"/>
  <c r="N170" i="18"/>
  <c r="L170" i="18"/>
  <c r="B170" i="18"/>
  <c r="Z169" i="18"/>
  <c r="X169" i="18"/>
  <c r="N169" i="18"/>
  <c r="L169" i="18"/>
  <c r="B169" i="18"/>
  <c r="Z168" i="18"/>
  <c r="X168" i="18"/>
  <c r="L168" i="18"/>
  <c r="N168" i="18" s="1"/>
  <c r="B168" i="18"/>
  <c r="Z167" i="18"/>
  <c r="X167" i="18"/>
  <c r="L167" i="18"/>
  <c r="N167" i="18" s="1"/>
  <c r="B167" i="18"/>
  <c r="X166" i="18"/>
  <c r="Z166" i="18" s="1"/>
  <c r="L166" i="18"/>
  <c r="N166" i="18" s="1"/>
  <c r="B166" i="18"/>
  <c r="Z165" i="18"/>
  <c r="X165" i="18"/>
  <c r="N165" i="18"/>
  <c r="L165" i="18"/>
  <c r="B165" i="18"/>
  <c r="Z164" i="18"/>
  <c r="X164" i="18"/>
  <c r="L164" i="18"/>
  <c r="N164" i="18" s="1"/>
  <c r="B164" i="18"/>
  <c r="Z163" i="18"/>
  <c r="X163" i="18"/>
  <c r="L163" i="18"/>
  <c r="N163" i="18" s="1"/>
  <c r="B163" i="18"/>
  <c r="X162" i="18"/>
  <c r="Z162" i="18" s="1"/>
  <c r="L162" i="18"/>
  <c r="N162" i="18" s="1"/>
  <c r="B162" i="18"/>
  <c r="Z161" i="18"/>
  <c r="X161" i="18"/>
  <c r="N161" i="18"/>
  <c r="L161" i="18"/>
  <c r="B161" i="18"/>
  <c r="X160" i="18"/>
  <c r="Z160" i="18" s="1"/>
  <c r="L160" i="18"/>
  <c r="N160" i="18" s="1"/>
  <c r="B160" i="18"/>
  <c r="Z159" i="18"/>
  <c r="X159" i="18"/>
  <c r="L159" i="18"/>
  <c r="N159" i="18" s="1"/>
  <c r="B159" i="18"/>
  <c r="X158" i="18"/>
  <c r="Z158" i="18" s="1"/>
  <c r="L158" i="18"/>
  <c r="N158" i="18" s="1"/>
  <c r="B158" i="18"/>
  <c r="Z157" i="18"/>
  <c r="X157" i="18"/>
  <c r="N157" i="18"/>
  <c r="L157" i="18"/>
  <c r="B157" i="18"/>
  <c r="X156" i="18"/>
  <c r="Z156" i="18" s="1"/>
  <c r="L156" i="18"/>
  <c r="N156" i="18" s="1"/>
  <c r="B156" i="18"/>
  <c r="Z155" i="18"/>
  <c r="X155" i="18"/>
  <c r="L155" i="18"/>
  <c r="N155" i="18" s="1"/>
  <c r="B155" i="18"/>
  <c r="X154" i="18"/>
  <c r="Z154" i="18" s="1"/>
  <c r="N154" i="18"/>
  <c r="L154" i="18"/>
  <c r="B154" i="18"/>
  <c r="Z153" i="18"/>
  <c r="X153" i="18"/>
  <c r="N153" i="18"/>
  <c r="L153" i="18"/>
  <c r="B153" i="18"/>
  <c r="X152" i="18"/>
  <c r="Z152" i="18" s="1"/>
  <c r="L152" i="18"/>
  <c r="N152" i="18" s="1"/>
  <c r="B152" i="18"/>
  <c r="Z151" i="18"/>
  <c r="X151" i="18"/>
  <c r="L151" i="18"/>
  <c r="N151" i="18" s="1"/>
  <c r="B151" i="18"/>
  <c r="X150" i="18"/>
  <c r="Z150" i="18" s="1"/>
  <c r="L150" i="18"/>
  <c r="N150" i="18" s="1"/>
  <c r="B150" i="18"/>
  <c r="Z149" i="18"/>
  <c r="X149" i="18"/>
  <c r="N149" i="18"/>
  <c r="L149" i="18"/>
  <c r="B149" i="18"/>
  <c r="X148" i="18"/>
  <c r="Z148" i="18" s="1"/>
  <c r="L148" i="18"/>
  <c r="N148" i="18" s="1"/>
  <c r="B148" i="18"/>
  <c r="Z147" i="18"/>
  <c r="X147" i="18"/>
  <c r="L147" i="18"/>
  <c r="N147" i="18" s="1"/>
  <c r="B147" i="18"/>
  <c r="X146" i="18"/>
  <c r="Z146" i="18" s="1"/>
  <c r="L146" i="18"/>
  <c r="N146" i="18" s="1"/>
  <c r="B146" i="18"/>
  <c r="Z145" i="18"/>
  <c r="X145" i="18"/>
  <c r="N145" i="18"/>
  <c r="L145" i="18"/>
  <c r="B145" i="18"/>
  <c r="X144" i="18"/>
  <c r="Z144" i="18" s="1"/>
  <c r="N144" i="18"/>
  <c r="L144" i="18"/>
  <c r="B144" i="18"/>
  <c r="Z143" i="18"/>
  <c r="X143" i="18"/>
  <c r="L143" i="18"/>
  <c r="N143" i="18" s="1"/>
  <c r="B143" i="18"/>
  <c r="X142" i="18"/>
  <c r="Z142" i="18" s="1"/>
  <c r="L142" i="18"/>
  <c r="N142" i="18" s="1"/>
  <c r="B142" i="18"/>
  <c r="Z141" i="18"/>
  <c r="X141" i="18"/>
  <c r="N141" i="18"/>
  <c r="L141" i="18"/>
  <c r="B141" i="18"/>
  <c r="X140" i="18"/>
  <c r="Z140" i="18" s="1"/>
  <c r="L140" i="18"/>
  <c r="N140" i="18" s="1"/>
  <c r="B140" i="18"/>
  <c r="Z139" i="18"/>
  <c r="X139" i="18"/>
  <c r="L139" i="18"/>
  <c r="N139" i="18" s="1"/>
  <c r="B139" i="18"/>
  <c r="X138" i="18"/>
  <c r="Z138" i="18" s="1"/>
  <c r="L138" i="18"/>
  <c r="N138" i="18" s="1"/>
  <c r="B138" i="18"/>
  <c r="Z137" i="18"/>
  <c r="X137" i="18"/>
  <c r="N137" i="18"/>
  <c r="L137" i="18"/>
  <c r="B137" i="18"/>
  <c r="X136" i="18"/>
  <c r="Z136" i="18" s="1"/>
  <c r="L136" i="18"/>
  <c r="N136" i="18" s="1"/>
  <c r="B136" i="18"/>
  <c r="Z135" i="18"/>
  <c r="T135" i="18"/>
  <c r="P135" i="18"/>
  <c r="X135" i="18" s="1"/>
  <c r="H135" i="18"/>
  <c r="D135" i="18"/>
  <c r="L135" i="18" s="1"/>
  <c r="N135" i="18" s="1"/>
  <c r="Z133" i="18"/>
  <c r="T133" i="18"/>
  <c r="P133" i="18"/>
  <c r="X133" i="18" s="1"/>
  <c r="H133" i="18"/>
  <c r="N133" i="18" s="1"/>
  <c r="D133" i="18"/>
  <c r="B133" i="18"/>
  <c r="T132" i="18"/>
  <c r="Z132" i="18" s="1"/>
  <c r="P132" i="18"/>
  <c r="X132" i="18" s="1"/>
  <c r="N132" i="18"/>
  <c r="L132" i="18"/>
  <c r="H132" i="18"/>
  <c r="D132" i="18"/>
  <c r="B132" i="18"/>
  <c r="T131" i="18"/>
  <c r="P131" i="18"/>
  <c r="X131" i="18" s="1"/>
  <c r="H131" i="18"/>
  <c r="D131" i="18"/>
  <c r="B131" i="18"/>
  <c r="T130" i="18"/>
  <c r="Z130" i="18" s="1"/>
  <c r="P130" i="18"/>
  <c r="X130" i="18" s="1"/>
  <c r="L130" i="18"/>
  <c r="H130" i="18"/>
  <c r="N130" i="18" s="1"/>
  <c r="D130" i="18"/>
  <c r="B130" i="18"/>
  <c r="Z129" i="18"/>
  <c r="T129" i="18"/>
  <c r="X129" i="18" s="1"/>
  <c r="P129" i="18"/>
  <c r="H129" i="18"/>
  <c r="N129" i="18" s="1"/>
  <c r="D129" i="18"/>
  <c r="B129" i="18"/>
  <c r="T128" i="18"/>
  <c r="Z128" i="18" s="1"/>
  <c r="P128" i="18"/>
  <c r="X128" i="18" s="1"/>
  <c r="L128" i="18"/>
  <c r="N128" i="18" s="1"/>
  <c r="H128" i="18"/>
  <c r="D128" i="18"/>
  <c r="B128" i="18"/>
  <c r="T127" i="18"/>
  <c r="Z127" i="18" s="1"/>
  <c r="P127" i="18"/>
  <c r="X127" i="18" s="1"/>
  <c r="H127" i="18"/>
  <c r="D127" i="18"/>
  <c r="B127" i="18"/>
  <c r="T126" i="18"/>
  <c r="P126" i="18"/>
  <c r="X126" i="18" s="1"/>
  <c r="L126" i="18"/>
  <c r="N126" i="18" s="1"/>
  <c r="H126" i="18"/>
  <c r="D126" i="18"/>
  <c r="B126" i="18"/>
  <c r="Z125" i="18"/>
  <c r="T125" i="18"/>
  <c r="X125" i="18" s="1"/>
  <c r="P125" i="18"/>
  <c r="H125" i="18"/>
  <c r="N125" i="18" s="1"/>
  <c r="D125" i="18"/>
  <c r="B125" i="18"/>
  <c r="T124" i="18"/>
  <c r="Z124" i="18" s="1"/>
  <c r="P124" i="18"/>
  <c r="X124" i="18" s="1"/>
  <c r="N124" i="18"/>
  <c r="L124" i="18"/>
  <c r="H124" i="18"/>
  <c r="D124" i="18"/>
  <c r="B124" i="18"/>
  <c r="T123" i="18"/>
  <c r="P123" i="18"/>
  <c r="H123" i="18"/>
  <c r="D123" i="18"/>
  <c r="B123" i="18"/>
  <c r="T122" i="18"/>
  <c r="P122" i="18"/>
  <c r="X122" i="18" s="1"/>
  <c r="N122" i="18"/>
  <c r="L122" i="18"/>
  <c r="H122" i="18"/>
  <c r="D122" i="18"/>
  <c r="B122" i="18"/>
  <c r="Z121" i="18"/>
  <c r="T121" i="18"/>
  <c r="X121" i="18" s="1"/>
  <c r="P121" i="18"/>
  <c r="H121" i="18"/>
  <c r="D121" i="18"/>
  <c r="B121" i="18"/>
  <c r="T120" i="18"/>
  <c r="Z120" i="18" s="1"/>
  <c r="P120" i="18"/>
  <c r="X120" i="18" s="1"/>
  <c r="L120" i="18"/>
  <c r="N120" i="18" s="1"/>
  <c r="H120" i="18"/>
  <c r="D120" i="18"/>
  <c r="B120" i="18"/>
  <c r="T119" i="18"/>
  <c r="P119" i="18"/>
  <c r="H119" i="18"/>
  <c r="D119" i="18"/>
  <c r="B119" i="18"/>
  <c r="T118" i="18"/>
  <c r="P118" i="18"/>
  <c r="X118" i="18" s="1"/>
  <c r="L118" i="18"/>
  <c r="N118" i="18" s="1"/>
  <c r="H118" i="18"/>
  <c r="D118" i="18"/>
  <c r="B118" i="18"/>
  <c r="T117" i="18"/>
  <c r="X117" i="18" s="1"/>
  <c r="Z117" i="18" s="1"/>
  <c r="P117" i="18"/>
  <c r="H117" i="18"/>
  <c r="N117" i="18" s="1"/>
  <c r="D117" i="18"/>
  <c r="B117" i="18"/>
  <c r="T116" i="18"/>
  <c r="P116" i="18"/>
  <c r="X116" i="18" s="1"/>
  <c r="L116" i="18"/>
  <c r="N116" i="18" s="1"/>
  <c r="H116" i="18"/>
  <c r="D116" i="18"/>
  <c r="B116" i="18"/>
  <c r="T115" i="18"/>
  <c r="P115" i="18"/>
  <c r="H115" i="18"/>
  <c r="D115" i="18"/>
  <c r="B115" i="18"/>
  <c r="T114" i="18"/>
  <c r="Z114" i="18" s="1"/>
  <c r="P114" i="18"/>
  <c r="X114" i="18" s="1"/>
  <c r="N114" i="18"/>
  <c r="L114" i="18"/>
  <c r="H114" i="18"/>
  <c r="D114" i="18"/>
  <c r="B114" i="18"/>
  <c r="T113" i="18"/>
  <c r="X113" i="18" s="1"/>
  <c r="Z113" i="18" s="1"/>
  <c r="P113" i="18"/>
  <c r="H113" i="18"/>
  <c r="D113" i="18"/>
  <c r="B113" i="18"/>
  <c r="T112" i="18"/>
  <c r="P112" i="18"/>
  <c r="X112" i="18" s="1"/>
  <c r="N112" i="18"/>
  <c r="L112" i="18"/>
  <c r="H112" i="18"/>
  <c r="D112" i="18"/>
  <c r="B112" i="18"/>
  <c r="T111" i="18"/>
  <c r="P111" i="18"/>
  <c r="H111" i="18"/>
  <c r="D111" i="18"/>
  <c r="B111" i="18"/>
  <c r="T110" i="18"/>
  <c r="P110" i="18"/>
  <c r="X110" i="18" s="1"/>
  <c r="N110" i="18"/>
  <c r="L110" i="18"/>
  <c r="H110" i="18"/>
  <c r="D110" i="18"/>
  <c r="B110" i="18"/>
  <c r="Z109" i="18"/>
  <c r="T109" i="18"/>
  <c r="X109" i="18" s="1"/>
  <c r="P109" i="18"/>
  <c r="H109" i="18"/>
  <c r="N109" i="18" s="1"/>
  <c r="D109" i="18"/>
  <c r="B109" i="18"/>
  <c r="T108" i="18"/>
  <c r="Z108" i="18" s="1"/>
  <c r="P108" i="18"/>
  <c r="X108" i="18" s="1"/>
  <c r="L108" i="18"/>
  <c r="N108" i="18" s="1"/>
  <c r="H108" i="18"/>
  <c r="D108" i="18"/>
  <c r="B108" i="18"/>
  <c r="T107" i="18"/>
  <c r="P107" i="18"/>
  <c r="H107" i="18"/>
  <c r="D107" i="18"/>
  <c r="B107" i="18"/>
  <c r="T106" i="18"/>
  <c r="P106" i="18"/>
  <c r="X106" i="18" s="1"/>
  <c r="L106" i="18"/>
  <c r="N106" i="18" s="1"/>
  <c r="H106" i="18"/>
  <c r="D106" i="18"/>
  <c r="B106" i="18"/>
  <c r="T105" i="18"/>
  <c r="X105" i="18" s="1"/>
  <c r="Z105" i="18" s="1"/>
  <c r="P105" i="18"/>
  <c r="H105" i="18"/>
  <c r="D105" i="18"/>
  <c r="B105" i="18"/>
  <c r="T104" i="18"/>
  <c r="P104" i="18"/>
  <c r="X104" i="18" s="1"/>
  <c r="L104" i="18"/>
  <c r="N104" i="18" s="1"/>
  <c r="H104" i="18"/>
  <c r="D104" i="18"/>
  <c r="B104" i="18"/>
  <c r="T103" i="18"/>
  <c r="P103" i="18"/>
  <c r="H103" i="18"/>
  <c r="D103" i="18"/>
  <c r="B103" i="18"/>
  <c r="T102" i="18"/>
  <c r="Z102" i="18" s="1"/>
  <c r="P102" i="18"/>
  <c r="X102" i="18" s="1"/>
  <c r="L102" i="18"/>
  <c r="N102" i="18" s="1"/>
  <c r="H102" i="18"/>
  <c r="D102" i="18"/>
  <c r="B102" i="18"/>
  <c r="Z101" i="18"/>
  <c r="T101" i="18"/>
  <c r="X101" i="18" s="1"/>
  <c r="P101" i="18"/>
  <c r="H101" i="18"/>
  <c r="D101" i="18"/>
  <c r="B101" i="18"/>
  <c r="T100" i="18"/>
  <c r="Z100" i="18" s="1"/>
  <c r="P100" i="18"/>
  <c r="X100" i="18" s="1"/>
  <c r="L100" i="18"/>
  <c r="N100" i="18" s="1"/>
  <c r="H100" i="18"/>
  <c r="D100" i="18"/>
  <c r="B100" i="18"/>
  <c r="T99" i="18"/>
  <c r="P99" i="18"/>
  <c r="H99" i="18"/>
  <c r="D99" i="18"/>
  <c r="B99" i="18"/>
  <c r="T98" i="18"/>
  <c r="P98" i="18"/>
  <c r="X98" i="18" s="1"/>
  <c r="L98" i="18"/>
  <c r="N98" i="18" s="1"/>
  <c r="H98" i="18"/>
  <c r="D98" i="18"/>
  <c r="B98" i="18"/>
  <c r="T97" i="18"/>
  <c r="X97" i="18" s="1"/>
  <c r="Z97" i="18" s="1"/>
  <c r="P97" i="18"/>
  <c r="H97" i="18"/>
  <c r="D97" i="18"/>
  <c r="B97" i="18"/>
  <c r="T96" i="18"/>
  <c r="P96" i="18"/>
  <c r="X96" i="18" s="1"/>
  <c r="L96" i="18"/>
  <c r="N96" i="18" s="1"/>
  <c r="H96" i="18"/>
  <c r="D96" i="18"/>
  <c r="B96" i="18"/>
  <c r="T95" i="18"/>
  <c r="P95" i="18"/>
  <c r="H95" i="18"/>
  <c r="D95" i="18"/>
  <c r="B95" i="18"/>
  <c r="T94" i="18"/>
  <c r="Z94" i="18" s="1"/>
  <c r="P94" i="18"/>
  <c r="X94" i="18" s="1"/>
  <c r="L94" i="18"/>
  <c r="N94" i="18" s="1"/>
  <c r="H94" i="18"/>
  <c r="D94" i="18"/>
  <c r="B94" i="18"/>
  <c r="Z93" i="18"/>
  <c r="T93" i="18"/>
  <c r="X93" i="18" s="1"/>
  <c r="P93" i="18"/>
  <c r="H93" i="18"/>
  <c r="N93" i="18" s="1"/>
  <c r="D93" i="18"/>
  <c r="B93" i="18"/>
  <c r="T92" i="18"/>
  <c r="Z92" i="18" s="1"/>
  <c r="P92" i="18"/>
  <c r="X92" i="18" s="1"/>
  <c r="N92" i="18"/>
  <c r="L92" i="18"/>
  <c r="H92" i="18"/>
  <c r="D92" i="18"/>
  <c r="B92" i="18"/>
  <c r="T91" i="18"/>
  <c r="P91" i="18"/>
  <c r="H91" i="18"/>
  <c r="D91" i="18"/>
  <c r="B91" i="18"/>
  <c r="T90" i="18"/>
  <c r="Z90" i="18" s="1"/>
  <c r="P90" i="18"/>
  <c r="X90" i="18" s="1"/>
  <c r="L90" i="18"/>
  <c r="N90" i="18" s="1"/>
  <c r="H90" i="18"/>
  <c r="D90" i="18"/>
  <c r="B90" i="18"/>
  <c r="Z89" i="18"/>
  <c r="T89" i="18"/>
  <c r="X89" i="18" s="1"/>
  <c r="P89" i="18"/>
  <c r="H89" i="18"/>
  <c r="D89" i="18"/>
  <c r="B89" i="18"/>
  <c r="T88" i="18"/>
  <c r="Z88" i="18" s="1"/>
  <c r="P88" i="18"/>
  <c r="X88" i="18" s="1"/>
  <c r="N88" i="18"/>
  <c r="L88" i="18"/>
  <c r="H88" i="18"/>
  <c r="D88" i="18"/>
  <c r="B88" i="18"/>
  <c r="T87" i="18"/>
  <c r="P87" i="18"/>
  <c r="H87" i="18"/>
  <c r="D87" i="18"/>
  <c r="B87" i="18"/>
  <c r="T86" i="18"/>
  <c r="Z86" i="18" s="1"/>
  <c r="P86" i="18"/>
  <c r="X86" i="18" s="1"/>
  <c r="L86" i="18"/>
  <c r="N86" i="18" s="1"/>
  <c r="H86" i="18"/>
  <c r="D86" i="18"/>
  <c r="B86" i="18"/>
  <c r="Z85" i="18"/>
  <c r="T85" i="18"/>
  <c r="X85" i="18" s="1"/>
  <c r="P85" i="18"/>
  <c r="H85" i="18"/>
  <c r="D85" i="18"/>
  <c r="B85" i="18"/>
  <c r="T84" i="18"/>
  <c r="Z84" i="18" s="1"/>
  <c r="P84" i="18"/>
  <c r="X84" i="18" s="1"/>
  <c r="N84" i="18"/>
  <c r="L84" i="18"/>
  <c r="H84" i="18"/>
  <c r="D84" i="18"/>
  <c r="B84" i="18"/>
  <c r="T83" i="18"/>
  <c r="P83" i="18"/>
  <c r="H83" i="18"/>
  <c r="D83" i="18"/>
  <c r="B83" i="18"/>
  <c r="T82" i="18"/>
  <c r="Z82" i="18" s="1"/>
  <c r="P82" i="18"/>
  <c r="X82" i="18" s="1"/>
  <c r="L82" i="18"/>
  <c r="N82" i="18" s="1"/>
  <c r="H82" i="18"/>
  <c r="D82" i="18"/>
  <c r="B82" i="18"/>
  <c r="Z81" i="18"/>
  <c r="T81" i="18"/>
  <c r="X81" i="18" s="1"/>
  <c r="P81" i="18"/>
  <c r="H81" i="18"/>
  <c r="N81" i="18" s="1"/>
  <c r="D81" i="18"/>
  <c r="B81" i="18"/>
  <c r="T80" i="18"/>
  <c r="Z80" i="18" s="1"/>
  <c r="P80" i="18"/>
  <c r="X80" i="18" s="1"/>
  <c r="N80" i="18"/>
  <c r="L80" i="18"/>
  <c r="H80" i="18"/>
  <c r="D80" i="18"/>
  <c r="B80" i="18"/>
  <c r="T79" i="18"/>
  <c r="P79" i="18"/>
  <c r="X79" i="18" s="1"/>
  <c r="H79" i="18"/>
  <c r="D79" i="18"/>
  <c r="B79" i="18"/>
  <c r="T78" i="18"/>
  <c r="Z78" i="18" s="1"/>
  <c r="P78" i="18"/>
  <c r="X78" i="18" s="1"/>
  <c r="L78" i="18"/>
  <c r="H78" i="18"/>
  <c r="D78" i="18"/>
  <c r="B78" i="18"/>
  <c r="T77" i="18"/>
  <c r="X77" i="18" s="1"/>
  <c r="Z77" i="18" s="1"/>
  <c r="P77" i="18"/>
  <c r="H77" i="18"/>
  <c r="D77" i="18"/>
  <c r="B77" i="18"/>
  <c r="T76" i="18"/>
  <c r="Z76" i="18" s="1"/>
  <c r="P76" i="18"/>
  <c r="X76" i="18" s="1"/>
  <c r="L76" i="18"/>
  <c r="N76" i="18" s="1"/>
  <c r="H76" i="18"/>
  <c r="D76" i="18"/>
  <c r="B76" i="18"/>
  <c r="T75" i="18"/>
  <c r="P75" i="18"/>
  <c r="X75" i="18" s="1"/>
  <c r="H75" i="18"/>
  <c r="D75" i="18"/>
  <c r="B75" i="18"/>
  <c r="T74" i="18"/>
  <c r="P74" i="18"/>
  <c r="X74" i="18" s="1"/>
  <c r="L74" i="18"/>
  <c r="N74" i="18" s="1"/>
  <c r="H74" i="18"/>
  <c r="D74" i="18"/>
  <c r="B74" i="18"/>
  <c r="Z73" i="18"/>
  <c r="T73" i="18"/>
  <c r="X73" i="18" s="1"/>
  <c r="P73" i="18"/>
  <c r="H73" i="18"/>
  <c r="N73" i="18" s="1"/>
  <c r="D73" i="18"/>
  <c r="B73" i="18"/>
  <c r="T72" i="18"/>
  <c r="P72" i="18"/>
  <c r="X72" i="18" s="1"/>
  <c r="L72" i="18"/>
  <c r="N72" i="18" s="1"/>
  <c r="H72" i="18"/>
  <c r="D72" i="18"/>
  <c r="B72" i="18"/>
  <c r="T71" i="18"/>
  <c r="P71" i="18"/>
  <c r="H71" i="18"/>
  <c r="D71" i="18"/>
  <c r="B71" i="18"/>
  <c r="T70" i="18"/>
  <c r="Z70" i="18" s="1"/>
  <c r="P70" i="18"/>
  <c r="X70" i="18" s="1"/>
  <c r="L70" i="18"/>
  <c r="N70" i="18" s="1"/>
  <c r="H70" i="18"/>
  <c r="D70" i="18"/>
  <c r="B70" i="18"/>
  <c r="Z69" i="18"/>
  <c r="T69" i="18"/>
  <c r="X69" i="18" s="1"/>
  <c r="P69" i="18"/>
  <c r="H69" i="18"/>
  <c r="D69" i="18"/>
  <c r="B69" i="18"/>
  <c r="T68" i="18"/>
  <c r="Z68" i="18" s="1"/>
  <c r="P68" i="18"/>
  <c r="X68" i="18" s="1"/>
  <c r="N68" i="18"/>
  <c r="L68" i="18"/>
  <c r="H68" i="18"/>
  <c r="D68" i="18"/>
  <c r="B68" i="18"/>
  <c r="T67" i="18"/>
  <c r="P67" i="18"/>
  <c r="H67" i="18"/>
  <c r="D67" i="18"/>
  <c r="B67" i="18"/>
  <c r="T66" i="18"/>
  <c r="Z66" i="18" s="1"/>
  <c r="P66" i="18"/>
  <c r="X66" i="18" s="1"/>
  <c r="L66" i="18"/>
  <c r="N66" i="18" s="1"/>
  <c r="H66" i="18"/>
  <c r="D66" i="18"/>
  <c r="B66" i="18"/>
  <c r="Z65" i="18"/>
  <c r="T65" i="18"/>
  <c r="X65" i="18" s="1"/>
  <c r="P65" i="18"/>
  <c r="H65" i="18"/>
  <c r="D65" i="18"/>
  <c r="B65" i="18"/>
  <c r="T64" i="18"/>
  <c r="Z64" i="18" s="1"/>
  <c r="P64" i="18"/>
  <c r="X64" i="18" s="1"/>
  <c r="L64" i="18"/>
  <c r="H64" i="18"/>
  <c r="N64" i="18" s="1"/>
  <c r="D64" i="18"/>
  <c r="B64" i="18"/>
  <c r="T63" i="18"/>
  <c r="P63" i="18"/>
  <c r="H63" i="18"/>
  <c r="D63" i="18"/>
  <c r="B63" i="18"/>
  <c r="T62" i="18"/>
  <c r="P62" i="18"/>
  <c r="X62" i="18" s="1"/>
  <c r="L62" i="18"/>
  <c r="N62" i="18" s="1"/>
  <c r="H62" i="18"/>
  <c r="D62" i="18"/>
  <c r="B62" i="18"/>
  <c r="T61" i="18"/>
  <c r="X61" i="18" s="1"/>
  <c r="Z61" i="18" s="1"/>
  <c r="P61" i="18"/>
  <c r="H61" i="18"/>
  <c r="D61" i="18"/>
  <c r="B61" i="18"/>
  <c r="T60" i="18"/>
  <c r="P60" i="18"/>
  <c r="X60" i="18" s="1"/>
  <c r="L60" i="18"/>
  <c r="N60" i="18" s="1"/>
  <c r="H60" i="18"/>
  <c r="D60" i="18"/>
  <c r="B60" i="18"/>
  <c r="T59" i="18"/>
  <c r="P59" i="18"/>
  <c r="H59" i="18"/>
  <c r="D59" i="18"/>
  <c r="B59" i="18"/>
  <c r="T58" i="18"/>
  <c r="Z58" i="18" s="1"/>
  <c r="P58" i="18"/>
  <c r="X58" i="18" s="1"/>
  <c r="N58" i="18"/>
  <c r="L58" i="18"/>
  <c r="H58" i="18"/>
  <c r="D58" i="18"/>
  <c r="B58" i="18"/>
  <c r="T57" i="18"/>
  <c r="X57" i="18" s="1"/>
  <c r="Z57" i="18" s="1"/>
  <c r="P57" i="18"/>
  <c r="H57" i="18"/>
  <c r="D57" i="18"/>
  <c r="B57" i="18"/>
  <c r="T56" i="18"/>
  <c r="P56" i="18"/>
  <c r="X56" i="18" s="1"/>
  <c r="L56" i="18"/>
  <c r="N56" i="18" s="1"/>
  <c r="H56" i="18"/>
  <c r="D56" i="18"/>
  <c r="B56" i="18"/>
  <c r="T55" i="18"/>
  <c r="P55" i="18"/>
  <c r="H55" i="18"/>
  <c r="D55" i="18"/>
  <c r="B55" i="18"/>
  <c r="T54" i="18"/>
  <c r="Z54" i="18" s="1"/>
  <c r="P54" i="18"/>
  <c r="X54" i="18" s="1"/>
  <c r="N54" i="18"/>
  <c r="L54" i="18"/>
  <c r="H54" i="18"/>
  <c r="D54" i="18"/>
  <c r="B54" i="18"/>
  <c r="T53" i="18"/>
  <c r="X53" i="18" s="1"/>
  <c r="Z53" i="18" s="1"/>
  <c r="P53" i="18"/>
  <c r="H53" i="18"/>
  <c r="D53" i="18"/>
  <c r="B53" i="18"/>
  <c r="T52" i="18"/>
  <c r="P52" i="18"/>
  <c r="X52" i="18" s="1"/>
  <c r="L52" i="18"/>
  <c r="N52" i="18" s="1"/>
  <c r="H52" i="18"/>
  <c r="D52" i="18"/>
  <c r="B52" i="18"/>
  <c r="T51" i="18"/>
  <c r="P51" i="18"/>
  <c r="H51" i="18"/>
  <c r="D51" i="18"/>
  <c r="B51" i="18"/>
  <c r="T50" i="18"/>
  <c r="Z50" i="18" s="1"/>
  <c r="P50" i="18"/>
  <c r="X50" i="18" s="1"/>
  <c r="L50" i="18"/>
  <c r="N50" i="18" s="1"/>
  <c r="H50" i="18"/>
  <c r="D50" i="18"/>
  <c r="B50" i="18"/>
  <c r="Z49" i="18"/>
  <c r="T49" i="18"/>
  <c r="P49" i="18"/>
  <c r="X49" i="18" s="1"/>
  <c r="H49" i="18"/>
  <c r="D49" i="18"/>
  <c r="B49" i="18"/>
  <c r="T48" i="18"/>
  <c r="Z48" i="18" s="1"/>
  <c r="P48" i="18"/>
  <c r="X48" i="18" s="1"/>
  <c r="N48" i="18"/>
  <c r="L48" i="18"/>
  <c r="H48" i="18"/>
  <c r="D48" i="18"/>
  <c r="B48" i="18"/>
  <c r="T47" i="18"/>
  <c r="P47" i="18"/>
  <c r="H47" i="18"/>
  <c r="D47" i="18"/>
  <c r="B47" i="18"/>
  <c r="T46" i="18"/>
  <c r="Z46" i="18" s="1"/>
  <c r="P46" i="18"/>
  <c r="X46" i="18" s="1"/>
  <c r="L46" i="18"/>
  <c r="N46" i="18" s="1"/>
  <c r="H46" i="18"/>
  <c r="D46" i="18"/>
  <c r="B46" i="18"/>
  <c r="Z45" i="18"/>
  <c r="T45" i="18"/>
  <c r="X45" i="18" s="1"/>
  <c r="P45" i="18"/>
  <c r="H45" i="18"/>
  <c r="D45" i="18"/>
  <c r="B45" i="18"/>
  <c r="T44" i="18"/>
  <c r="Z44" i="18" s="1"/>
  <c r="P44" i="18"/>
  <c r="X44" i="18" s="1"/>
  <c r="N44" i="18"/>
  <c r="L44" i="18"/>
  <c r="H44" i="18"/>
  <c r="D44" i="18"/>
  <c r="B44" i="18"/>
  <c r="T43" i="18"/>
  <c r="P43" i="18"/>
  <c r="H43" i="18"/>
  <c r="D43" i="18"/>
  <c r="B43" i="18"/>
  <c r="T42" i="18"/>
  <c r="Z42" i="18" s="1"/>
  <c r="P42" i="18"/>
  <c r="X42" i="18" s="1"/>
  <c r="L42" i="18"/>
  <c r="N42" i="18" s="1"/>
  <c r="H42" i="18"/>
  <c r="D42" i="18"/>
  <c r="B42" i="18"/>
  <c r="Z41" i="18"/>
  <c r="T41" i="18"/>
  <c r="X41" i="18" s="1"/>
  <c r="P41" i="18"/>
  <c r="H41" i="18"/>
  <c r="D41" i="18"/>
  <c r="B41" i="18"/>
  <c r="T40" i="18"/>
  <c r="Z40" i="18" s="1"/>
  <c r="P40" i="18"/>
  <c r="X40" i="18" s="1"/>
  <c r="L40" i="18"/>
  <c r="N40" i="18" s="1"/>
  <c r="H40" i="18"/>
  <c r="D40" i="18"/>
  <c r="B40" i="18"/>
  <c r="T39" i="18"/>
  <c r="P39" i="18"/>
  <c r="H39" i="18"/>
  <c r="D39" i="18"/>
  <c r="B39" i="18"/>
  <c r="T38" i="18"/>
  <c r="P38" i="18"/>
  <c r="X38" i="18" s="1"/>
  <c r="L38" i="18"/>
  <c r="H38" i="18"/>
  <c r="N38" i="18" s="1"/>
  <c r="D38" i="18"/>
  <c r="B38" i="18"/>
  <c r="T37" i="18"/>
  <c r="X37" i="18" s="1"/>
  <c r="Z37" i="18" s="1"/>
  <c r="P37" i="18"/>
  <c r="H37" i="18"/>
  <c r="D37" i="18"/>
  <c r="B37" i="18"/>
  <c r="T36" i="18"/>
  <c r="P36" i="18"/>
  <c r="X36" i="18" s="1"/>
  <c r="L36" i="18"/>
  <c r="N36" i="18" s="1"/>
  <c r="H36" i="18"/>
  <c r="D36" i="18"/>
  <c r="B36" i="18"/>
  <c r="T35" i="18"/>
  <c r="P35" i="18"/>
  <c r="X35" i="18" s="1"/>
  <c r="H35" i="18"/>
  <c r="D35" i="18"/>
  <c r="B35" i="18"/>
  <c r="T34" i="18"/>
  <c r="P34" i="18"/>
  <c r="X34" i="18" s="1"/>
  <c r="L34" i="18"/>
  <c r="N34" i="18" s="1"/>
  <c r="H34" i="18"/>
  <c r="D34" i="18"/>
  <c r="B34" i="18"/>
  <c r="Z33" i="18"/>
  <c r="T33" i="18"/>
  <c r="X33" i="18" s="1"/>
  <c r="P33" i="18"/>
  <c r="L33" i="18"/>
  <c r="H33" i="18"/>
  <c r="N33" i="18" s="1"/>
  <c r="D33" i="18"/>
  <c r="B33" i="18"/>
  <c r="T32" i="18"/>
  <c r="P32" i="18"/>
  <c r="X32" i="18" s="1"/>
  <c r="L32" i="18"/>
  <c r="N32" i="18" s="1"/>
  <c r="H32" i="18"/>
  <c r="D32" i="18"/>
  <c r="B32" i="18"/>
  <c r="T31" i="18"/>
  <c r="P31" i="18"/>
  <c r="H31" i="18"/>
  <c r="D31" i="18"/>
  <c r="B31" i="18"/>
  <c r="T30" i="18"/>
  <c r="P30" i="18"/>
  <c r="X30" i="18" s="1"/>
  <c r="L30" i="18"/>
  <c r="N30" i="18" s="1"/>
  <c r="H30" i="18"/>
  <c r="D30" i="18"/>
  <c r="B30" i="18"/>
  <c r="Z29" i="18"/>
  <c r="T29" i="18"/>
  <c r="X29" i="18" s="1"/>
  <c r="P29" i="18"/>
  <c r="L29" i="18"/>
  <c r="H29" i="18"/>
  <c r="N29" i="18" s="1"/>
  <c r="D29" i="18"/>
  <c r="B29" i="18"/>
  <c r="T28" i="18"/>
  <c r="P28" i="18"/>
  <c r="X28" i="18" s="1"/>
  <c r="L28" i="18"/>
  <c r="N28" i="18" s="1"/>
  <c r="H28" i="18"/>
  <c r="D28" i="18"/>
  <c r="B28" i="18"/>
  <c r="T27" i="18"/>
  <c r="P27" i="18"/>
  <c r="H27" i="18"/>
  <c r="D27" i="18"/>
  <c r="B27" i="18"/>
  <c r="T26" i="18"/>
  <c r="Z26" i="18" s="1"/>
  <c r="P26" i="18"/>
  <c r="X26" i="18" s="1"/>
  <c r="L26" i="18"/>
  <c r="N26" i="18" s="1"/>
  <c r="H26" i="18"/>
  <c r="D26" i="18"/>
  <c r="B26" i="18"/>
  <c r="Z25" i="18"/>
  <c r="T25" i="18"/>
  <c r="X25" i="18" s="1"/>
  <c r="P25" i="18"/>
  <c r="L25" i="18"/>
  <c r="H25" i="18"/>
  <c r="N25" i="18" s="1"/>
  <c r="D25" i="18"/>
  <c r="B25" i="18"/>
  <c r="T24" i="18"/>
  <c r="P24" i="18"/>
  <c r="X24" i="18" s="1"/>
  <c r="L24" i="18"/>
  <c r="H24" i="18"/>
  <c r="N24" i="18" s="1"/>
  <c r="D24" i="18"/>
  <c r="B24" i="18"/>
  <c r="T23" i="18"/>
  <c r="P23" i="18"/>
  <c r="X23" i="18" s="1"/>
  <c r="H23" i="18"/>
  <c r="D23" i="18"/>
  <c r="B23" i="18"/>
  <c r="T22" i="18"/>
  <c r="Z22" i="18" s="1"/>
  <c r="P22" i="18"/>
  <c r="X22" i="18" s="1"/>
  <c r="L22" i="18"/>
  <c r="H22" i="18"/>
  <c r="D22" i="18"/>
  <c r="B22" i="18"/>
  <c r="T21" i="18"/>
  <c r="P21" i="18"/>
  <c r="X21" i="18" s="1"/>
  <c r="Z21" i="18" s="1"/>
  <c r="L21" i="18"/>
  <c r="H21" i="18"/>
  <c r="N21" i="18" s="1"/>
  <c r="D21" i="18"/>
  <c r="B21" i="18"/>
  <c r="T20" i="18"/>
  <c r="P20" i="18"/>
  <c r="X20" i="18" s="1"/>
  <c r="L20" i="18"/>
  <c r="H20" i="18"/>
  <c r="N20" i="18" s="1"/>
  <c r="D20" i="18"/>
  <c r="B20" i="18"/>
  <c r="T19" i="18"/>
  <c r="P19" i="18"/>
  <c r="X19" i="18" s="1"/>
  <c r="H19" i="18"/>
  <c r="D19" i="18"/>
  <c r="B19" i="18"/>
  <c r="T18" i="18"/>
  <c r="Z18" i="18" s="1"/>
  <c r="P18" i="18"/>
  <c r="X18" i="18" s="1"/>
  <c r="L18" i="18"/>
  <c r="H18" i="18"/>
  <c r="D18" i="18"/>
  <c r="B18" i="18"/>
  <c r="Z17" i="18"/>
  <c r="T17" i="18"/>
  <c r="X17" i="18" s="1"/>
  <c r="P17" i="18"/>
  <c r="L17" i="18"/>
  <c r="H17" i="18"/>
  <c r="N17" i="18" s="1"/>
  <c r="D17" i="18"/>
  <c r="B17" i="18"/>
  <c r="T16" i="18"/>
  <c r="P16" i="18"/>
  <c r="X16" i="18" s="1"/>
  <c r="L16" i="18"/>
  <c r="N16" i="18" s="1"/>
  <c r="H16" i="18"/>
  <c r="D16" i="18"/>
  <c r="B16" i="18"/>
  <c r="T15" i="18"/>
  <c r="P15" i="18"/>
  <c r="H15" i="18"/>
  <c r="D15" i="18"/>
  <c r="B15" i="18"/>
  <c r="T14" i="18"/>
  <c r="Z14" i="18" s="1"/>
  <c r="P14" i="18"/>
  <c r="X14" i="18" s="1"/>
  <c r="L14" i="18"/>
  <c r="N14" i="18" s="1"/>
  <c r="H14" i="18"/>
  <c r="D14" i="18"/>
  <c r="B14" i="18"/>
  <c r="Z13" i="18"/>
  <c r="T13" i="18"/>
  <c r="X13" i="18" s="1"/>
  <c r="P13" i="18"/>
  <c r="L13" i="18"/>
  <c r="H13" i="18"/>
  <c r="H12" i="18" s="1"/>
  <c r="J299" i="18" s="1"/>
  <c r="D13" i="18"/>
  <c r="B13" i="18"/>
  <c r="D12" i="18"/>
  <c r="F333" i="18" s="1"/>
  <c r="D4" i="18"/>
  <c r="Z307" i="15"/>
  <c r="X307" i="15"/>
  <c r="N307" i="15"/>
  <c r="L307" i="15"/>
  <c r="X303" i="15"/>
  <c r="T303" i="15"/>
  <c r="Z303" i="15" s="1"/>
  <c r="P303" i="15"/>
  <c r="L303" i="15"/>
  <c r="H303" i="15"/>
  <c r="N303" i="15" s="1"/>
  <c r="D303" i="15"/>
  <c r="B303" i="15"/>
  <c r="T302" i="15"/>
  <c r="P302" i="15"/>
  <c r="N302" i="15"/>
  <c r="L302" i="15"/>
  <c r="H302" i="15"/>
  <c r="D302" i="15"/>
  <c r="B302" i="15"/>
  <c r="T301" i="15"/>
  <c r="P301" i="15"/>
  <c r="X301" i="15" s="1"/>
  <c r="Z301" i="15" s="1"/>
  <c r="N301" i="15"/>
  <c r="H301" i="15"/>
  <c r="D301" i="15"/>
  <c r="L301" i="15" s="1"/>
  <c r="B301" i="15"/>
  <c r="X300" i="15"/>
  <c r="Z300" i="15" s="1"/>
  <c r="T300" i="15"/>
  <c r="P300" i="15"/>
  <c r="L300" i="15"/>
  <c r="N300" i="15" s="1"/>
  <c r="H300" i="15"/>
  <c r="D300" i="15"/>
  <c r="B300" i="15"/>
  <c r="Z299" i="15"/>
  <c r="T299" i="15"/>
  <c r="P299" i="15"/>
  <c r="X299" i="15" s="1"/>
  <c r="H299" i="15"/>
  <c r="N299" i="15" s="1"/>
  <c r="D299" i="15"/>
  <c r="L299" i="15" s="1"/>
  <c r="B299" i="15"/>
  <c r="T298" i="15"/>
  <c r="P298" i="15"/>
  <c r="X298" i="15" s="1"/>
  <c r="H298" i="15"/>
  <c r="D298" i="15"/>
  <c r="L298" i="15" s="1"/>
  <c r="B298" i="15"/>
  <c r="X297" i="15"/>
  <c r="T297" i="15"/>
  <c r="Z297" i="15" s="1"/>
  <c r="P297" i="15"/>
  <c r="L297" i="15"/>
  <c r="H297" i="15"/>
  <c r="N297" i="15" s="1"/>
  <c r="D297" i="15"/>
  <c r="B297" i="15"/>
  <c r="X296" i="15"/>
  <c r="Z296" i="15" s="1"/>
  <c r="T296" i="15"/>
  <c r="T294" i="15" s="1"/>
  <c r="P296" i="15"/>
  <c r="H296" i="15"/>
  <c r="D296" i="15"/>
  <c r="B296" i="15"/>
  <c r="T295" i="15"/>
  <c r="P295" i="15"/>
  <c r="P294" i="15" s="1"/>
  <c r="H295" i="15"/>
  <c r="D295" i="15"/>
  <c r="L295" i="15" s="1"/>
  <c r="N295" i="15" s="1"/>
  <c r="B295" i="15"/>
  <c r="X292" i="15"/>
  <c r="Z292" i="15" s="1"/>
  <c r="N292" i="15"/>
  <c r="L292" i="15"/>
  <c r="B292" i="15"/>
  <c r="X291" i="15"/>
  <c r="Z291" i="15" s="1"/>
  <c r="T291" i="15"/>
  <c r="P291" i="15"/>
  <c r="L291" i="15"/>
  <c r="H291" i="15"/>
  <c r="N291" i="15" s="1"/>
  <c r="D291" i="15"/>
  <c r="B291" i="15"/>
  <c r="X290" i="15"/>
  <c r="Z290" i="15" s="1"/>
  <c r="L290" i="15"/>
  <c r="N290" i="15" s="1"/>
  <c r="B290" i="15"/>
  <c r="Z289" i="15"/>
  <c r="X289" i="15"/>
  <c r="N289" i="15"/>
  <c r="L289" i="15"/>
  <c r="B289" i="15"/>
  <c r="Z288" i="15"/>
  <c r="X288" i="15"/>
  <c r="L288" i="15"/>
  <c r="N288" i="15" s="1"/>
  <c r="B288" i="15"/>
  <c r="T287" i="15"/>
  <c r="Z287" i="15" s="1"/>
  <c r="P287" i="15"/>
  <c r="X287" i="15" s="1"/>
  <c r="N287" i="15"/>
  <c r="H287" i="15"/>
  <c r="D287" i="15"/>
  <c r="L287" i="15" s="1"/>
  <c r="B287" i="15"/>
  <c r="X286" i="15"/>
  <c r="Z286" i="15" s="1"/>
  <c r="L286" i="15"/>
  <c r="N286" i="15" s="1"/>
  <c r="B286" i="15"/>
  <c r="Z285" i="15"/>
  <c r="X285" i="15"/>
  <c r="T285" i="15"/>
  <c r="P285" i="15"/>
  <c r="H285" i="15"/>
  <c r="D285" i="15"/>
  <c r="L285" i="15" s="1"/>
  <c r="B285" i="15"/>
  <c r="Z284" i="15"/>
  <c r="X284" i="15"/>
  <c r="N284" i="15"/>
  <c r="L284" i="15"/>
  <c r="B284" i="15"/>
  <c r="X283" i="15"/>
  <c r="Z283" i="15" s="1"/>
  <c r="N283" i="15"/>
  <c r="L283" i="15"/>
  <c r="B283" i="15"/>
  <c r="T282" i="15"/>
  <c r="P282" i="15"/>
  <c r="X282" i="15" s="1"/>
  <c r="H282" i="15"/>
  <c r="D282" i="15"/>
  <c r="L282" i="15" s="1"/>
  <c r="N282" i="15" s="1"/>
  <c r="B282" i="15"/>
  <c r="Z281" i="15"/>
  <c r="X281" i="15"/>
  <c r="N281" i="15"/>
  <c r="L281" i="15"/>
  <c r="B281" i="15"/>
  <c r="Z280" i="15"/>
  <c r="X280" i="15"/>
  <c r="L280" i="15"/>
  <c r="N280" i="15" s="1"/>
  <c r="B280" i="15"/>
  <c r="Z279" i="15"/>
  <c r="X279" i="15"/>
  <c r="L279" i="15"/>
  <c r="N279" i="15" s="1"/>
  <c r="B279" i="15"/>
  <c r="X278" i="15"/>
  <c r="Z278" i="15" s="1"/>
  <c r="L278" i="15"/>
  <c r="N278" i="15" s="1"/>
  <c r="B278" i="15"/>
  <c r="Z277" i="15"/>
  <c r="X277" i="15"/>
  <c r="N277" i="15"/>
  <c r="L277" i="15"/>
  <c r="B277" i="15"/>
  <c r="Z276" i="15"/>
  <c r="X276" i="15"/>
  <c r="L276" i="15"/>
  <c r="N276" i="15" s="1"/>
  <c r="B276" i="15"/>
  <c r="Z275" i="15"/>
  <c r="X275" i="15"/>
  <c r="N275" i="15"/>
  <c r="L275" i="15"/>
  <c r="B275" i="15"/>
  <c r="X274" i="15"/>
  <c r="Z274" i="15" s="1"/>
  <c r="L274" i="15"/>
  <c r="N274" i="15" s="1"/>
  <c r="B274" i="15"/>
  <c r="Z273" i="15"/>
  <c r="T273" i="15"/>
  <c r="P273" i="15"/>
  <c r="X273" i="15" s="1"/>
  <c r="H273" i="15"/>
  <c r="N273" i="15" s="1"/>
  <c r="D273" i="15"/>
  <c r="L273" i="15" s="1"/>
  <c r="B273" i="15"/>
  <c r="X272" i="15"/>
  <c r="Z272" i="15" s="1"/>
  <c r="N272" i="15"/>
  <c r="L272" i="15"/>
  <c r="B272" i="15"/>
  <c r="X271" i="15"/>
  <c r="Z271" i="15" s="1"/>
  <c r="L271" i="15"/>
  <c r="N271" i="15" s="1"/>
  <c r="B271" i="15"/>
  <c r="T270" i="15"/>
  <c r="P270" i="15"/>
  <c r="X270" i="15" s="1"/>
  <c r="H270" i="15"/>
  <c r="D270" i="15"/>
  <c r="L270" i="15" s="1"/>
  <c r="B270" i="15"/>
  <c r="X269" i="15"/>
  <c r="Z269" i="15" s="1"/>
  <c r="N269" i="15"/>
  <c r="L269" i="15"/>
  <c r="B269" i="15"/>
  <c r="Z268" i="15"/>
  <c r="X268" i="15"/>
  <c r="N268" i="15"/>
  <c r="L268" i="15"/>
  <c r="B268" i="15"/>
  <c r="X267" i="15"/>
  <c r="Z267" i="15" s="1"/>
  <c r="N267" i="15"/>
  <c r="L267" i="15"/>
  <c r="B267" i="15"/>
  <c r="X266" i="15"/>
  <c r="Z266" i="15" s="1"/>
  <c r="L266" i="15"/>
  <c r="N266" i="15" s="1"/>
  <c r="B266" i="15"/>
  <c r="X265" i="15"/>
  <c r="T265" i="15"/>
  <c r="Z265" i="15" s="1"/>
  <c r="P265" i="15"/>
  <c r="H265" i="15"/>
  <c r="D265" i="15"/>
  <c r="B265" i="15"/>
  <c r="Z264" i="15"/>
  <c r="X264" i="15"/>
  <c r="R264" i="15"/>
  <c r="L264" i="15"/>
  <c r="N264" i="15" s="1"/>
  <c r="B264" i="15"/>
  <c r="X263" i="15"/>
  <c r="Z263" i="15" s="1"/>
  <c r="N263" i="15"/>
  <c r="L263" i="15"/>
  <c r="B263" i="15"/>
  <c r="X262" i="15"/>
  <c r="Z262" i="15" s="1"/>
  <c r="N262" i="15"/>
  <c r="L262" i="15"/>
  <c r="B262" i="15"/>
  <c r="T261" i="15"/>
  <c r="P261" i="15"/>
  <c r="X261" i="15" s="1"/>
  <c r="Z261" i="15" s="1"/>
  <c r="H261" i="15"/>
  <c r="D261" i="15"/>
  <c r="L261" i="15" s="1"/>
  <c r="B261" i="15"/>
  <c r="X260" i="15"/>
  <c r="Z260" i="15" s="1"/>
  <c r="N260" i="15"/>
  <c r="L260" i="15"/>
  <c r="B260" i="15"/>
  <c r="X259" i="15"/>
  <c r="Z259" i="15" s="1"/>
  <c r="L259" i="15"/>
  <c r="N259" i="15" s="1"/>
  <c r="B259" i="15"/>
  <c r="X258" i="15"/>
  <c r="Z258" i="15" s="1"/>
  <c r="N258" i="15"/>
  <c r="L258" i="15"/>
  <c r="B258" i="15"/>
  <c r="Z257" i="15"/>
  <c r="X257" i="15"/>
  <c r="L257" i="15"/>
  <c r="N257" i="15" s="1"/>
  <c r="B257" i="15"/>
  <c r="T256" i="15"/>
  <c r="P256" i="15"/>
  <c r="H256" i="15"/>
  <c r="N256" i="15" s="1"/>
  <c r="D256" i="15"/>
  <c r="L256" i="15" s="1"/>
  <c r="B256" i="15"/>
  <c r="X255" i="15"/>
  <c r="Z255" i="15" s="1"/>
  <c r="N255" i="15"/>
  <c r="L255" i="15"/>
  <c r="B255" i="15"/>
  <c r="X254" i="15"/>
  <c r="Z254" i="15" s="1"/>
  <c r="T254" i="15"/>
  <c r="P254" i="15"/>
  <c r="H254" i="15"/>
  <c r="D254" i="15"/>
  <c r="L254" i="15" s="1"/>
  <c r="N254" i="15" s="1"/>
  <c r="B254" i="15"/>
  <c r="Z253" i="15"/>
  <c r="X253" i="15"/>
  <c r="N253" i="15"/>
  <c r="L253" i="15"/>
  <c r="B253" i="15"/>
  <c r="T252" i="15"/>
  <c r="P252" i="15"/>
  <c r="X252" i="15" s="1"/>
  <c r="N252" i="15"/>
  <c r="L252" i="15"/>
  <c r="H252" i="15"/>
  <c r="D252" i="15"/>
  <c r="B252" i="15"/>
  <c r="X251" i="15"/>
  <c r="Z251" i="15" s="1"/>
  <c r="L251" i="15"/>
  <c r="N251" i="15" s="1"/>
  <c r="B251" i="15"/>
  <c r="X250" i="15"/>
  <c r="Z250" i="15" s="1"/>
  <c r="L250" i="15"/>
  <c r="N250" i="15" s="1"/>
  <c r="B250" i="15"/>
  <c r="Z249" i="15"/>
  <c r="X249" i="15"/>
  <c r="L249" i="15"/>
  <c r="N249" i="15" s="1"/>
  <c r="B249" i="15"/>
  <c r="X248" i="15"/>
  <c r="Z248" i="15" s="1"/>
  <c r="N248" i="15"/>
  <c r="L248" i="15"/>
  <c r="B248" i="15"/>
  <c r="X247" i="15"/>
  <c r="Z247" i="15" s="1"/>
  <c r="V247" i="15"/>
  <c r="L247" i="15"/>
  <c r="N247" i="15" s="1"/>
  <c r="B247" i="15"/>
  <c r="X246" i="15"/>
  <c r="Z246" i="15" s="1"/>
  <c r="L246" i="15"/>
  <c r="N246" i="15" s="1"/>
  <c r="B246" i="15"/>
  <c r="Z245" i="15"/>
  <c r="X245" i="15"/>
  <c r="L245" i="15"/>
  <c r="N245" i="15" s="1"/>
  <c r="B245" i="15"/>
  <c r="X244" i="15"/>
  <c r="Z244" i="15" s="1"/>
  <c r="R244" i="15"/>
  <c r="N244" i="15"/>
  <c r="L244" i="15"/>
  <c r="B244" i="15"/>
  <c r="X243" i="15"/>
  <c r="Z243" i="15" s="1"/>
  <c r="L243" i="15"/>
  <c r="N243" i="15" s="1"/>
  <c r="B243" i="15"/>
  <c r="X242" i="15"/>
  <c r="Z242" i="15" s="1"/>
  <c r="L242" i="15"/>
  <c r="N242" i="15" s="1"/>
  <c r="B242" i="15"/>
  <c r="Z241" i="15"/>
  <c r="X241" i="15"/>
  <c r="L241" i="15"/>
  <c r="N241" i="15" s="1"/>
  <c r="B241" i="15"/>
  <c r="X240" i="15"/>
  <c r="Z240" i="15" s="1"/>
  <c r="N240" i="15"/>
  <c r="L240" i="15"/>
  <c r="B240" i="15"/>
  <c r="X239" i="15"/>
  <c r="Z239" i="15" s="1"/>
  <c r="L239" i="15"/>
  <c r="N239" i="15" s="1"/>
  <c r="B239" i="15"/>
  <c r="X238" i="15"/>
  <c r="Z238" i="15" s="1"/>
  <c r="L238" i="15"/>
  <c r="N238" i="15" s="1"/>
  <c r="B238" i="15"/>
  <c r="Z237" i="15"/>
  <c r="X237" i="15"/>
  <c r="L237" i="15"/>
  <c r="N237" i="15" s="1"/>
  <c r="B237" i="15"/>
  <c r="X236" i="15"/>
  <c r="Z236" i="15" s="1"/>
  <c r="N236" i="15"/>
  <c r="L236" i="15"/>
  <c r="B236" i="15"/>
  <c r="X235" i="15"/>
  <c r="Z235" i="15" s="1"/>
  <c r="L235" i="15"/>
  <c r="N235" i="15" s="1"/>
  <c r="B235" i="15"/>
  <c r="X234" i="15"/>
  <c r="Z234" i="15" s="1"/>
  <c r="L234" i="15"/>
  <c r="N234" i="15" s="1"/>
  <c r="B234" i="15"/>
  <c r="Z233" i="15"/>
  <c r="X233" i="15"/>
  <c r="L233" i="15"/>
  <c r="N233" i="15" s="1"/>
  <c r="B233" i="15"/>
  <c r="X232" i="15"/>
  <c r="Z232" i="15" s="1"/>
  <c r="N232" i="15"/>
  <c r="L232" i="15"/>
  <c r="B232" i="15"/>
  <c r="X231" i="15"/>
  <c r="Z231" i="15" s="1"/>
  <c r="L231" i="15"/>
  <c r="N231" i="15" s="1"/>
  <c r="B231" i="15"/>
  <c r="X230" i="15"/>
  <c r="Z230" i="15" s="1"/>
  <c r="L230" i="15"/>
  <c r="N230" i="15" s="1"/>
  <c r="B230" i="15"/>
  <c r="Z229" i="15"/>
  <c r="X229" i="15"/>
  <c r="L229" i="15"/>
  <c r="N229" i="15" s="1"/>
  <c r="B229" i="15"/>
  <c r="X228" i="15"/>
  <c r="Z228" i="15" s="1"/>
  <c r="N228" i="15"/>
  <c r="L228" i="15"/>
  <c r="B228" i="15"/>
  <c r="X227" i="15"/>
  <c r="Z227" i="15" s="1"/>
  <c r="L227" i="15"/>
  <c r="N227" i="15" s="1"/>
  <c r="B227" i="15"/>
  <c r="X226" i="15"/>
  <c r="Z226" i="15" s="1"/>
  <c r="L226" i="15"/>
  <c r="N226" i="15" s="1"/>
  <c r="B226" i="15"/>
  <c r="Z225" i="15"/>
  <c r="X225" i="15"/>
  <c r="L225" i="15"/>
  <c r="N225" i="15" s="1"/>
  <c r="B225" i="15"/>
  <c r="X224" i="15"/>
  <c r="Z224" i="15" s="1"/>
  <c r="N224" i="15"/>
  <c r="L224" i="15"/>
  <c r="B224" i="15"/>
  <c r="X223" i="15"/>
  <c r="Z223" i="15" s="1"/>
  <c r="L223" i="15"/>
  <c r="N223" i="15" s="1"/>
  <c r="B223" i="15"/>
  <c r="X222" i="15"/>
  <c r="Z222" i="15" s="1"/>
  <c r="L222" i="15"/>
  <c r="N222" i="15" s="1"/>
  <c r="B222" i="15"/>
  <c r="Z221" i="15"/>
  <c r="X221" i="15"/>
  <c r="L221" i="15"/>
  <c r="N221" i="15" s="1"/>
  <c r="B221" i="15"/>
  <c r="X220" i="15"/>
  <c r="Z220" i="15" s="1"/>
  <c r="N220" i="15"/>
  <c r="L220" i="15"/>
  <c r="B220" i="15"/>
  <c r="X219" i="15"/>
  <c r="Z219" i="15" s="1"/>
  <c r="L219" i="15"/>
  <c r="N219" i="15" s="1"/>
  <c r="B219" i="15"/>
  <c r="Z218" i="15"/>
  <c r="X218" i="15"/>
  <c r="L218" i="15"/>
  <c r="N218" i="15" s="1"/>
  <c r="B218" i="15"/>
  <c r="T217" i="15"/>
  <c r="P217" i="15"/>
  <c r="X217" i="15" s="1"/>
  <c r="Z217" i="15" s="1"/>
  <c r="H217" i="15"/>
  <c r="N217" i="15" s="1"/>
  <c r="D217" i="15"/>
  <c r="L217" i="15" s="1"/>
  <c r="B217" i="15"/>
  <c r="Z216" i="15"/>
  <c r="X216" i="15"/>
  <c r="N216" i="15"/>
  <c r="L216" i="15"/>
  <c r="B216" i="15"/>
  <c r="X215" i="15"/>
  <c r="V215" i="15"/>
  <c r="T215" i="15"/>
  <c r="P215" i="15"/>
  <c r="L215" i="15"/>
  <c r="H215" i="15"/>
  <c r="D215" i="15"/>
  <c r="B215" i="15"/>
  <c r="Z214" i="15"/>
  <c r="X214" i="15"/>
  <c r="N214" i="15"/>
  <c r="L214" i="15"/>
  <c r="B214" i="15"/>
  <c r="T213" i="15"/>
  <c r="P213" i="15"/>
  <c r="H213" i="15"/>
  <c r="D213" i="15"/>
  <c r="L213" i="15" s="1"/>
  <c r="B213" i="15"/>
  <c r="X212" i="15"/>
  <c r="Z212" i="15" s="1"/>
  <c r="N212" i="15"/>
  <c r="L212" i="15"/>
  <c r="B212" i="15"/>
  <c r="X211" i="15"/>
  <c r="Z211" i="15" s="1"/>
  <c r="N211" i="15"/>
  <c r="L211" i="15"/>
  <c r="B211" i="15"/>
  <c r="T210" i="15"/>
  <c r="P210" i="15"/>
  <c r="X210" i="15" s="1"/>
  <c r="Z210" i="15" s="1"/>
  <c r="L210" i="15"/>
  <c r="H210" i="15"/>
  <c r="D210" i="15"/>
  <c r="B210" i="15"/>
  <c r="X209" i="15"/>
  <c r="Z209" i="15" s="1"/>
  <c r="N209" i="15"/>
  <c r="L209" i="15"/>
  <c r="B209" i="15"/>
  <c r="Z208" i="15"/>
  <c r="X208" i="15"/>
  <c r="T208" i="15"/>
  <c r="P208" i="15"/>
  <c r="H208" i="15"/>
  <c r="D208" i="15"/>
  <c r="L208" i="15" s="1"/>
  <c r="B208" i="15"/>
  <c r="Z207" i="15"/>
  <c r="X207" i="15"/>
  <c r="L207" i="15"/>
  <c r="N207" i="15" s="1"/>
  <c r="B207" i="15"/>
  <c r="Z206" i="15"/>
  <c r="X206" i="15"/>
  <c r="T206" i="15"/>
  <c r="P206" i="15"/>
  <c r="H206" i="15"/>
  <c r="D206" i="15"/>
  <c r="B206" i="15"/>
  <c r="Z205" i="15"/>
  <c r="X205" i="15"/>
  <c r="L205" i="15"/>
  <c r="N205" i="15" s="1"/>
  <c r="B205" i="15"/>
  <c r="T204" i="15"/>
  <c r="P204" i="15"/>
  <c r="X204" i="15" s="1"/>
  <c r="H204" i="15"/>
  <c r="N204" i="15" s="1"/>
  <c r="D204" i="15"/>
  <c r="L204" i="15" s="1"/>
  <c r="B204" i="15"/>
  <c r="X203" i="15"/>
  <c r="Z203" i="15" s="1"/>
  <c r="N203" i="15"/>
  <c r="L203" i="15"/>
  <c r="B203" i="15"/>
  <c r="X202" i="15"/>
  <c r="Z202" i="15" s="1"/>
  <c r="N202" i="15"/>
  <c r="L202" i="15"/>
  <c r="B202" i="15"/>
  <c r="X201" i="15"/>
  <c r="T201" i="15"/>
  <c r="P201" i="15"/>
  <c r="H201" i="15"/>
  <c r="L201" i="15" s="1"/>
  <c r="N201" i="15" s="1"/>
  <c r="D201" i="15"/>
  <c r="B201" i="15"/>
  <c r="Z200" i="15"/>
  <c r="X200" i="15"/>
  <c r="L200" i="15"/>
  <c r="N200" i="15" s="1"/>
  <c r="B200" i="15"/>
  <c r="Z199" i="15"/>
  <c r="X199" i="15"/>
  <c r="N199" i="15"/>
  <c r="L199" i="15"/>
  <c r="B199" i="15"/>
  <c r="X198" i="15"/>
  <c r="T198" i="15"/>
  <c r="P198" i="15"/>
  <c r="H198" i="15"/>
  <c r="N198" i="15" s="1"/>
  <c r="D198" i="15"/>
  <c r="L198" i="15" s="1"/>
  <c r="B198" i="15"/>
  <c r="Z197" i="15"/>
  <c r="X197" i="15"/>
  <c r="N197" i="15"/>
  <c r="L197" i="15"/>
  <c r="B197" i="15"/>
  <c r="T196" i="15"/>
  <c r="P196" i="15"/>
  <c r="X196" i="15" s="1"/>
  <c r="H196" i="15"/>
  <c r="D196" i="15"/>
  <c r="L196" i="15" s="1"/>
  <c r="N196" i="15" s="1"/>
  <c r="B196" i="15"/>
  <c r="Z195" i="15"/>
  <c r="X195" i="15"/>
  <c r="V195" i="15"/>
  <c r="N195" i="15"/>
  <c r="L195" i="15"/>
  <c r="B195" i="15"/>
  <c r="X194" i="15"/>
  <c r="Z194" i="15" s="1"/>
  <c r="L194" i="15"/>
  <c r="N194" i="15" s="1"/>
  <c r="B194" i="15"/>
  <c r="T193" i="15"/>
  <c r="P193" i="15"/>
  <c r="X193" i="15" s="1"/>
  <c r="Z193" i="15" s="1"/>
  <c r="H193" i="15"/>
  <c r="D193" i="15"/>
  <c r="L193" i="15" s="1"/>
  <c r="N193" i="15" s="1"/>
  <c r="B193" i="15"/>
  <c r="X192" i="15"/>
  <c r="Z192" i="15" s="1"/>
  <c r="L192" i="15"/>
  <c r="N192" i="15" s="1"/>
  <c r="B192" i="15"/>
  <c r="Z191" i="15"/>
  <c r="X191" i="15"/>
  <c r="T191" i="15"/>
  <c r="P191" i="15"/>
  <c r="N191" i="15"/>
  <c r="L191" i="15"/>
  <c r="H191" i="15"/>
  <c r="D191" i="15"/>
  <c r="B191" i="15"/>
  <c r="Z190" i="15"/>
  <c r="X190" i="15"/>
  <c r="N190" i="15"/>
  <c r="L190" i="15"/>
  <c r="B190" i="15"/>
  <c r="Z189" i="15"/>
  <c r="X189" i="15"/>
  <c r="N189" i="15"/>
  <c r="L189" i="15"/>
  <c r="B189" i="15"/>
  <c r="X188" i="15"/>
  <c r="Z188" i="15" s="1"/>
  <c r="L188" i="15"/>
  <c r="N188" i="15" s="1"/>
  <c r="B188" i="15"/>
  <c r="Z187" i="15"/>
  <c r="X187" i="15"/>
  <c r="N187" i="15"/>
  <c r="L187" i="15"/>
  <c r="B187" i="15"/>
  <c r="Z186" i="15"/>
  <c r="X186" i="15"/>
  <c r="L186" i="15"/>
  <c r="N186" i="15" s="1"/>
  <c r="B186" i="15"/>
  <c r="Z185" i="15"/>
  <c r="X185" i="15"/>
  <c r="N185" i="15"/>
  <c r="L185" i="15"/>
  <c r="B185" i="15"/>
  <c r="X184" i="15"/>
  <c r="Z184" i="15" s="1"/>
  <c r="L184" i="15"/>
  <c r="N184" i="15" s="1"/>
  <c r="B184" i="15"/>
  <c r="T183" i="15"/>
  <c r="P183" i="15"/>
  <c r="X183" i="15" s="1"/>
  <c r="N183" i="15"/>
  <c r="H183" i="15"/>
  <c r="D183" i="15"/>
  <c r="L183" i="15" s="1"/>
  <c r="B183" i="15"/>
  <c r="X182" i="15"/>
  <c r="Z182" i="15" s="1"/>
  <c r="L182" i="15"/>
  <c r="N182" i="15" s="1"/>
  <c r="B182" i="15"/>
  <c r="Z181" i="15"/>
  <c r="X181" i="15"/>
  <c r="N181" i="15"/>
  <c r="L181" i="15"/>
  <c r="B181" i="15"/>
  <c r="X180" i="15"/>
  <c r="Z180" i="15" s="1"/>
  <c r="L180" i="15"/>
  <c r="N180" i="15" s="1"/>
  <c r="B180" i="15"/>
  <c r="Z179" i="15"/>
  <c r="X179" i="15"/>
  <c r="V179" i="15"/>
  <c r="N179" i="15"/>
  <c r="L179" i="15"/>
  <c r="B179" i="15"/>
  <c r="X178" i="15"/>
  <c r="Z178" i="15" s="1"/>
  <c r="N178" i="15"/>
  <c r="L178" i="15"/>
  <c r="B178" i="15"/>
  <c r="Z177" i="15"/>
  <c r="X177" i="15"/>
  <c r="N177" i="15"/>
  <c r="L177" i="15"/>
  <c r="B177" i="15"/>
  <c r="X176" i="15"/>
  <c r="Z176" i="15" s="1"/>
  <c r="L176" i="15"/>
  <c r="N176" i="15" s="1"/>
  <c r="B176" i="15"/>
  <c r="Z175" i="15"/>
  <c r="X175" i="15"/>
  <c r="V175" i="15"/>
  <c r="N175" i="15"/>
  <c r="L175" i="15"/>
  <c r="B175" i="15"/>
  <c r="X174" i="15"/>
  <c r="Z174" i="15" s="1"/>
  <c r="L174" i="15"/>
  <c r="N174" i="15" s="1"/>
  <c r="B174" i="15"/>
  <c r="T173" i="15"/>
  <c r="P173" i="15"/>
  <c r="X173" i="15" s="1"/>
  <c r="Z173" i="15" s="1"/>
  <c r="H173" i="15"/>
  <c r="D173" i="15"/>
  <c r="L173" i="15" s="1"/>
  <c r="N173" i="15" s="1"/>
  <c r="B173" i="15"/>
  <c r="T172" i="15"/>
  <c r="P172" i="15"/>
  <c r="X172" i="15" s="1"/>
  <c r="H172" i="15"/>
  <c r="D172" i="15"/>
  <c r="X168" i="15"/>
  <c r="Z168" i="15" s="1"/>
  <c r="L168" i="15"/>
  <c r="N168" i="15" s="1"/>
  <c r="B168" i="15"/>
  <c r="Z167" i="15"/>
  <c r="X167" i="15"/>
  <c r="N167" i="15"/>
  <c r="L167" i="15"/>
  <c r="B167" i="15"/>
  <c r="X166" i="15"/>
  <c r="Z166" i="15" s="1"/>
  <c r="N166" i="15"/>
  <c r="L166" i="15"/>
  <c r="B166" i="15"/>
  <c r="Z165" i="15"/>
  <c r="X165" i="15"/>
  <c r="N165" i="15"/>
  <c r="L165" i="15"/>
  <c r="B165" i="15"/>
  <c r="X164" i="15"/>
  <c r="Z164" i="15" s="1"/>
  <c r="L164" i="15"/>
  <c r="N164" i="15" s="1"/>
  <c r="B164" i="15"/>
  <c r="Z163" i="15"/>
  <c r="X163" i="15"/>
  <c r="L163" i="15"/>
  <c r="N163" i="15" s="1"/>
  <c r="B163" i="15"/>
  <c r="X162" i="15"/>
  <c r="Z162" i="15" s="1"/>
  <c r="L162" i="15"/>
  <c r="N162" i="15" s="1"/>
  <c r="B162" i="15"/>
  <c r="Z161" i="15"/>
  <c r="X161" i="15"/>
  <c r="N161" i="15"/>
  <c r="L161" i="15"/>
  <c r="B161" i="15"/>
  <c r="X160" i="15"/>
  <c r="Z160" i="15" s="1"/>
  <c r="L160" i="15"/>
  <c r="N160" i="15" s="1"/>
  <c r="B160" i="15"/>
  <c r="Z159" i="15"/>
  <c r="X159" i="15"/>
  <c r="L159" i="15"/>
  <c r="N159" i="15" s="1"/>
  <c r="B159" i="15"/>
  <c r="X158" i="15"/>
  <c r="Z158" i="15" s="1"/>
  <c r="N158" i="15"/>
  <c r="L158" i="15"/>
  <c r="B158" i="15"/>
  <c r="Z157" i="15"/>
  <c r="X157" i="15"/>
  <c r="N157" i="15"/>
  <c r="L157" i="15"/>
  <c r="B157" i="15"/>
  <c r="X156" i="15"/>
  <c r="Z156" i="15" s="1"/>
  <c r="N156" i="15"/>
  <c r="L156" i="15"/>
  <c r="B156" i="15"/>
  <c r="Z155" i="15"/>
  <c r="X155" i="15"/>
  <c r="N155" i="15"/>
  <c r="L155" i="15"/>
  <c r="B155" i="15"/>
  <c r="X154" i="15"/>
  <c r="Z154" i="15" s="1"/>
  <c r="L154" i="15"/>
  <c r="N154" i="15" s="1"/>
  <c r="B154" i="15"/>
  <c r="Z153" i="15"/>
  <c r="X153" i="15"/>
  <c r="N153" i="15"/>
  <c r="L153" i="15"/>
  <c r="B153" i="15"/>
  <c r="X152" i="15"/>
  <c r="Z152" i="15" s="1"/>
  <c r="N152" i="15"/>
  <c r="L152" i="15"/>
  <c r="B152" i="15"/>
  <c r="Z151" i="15"/>
  <c r="X151" i="15"/>
  <c r="L151" i="15"/>
  <c r="N151" i="15" s="1"/>
  <c r="B151" i="15"/>
  <c r="X150" i="15"/>
  <c r="Z150" i="15" s="1"/>
  <c r="L150" i="15"/>
  <c r="N150" i="15" s="1"/>
  <c r="B150" i="15"/>
  <c r="Z149" i="15"/>
  <c r="X149" i="15"/>
  <c r="N149" i="15"/>
  <c r="L149" i="15"/>
  <c r="B149" i="15"/>
  <c r="X148" i="15"/>
  <c r="Z148" i="15" s="1"/>
  <c r="L148" i="15"/>
  <c r="N148" i="15" s="1"/>
  <c r="B148" i="15"/>
  <c r="Z147" i="15"/>
  <c r="X147" i="15"/>
  <c r="N147" i="15"/>
  <c r="L147" i="15"/>
  <c r="B147" i="15"/>
  <c r="X146" i="15"/>
  <c r="Z146" i="15" s="1"/>
  <c r="N146" i="15"/>
  <c r="L146" i="15"/>
  <c r="B146" i="15"/>
  <c r="Z145" i="15"/>
  <c r="X145" i="15"/>
  <c r="N145" i="15"/>
  <c r="L145" i="15"/>
  <c r="B145" i="15"/>
  <c r="X144" i="15"/>
  <c r="Z144" i="15" s="1"/>
  <c r="L144" i="15"/>
  <c r="N144" i="15" s="1"/>
  <c r="B144" i="15"/>
  <c r="Z143" i="15"/>
  <c r="X143" i="15"/>
  <c r="L143" i="15"/>
  <c r="N143" i="15" s="1"/>
  <c r="B143" i="15"/>
  <c r="X142" i="15"/>
  <c r="Z142" i="15" s="1"/>
  <c r="L142" i="15"/>
  <c r="N142" i="15" s="1"/>
  <c r="B142" i="15"/>
  <c r="Z141" i="15"/>
  <c r="X141" i="15"/>
  <c r="N141" i="15"/>
  <c r="L141" i="15"/>
  <c r="B141" i="15"/>
  <c r="X140" i="15"/>
  <c r="Z140" i="15" s="1"/>
  <c r="L140" i="15"/>
  <c r="N140" i="15" s="1"/>
  <c r="B140" i="15"/>
  <c r="Z139" i="15"/>
  <c r="X139" i="15"/>
  <c r="L139" i="15"/>
  <c r="N139" i="15" s="1"/>
  <c r="B139" i="15"/>
  <c r="X138" i="15"/>
  <c r="Z138" i="15" s="1"/>
  <c r="L138" i="15"/>
  <c r="N138" i="15" s="1"/>
  <c r="B138" i="15"/>
  <c r="Z137" i="15"/>
  <c r="X137" i="15"/>
  <c r="N137" i="15"/>
  <c r="L137" i="15"/>
  <c r="B137" i="15"/>
  <c r="X136" i="15"/>
  <c r="Z136" i="15" s="1"/>
  <c r="N136" i="15"/>
  <c r="L136" i="15"/>
  <c r="B136" i="15"/>
  <c r="Z135" i="15"/>
  <c r="X135" i="15"/>
  <c r="L135" i="15"/>
  <c r="N135" i="15" s="1"/>
  <c r="B135" i="15"/>
  <c r="X134" i="15"/>
  <c r="Z134" i="15" s="1"/>
  <c r="L134" i="15"/>
  <c r="N134" i="15" s="1"/>
  <c r="B134" i="15"/>
  <c r="Z133" i="15"/>
  <c r="X133" i="15"/>
  <c r="N133" i="15"/>
  <c r="L133" i="15"/>
  <c r="B133" i="15"/>
  <c r="X132" i="15"/>
  <c r="Z132" i="15" s="1"/>
  <c r="L132" i="15"/>
  <c r="N132" i="15" s="1"/>
  <c r="B132" i="15"/>
  <c r="Z131" i="15"/>
  <c r="X131" i="15"/>
  <c r="L131" i="15"/>
  <c r="N131" i="15" s="1"/>
  <c r="B131" i="15"/>
  <c r="X130" i="15"/>
  <c r="Z130" i="15" s="1"/>
  <c r="L130" i="15"/>
  <c r="N130" i="15" s="1"/>
  <c r="B130" i="15"/>
  <c r="Z129" i="15"/>
  <c r="X129" i="15"/>
  <c r="N129" i="15"/>
  <c r="L129" i="15"/>
  <c r="B129" i="15"/>
  <c r="X128" i="15"/>
  <c r="Z128" i="15" s="1"/>
  <c r="L128" i="15"/>
  <c r="N128" i="15" s="1"/>
  <c r="B128" i="15"/>
  <c r="Z127" i="15"/>
  <c r="X127" i="15"/>
  <c r="L127" i="15"/>
  <c r="N127" i="15" s="1"/>
  <c r="B127" i="15"/>
  <c r="X126" i="15"/>
  <c r="Z126" i="15" s="1"/>
  <c r="N126" i="15"/>
  <c r="L126" i="15"/>
  <c r="B126" i="15"/>
  <c r="Z125" i="15"/>
  <c r="X125" i="15"/>
  <c r="N125" i="15"/>
  <c r="L125" i="15"/>
  <c r="B125" i="15"/>
  <c r="X124" i="15"/>
  <c r="Z124" i="15" s="1"/>
  <c r="L124" i="15"/>
  <c r="N124" i="15" s="1"/>
  <c r="B124" i="15"/>
  <c r="Z123" i="15"/>
  <c r="X123" i="15"/>
  <c r="L123" i="15"/>
  <c r="N123" i="15" s="1"/>
  <c r="B123" i="15"/>
  <c r="X122" i="15"/>
  <c r="Z122" i="15" s="1"/>
  <c r="L122" i="15"/>
  <c r="N122" i="15" s="1"/>
  <c r="B122" i="15"/>
  <c r="Z121" i="15"/>
  <c r="X121" i="15"/>
  <c r="N121" i="15"/>
  <c r="L121" i="15"/>
  <c r="B121" i="15"/>
  <c r="X120" i="15"/>
  <c r="Z120" i="15" s="1"/>
  <c r="L120" i="15"/>
  <c r="N120" i="15" s="1"/>
  <c r="B120" i="15"/>
  <c r="Z119" i="15"/>
  <c r="X119" i="15"/>
  <c r="L119" i="15"/>
  <c r="N119" i="15" s="1"/>
  <c r="B119" i="15"/>
  <c r="X118" i="15"/>
  <c r="Z118" i="15" s="1"/>
  <c r="L118" i="15"/>
  <c r="N118" i="15" s="1"/>
  <c r="B118" i="15"/>
  <c r="T117" i="15"/>
  <c r="P117" i="15"/>
  <c r="X117" i="15" s="1"/>
  <c r="Z117" i="15" s="1"/>
  <c r="H117" i="15"/>
  <c r="D117" i="15"/>
  <c r="L117" i="15" s="1"/>
  <c r="N117" i="15" s="1"/>
  <c r="Z115" i="15"/>
  <c r="T115" i="15"/>
  <c r="X115" i="15" s="1"/>
  <c r="P115" i="15"/>
  <c r="N115" i="15"/>
  <c r="H115" i="15"/>
  <c r="L115" i="15" s="1"/>
  <c r="D115" i="15"/>
  <c r="B115" i="15"/>
  <c r="T114" i="15"/>
  <c r="Z114" i="15" s="1"/>
  <c r="P114" i="15"/>
  <c r="X114" i="15" s="1"/>
  <c r="N114" i="15"/>
  <c r="H114" i="15"/>
  <c r="D114" i="15"/>
  <c r="L114" i="15" s="1"/>
  <c r="B114" i="15"/>
  <c r="T113" i="15"/>
  <c r="X113" i="15" s="1"/>
  <c r="Z113" i="15" s="1"/>
  <c r="P113" i="15"/>
  <c r="H113" i="15"/>
  <c r="D113" i="15"/>
  <c r="B113" i="15"/>
  <c r="X112" i="15"/>
  <c r="T112" i="15"/>
  <c r="Z112" i="15" s="1"/>
  <c r="P112" i="15"/>
  <c r="L112" i="15"/>
  <c r="N112" i="15" s="1"/>
  <c r="H112" i="15"/>
  <c r="D112" i="15"/>
  <c r="B112" i="15"/>
  <c r="T111" i="15"/>
  <c r="X111" i="15" s="1"/>
  <c r="Z111" i="15" s="1"/>
  <c r="P111" i="15"/>
  <c r="N111" i="15"/>
  <c r="H111" i="15"/>
  <c r="L111" i="15" s="1"/>
  <c r="D111" i="15"/>
  <c r="B111" i="15"/>
  <c r="T110" i="15"/>
  <c r="Z110" i="15" s="1"/>
  <c r="P110" i="15"/>
  <c r="X110" i="15" s="1"/>
  <c r="N110" i="15"/>
  <c r="H110" i="15"/>
  <c r="D110" i="15"/>
  <c r="L110" i="15" s="1"/>
  <c r="B110" i="15"/>
  <c r="Z109" i="15"/>
  <c r="T109" i="15"/>
  <c r="X109" i="15" s="1"/>
  <c r="P109" i="15"/>
  <c r="H109" i="15"/>
  <c r="N109" i="15" s="1"/>
  <c r="D109" i="15"/>
  <c r="B109" i="15"/>
  <c r="X108" i="15"/>
  <c r="T108" i="15"/>
  <c r="P108" i="15"/>
  <c r="N108" i="15"/>
  <c r="L108" i="15"/>
  <c r="H108" i="15"/>
  <c r="D108" i="15"/>
  <c r="B108" i="15"/>
  <c r="T107" i="15"/>
  <c r="X107" i="15" s="1"/>
  <c r="Z107" i="15" s="1"/>
  <c r="P107" i="15"/>
  <c r="N107" i="15"/>
  <c r="H107" i="15"/>
  <c r="L107" i="15" s="1"/>
  <c r="D107" i="15"/>
  <c r="B107" i="15"/>
  <c r="T106" i="15"/>
  <c r="P106" i="15"/>
  <c r="X106" i="15" s="1"/>
  <c r="H106" i="15"/>
  <c r="D106" i="15"/>
  <c r="L106" i="15" s="1"/>
  <c r="N106" i="15" s="1"/>
  <c r="B106" i="15"/>
  <c r="T105" i="15"/>
  <c r="X105" i="15" s="1"/>
  <c r="Z105" i="15" s="1"/>
  <c r="P105" i="15"/>
  <c r="H105" i="15"/>
  <c r="D105" i="15"/>
  <c r="B105" i="15"/>
  <c r="X104" i="15"/>
  <c r="T104" i="15"/>
  <c r="P104" i="15"/>
  <c r="L104" i="15"/>
  <c r="N104" i="15" s="1"/>
  <c r="H104" i="15"/>
  <c r="D104" i="15"/>
  <c r="B104" i="15"/>
  <c r="T103" i="15"/>
  <c r="X103" i="15" s="1"/>
  <c r="Z103" i="15" s="1"/>
  <c r="P103" i="15"/>
  <c r="N103" i="15"/>
  <c r="H103" i="15"/>
  <c r="L103" i="15" s="1"/>
  <c r="D103" i="15"/>
  <c r="B103" i="15"/>
  <c r="T102" i="15"/>
  <c r="P102" i="15"/>
  <c r="X102" i="15" s="1"/>
  <c r="N102" i="15"/>
  <c r="H102" i="15"/>
  <c r="D102" i="15"/>
  <c r="L102" i="15" s="1"/>
  <c r="B102" i="15"/>
  <c r="T101" i="15"/>
  <c r="X101" i="15" s="1"/>
  <c r="Z101" i="15" s="1"/>
  <c r="P101" i="15"/>
  <c r="H101" i="15"/>
  <c r="D101" i="15"/>
  <c r="B101" i="15"/>
  <c r="X100" i="15"/>
  <c r="T100" i="15"/>
  <c r="P100" i="15"/>
  <c r="L100" i="15"/>
  <c r="N100" i="15" s="1"/>
  <c r="H100" i="15"/>
  <c r="D100" i="15"/>
  <c r="B100" i="15"/>
  <c r="T99" i="15"/>
  <c r="X99" i="15" s="1"/>
  <c r="Z99" i="15" s="1"/>
  <c r="P99" i="15"/>
  <c r="N99" i="15"/>
  <c r="H99" i="15"/>
  <c r="L99" i="15" s="1"/>
  <c r="D99" i="15"/>
  <c r="B99" i="15"/>
  <c r="T98" i="15"/>
  <c r="P98" i="15"/>
  <c r="X98" i="15" s="1"/>
  <c r="H98" i="15"/>
  <c r="D98" i="15"/>
  <c r="L98" i="15" s="1"/>
  <c r="N98" i="15" s="1"/>
  <c r="B98" i="15"/>
  <c r="T97" i="15"/>
  <c r="X97" i="15" s="1"/>
  <c r="Z97" i="15" s="1"/>
  <c r="P97" i="15"/>
  <c r="H97" i="15"/>
  <c r="N97" i="15" s="1"/>
  <c r="D97" i="15"/>
  <c r="B97" i="15"/>
  <c r="X96" i="15"/>
  <c r="T96" i="15"/>
  <c r="Z96" i="15" s="1"/>
  <c r="P96" i="15"/>
  <c r="L96" i="15"/>
  <c r="N96" i="15" s="1"/>
  <c r="H96" i="15"/>
  <c r="D96" i="15"/>
  <c r="B96" i="15"/>
  <c r="T95" i="15"/>
  <c r="X95" i="15" s="1"/>
  <c r="Z95" i="15" s="1"/>
  <c r="P95" i="15"/>
  <c r="N95" i="15"/>
  <c r="H95" i="15"/>
  <c r="L95" i="15" s="1"/>
  <c r="D95" i="15"/>
  <c r="B95" i="15"/>
  <c r="T94" i="15"/>
  <c r="Z94" i="15" s="1"/>
  <c r="P94" i="15"/>
  <c r="X94" i="15" s="1"/>
  <c r="N94" i="15"/>
  <c r="H94" i="15"/>
  <c r="D94" i="15"/>
  <c r="L94" i="15" s="1"/>
  <c r="B94" i="15"/>
  <c r="T93" i="15"/>
  <c r="X93" i="15" s="1"/>
  <c r="Z93" i="15" s="1"/>
  <c r="P93" i="15"/>
  <c r="H93" i="15"/>
  <c r="D93" i="15"/>
  <c r="B93" i="15"/>
  <c r="X92" i="15"/>
  <c r="T92" i="15"/>
  <c r="Z92" i="15" s="1"/>
  <c r="P92" i="15"/>
  <c r="L92" i="15"/>
  <c r="N92" i="15" s="1"/>
  <c r="H92" i="15"/>
  <c r="D92" i="15"/>
  <c r="B92" i="15"/>
  <c r="T91" i="15"/>
  <c r="X91" i="15" s="1"/>
  <c r="Z91" i="15" s="1"/>
  <c r="P91" i="15"/>
  <c r="N91" i="15"/>
  <c r="H91" i="15"/>
  <c r="L91" i="15" s="1"/>
  <c r="D91" i="15"/>
  <c r="B91" i="15"/>
  <c r="T90" i="15"/>
  <c r="Z90" i="15" s="1"/>
  <c r="P90" i="15"/>
  <c r="X90" i="15" s="1"/>
  <c r="H90" i="15"/>
  <c r="D90" i="15"/>
  <c r="L90" i="15" s="1"/>
  <c r="N90" i="15" s="1"/>
  <c r="B90" i="15"/>
  <c r="T89" i="15"/>
  <c r="X89" i="15" s="1"/>
  <c r="Z89" i="15" s="1"/>
  <c r="P89" i="15"/>
  <c r="H89" i="15"/>
  <c r="D89" i="15"/>
  <c r="B89" i="15"/>
  <c r="X88" i="15"/>
  <c r="T88" i="15"/>
  <c r="P88" i="15"/>
  <c r="L88" i="15"/>
  <c r="N88" i="15" s="1"/>
  <c r="H88" i="15"/>
  <c r="D88" i="15"/>
  <c r="B88" i="15"/>
  <c r="T87" i="15"/>
  <c r="X87" i="15" s="1"/>
  <c r="Z87" i="15" s="1"/>
  <c r="P87" i="15"/>
  <c r="H87" i="15"/>
  <c r="L87" i="15" s="1"/>
  <c r="N87" i="15" s="1"/>
  <c r="D87" i="15"/>
  <c r="B87" i="15"/>
  <c r="T86" i="15"/>
  <c r="P86" i="15"/>
  <c r="X86" i="15" s="1"/>
  <c r="H86" i="15"/>
  <c r="D86" i="15"/>
  <c r="L86" i="15" s="1"/>
  <c r="N86" i="15" s="1"/>
  <c r="B86" i="15"/>
  <c r="T85" i="15"/>
  <c r="X85" i="15" s="1"/>
  <c r="Z85" i="15" s="1"/>
  <c r="P85" i="15"/>
  <c r="H85" i="15"/>
  <c r="D85" i="15"/>
  <c r="B85" i="15"/>
  <c r="X84" i="15"/>
  <c r="T84" i="15"/>
  <c r="P84" i="15"/>
  <c r="N84" i="15"/>
  <c r="L84" i="15"/>
  <c r="H84" i="15"/>
  <c r="D84" i="15"/>
  <c r="B84" i="15"/>
  <c r="T83" i="15"/>
  <c r="X83" i="15" s="1"/>
  <c r="Z83" i="15" s="1"/>
  <c r="P83" i="15"/>
  <c r="N83" i="15"/>
  <c r="H83" i="15"/>
  <c r="L83" i="15" s="1"/>
  <c r="D83" i="15"/>
  <c r="B83" i="15"/>
  <c r="T82" i="15"/>
  <c r="P82" i="15"/>
  <c r="X82" i="15" s="1"/>
  <c r="N82" i="15"/>
  <c r="H82" i="15"/>
  <c r="D82" i="15"/>
  <c r="L82" i="15" s="1"/>
  <c r="B82" i="15"/>
  <c r="T81" i="15"/>
  <c r="X81" i="15" s="1"/>
  <c r="Z81" i="15" s="1"/>
  <c r="P81" i="15"/>
  <c r="H81" i="15"/>
  <c r="D81" i="15"/>
  <c r="B81" i="15"/>
  <c r="X80" i="15"/>
  <c r="T80" i="15"/>
  <c r="P80" i="15"/>
  <c r="L80" i="15"/>
  <c r="N80" i="15" s="1"/>
  <c r="H80" i="15"/>
  <c r="D80" i="15"/>
  <c r="B80" i="15"/>
  <c r="T79" i="15"/>
  <c r="X79" i="15" s="1"/>
  <c r="Z79" i="15" s="1"/>
  <c r="P79" i="15"/>
  <c r="N79" i="15"/>
  <c r="H79" i="15"/>
  <c r="L79" i="15" s="1"/>
  <c r="D79" i="15"/>
  <c r="B79" i="15"/>
  <c r="T78" i="15"/>
  <c r="P78" i="15"/>
  <c r="X78" i="15" s="1"/>
  <c r="H78" i="15"/>
  <c r="D78" i="15"/>
  <c r="L78" i="15" s="1"/>
  <c r="N78" i="15" s="1"/>
  <c r="B78" i="15"/>
  <c r="T77" i="15"/>
  <c r="X77" i="15" s="1"/>
  <c r="Z77" i="15" s="1"/>
  <c r="P77" i="15"/>
  <c r="H77" i="15"/>
  <c r="D77" i="15"/>
  <c r="B77" i="15"/>
  <c r="X76" i="15"/>
  <c r="T76" i="15"/>
  <c r="P76" i="15"/>
  <c r="L76" i="15"/>
  <c r="N76" i="15" s="1"/>
  <c r="H76" i="15"/>
  <c r="D76" i="15"/>
  <c r="B76" i="15"/>
  <c r="T75" i="15"/>
  <c r="X75" i="15" s="1"/>
  <c r="Z75" i="15" s="1"/>
  <c r="P75" i="15"/>
  <c r="N75" i="15"/>
  <c r="H75" i="15"/>
  <c r="L75" i="15" s="1"/>
  <c r="D75" i="15"/>
  <c r="B75" i="15"/>
  <c r="T74" i="15"/>
  <c r="Z74" i="15" s="1"/>
  <c r="P74" i="15"/>
  <c r="X74" i="15" s="1"/>
  <c r="H74" i="15"/>
  <c r="D74" i="15"/>
  <c r="L74" i="15" s="1"/>
  <c r="N74" i="15" s="1"/>
  <c r="B74" i="15"/>
  <c r="T73" i="15"/>
  <c r="X73" i="15" s="1"/>
  <c r="Z73" i="15" s="1"/>
  <c r="P73" i="15"/>
  <c r="H73" i="15"/>
  <c r="D73" i="15"/>
  <c r="B73" i="15"/>
  <c r="X72" i="15"/>
  <c r="T72" i="15"/>
  <c r="P72" i="15"/>
  <c r="N72" i="15"/>
  <c r="L72" i="15"/>
  <c r="H72" i="15"/>
  <c r="D72" i="15"/>
  <c r="B72" i="15"/>
  <c r="T71" i="15"/>
  <c r="X71" i="15" s="1"/>
  <c r="Z71" i="15" s="1"/>
  <c r="P71" i="15"/>
  <c r="H71" i="15"/>
  <c r="L71" i="15" s="1"/>
  <c r="N71" i="15" s="1"/>
  <c r="D71" i="15"/>
  <c r="B71" i="15"/>
  <c r="T70" i="15"/>
  <c r="Z70" i="15" s="1"/>
  <c r="P70" i="15"/>
  <c r="X70" i="15" s="1"/>
  <c r="N70" i="15"/>
  <c r="H70" i="15"/>
  <c r="D70" i="15"/>
  <c r="L70" i="15" s="1"/>
  <c r="B70" i="15"/>
  <c r="T69" i="15"/>
  <c r="X69" i="15" s="1"/>
  <c r="Z69" i="15" s="1"/>
  <c r="P69" i="15"/>
  <c r="H69" i="15"/>
  <c r="D69" i="15"/>
  <c r="B69" i="15"/>
  <c r="X68" i="15"/>
  <c r="T68" i="15"/>
  <c r="P68" i="15"/>
  <c r="L68" i="15"/>
  <c r="N68" i="15" s="1"/>
  <c r="H68" i="15"/>
  <c r="D68" i="15"/>
  <c r="B68" i="15"/>
  <c r="T67" i="15"/>
  <c r="X67" i="15" s="1"/>
  <c r="Z67" i="15" s="1"/>
  <c r="P67" i="15"/>
  <c r="H67" i="15"/>
  <c r="L67" i="15" s="1"/>
  <c r="N67" i="15" s="1"/>
  <c r="D67" i="15"/>
  <c r="B67" i="15"/>
  <c r="T66" i="15"/>
  <c r="Z66" i="15" s="1"/>
  <c r="P66" i="15"/>
  <c r="X66" i="15" s="1"/>
  <c r="H66" i="15"/>
  <c r="D66" i="15"/>
  <c r="L66" i="15" s="1"/>
  <c r="N66" i="15" s="1"/>
  <c r="B66" i="15"/>
  <c r="T65" i="15"/>
  <c r="X65" i="15" s="1"/>
  <c r="Z65" i="15" s="1"/>
  <c r="P65" i="15"/>
  <c r="H65" i="15"/>
  <c r="N65" i="15" s="1"/>
  <c r="D65" i="15"/>
  <c r="B65" i="15"/>
  <c r="X64" i="15"/>
  <c r="T64" i="15"/>
  <c r="P64" i="15"/>
  <c r="N64" i="15"/>
  <c r="L64" i="15"/>
  <c r="H64" i="15"/>
  <c r="D64" i="15"/>
  <c r="B64" i="15"/>
  <c r="T63" i="15"/>
  <c r="X63" i="15" s="1"/>
  <c r="Z63" i="15" s="1"/>
  <c r="P63" i="15"/>
  <c r="H63" i="15"/>
  <c r="L63" i="15" s="1"/>
  <c r="N63" i="15" s="1"/>
  <c r="D63" i="15"/>
  <c r="B63" i="15"/>
  <c r="T62" i="15"/>
  <c r="Z62" i="15" s="1"/>
  <c r="P62" i="15"/>
  <c r="X62" i="15" s="1"/>
  <c r="H62" i="15"/>
  <c r="D62" i="15"/>
  <c r="L62" i="15" s="1"/>
  <c r="N62" i="15" s="1"/>
  <c r="B62" i="15"/>
  <c r="T61" i="15"/>
  <c r="X61" i="15" s="1"/>
  <c r="Z61" i="15" s="1"/>
  <c r="P61" i="15"/>
  <c r="H61" i="15"/>
  <c r="D61" i="15"/>
  <c r="B61" i="15"/>
  <c r="X60" i="15"/>
  <c r="T60" i="15"/>
  <c r="P60" i="15"/>
  <c r="L60" i="15"/>
  <c r="N60" i="15" s="1"/>
  <c r="H60" i="15"/>
  <c r="D60" i="15"/>
  <c r="B60" i="15"/>
  <c r="T59" i="15"/>
  <c r="X59" i="15" s="1"/>
  <c r="Z59" i="15" s="1"/>
  <c r="P59" i="15"/>
  <c r="N59" i="15"/>
  <c r="H59" i="15"/>
  <c r="L59" i="15" s="1"/>
  <c r="D59" i="15"/>
  <c r="B59" i="15"/>
  <c r="T58" i="15"/>
  <c r="Z58" i="15" s="1"/>
  <c r="P58" i="15"/>
  <c r="X58" i="15" s="1"/>
  <c r="H58" i="15"/>
  <c r="D58" i="15"/>
  <c r="L58" i="15" s="1"/>
  <c r="N58" i="15" s="1"/>
  <c r="B58" i="15"/>
  <c r="T57" i="15"/>
  <c r="X57" i="15" s="1"/>
  <c r="Z57" i="15" s="1"/>
  <c r="P57" i="15"/>
  <c r="H57" i="15"/>
  <c r="D57" i="15"/>
  <c r="B57" i="15"/>
  <c r="X56" i="15"/>
  <c r="T56" i="15"/>
  <c r="Z56" i="15" s="1"/>
  <c r="P56" i="15"/>
  <c r="L56" i="15"/>
  <c r="N56" i="15" s="1"/>
  <c r="H56" i="15"/>
  <c r="D56" i="15"/>
  <c r="B56" i="15"/>
  <c r="Z55" i="15"/>
  <c r="T55" i="15"/>
  <c r="X55" i="15" s="1"/>
  <c r="P55" i="15"/>
  <c r="N55" i="15"/>
  <c r="H55" i="15"/>
  <c r="L55" i="15" s="1"/>
  <c r="D55" i="15"/>
  <c r="B55" i="15"/>
  <c r="T54" i="15"/>
  <c r="Z54" i="15" s="1"/>
  <c r="P54" i="15"/>
  <c r="X54" i="15" s="1"/>
  <c r="H54" i="15"/>
  <c r="D54" i="15"/>
  <c r="L54" i="15" s="1"/>
  <c r="N54" i="15" s="1"/>
  <c r="B54" i="15"/>
  <c r="T53" i="15"/>
  <c r="X53" i="15" s="1"/>
  <c r="Z53" i="15" s="1"/>
  <c r="P53" i="15"/>
  <c r="H53" i="15"/>
  <c r="D53" i="15"/>
  <c r="B53" i="15"/>
  <c r="X52" i="15"/>
  <c r="T52" i="15"/>
  <c r="Z52" i="15" s="1"/>
  <c r="P52" i="15"/>
  <c r="L52" i="15"/>
  <c r="N52" i="15" s="1"/>
  <c r="H52" i="15"/>
  <c r="D52" i="15"/>
  <c r="B52" i="15"/>
  <c r="T51" i="15"/>
  <c r="X51" i="15" s="1"/>
  <c r="Z51" i="15" s="1"/>
  <c r="P51" i="15"/>
  <c r="N51" i="15"/>
  <c r="H51" i="15"/>
  <c r="L51" i="15" s="1"/>
  <c r="D51" i="15"/>
  <c r="B51" i="15"/>
  <c r="T50" i="15"/>
  <c r="Z50" i="15" s="1"/>
  <c r="P50" i="15"/>
  <c r="X50" i="15" s="1"/>
  <c r="H50" i="15"/>
  <c r="D50" i="15"/>
  <c r="L50" i="15" s="1"/>
  <c r="N50" i="15" s="1"/>
  <c r="B50" i="15"/>
  <c r="T49" i="15"/>
  <c r="X49" i="15" s="1"/>
  <c r="Z49" i="15" s="1"/>
  <c r="P49" i="15"/>
  <c r="H49" i="15"/>
  <c r="D49" i="15"/>
  <c r="B49" i="15"/>
  <c r="X48" i="15"/>
  <c r="T48" i="15"/>
  <c r="Z48" i="15" s="1"/>
  <c r="P48" i="15"/>
  <c r="L48" i="15"/>
  <c r="N48" i="15" s="1"/>
  <c r="H48" i="15"/>
  <c r="D48" i="15"/>
  <c r="B48" i="15"/>
  <c r="T47" i="15"/>
  <c r="X47" i="15" s="1"/>
  <c r="Z47" i="15" s="1"/>
  <c r="P47" i="15"/>
  <c r="H47" i="15"/>
  <c r="L47" i="15" s="1"/>
  <c r="N47" i="15" s="1"/>
  <c r="D47" i="15"/>
  <c r="B47" i="15"/>
  <c r="T46" i="15"/>
  <c r="P46" i="15"/>
  <c r="X46" i="15" s="1"/>
  <c r="H46" i="15"/>
  <c r="D46" i="15"/>
  <c r="L46" i="15" s="1"/>
  <c r="N46" i="15" s="1"/>
  <c r="B46" i="15"/>
  <c r="Z45" i="15"/>
  <c r="T45" i="15"/>
  <c r="X45" i="15" s="1"/>
  <c r="P45" i="15"/>
  <c r="H45" i="15"/>
  <c r="N45" i="15" s="1"/>
  <c r="D45" i="15"/>
  <c r="B45" i="15"/>
  <c r="X44" i="15"/>
  <c r="T44" i="15"/>
  <c r="Z44" i="15" s="1"/>
  <c r="P44" i="15"/>
  <c r="N44" i="15"/>
  <c r="L44" i="15"/>
  <c r="H44" i="15"/>
  <c r="D44" i="15"/>
  <c r="B44" i="15"/>
  <c r="T43" i="15"/>
  <c r="X43" i="15" s="1"/>
  <c r="Z43" i="15" s="1"/>
  <c r="P43" i="15"/>
  <c r="N43" i="15"/>
  <c r="H43" i="15"/>
  <c r="L43" i="15" s="1"/>
  <c r="D43" i="15"/>
  <c r="B43" i="15"/>
  <c r="T42" i="15"/>
  <c r="Z42" i="15" s="1"/>
  <c r="P42" i="15"/>
  <c r="X42" i="15" s="1"/>
  <c r="N42" i="15"/>
  <c r="H42" i="15"/>
  <c r="D42" i="15"/>
  <c r="L42" i="15" s="1"/>
  <c r="B42" i="15"/>
  <c r="T41" i="15"/>
  <c r="X41" i="15" s="1"/>
  <c r="Z41" i="15" s="1"/>
  <c r="P41" i="15"/>
  <c r="H41" i="15"/>
  <c r="D41" i="15"/>
  <c r="B41" i="15"/>
  <c r="X40" i="15"/>
  <c r="T40" i="15"/>
  <c r="Z40" i="15" s="1"/>
  <c r="P40" i="15"/>
  <c r="L40" i="15"/>
  <c r="N40" i="15" s="1"/>
  <c r="H40" i="15"/>
  <c r="D40" i="15"/>
  <c r="B40" i="15"/>
  <c r="T39" i="15"/>
  <c r="X39" i="15" s="1"/>
  <c r="Z39" i="15" s="1"/>
  <c r="P39" i="15"/>
  <c r="N39" i="15"/>
  <c r="H39" i="15"/>
  <c r="L39" i="15" s="1"/>
  <c r="D39" i="15"/>
  <c r="B39" i="15"/>
  <c r="T38" i="15"/>
  <c r="Z38" i="15" s="1"/>
  <c r="P38" i="15"/>
  <c r="X38" i="15" s="1"/>
  <c r="H38" i="15"/>
  <c r="D38" i="15"/>
  <c r="L38" i="15" s="1"/>
  <c r="N38" i="15" s="1"/>
  <c r="B38" i="15"/>
  <c r="T37" i="15"/>
  <c r="X37" i="15" s="1"/>
  <c r="Z37" i="15" s="1"/>
  <c r="P37" i="15"/>
  <c r="H37" i="15"/>
  <c r="D37" i="15"/>
  <c r="B37" i="15"/>
  <c r="X36" i="15"/>
  <c r="T36" i="15"/>
  <c r="Z36" i="15" s="1"/>
  <c r="P36" i="15"/>
  <c r="L36" i="15"/>
  <c r="N36" i="15" s="1"/>
  <c r="H36" i="15"/>
  <c r="D36" i="15"/>
  <c r="B36" i="15"/>
  <c r="T35" i="15"/>
  <c r="X35" i="15" s="1"/>
  <c r="Z35" i="15" s="1"/>
  <c r="P35" i="15"/>
  <c r="N35" i="15"/>
  <c r="L35" i="15"/>
  <c r="H35" i="15"/>
  <c r="D35" i="15"/>
  <c r="B35" i="15"/>
  <c r="T34" i="15"/>
  <c r="Z34" i="15" s="1"/>
  <c r="P34" i="15"/>
  <c r="X34" i="15" s="1"/>
  <c r="H34" i="15"/>
  <c r="D34" i="15"/>
  <c r="L34" i="15" s="1"/>
  <c r="N34" i="15" s="1"/>
  <c r="B34" i="15"/>
  <c r="T33" i="15"/>
  <c r="X33" i="15" s="1"/>
  <c r="Z33" i="15" s="1"/>
  <c r="P33" i="15"/>
  <c r="H33" i="15"/>
  <c r="D33" i="15"/>
  <c r="B33" i="15"/>
  <c r="X32" i="15"/>
  <c r="T32" i="15"/>
  <c r="Z32" i="15" s="1"/>
  <c r="P32" i="15"/>
  <c r="L32" i="15"/>
  <c r="N32" i="15" s="1"/>
  <c r="H32" i="15"/>
  <c r="D32" i="15"/>
  <c r="B32" i="15"/>
  <c r="T31" i="15"/>
  <c r="X31" i="15" s="1"/>
  <c r="Z31" i="15" s="1"/>
  <c r="P31" i="15"/>
  <c r="N31" i="15"/>
  <c r="L31" i="15"/>
  <c r="H31" i="15"/>
  <c r="D31" i="15"/>
  <c r="B31" i="15"/>
  <c r="T30" i="15"/>
  <c r="Z30" i="15" s="1"/>
  <c r="P30" i="15"/>
  <c r="X30" i="15" s="1"/>
  <c r="H30" i="15"/>
  <c r="D30" i="15"/>
  <c r="L30" i="15" s="1"/>
  <c r="N30" i="15" s="1"/>
  <c r="B30" i="15"/>
  <c r="T29" i="15"/>
  <c r="X29" i="15" s="1"/>
  <c r="Z29" i="15" s="1"/>
  <c r="P29" i="15"/>
  <c r="H29" i="15"/>
  <c r="D29" i="15"/>
  <c r="B29" i="15"/>
  <c r="X28" i="15"/>
  <c r="T28" i="15"/>
  <c r="Z28" i="15" s="1"/>
  <c r="P28" i="15"/>
  <c r="L28" i="15"/>
  <c r="N28" i="15" s="1"/>
  <c r="H28" i="15"/>
  <c r="D28" i="15"/>
  <c r="B28" i="15"/>
  <c r="T27" i="15"/>
  <c r="X27" i="15" s="1"/>
  <c r="Z27" i="15" s="1"/>
  <c r="P27" i="15"/>
  <c r="N27" i="15"/>
  <c r="L27" i="15"/>
  <c r="H27" i="15"/>
  <c r="D27" i="15"/>
  <c r="B27" i="15"/>
  <c r="T26" i="15"/>
  <c r="Z26" i="15" s="1"/>
  <c r="P26" i="15"/>
  <c r="X26" i="15" s="1"/>
  <c r="H26" i="15"/>
  <c r="D26" i="15"/>
  <c r="L26" i="15" s="1"/>
  <c r="N26" i="15" s="1"/>
  <c r="B26" i="15"/>
  <c r="T25" i="15"/>
  <c r="X25" i="15" s="1"/>
  <c r="Z25" i="15" s="1"/>
  <c r="P25" i="15"/>
  <c r="H25" i="15"/>
  <c r="D25" i="15"/>
  <c r="B25" i="15"/>
  <c r="X24" i="15"/>
  <c r="T24" i="15"/>
  <c r="Z24" i="15" s="1"/>
  <c r="P24" i="15"/>
  <c r="L24" i="15"/>
  <c r="N24" i="15" s="1"/>
  <c r="H24" i="15"/>
  <c r="D24" i="15"/>
  <c r="B24" i="15"/>
  <c r="T23" i="15"/>
  <c r="X23" i="15" s="1"/>
  <c r="Z23" i="15" s="1"/>
  <c r="P23" i="15"/>
  <c r="N23" i="15"/>
  <c r="L23" i="15"/>
  <c r="H23" i="15"/>
  <c r="D23" i="15"/>
  <c r="B23" i="15"/>
  <c r="T22" i="15"/>
  <c r="Z22" i="15" s="1"/>
  <c r="P22" i="15"/>
  <c r="X22" i="15" s="1"/>
  <c r="H22" i="15"/>
  <c r="D22" i="15"/>
  <c r="L22" i="15" s="1"/>
  <c r="N22" i="15" s="1"/>
  <c r="B22" i="15"/>
  <c r="T21" i="15"/>
  <c r="P21" i="15"/>
  <c r="H21" i="15"/>
  <c r="D21" i="15"/>
  <c r="B21" i="15"/>
  <c r="X20" i="15"/>
  <c r="T20" i="15"/>
  <c r="Z20" i="15" s="1"/>
  <c r="P20" i="15"/>
  <c r="L20" i="15"/>
  <c r="N20" i="15" s="1"/>
  <c r="H20" i="15"/>
  <c r="D20" i="15"/>
  <c r="B20" i="15"/>
  <c r="T19" i="15"/>
  <c r="X19" i="15" s="1"/>
  <c r="Z19" i="15" s="1"/>
  <c r="P19" i="15"/>
  <c r="N19" i="15"/>
  <c r="L19" i="15"/>
  <c r="H19" i="15"/>
  <c r="D19" i="15"/>
  <c r="B19" i="15"/>
  <c r="T18" i="15"/>
  <c r="Z18" i="15" s="1"/>
  <c r="P18" i="15"/>
  <c r="X18" i="15" s="1"/>
  <c r="H18" i="15"/>
  <c r="D18" i="15"/>
  <c r="L18" i="15" s="1"/>
  <c r="N18" i="15" s="1"/>
  <c r="B18" i="15"/>
  <c r="T17" i="15"/>
  <c r="P17" i="15"/>
  <c r="H17" i="15"/>
  <c r="N17" i="15" s="1"/>
  <c r="D17" i="15"/>
  <c r="B17" i="15"/>
  <c r="X16" i="15"/>
  <c r="T16" i="15"/>
  <c r="Z16" i="15" s="1"/>
  <c r="P16" i="15"/>
  <c r="L16" i="15"/>
  <c r="N16" i="15" s="1"/>
  <c r="H16" i="15"/>
  <c r="D16" i="15"/>
  <c r="B16" i="15"/>
  <c r="T15" i="15"/>
  <c r="X15" i="15" s="1"/>
  <c r="Z15" i="15" s="1"/>
  <c r="P15" i="15"/>
  <c r="N15" i="15"/>
  <c r="L15" i="15"/>
  <c r="H15" i="15"/>
  <c r="D15" i="15"/>
  <c r="B15" i="15"/>
  <c r="T14" i="15"/>
  <c r="P14" i="15"/>
  <c r="P12" i="15" s="1"/>
  <c r="H14" i="15"/>
  <c r="D14" i="15"/>
  <c r="L14" i="15" s="1"/>
  <c r="N14" i="15" s="1"/>
  <c r="B14" i="15"/>
  <c r="T13" i="15"/>
  <c r="P13" i="15"/>
  <c r="H13" i="15"/>
  <c r="H12" i="15" s="1"/>
  <c r="J239" i="15" s="1"/>
  <c r="D13" i="15"/>
  <c r="D12" i="15" s="1"/>
  <c r="F168" i="15" s="1"/>
  <c r="B13" i="15"/>
  <c r="T12" i="15"/>
  <c r="D4" i="15"/>
  <c r="Z316" i="12"/>
  <c r="X316" i="12"/>
  <c r="N316" i="12"/>
  <c r="L316" i="12"/>
  <c r="X312" i="12"/>
  <c r="T312" i="12"/>
  <c r="Z312" i="12" s="1"/>
  <c r="P312" i="12"/>
  <c r="N312" i="12"/>
  <c r="L312" i="12"/>
  <c r="H312" i="12"/>
  <c r="D312" i="12"/>
  <c r="B312" i="12"/>
  <c r="T311" i="12"/>
  <c r="P311" i="12"/>
  <c r="N311" i="12"/>
  <c r="H311" i="12"/>
  <c r="L311" i="12" s="1"/>
  <c r="D311" i="12"/>
  <c r="B311" i="12"/>
  <c r="T310" i="12"/>
  <c r="P310" i="12"/>
  <c r="X310" i="12" s="1"/>
  <c r="Z310" i="12" s="1"/>
  <c r="N310" i="12"/>
  <c r="H310" i="12"/>
  <c r="D310" i="12"/>
  <c r="L310" i="12" s="1"/>
  <c r="B310" i="12"/>
  <c r="T309" i="12"/>
  <c r="P309" i="12"/>
  <c r="H309" i="12"/>
  <c r="D309" i="12"/>
  <c r="L309" i="12" s="1"/>
  <c r="N309" i="12" s="1"/>
  <c r="B309" i="12"/>
  <c r="T308" i="12"/>
  <c r="Z308" i="12" s="1"/>
  <c r="P308" i="12"/>
  <c r="X308" i="12" s="1"/>
  <c r="H308" i="12"/>
  <c r="N308" i="12" s="1"/>
  <c r="D308" i="12"/>
  <c r="L308" i="12" s="1"/>
  <c r="B308" i="12"/>
  <c r="X307" i="12"/>
  <c r="T307" i="12"/>
  <c r="P307" i="12"/>
  <c r="H307" i="12"/>
  <c r="D307" i="12"/>
  <c r="L307" i="12" s="1"/>
  <c r="B307" i="12"/>
  <c r="Z306" i="12"/>
  <c r="X306" i="12"/>
  <c r="T306" i="12"/>
  <c r="P306" i="12"/>
  <c r="L306" i="12"/>
  <c r="H306" i="12"/>
  <c r="N306" i="12" s="1"/>
  <c r="D306" i="12"/>
  <c r="B306" i="12"/>
  <c r="T305" i="12"/>
  <c r="X305" i="12" s="1"/>
  <c r="Z305" i="12" s="1"/>
  <c r="P305" i="12"/>
  <c r="N305" i="12"/>
  <c r="H305" i="12"/>
  <c r="D305" i="12"/>
  <c r="L305" i="12" s="1"/>
  <c r="B305" i="12"/>
  <c r="T304" i="12"/>
  <c r="P304" i="12"/>
  <c r="X304" i="12" s="1"/>
  <c r="Z304" i="12" s="1"/>
  <c r="H304" i="12"/>
  <c r="D304" i="12"/>
  <c r="B304" i="12"/>
  <c r="H303" i="12"/>
  <c r="X301" i="12"/>
  <c r="Z301" i="12" s="1"/>
  <c r="L301" i="12"/>
  <c r="N301" i="12" s="1"/>
  <c r="B301" i="12"/>
  <c r="Z300" i="12"/>
  <c r="X300" i="12"/>
  <c r="T300" i="12"/>
  <c r="P300" i="12"/>
  <c r="L300" i="12"/>
  <c r="H300" i="12"/>
  <c r="N300" i="12" s="1"/>
  <c r="D300" i="12"/>
  <c r="B300" i="12"/>
  <c r="Z299" i="12"/>
  <c r="X299" i="12"/>
  <c r="L299" i="12"/>
  <c r="N299" i="12" s="1"/>
  <c r="B299" i="12"/>
  <c r="Z298" i="12"/>
  <c r="X298" i="12"/>
  <c r="N298" i="12"/>
  <c r="L298" i="12"/>
  <c r="B298" i="12"/>
  <c r="X297" i="12"/>
  <c r="Z297" i="12" s="1"/>
  <c r="L297" i="12"/>
  <c r="N297" i="12" s="1"/>
  <c r="B297" i="12"/>
  <c r="T296" i="12"/>
  <c r="P296" i="12"/>
  <c r="X296" i="12" s="1"/>
  <c r="H296" i="12"/>
  <c r="D296" i="12"/>
  <c r="L296" i="12" s="1"/>
  <c r="B296" i="12"/>
  <c r="X295" i="12"/>
  <c r="Z295" i="12" s="1"/>
  <c r="L295" i="12"/>
  <c r="N295" i="12" s="1"/>
  <c r="B295" i="12"/>
  <c r="T294" i="12"/>
  <c r="P294" i="12"/>
  <c r="X294" i="12" s="1"/>
  <c r="Z294" i="12" s="1"/>
  <c r="N294" i="12"/>
  <c r="H294" i="12"/>
  <c r="D294" i="12"/>
  <c r="L294" i="12" s="1"/>
  <c r="B294" i="12"/>
  <c r="X293" i="12"/>
  <c r="Z293" i="12" s="1"/>
  <c r="L293" i="12"/>
  <c r="N293" i="12" s="1"/>
  <c r="B293" i="12"/>
  <c r="Z292" i="12"/>
  <c r="X292" i="12"/>
  <c r="N292" i="12"/>
  <c r="L292" i="12"/>
  <c r="B292" i="12"/>
  <c r="T291" i="12"/>
  <c r="P291" i="12"/>
  <c r="H291" i="12"/>
  <c r="D291" i="12"/>
  <c r="L291" i="12" s="1"/>
  <c r="N291" i="12" s="1"/>
  <c r="B291" i="12"/>
  <c r="Z290" i="12"/>
  <c r="X290" i="12"/>
  <c r="N290" i="12"/>
  <c r="L290" i="12"/>
  <c r="B290" i="12"/>
  <c r="X289" i="12"/>
  <c r="Z289" i="12" s="1"/>
  <c r="L289" i="12"/>
  <c r="N289" i="12" s="1"/>
  <c r="B289" i="12"/>
  <c r="Z288" i="12"/>
  <c r="X288" i="12"/>
  <c r="N288" i="12"/>
  <c r="L288" i="12"/>
  <c r="B288" i="12"/>
  <c r="Z287" i="12"/>
  <c r="X287" i="12"/>
  <c r="L287" i="12"/>
  <c r="N287" i="12" s="1"/>
  <c r="B287" i="12"/>
  <c r="Z286" i="12"/>
  <c r="X286" i="12"/>
  <c r="N286" i="12"/>
  <c r="L286" i="12"/>
  <c r="B286" i="12"/>
  <c r="X285" i="12"/>
  <c r="Z285" i="12" s="1"/>
  <c r="N285" i="12"/>
  <c r="L285" i="12"/>
  <c r="B285" i="12"/>
  <c r="Z284" i="12"/>
  <c r="X284" i="12"/>
  <c r="N284" i="12"/>
  <c r="L284" i="12"/>
  <c r="B284" i="12"/>
  <c r="Z283" i="12"/>
  <c r="X283" i="12"/>
  <c r="N283" i="12"/>
  <c r="L283" i="12"/>
  <c r="B283" i="12"/>
  <c r="Z282" i="12"/>
  <c r="X282" i="12"/>
  <c r="N282" i="12"/>
  <c r="L282" i="12"/>
  <c r="B282" i="12"/>
  <c r="X281" i="12"/>
  <c r="Z281" i="12" s="1"/>
  <c r="T281" i="12"/>
  <c r="P281" i="12"/>
  <c r="H281" i="12"/>
  <c r="L281" i="12" s="1"/>
  <c r="N281" i="12" s="1"/>
  <c r="D281" i="12"/>
  <c r="B281" i="12"/>
  <c r="Z280" i="12"/>
  <c r="X280" i="12"/>
  <c r="N280" i="12"/>
  <c r="L280" i="12"/>
  <c r="B280" i="12"/>
  <c r="X279" i="12"/>
  <c r="Z279" i="12" s="1"/>
  <c r="L279" i="12"/>
  <c r="N279" i="12" s="1"/>
  <c r="B279" i="12"/>
  <c r="T278" i="12"/>
  <c r="P278" i="12"/>
  <c r="X278" i="12" s="1"/>
  <c r="Z278" i="12" s="1"/>
  <c r="H278" i="12"/>
  <c r="D278" i="12"/>
  <c r="L278" i="12" s="1"/>
  <c r="N278" i="12" s="1"/>
  <c r="B278" i="12"/>
  <c r="X277" i="12"/>
  <c r="Z277" i="12" s="1"/>
  <c r="L277" i="12"/>
  <c r="N277" i="12" s="1"/>
  <c r="B277" i="12"/>
  <c r="Z276" i="12"/>
  <c r="X276" i="12"/>
  <c r="N276" i="12"/>
  <c r="L276" i="12"/>
  <c r="B276" i="12"/>
  <c r="X275" i="12"/>
  <c r="Z275" i="12" s="1"/>
  <c r="N275" i="12"/>
  <c r="L275" i="12"/>
  <c r="B275" i="12"/>
  <c r="X274" i="12"/>
  <c r="Z274" i="12" s="1"/>
  <c r="N274" i="12"/>
  <c r="L274" i="12"/>
  <c r="B274" i="12"/>
  <c r="X273" i="12"/>
  <c r="Z273" i="12" s="1"/>
  <c r="L273" i="12"/>
  <c r="N273" i="12" s="1"/>
  <c r="B273" i="12"/>
  <c r="Z272" i="12"/>
  <c r="X272" i="12"/>
  <c r="T272" i="12"/>
  <c r="P272" i="12"/>
  <c r="L272" i="12"/>
  <c r="N272" i="12" s="1"/>
  <c r="H272" i="12"/>
  <c r="D272" i="12"/>
  <c r="B272" i="12"/>
  <c r="Z271" i="12"/>
  <c r="X271" i="12"/>
  <c r="L271" i="12"/>
  <c r="N271" i="12" s="1"/>
  <c r="B271" i="12"/>
  <c r="Z270" i="12"/>
  <c r="X270" i="12"/>
  <c r="N270" i="12"/>
  <c r="L270" i="12"/>
  <c r="B270" i="12"/>
  <c r="X269" i="12"/>
  <c r="Z269" i="12" s="1"/>
  <c r="N269" i="12"/>
  <c r="L269" i="12"/>
  <c r="B269" i="12"/>
  <c r="T268" i="12"/>
  <c r="P268" i="12"/>
  <c r="X268" i="12" s="1"/>
  <c r="H268" i="12"/>
  <c r="N268" i="12" s="1"/>
  <c r="D268" i="12"/>
  <c r="L268" i="12" s="1"/>
  <c r="B268" i="12"/>
  <c r="X267" i="12"/>
  <c r="Z267" i="12" s="1"/>
  <c r="L267" i="12"/>
  <c r="N267" i="12" s="1"/>
  <c r="B267" i="12"/>
  <c r="Z266" i="12"/>
  <c r="X266" i="12"/>
  <c r="L266" i="12"/>
  <c r="N266" i="12" s="1"/>
  <c r="B266" i="12"/>
  <c r="X265" i="12"/>
  <c r="Z265" i="12" s="1"/>
  <c r="N265" i="12"/>
  <c r="L265" i="12"/>
  <c r="B265" i="12"/>
  <c r="Z264" i="12"/>
  <c r="X264" i="12"/>
  <c r="N264" i="12"/>
  <c r="L264" i="12"/>
  <c r="B264" i="12"/>
  <c r="T263" i="12"/>
  <c r="P263" i="12"/>
  <c r="X263" i="12" s="1"/>
  <c r="L263" i="12"/>
  <c r="H263" i="12"/>
  <c r="D263" i="12"/>
  <c r="B263" i="12"/>
  <c r="X262" i="12"/>
  <c r="Z262" i="12" s="1"/>
  <c r="N262" i="12"/>
  <c r="L262" i="12"/>
  <c r="B262" i="12"/>
  <c r="T261" i="12"/>
  <c r="P261" i="12"/>
  <c r="X261" i="12" s="1"/>
  <c r="H261" i="12"/>
  <c r="D261" i="12"/>
  <c r="B261" i="12"/>
  <c r="Z260" i="12"/>
  <c r="X260" i="12"/>
  <c r="N260" i="12"/>
  <c r="L260" i="12"/>
  <c r="B260" i="12"/>
  <c r="T259" i="12"/>
  <c r="X259" i="12" s="1"/>
  <c r="Z259" i="12" s="1"/>
  <c r="P259" i="12"/>
  <c r="N259" i="12"/>
  <c r="L259" i="12"/>
  <c r="H259" i="12"/>
  <c r="D259" i="12"/>
  <c r="B259" i="12"/>
  <c r="Z258" i="12"/>
  <c r="X258" i="12"/>
  <c r="L258" i="12"/>
  <c r="N258" i="12" s="1"/>
  <c r="B258" i="12"/>
  <c r="X257" i="12"/>
  <c r="Z257" i="12" s="1"/>
  <c r="L257" i="12"/>
  <c r="N257" i="12" s="1"/>
  <c r="B257" i="12"/>
  <c r="Z256" i="12"/>
  <c r="X256" i="12"/>
  <c r="N256" i="12"/>
  <c r="L256" i="12"/>
  <c r="B256" i="12"/>
  <c r="X255" i="12"/>
  <c r="Z255" i="12" s="1"/>
  <c r="L255" i="12"/>
  <c r="N255" i="12" s="1"/>
  <c r="B255" i="12"/>
  <c r="Z254" i="12"/>
  <c r="X254" i="12"/>
  <c r="L254" i="12"/>
  <c r="N254" i="12" s="1"/>
  <c r="B254" i="12"/>
  <c r="X253" i="12"/>
  <c r="Z253" i="12" s="1"/>
  <c r="L253" i="12"/>
  <c r="N253" i="12" s="1"/>
  <c r="B253" i="12"/>
  <c r="Z252" i="12"/>
  <c r="X252" i="12"/>
  <c r="N252" i="12"/>
  <c r="L252" i="12"/>
  <c r="B252" i="12"/>
  <c r="X251" i="12"/>
  <c r="Z251" i="12" s="1"/>
  <c r="L251" i="12"/>
  <c r="N251" i="12" s="1"/>
  <c r="B251" i="12"/>
  <c r="Z250" i="12"/>
  <c r="X250" i="12"/>
  <c r="L250" i="12"/>
  <c r="N250" i="12" s="1"/>
  <c r="B250" i="12"/>
  <c r="X249" i="12"/>
  <c r="Z249" i="12" s="1"/>
  <c r="L249" i="12"/>
  <c r="N249" i="12" s="1"/>
  <c r="B249" i="12"/>
  <c r="Z248" i="12"/>
  <c r="X248" i="12"/>
  <c r="N248" i="12"/>
  <c r="L248" i="12"/>
  <c r="B248" i="12"/>
  <c r="X247" i="12"/>
  <c r="Z247" i="12" s="1"/>
  <c r="L247" i="12"/>
  <c r="N247" i="12" s="1"/>
  <c r="B247" i="12"/>
  <c r="Z246" i="12"/>
  <c r="X246" i="12"/>
  <c r="L246" i="12"/>
  <c r="N246" i="12" s="1"/>
  <c r="B246" i="12"/>
  <c r="X245" i="12"/>
  <c r="Z245" i="12" s="1"/>
  <c r="L245" i="12"/>
  <c r="N245" i="12" s="1"/>
  <c r="B245" i="12"/>
  <c r="Z244" i="12"/>
  <c r="X244" i="12"/>
  <c r="N244" i="12"/>
  <c r="L244" i="12"/>
  <c r="B244" i="12"/>
  <c r="X243" i="12"/>
  <c r="Z243" i="12" s="1"/>
  <c r="L243" i="12"/>
  <c r="N243" i="12" s="1"/>
  <c r="B243" i="12"/>
  <c r="Z242" i="12"/>
  <c r="X242" i="12"/>
  <c r="L242" i="12"/>
  <c r="N242" i="12" s="1"/>
  <c r="B242" i="12"/>
  <c r="X241" i="12"/>
  <c r="Z241" i="12" s="1"/>
  <c r="L241" i="12"/>
  <c r="N241" i="12" s="1"/>
  <c r="B241" i="12"/>
  <c r="Z240" i="12"/>
  <c r="X240" i="12"/>
  <c r="N240" i="12"/>
  <c r="L240" i="12"/>
  <c r="B240" i="12"/>
  <c r="X239" i="12"/>
  <c r="Z239" i="12" s="1"/>
  <c r="L239" i="12"/>
  <c r="N239" i="12" s="1"/>
  <c r="B239" i="12"/>
  <c r="Z238" i="12"/>
  <c r="X238" i="12"/>
  <c r="L238" i="12"/>
  <c r="N238" i="12" s="1"/>
  <c r="B238" i="12"/>
  <c r="X237" i="12"/>
  <c r="Z237" i="12" s="1"/>
  <c r="L237" i="12"/>
  <c r="N237" i="12" s="1"/>
  <c r="B237" i="12"/>
  <c r="Z236" i="12"/>
  <c r="X236" i="12"/>
  <c r="N236" i="12"/>
  <c r="L236" i="12"/>
  <c r="B236" i="12"/>
  <c r="X235" i="12"/>
  <c r="Z235" i="12" s="1"/>
  <c r="L235" i="12"/>
  <c r="N235" i="12" s="1"/>
  <c r="B235" i="12"/>
  <c r="Z234" i="12"/>
  <c r="X234" i="12"/>
  <c r="L234" i="12"/>
  <c r="N234" i="12" s="1"/>
  <c r="B234" i="12"/>
  <c r="X233" i="12"/>
  <c r="Z233" i="12" s="1"/>
  <c r="L233" i="12"/>
  <c r="N233" i="12" s="1"/>
  <c r="B233" i="12"/>
  <c r="Z232" i="12"/>
  <c r="X232" i="12"/>
  <c r="N232" i="12"/>
  <c r="L232" i="12"/>
  <c r="B232" i="12"/>
  <c r="X231" i="12"/>
  <c r="Z231" i="12" s="1"/>
  <c r="L231" i="12"/>
  <c r="N231" i="12" s="1"/>
  <c r="B231" i="12"/>
  <c r="Z230" i="12"/>
  <c r="X230" i="12"/>
  <c r="L230" i="12"/>
  <c r="N230" i="12" s="1"/>
  <c r="B230" i="12"/>
  <c r="X229" i="12"/>
  <c r="Z229" i="12" s="1"/>
  <c r="L229" i="12"/>
  <c r="N229" i="12" s="1"/>
  <c r="B229" i="12"/>
  <c r="Z228" i="12"/>
  <c r="X228" i="12"/>
  <c r="N228" i="12"/>
  <c r="L228" i="12"/>
  <c r="B228" i="12"/>
  <c r="X227" i="12"/>
  <c r="Z227" i="12" s="1"/>
  <c r="L227" i="12"/>
  <c r="N227" i="12" s="1"/>
  <c r="B227" i="12"/>
  <c r="Z226" i="12"/>
  <c r="X226" i="12"/>
  <c r="L226" i="12"/>
  <c r="N226" i="12" s="1"/>
  <c r="B226" i="12"/>
  <c r="Z225" i="12"/>
  <c r="X225" i="12"/>
  <c r="L225" i="12"/>
  <c r="N225" i="12" s="1"/>
  <c r="B225" i="12"/>
  <c r="Z224" i="12"/>
  <c r="T224" i="12"/>
  <c r="P224" i="12"/>
  <c r="X224" i="12" s="1"/>
  <c r="H224" i="12"/>
  <c r="D224" i="12"/>
  <c r="L224" i="12" s="1"/>
  <c r="N224" i="12" s="1"/>
  <c r="B224" i="12"/>
  <c r="X223" i="12"/>
  <c r="Z223" i="12" s="1"/>
  <c r="N223" i="12"/>
  <c r="L223" i="12"/>
  <c r="B223" i="12"/>
  <c r="X222" i="12"/>
  <c r="Z222" i="12" s="1"/>
  <c r="T222" i="12"/>
  <c r="P222" i="12"/>
  <c r="N222" i="12"/>
  <c r="L222" i="12"/>
  <c r="H222" i="12"/>
  <c r="D222" i="12"/>
  <c r="B222" i="12"/>
  <c r="X221" i="12"/>
  <c r="Z221" i="12" s="1"/>
  <c r="L221" i="12"/>
  <c r="N221" i="12" s="1"/>
  <c r="B221" i="12"/>
  <c r="T220" i="12"/>
  <c r="Z220" i="12" s="1"/>
  <c r="P220" i="12"/>
  <c r="X220" i="12" s="1"/>
  <c r="H220" i="12"/>
  <c r="N220" i="12" s="1"/>
  <c r="D220" i="12"/>
  <c r="L220" i="12" s="1"/>
  <c r="B220" i="12"/>
  <c r="X219" i="12"/>
  <c r="Z219" i="12" s="1"/>
  <c r="L219" i="12"/>
  <c r="N219" i="12" s="1"/>
  <c r="B219" i="12"/>
  <c r="T218" i="12"/>
  <c r="P218" i="12"/>
  <c r="X218" i="12" s="1"/>
  <c r="Z218" i="12" s="1"/>
  <c r="N218" i="12"/>
  <c r="H218" i="12"/>
  <c r="D218" i="12"/>
  <c r="L218" i="12" s="1"/>
  <c r="B218" i="12"/>
  <c r="X217" i="12"/>
  <c r="Z217" i="12" s="1"/>
  <c r="L217" i="12"/>
  <c r="N217" i="12" s="1"/>
  <c r="B217" i="12"/>
  <c r="X216" i="12"/>
  <c r="Z216" i="12" s="1"/>
  <c r="N216" i="12"/>
  <c r="L216" i="12"/>
  <c r="B216" i="12"/>
  <c r="T215" i="12"/>
  <c r="P215" i="12"/>
  <c r="H215" i="12"/>
  <c r="D215" i="12"/>
  <c r="L215" i="12" s="1"/>
  <c r="N215" i="12" s="1"/>
  <c r="B215" i="12"/>
  <c r="Z214" i="12"/>
  <c r="X214" i="12"/>
  <c r="V214" i="12"/>
  <c r="N214" i="12"/>
  <c r="L214" i="12"/>
  <c r="B214" i="12"/>
  <c r="T213" i="12"/>
  <c r="P213" i="12"/>
  <c r="X213" i="12" s="1"/>
  <c r="Z213" i="12" s="1"/>
  <c r="N213" i="12"/>
  <c r="H213" i="12"/>
  <c r="L213" i="12" s="1"/>
  <c r="D213" i="12"/>
  <c r="B213" i="12"/>
  <c r="Z212" i="12"/>
  <c r="X212" i="12"/>
  <c r="L212" i="12"/>
  <c r="N212" i="12" s="1"/>
  <c r="B212" i="12"/>
  <c r="T211" i="12"/>
  <c r="P211" i="12"/>
  <c r="L211" i="12"/>
  <c r="H211" i="12"/>
  <c r="D211" i="12"/>
  <c r="B211" i="12"/>
  <c r="X210" i="12"/>
  <c r="Z210" i="12" s="1"/>
  <c r="N210" i="12"/>
  <c r="L210" i="12"/>
  <c r="B210" i="12"/>
  <c r="T209" i="12"/>
  <c r="P209" i="12"/>
  <c r="X209" i="12" s="1"/>
  <c r="Z209" i="12" s="1"/>
  <c r="H209" i="12"/>
  <c r="D209" i="12"/>
  <c r="B209" i="12"/>
  <c r="Z208" i="12"/>
  <c r="X208" i="12"/>
  <c r="N208" i="12"/>
  <c r="L208" i="12"/>
  <c r="B208" i="12"/>
  <c r="Z207" i="12"/>
  <c r="X207" i="12"/>
  <c r="L207" i="12"/>
  <c r="N207" i="12" s="1"/>
  <c r="B207" i="12"/>
  <c r="T206" i="12"/>
  <c r="P206" i="12"/>
  <c r="H206" i="12"/>
  <c r="N206" i="12" s="1"/>
  <c r="D206" i="12"/>
  <c r="L206" i="12" s="1"/>
  <c r="B206" i="12"/>
  <c r="X205" i="12"/>
  <c r="Z205" i="12" s="1"/>
  <c r="L205" i="12"/>
  <c r="N205" i="12" s="1"/>
  <c r="B205" i="12"/>
  <c r="Z204" i="12"/>
  <c r="X204" i="12"/>
  <c r="N204" i="12"/>
  <c r="L204" i="12"/>
  <c r="B204" i="12"/>
  <c r="T203" i="12"/>
  <c r="P203" i="12"/>
  <c r="L203" i="12"/>
  <c r="H203" i="12"/>
  <c r="N203" i="12" s="1"/>
  <c r="D203" i="12"/>
  <c r="B203" i="12"/>
  <c r="X202" i="12"/>
  <c r="Z202" i="12" s="1"/>
  <c r="N202" i="12"/>
  <c r="L202" i="12"/>
  <c r="B202" i="12"/>
  <c r="T201" i="12"/>
  <c r="P201" i="12"/>
  <c r="X201" i="12" s="1"/>
  <c r="Z201" i="12" s="1"/>
  <c r="H201" i="12"/>
  <c r="D201" i="12"/>
  <c r="B201" i="12"/>
  <c r="Z200" i="12"/>
  <c r="X200" i="12"/>
  <c r="N200" i="12"/>
  <c r="L200" i="12"/>
  <c r="B200" i="12"/>
  <c r="Z199" i="12"/>
  <c r="X199" i="12"/>
  <c r="L199" i="12"/>
  <c r="N199" i="12" s="1"/>
  <c r="B199" i="12"/>
  <c r="T198" i="12"/>
  <c r="P198" i="12"/>
  <c r="H198" i="12"/>
  <c r="D198" i="12"/>
  <c r="L198" i="12" s="1"/>
  <c r="B198" i="12"/>
  <c r="X197" i="12"/>
  <c r="Z197" i="12" s="1"/>
  <c r="L197" i="12"/>
  <c r="N197" i="12" s="1"/>
  <c r="B197" i="12"/>
  <c r="T196" i="12"/>
  <c r="P196" i="12"/>
  <c r="X196" i="12" s="1"/>
  <c r="Z196" i="12" s="1"/>
  <c r="H196" i="12"/>
  <c r="D196" i="12"/>
  <c r="L196" i="12" s="1"/>
  <c r="N196" i="12" s="1"/>
  <c r="B196" i="12"/>
  <c r="X195" i="12"/>
  <c r="Z195" i="12" s="1"/>
  <c r="N195" i="12"/>
  <c r="L195" i="12"/>
  <c r="B195" i="12"/>
  <c r="X194" i="12"/>
  <c r="Z194" i="12" s="1"/>
  <c r="N194" i="12"/>
  <c r="L194" i="12"/>
  <c r="B194" i="12"/>
  <c r="X193" i="12"/>
  <c r="Z193" i="12" s="1"/>
  <c r="N193" i="12"/>
  <c r="L193" i="12"/>
  <c r="B193" i="12"/>
  <c r="Z192" i="12"/>
  <c r="X192" i="12"/>
  <c r="N192" i="12"/>
  <c r="L192" i="12"/>
  <c r="B192" i="12"/>
  <c r="X191" i="12"/>
  <c r="Z191" i="12" s="1"/>
  <c r="N191" i="12"/>
  <c r="L191" i="12"/>
  <c r="B191" i="12"/>
  <c r="X190" i="12"/>
  <c r="Z190" i="12" s="1"/>
  <c r="N190" i="12"/>
  <c r="L190" i="12"/>
  <c r="B190" i="12"/>
  <c r="X189" i="12"/>
  <c r="Z189" i="12" s="1"/>
  <c r="N189" i="12"/>
  <c r="L189" i="12"/>
  <c r="B189" i="12"/>
  <c r="X188" i="12"/>
  <c r="Z188" i="12" s="1"/>
  <c r="T188" i="12"/>
  <c r="P188" i="12"/>
  <c r="L188" i="12"/>
  <c r="N188" i="12" s="1"/>
  <c r="H188" i="12"/>
  <c r="D188" i="12"/>
  <c r="B188" i="12"/>
  <c r="Z187" i="12"/>
  <c r="X187" i="12"/>
  <c r="L187" i="12"/>
  <c r="N187" i="12" s="1"/>
  <c r="B187" i="12"/>
  <c r="Z186" i="12"/>
  <c r="X186" i="12"/>
  <c r="N186" i="12"/>
  <c r="L186" i="12"/>
  <c r="B186" i="12"/>
  <c r="Z185" i="12"/>
  <c r="X185" i="12"/>
  <c r="L185" i="12"/>
  <c r="N185" i="12" s="1"/>
  <c r="B185" i="12"/>
  <c r="Z184" i="12"/>
  <c r="X184" i="12"/>
  <c r="N184" i="12"/>
  <c r="L184" i="12"/>
  <c r="B184" i="12"/>
  <c r="Z183" i="12"/>
  <c r="X183" i="12"/>
  <c r="N183" i="12"/>
  <c r="L183" i="12"/>
  <c r="B183" i="12"/>
  <c r="Z182" i="12"/>
  <c r="X182" i="12"/>
  <c r="N182" i="12"/>
  <c r="L182" i="12"/>
  <c r="B182" i="12"/>
  <c r="Z181" i="12"/>
  <c r="X181" i="12"/>
  <c r="L181" i="12"/>
  <c r="N181" i="12" s="1"/>
  <c r="B181" i="12"/>
  <c r="Z180" i="12"/>
  <c r="X180" i="12"/>
  <c r="N180" i="12"/>
  <c r="L180" i="12"/>
  <c r="B180" i="12"/>
  <c r="Z179" i="12"/>
  <c r="X179" i="12"/>
  <c r="L179" i="12"/>
  <c r="N179" i="12" s="1"/>
  <c r="B179" i="12"/>
  <c r="T178" i="12"/>
  <c r="P178" i="12"/>
  <c r="X178" i="12" s="1"/>
  <c r="H178" i="12"/>
  <c r="D178" i="12"/>
  <c r="B178" i="12"/>
  <c r="T177" i="12"/>
  <c r="P177" i="12"/>
  <c r="X177" i="12" s="1"/>
  <c r="H177" i="12"/>
  <c r="D177" i="12"/>
  <c r="X173" i="12"/>
  <c r="Z173" i="12" s="1"/>
  <c r="L173" i="12"/>
  <c r="N173" i="12" s="1"/>
  <c r="B173" i="12"/>
  <c r="Z172" i="12"/>
  <c r="X172" i="12"/>
  <c r="N172" i="12"/>
  <c r="L172" i="12"/>
  <c r="B172" i="12"/>
  <c r="X171" i="12"/>
  <c r="Z171" i="12" s="1"/>
  <c r="N171" i="12"/>
  <c r="L171" i="12"/>
  <c r="B171" i="12"/>
  <c r="Z170" i="12"/>
  <c r="X170" i="12"/>
  <c r="N170" i="12"/>
  <c r="L170" i="12"/>
  <c r="B170" i="12"/>
  <c r="X169" i="12"/>
  <c r="Z169" i="12" s="1"/>
  <c r="L169" i="12"/>
  <c r="N169" i="12" s="1"/>
  <c r="B169" i="12"/>
  <c r="Z168" i="12"/>
  <c r="X168" i="12"/>
  <c r="N168" i="12"/>
  <c r="L168" i="12"/>
  <c r="B168" i="12"/>
  <c r="X167" i="12"/>
  <c r="Z167" i="12" s="1"/>
  <c r="L167" i="12"/>
  <c r="N167" i="12" s="1"/>
  <c r="B167" i="12"/>
  <c r="Z166" i="12"/>
  <c r="X166" i="12"/>
  <c r="L166" i="12"/>
  <c r="N166" i="12" s="1"/>
  <c r="B166" i="12"/>
  <c r="X165" i="12"/>
  <c r="Z165" i="12" s="1"/>
  <c r="L165" i="12"/>
  <c r="N165" i="12" s="1"/>
  <c r="B165" i="12"/>
  <c r="Z164" i="12"/>
  <c r="X164" i="12"/>
  <c r="N164" i="12"/>
  <c r="L164" i="12"/>
  <c r="B164" i="12"/>
  <c r="X163" i="12"/>
  <c r="Z163" i="12" s="1"/>
  <c r="N163" i="12"/>
  <c r="L163" i="12"/>
  <c r="B163" i="12"/>
  <c r="Z162" i="12"/>
  <c r="X162" i="12"/>
  <c r="N162" i="12"/>
  <c r="L162" i="12"/>
  <c r="B162" i="12"/>
  <c r="X161" i="12"/>
  <c r="Z161" i="12" s="1"/>
  <c r="V161" i="12"/>
  <c r="N161" i="12"/>
  <c r="L161" i="12"/>
  <c r="B161" i="12"/>
  <c r="Z160" i="12"/>
  <c r="X160" i="12"/>
  <c r="N160" i="12"/>
  <c r="L160" i="12"/>
  <c r="B160" i="12"/>
  <c r="X159" i="12"/>
  <c r="Z159" i="12" s="1"/>
  <c r="L159" i="12"/>
  <c r="N159" i="12" s="1"/>
  <c r="B159" i="12"/>
  <c r="Z158" i="12"/>
  <c r="X158" i="12"/>
  <c r="L158" i="12"/>
  <c r="N158" i="12" s="1"/>
  <c r="B158" i="12"/>
  <c r="X157" i="12"/>
  <c r="Z157" i="12" s="1"/>
  <c r="N157" i="12"/>
  <c r="L157" i="12"/>
  <c r="B157" i="12"/>
  <c r="Z156" i="12"/>
  <c r="X156" i="12"/>
  <c r="L156" i="12"/>
  <c r="N156" i="12" s="1"/>
  <c r="B156" i="12"/>
  <c r="X155" i="12"/>
  <c r="Z155" i="12" s="1"/>
  <c r="L155" i="12"/>
  <c r="N155" i="12" s="1"/>
  <c r="B155" i="12"/>
  <c r="Z154" i="12"/>
  <c r="X154" i="12"/>
  <c r="N154" i="12"/>
  <c r="L154" i="12"/>
  <c r="B154" i="12"/>
  <c r="X153" i="12"/>
  <c r="Z153" i="12" s="1"/>
  <c r="L153" i="12"/>
  <c r="N153" i="12" s="1"/>
  <c r="B153" i="12"/>
  <c r="Z152" i="12"/>
  <c r="X152" i="12"/>
  <c r="N152" i="12"/>
  <c r="L152" i="12"/>
  <c r="B152" i="12"/>
  <c r="X151" i="12"/>
  <c r="Z151" i="12" s="1"/>
  <c r="N151" i="12"/>
  <c r="L151" i="12"/>
  <c r="B151" i="12"/>
  <c r="Z150" i="12"/>
  <c r="X150" i="12"/>
  <c r="N150" i="12"/>
  <c r="L150" i="12"/>
  <c r="B150" i="12"/>
  <c r="X149" i="12"/>
  <c r="Z149" i="12" s="1"/>
  <c r="L149" i="12"/>
  <c r="N149" i="12" s="1"/>
  <c r="B149" i="12"/>
  <c r="Z148" i="12"/>
  <c r="X148" i="12"/>
  <c r="N148" i="12"/>
  <c r="L148" i="12"/>
  <c r="B148" i="12"/>
  <c r="X147" i="12"/>
  <c r="Z147" i="12" s="1"/>
  <c r="L147" i="12"/>
  <c r="N147" i="12" s="1"/>
  <c r="B147" i="12"/>
  <c r="Z146" i="12"/>
  <c r="X146" i="12"/>
  <c r="L146" i="12"/>
  <c r="N146" i="12" s="1"/>
  <c r="B146" i="12"/>
  <c r="X145" i="12"/>
  <c r="Z145" i="12" s="1"/>
  <c r="L145" i="12"/>
  <c r="N145" i="12" s="1"/>
  <c r="B145" i="12"/>
  <c r="Z144" i="12"/>
  <c r="X144" i="12"/>
  <c r="N144" i="12"/>
  <c r="L144" i="12"/>
  <c r="B144" i="12"/>
  <c r="X143" i="12"/>
  <c r="Z143" i="12" s="1"/>
  <c r="L143" i="12"/>
  <c r="N143" i="12" s="1"/>
  <c r="B143" i="12"/>
  <c r="Z142" i="12"/>
  <c r="X142" i="12"/>
  <c r="L142" i="12"/>
  <c r="N142" i="12" s="1"/>
  <c r="B142" i="12"/>
  <c r="X141" i="12"/>
  <c r="Z141" i="12" s="1"/>
  <c r="L141" i="12"/>
  <c r="N141" i="12" s="1"/>
  <c r="B141" i="12"/>
  <c r="Z140" i="12"/>
  <c r="X140" i="12"/>
  <c r="N140" i="12"/>
  <c r="L140" i="12"/>
  <c r="B140" i="12"/>
  <c r="X139" i="12"/>
  <c r="Z139" i="12" s="1"/>
  <c r="N139" i="12"/>
  <c r="L139" i="12"/>
  <c r="B139" i="12"/>
  <c r="Z138" i="12"/>
  <c r="X138" i="12"/>
  <c r="L138" i="12"/>
  <c r="N138" i="12" s="1"/>
  <c r="B138" i="12"/>
  <c r="X137" i="12"/>
  <c r="Z137" i="12" s="1"/>
  <c r="L137" i="12"/>
  <c r="N137" i="12" s="1"/>
  <c r="B137" i="12"/>
  <c r="Z136" i="12"/>
  <c r="X136" i="12"/>
  <c r="N136" i="12"/>
  <c r="L136" i="12"/>
  <c r="B136" i="12"/>
  <c r="X135" i="12"/>
  <c r="Z135" i="12" s="1"/>
  <c r="L135" i="12"/>
  <c r="N135" i="12" s="1"/>
  <c r="B135" i="12"/>
  <c r="Z134" i="12"/>
  <c r="X134" i="12"/>
  <c r="L134" i="12"/>
  <c r="N134" i="12" s="1"/>
  <c r="B134" i="12"/>
  <c r="X133" i="12"/>
  <c r="Z133" i="12" s="1"/>
  <c r="L133" i="12"/>
  <c r="N133" i="12" s="1"/>
  <c r="B133" i="12"/>
  <c r="Z132" i="12"/>
  <c r="X132" i="12"/>
  <c r="V132" i="12"/>
  <c r="N132" i="12"/>
  <c r="L132" i="12"/>
  <c r="B132" i="12"/>
  <c r="X131" i="12"/>
  <c r="Z131" i="12" s="1"/>
  <c r="L131" i="12"/>
  <c r="N131" i="12" s="1"/>
  <c r="B131" i="12"/>
  <c r="Z130" i="12"/>
  <c r="X130" i="12"/>
  <c r="L130" i="12"/>
  <c r="N130" i="12" s="1"/>
  <c r="B130" i="12"/>
  <c r="X129" i="12"/>
  <c r="Z129" i="12" s="1"/>
  <c r="N129" i="12"/>
  <c r="L129" i="12"/>
  <c r="B129" i="12"/>
  <c r="Z128" i="12"/>
  <c r="X128" i="12"/>
  <c r="L128" i="12"/>
  <c r="N128" i="12" s="1"/>
  <c r="B128" i="12"/>
  <c r="X127" i="12"/>
  <c r="Z127" i="12" s="1"/>
  <c r="L127" i="12"/>
  <c r="N127" i="12" s="1"/>
  <c r="B127" i="12"/>
  <c r="Z126" i="12"/>
  <c r="X126" i="12"/>
  <c r="L126" i="12"/>
  <c r="N126" i="12" s="1"/>
  <c r="B126" i="12"/>
  <c r="X125" i="12"/>
  <c r="Z125" i="12" s="1"/>
  <c r="L125" i="12"/>
  <c r="N125" i="12" s="1"/>
  <c r="B125" i="12"/>
  <c r="Z124" i="12"/>
  <c r="X124" i="12"/>
  <c r="L124" i="12"/>
  <c r="N124" i="12" s="1"/>
  <c r="B124" i="12"/>
  <c r="X123" i="12"/>
  <c r="Z123" i="12" s="1"/>
  <c r="L123" i="12"/>
  <c r="N123" i="12" s="1"/>
  <c r="B123" i="12"/>
  <c r="Z122" i="12"/>
  <c r="X122" i="12"/>
  <c r="L122" i="12"/>
  <c r="N122" i="12" s="1"/>
  <c r="B122" i="12"/>
  <c r="X121" i="12"/>
  <c r="Z121" i="12" s="1"/>
  <c r="L121" i="12"/>
  <c r="N121" i="12" s="1"/>
  <c r="B121" i="12"/>
  <c r="T120" i="12"/>
  <c r="P120" i="12"/>
  <c r="X120" i="12" s="1"/>
  <c r="Z120" i="12" s="1"/>
  <c r="N120" i="12"/>
  <c r="H120" i="12"/>
  <c r="D120" i="12"/>
  <c r="L120" i="12" s="1"/>
  <c r="Z118" i="12"/>
  <c r="T118" i="12"/>
  <c r="X118" i="12" s="1"/>
  <c r="P118" i="12"/>
  <c r="L118" i="12"/>
  <c r="H118" i="12"/>
  <c r="N118" i="12" s="1"/>
  <c r="D118" i="12"/>
  <c r="B118" i="12"/>
  <c r="T117" i="12"/>
  <c r="Z117" i="12" s="1"/>
  <c r="P117" i="12"/>
  <c r="N117" i="12"/>
  <c r="L117" i="12"/>
  <c r="H117" i="12"/>
  <c r="D117" i="12"/>
  <c r="B117" i="12"/>
  <c r="T116" i="12"/>
  <c r="P116" i="12"/>
  <c r="H116" i="12"/>
  <c r="D116" i="12"/>
  <c r="B116" i="12"/>
  <c r="T115" i="12"/>
  <c r="P115" i="12"/>
  <c r="X115" i="12" s="1"/>
  <c r="L115" i="12"/>
  <c r="N115" i="12" s="1"/>
  <c r="H115" i="12"/>
  <c r="D115" i="12"/>
  <c r="B115" i="12"/>
  <c r="Z114" i="12"/>
  <c r="T114" i="12"/>
  <c r="X114" i="12" s="1"/>
  <c r="P114" i="12"/>
  <c r="N114" i="12"/>
  <c r="L114" i="12"/>
  <c r="H114" i="12"/>
  <c r="D114" i="12"/>
  <c r="B114" i="12"/>
  <c r="T113" i="12"/>
  <c r="Z113" i="12" s="1"/>
  <c r="P113" i="12"/>
  <c r="X113" i="12" s="1"/>
  <c r="N113" i="12"/>
  <c r="L113" i="12"/>
  <c r="H113" i="12"/>
  <c r="D113" i="12"/>
  <c r="B113" i="12"/>
  <c r="Z112" i="12"/>
  <c r="T112" i="12"/>
  <c r="X112" i="12" s="1"/>
  <c r="P112" i="12"/>
  <c r="H112" i="12"/>
  <c r="N112" i="12" s="1"/>
  <c r="D112" i="12"/>
  <c r="B112" i="12"/>
  <c r="T111" i="12"/>
  <c r="P111" i="12"/>
  <c r="X111" i="12" s="1"/>
  <c r="N111" i="12"/>
  <c r="L111" i="12"/>
  <c r="H111" i="12"/>
  <c r="D111" i="12"/>
  <c r="B111" i="12"/>
  <c r="T110" i="12"/>
  <c r="X110" i="12" s="1"/>
  <c r="P110" i="12"/>
  <c r="H110" i="12"/>
  <c r="D110" i="12"/>
  <c r="B110" i="12"/>
  <c r="T109" i="12"/>
  <c r="P109" i="12"/>
  <c r="L109" i="12"/>
  <c r="N109" i="12" s="1"/>
  <c r="H109" i="12"/>
  <c r="D109" i="12"/>
  <c r="B109" i="12"/>
  <c r="T108" i="12"/>
  <c r="X108" i="12" s="1"/>
  <c r="P108" i="12"/>
  <c r="L108" i="12"/>
  <c r="H108" i="12"/>
  <c r="D108" i="12"/>
  <c r="B108" i="12"/>
  <c r="X107" i="12"/>
  <c r="T107" i="12"/>
  <c r="P107" i="12"/>
  <c r="L107" i="12"/>
  <c r="N107" i="12" s="1"/>
  <c r="H107" i="12"/>
  <c r="D107" i="12"/>
  <c r="B107" i="12"/>
  <c r="T106" i="12"/>
  <c r="P106" i="12"/>
  <c r="L106" i="12"/>
  <c r="H106" i="12"/>
  <c r="N106" i="12" s="1"/>
  <c r="D106" i="12"/>
  <c r="B106" i="12"/>
  <c r="T105" i="12"/>
  <c r="P105" i="12"/>
  <c r="X105" i="12" s="1"/>
  <c r="N105" i="12"/>
  <c r="H105" i="12"/>
  <c r="D105" i="12"/>
  <c r="L105" i="12" s="1"/>
  <c r="B105" i="12"/>
  <c r="T104" i="12"/>
  <c r="X104" i="12" s="1"/>
  <c r="P104" i="12"/>
  <c r="L104" i="12"/>
  <c r="H104" i="12"/>
  <c r="D104" i="12"/>
  <c r="B104" i="12"/>
  <c r="T103" i="12"/>
  <c r="P103" i="12"/>
  <c r="L103" i="12"/>
  <c r="N103" i="12" s="1"/>
  <c r="H103" i="12"/>
  <c r="D103" i="12"/>
  <c r="B103" i="12"/>
  <c r="T102" i="12"/>
  <c r="X102" i="12" s="1"/>
  <c r="P102" i="12"/>
  <c r="N102" i="12"/>
  <c r="L102" i="12"/>
  <c r="H102" i="12"/>
  <c r="D102" i="12"/>
  <c r="B102" i="12"/>
  <c r="T101" i="12"/>
  <c r="P101" i="12"/>
  <c r="H101" i="12"/>
  <c r="D101" i="12"/>
  <c r="L101" i="12" s="1"/>
  <c r="N101" i="12" s="1"/>
  <c r="B101" i="12"/>
  <c r="T100" i="12"/>
  <c r="X100" i="12" s="1"/>
  <c r="P100" i="12"/>
  <c r="H100" i="12"/>
  <c r="N100" i="12" s="1"/>
  <c r="D100" i="12"/>
  <c r="B100" i="12"/>
  <c r="T99" i="12"/>
  <c r="P99" i="12"/>
  <c r="X99" i="12" s="1"/>
  <c r="L99" i="12"/>
  <c r="N99" i="12" s="1"/>
  <c r="H99" i="12"/>
  <c r="D99" i="12"/>
  <c r="B99" i="12"/>
  <c r="Z98" i="12"/>
  <c r="T98" i="12"/>
  <c r="X98" i="12" s="1"/>
  <c r="P98" i="12"/>
  <c r="L98" i="12"/>
  <c r="H98" i="12"/>
  <c r="D98" i="12"/>
  <c r="B98" i="12"/>
  <c r="T97" i="12"/>
  <c r="P97" i="12"/>
  <c r="X97" i="12" s="1"/>
  <c r="N97" i="12"/>
  <c r="L97" i="12"/>
  <c r="H97" i="12"/>
  <c r="D97" i="12"/>
  <c r="B97" i="12"/>
  <c r="T96" i="12"/>
  <c r="P96" i="12"/>
  <c r="H96" i="12"/>
  <c r="D96" i="12"/>
  <c r="B96" i="12"/>
  <c r="T95" i="12"/>
  <c r="P95" i="12"/>
  <c r="X95" i="12" s="1"/>
  <c r="L95" i="12"/>
  <c r="N95" i="12" s="1"/>
  <c r="H95" i="12"/>
  <c r="D95" i="12"/>
  <c r="B95" i="12"/>
  <c r="Z94" i="12"/>
  <c r="T94" i="12"/>
  <c r="X94" i="12" s="1"/>
  <c r="P94" i="12"/>
  <c r="L94" i="12"/>
  <c r="N94" i="12" s="1"/>
  <c r="H94" i="12"/>
  <c r="D94" i="12"/>
  <c r="B94" i="12"/>
  <c r="T93" i="12"/>
  <c r="P93" i="12"/>
  <c r="X93" i="12" s="1"/>
  <c r="H93" i="12"/>
  <c r="D93" i="12"/>
  <c r="L93" i="12" s="1"/>
  <c r="N93" i="12" s="1"/>
  <c r="B93" i="12"/>
  <c r="Z92" i="12"/>
  <c r="T92" i="12"/>
  <c r="X92" i="12" s="1"/>
  <c r="P92" i="12"/>
  <c r="H92" i="12"/>
  <c r="D92" i="12"/>
  <c r="B92" i="12"/>
  <c r="T91" i="12"/>
  <c r="P91" i="12"/>
  <c r="X91" i="12" s="1"/>
  <c r="L91" i="12"/>
  <c r="N91" i="12" s="1"/>
  <c r="H91" i="12"/>
  <c r="D91" i="12"/>
  <c r="B91" i="12"/>
  <c r="Z90" i="12"/>
  <c r="T90" i="12"/>
  <c r="X90" i="12" s="1"/>
  <c r="P90" i="12"/>
  <c r="H90" i="12"/>
  <c r="L90" i="12" s="1"/>
  <c r="N90" i="12" s="1"/>
  <c r="D90" i="12"/>
  <c r="B90" i="12"/>
  <c r="T89" i="12"/>
  <c r="P89" i="12"/>
  <c r="L89" i="12"/>
  <c r="N89" i="12" s="1"/>
  <c r="H89" i="12"/>
  <c r="D89" i="12"/>
  <c r="B89" i="12"/>
  <c r="T88" i="12"/>
  <c r="X88" i="12" s="1"/>
  <c r="P88" i="12"/>
  <c r="L88" i="12"/>
  <c r="H88" i="12"/>
  <c r="D88" i="12"/>
  <c r="B88" i="12"/>
  <c r="T87" i="12"/>
  <c r="P87" i="12"/>
  <c r="X87" i="12" s="1"/>
  <c r="N87" i="12"/>
  <c r="L87" i="12"/>
  <c r="H87" i="12"/>
  <c r="D87" i="12"/>
  <c r="B87" i="12"/>
  <c r="Z86" i="12"/>
  <c r="T86" i="12"/>
  <c r="X86" i="12" s="1"/>
  <c r="P86" i="12"/>
  <c r="H86" i="12"/>
  <c r="L86" i="12" s="1"/>
  <c r="D86" i="12"/>
  <c r="B86" i="12"/>
  <c r="T85" i="12"/>
  <c r="P85" i="12"/>
  <c r="X85" i="12" s="1"/>
  <c r="N85" i="12"/>
  <c r="L85" i="12"/>
  <c r="H85" i="12"/>
  <c r="D85" i="12"/>
  <c r="B85" i="12"/>
  <c r="Z84" i="12"/>
  <c r="T84" i="12"/>
  <c r="X84" i="12" s="1"/>
  <c r="P84" i="12"/>
  <c r="H84" i="12"/>
  <c r="D84" i="12"/>
  <c r="B84" i="12"/>
  <c r="X83" i="12"/>
  <c r="T83" i="12"/>
  <c r="P83" i="12"/>
  <c r="L83" i="12"/>
  <c r="N83" i="12" s="1"/>
  <c r="H83" i="12"/>
  <c r="D83" i="12"/>
  <c r="B83" i="12"/>
  <c r="Z82" i="12"/>
  <c r="T82" i="12"/>
  <c r="X82" i="12" s="1"/>
  <c r="P82" i="12"/>
  <c r="H82" i="12"/>
  <c r="N82" i="12" s="1"/>
  <c r="D82" i="12"/>
  <c r="B82" i="12"/>
  <c r="T81" i="12"/>
  <c r="P81" i="12"/>
  <c r="X81" i="12" s="1"/>
  <c r="H81" i="12"/>
  <c r="D81" i="12"/>
  <c r="L81" i="12" s="1"/>
  <c r="N81" i="12" s="1"/>
  <c r="B81" i="12"/>
  <c r="Z80" i="12"/>
  <c r="T80" i="12"/>
  <c r="X80" i="12" s="1"/>
  <c r="P80" i="12"/>
  <c r="L80" i="12"/>
  <c r="H80" i="12"/>
  <c r="D80" i="12"/>
  <c r="B80" i="12"/>
  <c r="X79" i="12"/>
  <c r="T79" i="12"/>
  <c r="P79" i="12"/>
  <c r="L79" i="12"/>
  <c r="N79" i="12" s="1"/>
  <c r="H79" i="12"/>
  <c r="D79" i="12"/>
  <c r="B79" i="12"/>
  <c r="T78" i="12"/>
  <c r="X78" i="12" s="1"/>
  <c r="P78" i="12"/>
  <c r="H78" i="12"/>
  <c r="H12" i="12" s="1"/>
  <c r="D78" i="12"/>
  <c r="B78" i="12"/>
  <c r="T77" i="12"/>
  <c r="P77" i="12"/>
  <c r="L77" i="12"/>
  <c r="N77" i="12" s="1"/>
  <c r="H77" i="12"/>
  <c r="D77" i="12"/>
  <c r="B77" i="12"/>
  <c r="T76" i="12"/>
  <c r="X76" i="12" s="1"/>
  <c r="P76" i="12"/>
  <c r="L76" i="12"/>
  <c r="H76" i="12"/>
  <c r="D76" i="12"/>
  <c r="B76" i="12"/>
  <c r="T75" i="12"/>
  <c r="P75" i="12"/>
  <c r="L75" i="12"/>
  <c r="N75" i="12" s="1"/>
  <c r="H75" i="12"/>
  <c r="D75" i="12"/>
  <c r="B75" i="12"/>
  <c r="T74" i="12"/>
  <c r="P74" i="12"/>
  <c r="L74" i="12"/>
  <c r="H74" i="12"/>
  <c r="N74" i="12" s="1"/>
  <c r="D74" i="12"/>
  <c r="B74" i="12"/>
  <c r="T73" i="12"/>
  <c r="P73" i="12"/>
  <c r="X73" i="12" s="1"/>
  <c r="N73" i="12"/>
  <c r="H73" i="12"/>
  <c r="D73" i="12"/>
  <c r="L73" i="12" s="1"/>
  <c r="B73" i="12"/>
  <c r="T72" i="12"/>
  <c r="X72" i="12" s="1"/>
  <c r="P72" i="12"/>
  <c r="L72" i="12"/>
  <c r="H72" i="12"/>
  <c r="D72" i="12"/>
  <c r="B72" i="12"/>
  <c r="T71" i="12"/>
  <c r="Z71" i="12" s="1"/>
  <c r="P71" i="12"/>
  <c r="N71" i="12"/>
  <c r="L71" i="12"/>
  <c r="H71" i="12"/>
  <c r="D71" i="12"/>
  <c r="B71" i="12"/>
  <c r="Z70" i="12"/>
  <c r="T70" i="12"/>
  <c r="X70" i="12" s="1"/>
  <c r="P70" i="12"/>
  <c r="H70" i="12"/>
  <c r="L70" i="12" s="1"/>
  <c r="N70" i="12" s="1"/>
  <c r="D70" i="12"/>
  <c r="B70" i="12"/>
  <c r="T69" i="12"/>
  <c r="P69" i="12"/>
  <c r="L69" i="12"/>
  <c r="N69" i="12" s="1"/>
  <c r="H69" i="12"/>
  <c r="D69" i="12"/>
  <c r="B69" i="12"/>
  <c r="T68" i="12"/>
  <c r="X68" i="12" s="1"/>
  <c r="P68" i="12"/>
  <c r="L68" i="12"/>
  <c r="H68" i="12"/>
  <c r="D68" i="12"/>
  <c r="B68" i="12"/>
  <c r="T67" i="12"/>
  <c r="P67" i="12"/>
  <c r="X67" i="12" s="1"/>
  <c r="L67" i="12"/>
  <c r="N67" i="12" s="1"/>
  <c r="H67" i="12"/>
  <c r="D67" i="12"/>
  <c r="B67" i="12"/>
  <c r="T66" i="12"/>
  <c r="X66" i="12" s="1"/>
  <c r="P66" i="12"/>
  <c r="N66" i="12"/>
  <c r="L66" i="12"/>
  <c r="H66" i="12"/>
  <c r="D66" i="12"/>
  <c r="B66" i="12"/>
  <c r="T65" i="12"/>
  <c r="P65" i="12"/>
  <c r="N65" i="12"/>
  <c r="L65" i="12"/>
  <c r="H65" i="12"/>
  <c r="D65" i="12"/>
  <c r="B65" i="12"/>
  <c r="Z64" i="12"/>
  <c r="T64" i="12"/>
  <c r="X64" i="12" s="1"/>
  <c r="P64" i="12"/>
  <c r="L64" i="12"/>
  <c r="H64" i="12"/>
  <c r="D64" i="12"/>
  <c r="B64" i="12"/>
  <c r="T63" i="12"/>
  <c r="P63" i="12"/>
  <c r="L63" i="12"/>
  <c r="N63" i="12" s="1"/>
  <c r="H63" i="12"/>
  <c r="D63" i="12"/>
  <c r="B63" i="12"/>
  <c r="T62" i="12"/>
  <c r="X62" i="12" s="1"/>
  <c r="P62" i="12"/>
  <c r="H62" i="12"/>
  <c r="L62" i="12" s="1"/>
  <c r="N62" i="12" s="1"/>
  <c r="D62" i="12"/>
  <c r="B62" i="12"/>
  <c r="T61" i="12"/>
  <c r="P61" i="12"/>
  <c r="L61" i="12"/>
  <c r="N61" i="12" s="1"/>
  <c r="H61" i="12"/>
  <c r="D61" i="12"/>
  <c r="B61" i="12"/>
  <c r="T60" i="12"/>
  <c r="X60" i="12" s="1"/>
  <c r="P60" i="12"/>
  <c r="H60" i="12"/>
  <c r="D60" i="12"/>
  <c r="B60" i="12"/>
  <c r="T59" i="12"/>
  <c r="P59" i="12"/>
  <c r="X59" i="12" s="1"/>
  <c r="L59" i="12"/>
  <c r="N59" i="12" s="1"/>
  <c r="H59" i="12"/>
  <c r="D59" i="12"/>
  <c r="B59" i="12"/>
  <c r="T58" i="12"/>
  <c r="X58" i="12" s="1"/>
  <c r="P58" i="12"/>
  <c r="L58" i="12"/>
  <c r="N58" i="12" s="1"/>
  <c r="H58" i="12"/>
  <c r="D58" i="12"/>
  <c r="B58" i="12"/>
  <c r="T57" i="12"/>
  <c r="P57" i="12"/>
  <c r="X57" i="12" s="1"/>
  <c r="L57" i="12"/>
  <c r="N57" i="12" s="1"/>
  <c r="H57" i="12"/>
  <c r="D57" i="12"/>
  <c r="B57" i="12"/>
  <c r="Z56" i="12"/>
  <c r="T56" i="12"/>
  <c r="X56" i="12" s="1"/>
  <c r="P56" i="12"/>
  <c r="H56" i="12"/>
  <c r="D56" i="12"/>
  <c r="B56" i="12"/>
  <c r="X55" i="12"/>
  <c r="T55" i="12"/>
  <c r="P55" i="12"/>
  <c r="L55" i="12"/>
  <c r="N55" i="12" s="1"/>
  <c r="H55" i="12"/>
  <c r="D55" i="12"/>
  <c r="B55" i="12"/>
  <c r="Z54" i="12"/>
  <c r="T54" i="12"/>
  <c r="X54" i="12" s="1"/>
  <c r="P54" i="12"/>
  <c r="H54" i="12"/>
  <c r="L54" i="12" s="1"/>
  <c r="N54" i="12" s="1"/>
  <c r="D54" i="12"/>
  <c r="B54" i="12"/>
  <c r="T53" i="12"/>
  <c r="P53" i="12"/>
  <c r="X53" i="12" s="1"/>
  <c r="L53" i="12"/>
  <c r="N53" i="12" s="1"/>
  <c r="H53" i="12"/>
  <c r="D53" i="12"/>
  <c r="B53" i="12"/>
  <c r="Z52" i="12"/>
  <c r="T52" i="12"/>
  <c r="X52" i="12" s="1"/>
  <c r="P52" i="12"/>
  <c r="L52" i="12"/>
  <c r="H52" i="12"/>
  <c r="N52" i="12" s="1"/>
  <c r="D52" i="12"/>
  <c r="B52" i="12"/>
  <c r="T51" i="12"/>
  <c r="P51" i="12"/>
  <c r="X51" i="12" s="1"/>
  <c r="L51" i="12"/>
  <c r="N51" i="12" s="1"/>
  <c r="H51" i="12"/>
  <c r="D51" i="12"/>
  <c r="B51" i="12"/>
  <c r="T50" i="12"/>
  <c r="X50" i="12" s="1"/>
  <c r="P50" i="12"/>
  <c r="H50" i="12"/>
  <c r="L50" i="12" s="1"/>
  <c r="N50" i="12" s="1"/>
  <c r="D50" i="12"/>
  <c r="B50" i="12"/>
  <c r="T49" i="12"/>
  <c r="P49" i="12"/>
  <c r="L49" i="12"/>
  <c r="N49" i="12" s="1"/>
  <c r="H49" i="12"/>
  <c r="D49" i="12"/>
  <c r="B49" i="12"/>
  <c r="T48" i="12"/>
  <c r="X48" i="12" s="1"/>
  <c r="P48" i="12"/>
  <c r="H48" i="12"/>
  <c r="D48" i="12"/>
  <c r="B48" i="12"/>
  <c r="T47" i="12"/>
  <c r="P47" i="12"/>
  <c r="X47" i="12" s="1"/>
  <c r="L47" i="12"/>
  <c r="N47" i="12" s="1"/>
  <c r="H47" i="12"/>
  <c r="D47" i="12"/>
  <c r="B47" i="12"/>
  <c r="T46" i="12"/>
  <c r="X46" i="12" s="1"/>
  <c r="P46" i="12"/>
  <c r="N46" i="12"/>
  <c r="L46" i="12"/>
  <c r="H46" i="12"/>
  <c r="D46" i="12"/>
  <c r="B46" i="12"/>
  <c r="T45" i="12"/>
  <c r="P45" i="12"/>
  <c r="X45" i="12" s="1"/>
  <c r="N45" i="12"/>
  <c r="L45" i="12"/>
  <c r="H45" i="12"/>
  <c r="D45" i="12"/>
  <c r="B45" i="12"/>
  <c r="T44" i="12"/>
  <c r="X44" i="12" s="1"/>
  <c r="P44" i="12"/>
  <c r="L44" i="12"/>
  <c r="H44" i="12"/>
  <c r="N44" i="12" s="1"/>
  <c r="D44" i="12"/>
  <c r="B44" i="12"/>
  <c r="T43" i="12"/>
  <c r="P43" i="12"/>
  <c r="N43" i="12"/>
  <c r="L43" i="12"/>
  <c r="H43" i="12"/>
  <c r="D43" i="12"/>
  <c r="B43" i="12"/>
  <c r="Z42" i="12"/>
  <c r="T42" i="12"/>
  <c r="X42" i="12" s="1"/>
  <c r="P42" i="12"/>
  <c r="H42" i="12"/>
  <c r="L42" i="12" s="1"/>
  <c r="N42" i="12" s="1"/>
  <c r="D42" i="12"/>
  <c r="B42" i="12"/>
  <c r="T41" i="12"/>
  <c r="T12" i="12" s="1"/>
  <c r="P41" i="12"/>
  <c r="H41" i="12"/>
  <c r="D41" i="12"/>
  <c r="L41" i="12" s="1"/>
  <c r="N41" i="12" s="1"/>
  <c r="B41" i="12"/>
  <c r="T40" i="12"/>
  <c r="X40" i="12" s="1"/>
  <c r="P40" i="12"/>
  <c r="L40" i="12"/>
  <c r="H40" i="12"/>
  <c r="D40" i="12"/>
  <c r="B40" i="12"/>
  <c r="T39" i="12"/>
  <c r="P39" i="12"/>
  <c r="L39" i="12"/>
  <c r="N39" i="12" s="1"/>
  <c r="H39" i="12"/>
  <c r="D39" i="12"/>
  <c r="B39" i="12"/>
  <c r="X38" i="12"/>
  <c r="Z38" i="12" s="1"/>
  <c r="T38" i="12"/>
  <c r="P38" i="12"/>
  <c r="H38" i="12"/>
  <c r="L38" i="12" s="1"/>
  <c r="N38" i="12" s="1"/>
  <c r="D38" i="12"/>
  <c r="B38" i="12"/>
  <c r="T37" i="12"/>
  <c r="P37" i="12"/>
  <c r="N37" i="12"/>
  <c r="L37" i="12"/>
  <c r="H37" i="12"/>
  <c r="D37" i="12"/>
  <c r="B37" i="12"/>
  <c r="T36" i="12"/>
  <c r="X36" i="12" s="1"/>
  <c r="Z36" i="12" s="1"/>
  <c r="P36" i="12"/>
  <c r="L36" i="12"/>
  <c r="H36" i="12"/>
  <c r="D36" i="12"/>
  <c r="B36" i="12"/>
  <c r="T35" i="12"/>
  <c r="P35" i="12"/>
  <c r="L35" i="12"/>
  <c r="N35" i="12" s="1"/>
  <c r="H35" i="12"/>
  <c r="D35" i="12"/>
  <c r="B35" i="12"/>
  <c r="Z34" i="12"/>
  <c r="X34" i="12"/>
  <c r="T34" i="12"/>
  <c r="P34" i="12"/>
  <c r="L34" i="12"/>
  <c r="N34" i="12" s="1"/>
  <c r="H34" i="12"/>
  <c r="D34" i="12"/>
  <c r="B34" i="12"/>
  <c r="T33" i="12"/>
  <c r="P33" i="12"/>
  <c r="X33" i="12" s="1"/>
  <c r="L33" i="12"/>
  <c r="N33" i="12" s="1"/>
  <c r="H33" i="12"/>
  <c r="D33" i="12"/>
  <c r="B33" i="12"/>
  <c r="X32" i="12"/>
  <c r="Z32" i="12" s="1"/>
  <c r="T32" i="12"/>
  <c r="P32" i="12"/>
  <c r="L32" i="12"/>
  <c r="H32" i="12"/>
  <c r="D32" i="12"/>
  <c r="B32" i="12"/>
  <c r="X31" i="12"/>
  <c r="T31" i="12"/>
  <c r="P31" i="12"/>
  <c r="N31" i="12"/>
  <c r="L31" i="12"/>
  <c r="H31" i="12"/>
  <c r="D31" i="12"/>
  <c r="B31" i="12"/>
  <c r="T30" i="12"/>
  <c r="X30" i="12" s="1"/>
  <c r="Z30" i="12" s="1"/>
  <c r="P30" i="12"/>
  <c r="N30" i="12"/>
  <c r="H30" i="12"/>
  <c r="D30" i="12"/>
  <c r="L30" i="12" s="1"/>
  <c r="B30" i="12"/>
  <c r="T29" i="12"/>
  <c r="P29" i="12"/>
  <c r="L29" i="12"/>
  <c r="N29" i="12" s="1"/>
  <c r="H29" i="12"/>
  <c r="D29" i="12"/>
  <c r="B29" i="12"/>
  <c r="Z28" i="12"/>
  <c r="X28" i="12"/>
  <c r="T28" i="12"/>
  <c r="P28" i="12"/>
  <c r="H28" i="12"/>
  <c r="D28" i="12"/>
  <c r="B28" i="12"/>
  <c r="X27" i="12"/>
  <c r="T27" i="12"/>
  <c r="P27" i="12"/>
  <c r="L27" i="12"/>
  <c r="N27" i="12" s="1"/>
  <c r="H27" i="12"/>
  <c r="D27" i="12"/>
  <c r="B27" i="12"/>
  <c r="X26" i="12"/>
  <c r="Z26" i="12" s="1"/>
  <c r="T26" i="12"/>
  <c r="P26" i="12"/>
  <c r="H26" i="12"/>
  <c r="L26" i="12" s="1"/>
  <c r="N26" i="12" s="1"/>
  <c r="D26" i="12"/>
  <c r="B26" i="12"/>
  <c r="T25" i="12"/>
  <c r="P25" i="12"/>
  <c r="N25" i="12"/>
  <c r="L25" i="12"/>
  <c r="H25" i="12"/>
  <c r="D25" i="12"/>
  <c r="B25" i="12"/>
  <c r="T24" i="12"/>
  <c r="X24" i="12" s="1"/>
  <c r="Z24" i="12" s="1"/>
  <c r="P24" i="12"/>
  <c r="L24" i="12"/>
  <c r="H24" i="12"/>
  <c r="D24" i="12"/>
  <c r="B24" i="12"/>
  <c r="T23" i="12"/>
  <c r="P23" i="12"/>
  <c r="N23" i="12"/>
  <c r="L23" i="12"/>
  <c r="H23" i="12"/>
  <c r="D23" i="12"/>
  <c r="B23" i="12"/>
  <c r="Z22" i="12"/>
  <c r="X22" i="12"/>
  <c r="T22" i="12"/>
  <c r="P22" i="12"/>
  <c r="L22" i="12"/>
  <c r="N22" i="12" s="1"/>
  <c r="H22" i="12"/>
  <c r="D22" i="12"/>
  <c r="B22" i="12"/>
  <c r="T21" i="12"/>
  <c r="P21" i="12"/>
  <c r="X21" i="12" s="1"/>
  <c r="L21" i="12"/>
  <c r="N21" i="12" s="1"/>
  <c r="H21" i="12"/>
  <c r="D21" i="12"/>
  <c r="B21" i="12"/>
  <c r="X20" i="12"/>
  <c r="Z20" i="12" s="1"/>
  <c r="T20" i="12"/>
  <c r="P20" i="12"/>
  <c r="L20" i="12"/>
  <c r="H20" i="12"/>
  <c r="D20" i="12"/>
  <c r="B20" i="12"/>
  <c r="X19" i="12"/>
  <c r="T19" i="12"/>
  <c r="P19" i="12"/>
  <c r="N19" i="12"/>
  <c r="L19" i="12"/>
  <c r="H19" i="12"/>
  <c r="D19" i="12"/>
  <c r="B19" i="12"/>
  <c r="T18" i="12"/>
  <c r="X18" i="12" s="1"/>
  <c r="Z18" i="12" s="1"/>
  <c r="P18" i="12"/>
  <c r="H18" i="12"/>
  <c r="D18" i="12"/>
  <c r="L18" i="12" s="1"/>
  <c r="N18" i="12" s="1"/>
  <c r="B18" i="12"/>
  <c r="T17" i="12"/>
  <c r="P17" i="12"/>
  <c r="N17" i="12"/>
  <c r="L17" i="12"/>
  <c r="H17" i="12"/>
  <c r="D17" i="12"/>
  <c r="B17" i="12"/>
  <c r="Z16" i="12"/>
  <c r="X16" i="12"/>
  <c r="T16" i="12"/>
  <c r="P16" i="12"/>
  <c r="H16" i="12"/>
  <c r="D16" i="12"/>
  <c r="B16" i="12"/>
  <c r="X15" i="12"/>
  <c r="T15" i="12"/>
  <c r="P15" i="12"/>
  <c r="L15" i="12"/>
  <c r="N15" i="12" s="1"/>
  <c r="H15" i="12"/>
  <c r="D15" i="12"/>
  <c r="B15" i="12"/>
  <c r="X14" i="12"/>
  <c r="Z14" i="12" s="1"/>
  <c r="T14" i="12"/>
  <c r="P14" i="12"/>
  <c r="H14" i="12"/>
  <c r="L14" i="12" s="1"/>
  <c r="N14" i="12" s="1"/>
  <c r="D14" i="12"/>
  <c r="B14" i="12"/>
  <c r="T13" i="12"/>
  <c r="P13" i="12"/>
  <c r="N13" i="12"/>
  <c r="L13" i="12"/>
  <c r="H13" i="12"/>
  <c r="D13" i="12"/>
  <c r="B13" i="12"/>
  <c r="D4" i="12"/>
  <c r="Z95" i="9"/>
  <c r="X95" i="9"/>
  <c r="R95" i="9"/>
  <c r="N95" i="9"/>
  <c r="L95" i="9"/>
  <c r="F95" i="9"/>
  <c r="X91" i="9"/>
  <c r="T91" i="9"/>
  <c r="Z91" i="9" s="1"/>
  <c r="P91" i="9"/>
  <c r="N91" i="9"/>
  <c r="L91" i="9"/>
  <c r="H91" i="9"/>
  <c r="F91" i="9"/>
  <c r="D91" i="9"/>
  <c r="Z89" i="9"/>
  <c r="X89" i="9"/>
  <c r="R89" i="9"/>
  <c r="N89" i="9"/>
  <c r="L89" i="9"/>
  <c r="B89" i="9"/>
  <c r="X88" i="9"/>
  <c r="Z88" i="9" s="1"/>
  <c r="V88" i="9"/>
  <c r="N88" i="9"/>
  <c r="L88" i="9"/>
  <c r="J88" i="9"/>
  <c r="B88" i="9"/>
  <c r="T87" i="9"/>
  <c r="P87" i="9"/>
  <c r="X87" i="9" s="1"/>
  <c r="Z87" i="9" s="1"/>
  <c r="H87" i="9"/>
  <c r="D87" i="9"/>
  <c r="B87" i="9"/>
  <c r="X86" i="9"/>
  <c r="Z86" i="9" s="1"/>
  <c r="N86" i="9"/>
  <c r="L86" i="9"/>
  <c r="B86" i="9"/>
  <c r="T85" i="9"/>
  <c r="X85" i="9" s="1"/>
  <c r="Z85" i="9" s="1"/>
  <c r="P85" i="9"/>
  <c r="H85" i="9"/>
  <c r="D85" i="9"/>
  <c r="L85" i="9" s="1"/>
  <c r="B85" i="9"/>
  <c r="X84" i="9"/>
  <c r="Z84" i="9" s="1"/>
  <c r="L84" i="9"/>
  <c r="N84" i="9" s="1"/>
  <c r="J84" i="9"/>
  <c r="B84" i="9"/>
  <c r="X83" i="9"/>
  <c r="Z83" i="9" s="1"/>
  <c r="N83" i="9"/>
  <c r="L83" i="9"/>
  <c r="B83" i="9"/>
  <c r="T82" i="9"/>
  <c r="R82" i="9"/>
  <c r="P82" i="9"/>
  <c r="X82" i="9" s="1"/>
  <c r="Z82" i="9" s="1"/>
  <c r="L82" i="9"/>
  <c r="H82" i="9"/>
  <c r="N82" i="9" s="1"/>
  <c r="D82" i="9"/>
  <c r="B82" i="9"/>
  <c r="X81" i="9"/>
  <c r="Z81" i="9" s="1"/>
  <c r="R81" i="9"/>
  <c r="N81" i="9"/>
  <c r="L81" i="9"/>
  <c r="B81" i="9"/>
  <c r="X80" i="9"/>
  <c r="Z80" i="9" s="1"/>
  <c r="V80" i="9"/>
  <c r="N80" i="9"/>
  <c r="L80" i="9"/>
  <c r="J80" i="9"/>
  <c r="B80" i="9"/>
  <c r="Z79" i="9"/>
  <c r="X79" i="9"/>
  <c r="L79" i="9"/>
  <c r="N79" i="9" s="1"/>
  <c r="B79" i="9"/>
  <c r="Z78" i="9"/>
  <c r="X78" i="9"/>
  <c r="N78" i="9"/>
  <c r="L78" i="9"/>
  <c r="B78" i="9"/>
  <c r="X77" i="9"/>
  <c r="Z77" i="9" s="1"/>
  <c r="R77" i="9"/>
  <c r="N77" i="9"/>
  <c r="L77" i="9"/>
  <c r="J77" i="9"/>
  <c r="B77" i="9"/>
  <c r="X76" i="9"/>
  <c r="V76" i="9"/>
  <c r="T76" i="9"/>
  <c r="Z76" i="9" s="1"/>
  <c r="P76" i="9"/>
  <c r="N76" i="9"/>
  <c r="L76" i="9"/>
  <c r="H76" i="9"/>
  <c r="D76" i="9"/>
  <c r="B76" i="9"/>
  <c r="X75" i="9"/>
  <c r="Z75" i="9" s="1"/>
  <c r="L75" i="9"/>
  <c r="N75" i="9" s="1"/>
  <c r="J75" i="9"/>
  <c r="B75" i="9"/>
  <c r="X74" i="9"/>
  <c r="Z74" i="9" s="1"/>
  <c r="N74" i="9"/>
  <c r="L74" i="9"/>
  <c r="J74" i="9"/>
  <c r="B74" i="9"/>
  <c r="T73" i="9"/>
  <c r="X73" i="9" s="1"/>
  <c r="Z73" i="9" s="1"/>
  <c r="P73" i="9"/>
  <c r="H73" i="9"/>
  <c r="N73" i="9" s="1"/>
  <c r="D73" i="9"/>
  <c r="L73" i="9" s="1"/>
  <c r="B73" i="9"/>
  <c r="X72" i="9"/>
  <c r="Z72" i="9" s="1"/>
  <c r="L72" i="9"/>
  <c r="N72" i="9" s="1"/>
  <c r="J72" i="9"/>
  <c r="B72" i="9"/>
  <c r="X71" i="9"/>
  <c r="Z71" i="9" s="1"/>
  <c r="N71" i="9"/>
  <c r="L71" i="9"/>
  <c r="B71" i="9"/>
  <c r="T70" i="9"/>
  <c r="R70" i="9"/>
  <c r="P70" i="9"/>
  <c r="X70" i="9" s="1"/>
  <c r="Z70" i="9" s="1"/>
  <c r="L70" i="9"/>
  <c r="H70" i="9"/>
  <c r="N70" i="9" s="1"/>
  <c r="D70" i="9"/>
  <c r="B70" i="9"/>
  <c r="X69" i="9"/>
  <c r="Z69" i="9" s="1"/>
  <c r="R69" i="9"/>
  <c r="N69" i="9"/>
  <c r="L69" i="9"/>
  <c r="J69" i="9"/>
  <c r="B69" i="9"/>
  <c r="X68" i="9"/>
  <c r="Z68" i="9" s="1"/>
  <c r="V68" i="9"/>
  <c r="N68" i="9"/>
  <c r="L68" i="9"/>
  <c r="J68" i="9"/>
  <c r="B68" i="9"/>
  <c r="Z67" i="9"/>
  <c r="X67" i="9"/>
  <c r="N67" i="9"/>
  <c r="L67" i="9"/>
  <c r="B67" i="9"/>
  <c r="Z66" i="9"/>
  <c r="X66" i="9"/>
  <c r="L66" i="9"/>
  <c r="N66" i="9" s="1"/>
  <c r="B66" i="9"/>
  <c r="T65" i="9"/>
  <c r="P65" i="9"/>
  <c r="H65" i="9"/>
  <c r="D65" i="9"/>
  <c r="L65" i="9" s="1"/>
  <c r="N65" i="9" s="1"/>
  <c r="B65" i="9"/>
  <c r="Z64" i="9"/>
  <c r="X64" i="9"/>
  <c r="V64" i="9"/>
  <c r="L64" i="9"/>
  <c r="N64" i="9" s="1"/>
  <c r="B64" i="9"/>
  <c r="X63" i="9"/>
  <c r="Z63" i="9" s="1"/>
  <c r="L63" i="9"/>
  <c r="N63" i="9" s="1"/>
  <c r="J63" i="9"/>
  <c r="B63" i="9"/>
  <c r="X62" i="9"/>
  <c r="Z62" i="9" s="1"/>
  <c r="N62" i="9"/>
  <c r="L62" i="9"/>
  <c r="J62" i="9"/>
  <c r="B62" i="9"/>
  <c r="Z61" i="9"/>
  <c r="X61" i="9"/>
  <c r="N61" i="9"/>
  <c r="L61" i="9"/>
  <c r="F61" i="9"/>
  <c r="B61" i="9"/>
  <c r="V60" i="9"/>
  <c r="T60" i="9"/>
  <c r="P60" i="9"/>
  <c r="X60" i="9" s="1"/>
  <c r="L60" i="9"/>
  <c r="H60" i="9"/>
  <c r="N60" i="9" s="1"/>
  <c r="F60" i="9"/>
  <c r="D60" i="9"/>
  <c r="B60" i="9"/>
  <c r="X59" i="9"/>
  <c r="Z59" i="9" s="1"/>
  <c r="N59" i="9"/>
  <c r="L59" i="9"/>
  <c r="B59" i="9"/>
  <c r="T58" i="9"/>
  <c r="R58" i="9"/>
  <c r="P58" i="9"/>
  <c r="X58" i="9" s="1"/>
  <c r="Z58" i="9" s="1"/>
  <c r="L58" i="9"/>
  <c r="H58" i="9"/>
  <c r="N58" i="9" s="1"/>
  <c r="D58" i="9"/>
  <c r="B58" i="9"/>
  <c r="X57" i="9"/>
  <c r="Z57" i="9" s="1"/>
  <c r="R57" i="9"/>
  <c r="N57" i="9"/>
  <c r="L57" i="9"/>
  <c r="J57" i="9"/>
  <c r="B57" i="9"/>
  <c r="X56" i="9"/>
  <c r="V56" i="9"/>
  <c r="T56" i="9"/>
  <c r="Z56" i="9" s="1"/>
  <c r="P56" i="9"/>
  <c r="N56" i="9"/>
  <c r="L56" i="9"/>
  <c r="H56" i="9"/>
  <c r="D56" i="9"/>
  <c r="B56" i="9"/>
  <c r="X55" i="9"/>
  <c r="Z55" i="9" s="1"/>
  <c r="L55" i="9"/>
  <c r="N55" i="9" s="1"/>
  <c r="J55" i="9"/>
  <c r="B55" i="9"/>
  <c r="X54" i="9"/>
  <c r="T54" i="9"/>
  <c r="Z54" i="9" s="1"/>
  <c r="R54" i="9"/>
  <c r="P54" i="9"/>
  <c r="J54" i="9"/>
  <c r="H54" i="9"/>
  <c r="D54" i="9"/>
  <c r="L54" i="9" s="1"/>
  <c r="B54" i="9"/>
  <c r="Z53" i="9"/>
  <c r="X53" i="9"/>
  <c r="R53" i="9"/>
  <c r="L53" i="9"/>
  <c r="N53" i="9" s="1"/>
  <c r="F53" i="9"/>
  <c r="B53" i="9"/>
  <c r="X52" i="9"/>
  <c r="T52" i="9"/>
  <c r="Z52" i="9" s="1"/>
  <c r="P52" i="9"/>
  <c r="J52" i="9"/>
  <c r="H52" i="9"/>
  <c r="F52" i="9"/>
  <c r="D52" i="9"/>
  <c r="L52" i="9" s="1"/>
  <c r="N52" i="9" s="1"/>
  <c r="B52" i="9"/>
  <c r="Z51" i="9"/>
  <c r="X51" i="9"/>
  <c r="L51" i="9"/>
  <c r="N51" i="9" s="1"/>
  <c r="B51" i="9"/>
  <c r="Z50" i="9"/>
  <c r="X50" i="9"/>
  <c r="T50" i="9"/>
  <c r="P50" i="9"/>
  <c r="L50" i="9"/>
  <c r="J50" i="9"/>
  <c r="H50" i="9"/>
  <c r="N50" i="9" s="1"/>
  <c r="D50" i="9"/>
  <c r="B50" i="9"/>
  <c r="Z49" i="9"/>
  <c r="X49" i="9"/>
  <c r="N49" i="9"/>
  <c r="L49" i="9"/>
  <c r="F49" i="9"/>
  <c r="B49" i="9"/>
  <c r="V48" i="9"/>
  <c r="T48" i="9"/>
  <c r="Z48" i="9" s="1"/>
  <c r="P48" i="9"/>
  <c r="X48" i="9" s="1"/>
  <c r="N48" i="9"/>
  <c r="L48" i="9"/>
  <c r="H48" i="9"/>
  <c r="F48" i="9"/>
  <c r="D48" i="9"/>
  <c r="B48" i="9"/>
  <c r="X47" i="9"/>
  <c r="Z47" i="9" s="1"/>
  <c r="N47" i="9"/>
  <c r="L47" i="9"/>
  <c r="B47" i="9"/>
  <c r="Z46" i="9"/>
  <c r="X46" i="9"/>
  <c r="N46" i="9"/>
  <c r="L46" i="9"/>
  <c r="B46" i="9"/>
  <c r="T45" i="9"/>
  <c r="P45" i="9"/>
  <c r="X45" i="9" s="1"/>
  <c r="L45" i="9"/>
  <c r="N45" i="9" s="1"/>
  <c r="J45" i="9"/>
  <c r="H45" i="9"/>
  <c r="D45" i="9"/>
  <c r="B45" i="9"/>
  <c r="X44" i="9"/>
  <c r="Z44" i="9" s="1"/>
  <c r="V44" i="9"/>
  <c r="N44" i="9"/>
  <c r="L44" i="9"/>
  <c r="J44" i="9"/>
  <c r="B44" i="9"/>
  <c r="T43" i="9"/>
  <c r="P43" i="9"/>
  <c r="X43" i="9" s="1"/>
  <c r="Z43" i="9" s="1"/>
  <c r="H43" i="9"/>
  <c r="D43" i="9"/>
  <c r="B43" i="9"/>
  <c r="Z42" i="9"/>
  <c r="X42" i="9"/>
  <c r="N42" i="9"/>
  <c r="L42" i="9"/>
  <c r="J42" i="9"/>
  <c r="B42" i="9"/>
  <c r="T41" i="9"/>
  <c r="X41" i="9" s="1"/>
  <c r="Z41" i="9" s="1"/>
  <c r="P41" i="9"/>
  <c r="H41" i="9"/>
  <c r="N41" i="9" s="1"/>
  <c r="D41" i="9"/>
  <c r="L41" i="9" s="1"/>
  <c r="B41" i="9"/>
  <c r="X40" i="9"/>
  <c r="Z40" i="9" s="1"/>
  <c r="L40" i="9"/>
  <c r="N40" i="9" s="1"/>
  <c r="J40" i="9"/>
  <c r="B40" i="9"/>
  <c r="X39" i="9"/>
  <c r="Z39" i="9" s="1"/>
  <c r="T39" i="9"/>
  <c r="R39" i="9"/>
  <c r="P39" i="9"/>
  <c r="H39" i="9"/>
  <c r="N39" i="9" s="1"/>
  <c r="D39" i="9"/>
  <c r="L39" i="9" s="1"/>
  <c r="B39" i="9"/>
  <c r="Z38" i="9"/>
  <c r="X38" i="9"/>
  <c r="R38" i="9"/>
  <c r="N38" i="9"/>
  <c r="L38" i="9"/>
  <c r="B38" i="9"/>
  <c r="X37" i="9"/>
  <c r="Z37" i="9" s="1"/>
  <c r="R37" i="9"/>
  <c r="N37" i="9"/>
  <c r="L37" i="9"/>
  <c r="J37" i="9"/>
  <c r="B37" i="9"/>
  <c r="X36" i="9"/>
  <c r="Z36" i="9" s="1"/>
  <c r="V36" i="9"/>
  <c r="N36" i="9"/>
  <c r="L36" i="9"/>
  <c r="J36" i="9"/>
  <c r="B36" i="9"/>
  <c r="Z35" i="9"/>
  <c r="X35" i="9"/>
  <c r="L35" i="9"/>
  <c r="N35" i="9" s="1"/>
  <c r="B35" i="9"/>
  <c r="Z34" i="9"/>
  <c r="X34" i="9"/>
  <c r="R34" i="9"/>
  <c r="N34" i="9"/>
  <c r="L34" i="9"/>
  <c r="B34" i="9"/>
  <c r="X33" i="9"/>
  <c r="Z33" i="9" s="1"/>
  <c r="R33" i="9"/>
  <c r="N33" i="9"/>
  <c r="L33" i="9"/>
  <c r="J33" i="9"/>
  <c r="B33" i="9"/>
  <c r="X32" i="9"/>
  <c r="Z32" i="9" s="1"/>
  <c r="V32" i="9"/>
  <c r="N32" i="9"/>
  <c r="L32" i="9"/>
  <c r="J32" i="9"/>
  <c r="B32" i="9"/>
  <c r="T31" i="9"/>
  <c r="P31" i="9"/>
  <c r="X31" i="9" s="1"/>
  <c r="Z31" i="9" s="1"/>
  <c r="H31" i="9"/>
  <c r="D31" i="9"/>
  <c r="B31" i="9"/>
  <c r="Z30" i="9"/>
  <c r="X30" i="9"/>
  <c r="N30" i="9"/>
  <c r="L30" i="9"/>
  <c r="J30" i="9"/>
  <c r="B30" i="9"/>
  <c r="Z29" i="9"/>
  <c r="X29" i="9"/>
  <c r="V29" i="9"/>
  <c r="N29" i="9"/>
  <c r="L29" i="9"/>
  <c r="J29" i="9"/>
  <c r="F29" i="9"/>
  <c r="B29" i="9"/>
  <c r="Z28" i="9"/>
  <c r="X28" i="9"/>
  <c r="V28" i="9"/>
  <c r="R28" i="9"/>
  <c r="L28" i="9"/>
  <c r="N28" i="9" s="1"/>
  <c r="J28" i="9"/>
  <c r="B28" i="9"/>
  <c r="X27" i="9"/>
  <c r="Z27" i="9" s="1"/>
  <c r="R27" i="9"/>
  <c r="L27" i="9"/>
  <c r="N27" i="9" s="1"/>
  <c r="J27" i="9"/>
  <c r="B27" i="9"/>
  <c r="Z26" i="9"/>
  <c r="X26" i="9"/>
  <c r="N26" i="9"/>
  <c r="L26" i="9"/>
  <c r="J26" i="9"/>
  <c r="B26" i="9"/>
  <c r="Z25" i="9"/>
  <c r="X25" i="9"/>
  <c r="V25" i="9"/>
  <c r="N25" i="9"/>
  <c r="L25" i="9"/>
  <c r="J25" i="9"/>
  <c r="F25" i="9"/>
  <c r="B25" i="9"/>
  <c r="Z24" i="9"/>
  <c r="X24" i="9"/>
  <c r="V24" i="9"/>
  <c r="R24" i="9"/>
  <c r="L24" i="9"/>
  <c r="N24" i="9" s="1"/>
  <c r="J24" i="9"/>
  <c r="B24" i="9"/>
  <c r="X23" i="9"/>
  <c r="Z23" i="9" s="1"/>
  <c r="R23" i="9"/>
  <c r="L23" i="9"/>
  <c r="N23" i="9" s="1"/>
  <c r="J23" i="9"/>
  <c r="B23" i="9"/>
  <c r="Z22" i="9"/>
  <c r="X22" i="9"/>
  <c r="N22" i="9"/>
  <c r="L22" i="9"/>
  <c r="J22" i="9"/>
  <c r="B22" i="9"/>
  <c r="Z21" i="9"/>
  <c r="X21" i="9"/>
  <c r="V21" i="9"/>
  <c r="R21" i="9"/>
  <c r="N21" i="9"/>
  <c r="L21" i="9"/>
  <c r="J21" i="9"/>
  <c r="F21" i="9"/>
  <c r="B21" i="9"/>
  <c r="Z20" i="9"/>
  <c r="X20" i="9"/>
  <c r="V20" i="9"/>
  <c r="R20" i="9"/>
  <c r="L20" i="9"/>
  <c r="N20" i="9" s="1"/>
  <c r="J20" i="9"/>
  <c r="B20" i="9"/>
  <c r="T19" i="9"/>
  <c r="P19" i="9"/>
  <c r="X19" i="9" s="1"/>
  <c r="J19" i="9"/>
  <c r="H19" i="9"/>
  <c r="L19" i="9" s="1"/>
  <c r="N19" i="9" s="1"/>
  <c r="D19" i="9"/>
  <c r="B19" i="9"/>
  <c r="T18" i="9"/>
  <c r="R18" i="9"/>
  <c r="P18" i="9"/>
  <c r="J18" i="9"/>
  <c r="H18" i="9"/>
  <c r="D18" i="9"/>
  <c r="L18" i="9" s="1"/>
  <c r="R16" i="9"/>
  <c r="J16" i="9"/>
  <c r="Z14" i="9"/>
  <c r="T14" i="9"/>
  <c r="R14" i="9"/>
  <c r="P14" i="9"/>
  <c r="X14" i="9" s="1"/>
  <c r="L14" i="9"/>
  <c r="J14" i="9"/>
  <c r="H14" i="9"/>
  <c r="N14" i="9" s="1"/>
  <c r="D14" i="9"/>
  <c r="Z12" i="9"/>
  <c r="T12" i="9"/>
  <c r="V100" i="9" s="1"/>
  <c r="P12" i="9"/>
  <c r="R65" i="9" s="1"/>
  <c r="N12" i="9"/>
  <c r="L12" i="9"/>
  <c r="H12" i="9"/>
  <c r="J93" i="9" s="1"/>
  <c r="D12" i="9"/>
  <c r="F89" i="9" s="1"/>
  <c r="D4" i="9"/>
  <c r="R31" i="6"/>
  <c r="J31" i="6"/>
  <c r="X29" i="6"/>
  <c r="T29" i="6"/>
  <c r="R29" i="6"/>
  <c r="P29" i="6"/>
  <c r="J29" i="6"/>
  <c r="H29" i="6"/>
  <c r="D29" i="6"/>
  <c r="L29" i="6" s="1"/>
  <c r="N29" i="6" s="1"/>
  <c r="X28" i="6"/>
  <c r="T28" i="6"/>
  <c r="R28" i="6"/>
  <c r="P28" i="6"/>
  <c r="J28" i="6"/>
  <c r="H28" i="6"/>
  <c r="D28" i="6"/>
  <c r="L28" i="6" s="1"/>
  <c r="N28" i="6" s="1"/>
  <c r="R26" i="6"/>
  <c r="J26" i="6"/>
  <c r="Z24" i="6"/>
  <c r="X24" i="6"/>
  <c r="R24" i="6"/>
  <c r="N24" i="6"/>
  <c r="L24" i="6"/>
  <c r="J24" i="6"/>
  <c r="R22" i="6"/>
  <c r="J22" i="6"/>
  <c r="F22" i="6"/>
  <c r="Z20" i="6"/>
  <c r="T20" i="6"/>
  <c r="R20" i="6"/>
  <c r="P20" i="6"/>
  <c r="X20" i="6" s="1"/>
  <c r="J20" i="6"/>
  <c r="H20" i="6"/>
  <c r="F20" i="6"/>
  <c r="D20" i="6"/>
  <c r="Z18" i="6"/>
  <c r="T18" i="6"/>
  <c r="R18" i="6"/>
  <c r="P18" i="6"/>
  <c r="X18" i="6" s="1"/>
  <c r="J18" i="6"/>
  <c r="H18" i="6"/>
  <c r="F18" i="6"/>
  <c r="D18" i="6"/>
  <c r="R16" i="6"/>
  <c r="P16" i="6"/>
  <c r="J16" i="6"/>
  <c r="H16" i="6"/>
  <c r="N16" i="6" s="1"/>
  <c r="F16" i="6"/>
  <c r="Z14" i="6"/>
  <c r="T14" i="6"/>
  <c r="R14" i="6"/>
  <c r="P14" i="6"/>
  <c r="X14" i="6" s="1"/>
  <c r="J14" i="6"/>
  <c r="H14" i="6"/>
  <c r="F14" i="6"/>
  <c r="D14" i="6"/>
  <c r="Z12" i="6"/>
  <c r="T12" i="6"/>
  <c r="X12" i="6" s="1"/>
  <c r="P12" i="6"/>
  <c r="N12" i="6"/>
  <c r="L12" i="6"/>
  <c r="H12" i="6"/>
  <c r="D12" i="6"/>
  <c r="F24" i="6" s="1"/>
  <c r="D4" i="6"/>
  <c r="X369" i="3"/>
  <c r="T369" i="3"/>
  <c r="Z369" i="3" s="1"/>
  <c r="P369" i="3"/>
  <c r="N369" i="3"/>
  <c r="H369" i="3"/>
  <c r="D369" i="3"/>
  <c r="L369" i="3" s="1"/>
  <c r="X368" i="3"/>
  <c r="T368" i="3"/>
  <c r="Z368" i="3" s="1"/>
  <c r="P368" i="3"/>
  <c r="N368" i="3"/>
  <c r="H368" i="3"/>
  <c r="D368" i="3"/>
  <c r="L368" i="3" s="1"/>
  <c r="X364" i="3"/>
  <c r="Z364" i="3" s="1"/>
  <c r="L364" i="3"/>
  <c r="N364" i="3" s="1"/>
  <c r="T360" i="3"/>
  <c r="P360" i="3"/>
  <c r="X360" i="3" s="1"/>
  <c r="H360" i="3"/>
  <c r="D360" i="3"/>
  <c r="B360" i="3"/>
  <c r="X359" i="3"/>
  <c r="Z359" i="3" s="1"/>
  <c r="T359" i="3"/>
  <c r="P359" i="3"/>
  <c r="H359" i="3"/>
  <c r="N359" i="3" s="1"/>
  <c r="D359" i="3"/>
  <c r="B359" i="3"/>
  <c r="Z358" i="3"/>
  <c r="X358" i="3"/>
  <c r="T358" i="3"/>
  <c r="P358" i="3"/>
  <c r="H358" i="3"/>
  <c r="N358" i="3" s="1"/>
  <c r="D358" i="3"/>
  <c r="L358" i="3" s="1"/>
  <c r="B358" i="3"/>
  <c r="T357" i="3"/>
  <c r="X357" i="3" s="1"/>
  <c r="Z357" i="3" s="1"/>
  <c r="P357" i="3"/>
  <c r="N357" i="3"/>
  <c r="H357" i="3"/>
  <c r="D357" i="3"/>
  <c r="L357" i="3" s="1"/>
  <c r="B357" i="3"/>
  <c r="X356" i="3"/>
  <c r="T356" i="3"/>
  <c r="Z356" i="3" s="1"/>
  <c r="P356" i="3"/>
  <c r="H356" i="3"/>
  <c r="D356" i="3"/>
  <c r="L356" i="3" s="1"/>
  <c r="N356" i="3" s="1"/>
  <c r="B356" i="3"/>
  <c r="T355" i="3"/>
  <c r="P355" i="3"/>
  <c r="X355" i="3" s="1"/>
  <c r="Z355" i="3" s="1"/>
  <c r="H355" i="3"/>
  <c r="H347" i="3" s="1"/>
  <c r="D355" i="3"/>
  <c r="B355" i="3"/>
  <c r="T354" i="3"/>
  <c r="P354" i="3"/>
  <c r="H354" i="3"/>
  <c r="N354" i="3" s="1"/>
  <c r="D354" i="3"/>
  <c r="L354" i="3" s="1"/>
  <c r="B354" i="3"/>
  <c r="T353" i="3"/>
  <c r="P353" i="3"/>
  <c r="L353" i="3"/>
  <c r="N353" i="3" s="1"/>
  <c r="H353" i="3"/>
  <c r="D353" i="3"/>
  <c r="B353" i="3"/>
  <c r="T352" i="3"/>
  <c r="Z352" i="3" s="1"/>
  <c r="P352" i="3"/>
  <c r="X352" i="3" s="1"/>
  <c r="N352" i="3"/>
  <c r="L352" i="3"/>
  <c r="H352" i="3"/>
  <c r="D352" i="3"/>
  <c r="B352" i="3"/>
  <c r="X351" i="3"/>
  <c r="Z351" i="3" s="1"/>
  <c r="T351" i="3"/>
  <c r="P351" i="3"/>
  <c r="H351" i="3"/>
  <c r="D351" i="3"/>
  <c r="L351" i="3" s="1"/>
  <c r="N351" i="3" s="1"/>
  <c r="B351" i="3"/>
  <c r="Z350" i="3"/>
  <c r="T350" i="3"/>
  <c r="P350" i="3"/>
  <c r="X350" i="3" s="1"/>
  <c r="L350" i="3"/>
  <c r="H350" i="3"/>
  <c r="N350" i="3" s="1"/>
  <c r="D350" i="3"/>
  <c r="B350" i="3"/>
  <c r="T349" i="3"/>
  <c r="P349" i="3"/>
  <c r="H349" i="3"/>
  <c r="D349" i="3"/>
  <c r="B349" i="3"/>
  <c r="T348" i="3"/>
  <c r="T347" i="3" s="1"/>
  <c r="P348" i="3"/>
  <c r="H348" i="3"/>
  <c r="D348" i="3"/>
  <c r="B348" i="3"/>
  <c r="X345" i="3"/>
  <c r="Z345" i="3" s="1"/>
  <c r="N345" i="3"/>
  <c r="L345" i="3"/>
  <c r="B345" i="3"/>
  <c r="Z344" i="3"/>
  <c r="T344" i="3"/>
  <c r="P344" i="3"/>
  <c r="X344" i="3" s="1"/>
  <c r="L344" i="3"/>
  <c r="H344" i="3"/>
  <c r="N344" i="3" s="1"/>
  <c r="D344" i="3"/>
  <c r="B344" i="3"/>
  <c r="X343" i="3"/>
  <c r="Z343" i="3" s="1"/>
  <c r="N343" i="3"/>
  <c r="L343" i="3"/>
  <c r="B343" i="3"/>
  <c r="X342" i="3"/>
  <c r="Z342" i="3" s="1"/>
  <c r="L342" i="3"/>
  <c r="N342" i="3" s="1"/>
  <c r="B342" i="3"/>
  <c r="Z341" i="3"/>
  <c r="X341" i="3"/>
  <c r="L341" i="3"/>
  <c r="N341" i="3" s="1"/>
  <c r="B341" i="3"/>
  <c r="Z340" i="3"/>
  <c r="X340" i="3"/>
  <c r="T340" i="3"/>
  <c r="P340" i="3"/>
  <c r="L340" i="3"/>
  <c r="H340" i="3"/>
  <c r="N340" i="3" s="1"/>
  <c r="D340" i="3"/>
  <c r="B340" i="3"/>
  <c r="Z339" i="3"/>
  <c r="X339" i="3"/>
  <c r="N339" i="3"/>
  <c r="L339" i="3"/>
  <c r="B339" i="3"/>
  <c r="T338" i="3"/>
  <c r="Z338" i="3" s="1"/>
  <c r="P338" i="3"/>
  <c r="X338" i="3" s="1"/>
  <c r="H338" i="3"/>
  <c r="D338" i="3"/>
  <c r="B338" i="3"/>
  <c r="X337" i="3"/>
  <c r="Z337" i="3" s="1"/>
  <c r="N337" i="3"/>
  <c r="L337" i="3"/>
  <c r="B337" i="3"/>
  <c r="Z336" i="3"/>
  <c r="X336" i="3"/>
  <c r="N336" i="3"/>
  <c r="L336" i="3"/>
  <c r="B336" i="3"/>
  <c r="T335" i="3"/>
  <c r="P335" i="3"/>
  <c r="L335" i="3"/>
  <c r="N335" i="3" s="1"/>
  <c r="H335" i="3"/>
  <c r="D335" i="3"/>
  <c r="B335" i="3"/>
  <c r="X334" i="3"/>
  <c r="Z334" i="3" s="1"/>
  <c r="N334" i="3"/>
  <c r="L334" i="3"/>
  <c r="B334" i="3"/>
  <c r="Z333" i="3"/>
  <c r="X333" i="3"/>
  <c r="L333" i="3"/>
  <c r="N333" i="3" s="1"/>
  <c r="B333" i="3"/>
  <c r="Z332" i="3"/>
  <c r="X332" i="3"/>
  <c r="N332" i="3"/>
  <c r="L332" i="3"/>
  <c r="B332" i="3"/>
  <c r="X331" i="3"/>
  <c r="Z331" i="3" s="1"/>
  <c r="N331" i="3"/>
  <c r="L331" i="3"/>
  <c r="B331" i="3"/>
  <c r="X330" i="3"/>
  <c r="Z330" i="3" s="1"/>
  <c r="L330" i="3"/>
  <c r="N330" i="3" s="1"/>
  <c r="B330" i="3"/>
  <c r="Z329" i="3"/>
  <c r="X329" i="3"/>
  <c r="L329" i="3"/>
  <c r="N329" i="3" s="1"/>
  <c r="B329" i="3"/>
  <c r="Z328" i="3"/>
  <c r="X328" i="3"/>
  <c r="L328" i="3"/>
  <c r="N328" i="3" s="1"/>
  <c r="B328" i="3"/>
  <c r="X327" i="3"/>
  <c r="Z327" i="3" s="1"/>
  <c r="N327" i="3"/>
  <c r="L327" i="3"/>
  <c r="B327" i="3"/>
  <c r="Z326" i="3"/>
  <c r="X326" i="3"/>
  <c r="N326" i="3"/>
  <c r="L326" i="3"/>
  <c r="B326" i="3"/>
  <c r="Z325" i="3"/>
  <c r="X325" i="3"/>
  <c r="L325" i="3"/>
  <c r="N325" i="3" s="1"/>
  <c r="B325" i="3"/>
  <c r="Z324" i="3"/>
  <c r="X324" i="3"/>
  <c r="T324" i="3"/>
  <c r="P324" i="3"/>
  <c r="H324" i="3"/>
  <c r="N324" i="3" s="1"/>
  <c r="D324" i="3"/>
  <c r="L324" i="3" s="1"/>
  <c r="B324" i="3"/>
  <c r="Z323" i="3"/>
  <c r="X323" i="3"/>
  <c r="N323" i="3"/>
  <c r="L323" i="3"/>
  <c r="B323" i="3"/>
  <c r="X322" i="3"/>
  <c r="Z322" i="3" s="1"/>
  <c r="L322" i="3"/>
  <c r="N322" i="3" s="1"/>
  <c r="B322" i="3"/>
  <c r="T321" i="3"/>
  <c r="P321" i="3"/>
  <c r="X321" i="3" s="1"/>
  <c r="Z321" i="3" s="1"/>
  <c r="H321" i="3"/>
  <c r="D321" i="3"/>
  <c r="L321" i="3" s="1"/>
  <c r="N321" i="3" s="1"/>
  <c r="B321" i="3"/>
  <c r="Z320" i="3"/>
  <c r="X320" i="3"/>
  <c r="N320" i="3"/>
  <c r="L320" i="3"/>
  <c r="B320" i="3"/>
  <c r="Z319" i="3"/>
  <c r="X319" i="3"/>
  <c r="L319" i="3"/>
  <c r="N319" i="3" s="1"/>
  <c r="B319" i="3"/>
  <c r="X318" i="3"/>
  <c r="Z318" i="3" s="1"/>
  <c r="L318" i="3"/>
  <c r="N318" i="3" s="1"/>
  <c r="B318" i="3"/>
  <c r="X317" i="3"/>
  <c r="Z317" i="3" s="1"/>
  <c r="N317" i="3"/>
  <c r="L317" i="3"/>
  <c r="B317" i="3"/>
  <c r="Z316" i="3"/>
  <c r="X316" i="3"/>
  <c r="N316" i="3"/>
  <c r="L316" i="3"/>
  <c r="B316" i="3"/>
  <c r="T315" i="3"/>
  <c r="P315" i="3"/>
  <c r="L315" i="3"/>
  <c r="N315" i="3" s="1"/>
  <c r="H315" i="3"/>
  <c r="D315" i="3"/>
  <c r="B315" i="3"/>
  <c r="X314" i="3"/>
  <c r="Z314" i="3" s="1"/>
  <c r="L314" i="3"/>
  <c r="N314" i="3" s="1"/>
  <c r="B314" i="3"/>
  <c r="Z313" i="3"/>
  <c r="X313" i="3"/>
  <c r="L313" i="3"/>
  <c r="N313" i="3" s="1"/>
  <c r="B313" i="3"/>
  <c r="Z312" i="3"/>
  <c r="X312" i="3"/>
  <c r="N312" i="3"/>
  <c r="L312" i="3"/>
  <c r="B312" i="3"/>
  <c r="T311" i="3"/>
  <c r="P311" i="3"/>
  <c r="H311" i="3"/>
  <c r="D311" i="3"/>
  <c r="L311" i="3" s="1"/>
  <c r="N311" i="3" s="1"/>
  <c r="B311" i="3"/>
  <c r="X310" i="3"/>
  <c r="Z310" i="3" s="1"/>
  <c r="L310" i="3"/>
  <c r="N310" i="3" s="1"/>
  <c r="B310" i="3"/>
  <c r="X309" i="3"/>
  <c r="Z309" i="3" s="1"/>
  <c r="L309" i="3"/>
  <c r="N309" i="3" s="1"/>
  <c r="B309" i="3"/>
  <c r="X308" i="3"/>
  <c r="Z308" i="3" s="1"/>
  <c r="N308" i="3"/>
  <c r="L308" i="3"/>
  <c r="B308" i="3"/>
  <c r="Z307" i="3"/>
  <c r="X307" i="3"/>
  <c r="N307" i="3"/>
  <c r="L307" i="3"/>
  <c r="B307" i="3"/>
  <c r="T306" i="3"/>
  <c r="P306" i="3"/>
  <c r="L306" i="3"/>
  <c r="H306" i="3"/>
  <c r="N306" i="3" s="1"/>
  <c r="D306" i="3"/>
  <c r="B306" i="3"/>
  <c r="X305" i="3"/>
  <c r="Z305" i="3" s="1"/>
  <c r="N305" i="3"/>
  <c r="L305" i="3"/>
  <c r="B305" i="3"/>
  <c r="T304" i="3"/>
  <c r="P304" i="3"/>
  <c r="X304" i="3" s="1"/>
  <c r="Z304" i="3" s="1"/>
  <c r="L304" i="3"/>
  <c r="H304" i="3"/>
  <c r="N304" i="3" s="1"/>
  <c r="D304" i="3"/>
  <c r="B304" i="3"/>
  <c r="Z303" i="3"/>
  <c r="X303" i="3"/>
  <c r="N303" i="3"/>
  <c r="L303" i="3"/>
  <c r="B303" i="3"/>
  <c r="T302" i="3"/>
  <c r="Z302" i="3" s="1"/>
  <c r="P302" i="3"/>
  <c r="X302" i="3" s="1"/>
  <c r="N302" i="3"/>
  <c r="L302" i="3"/>
  <c r="H302" i="3"/>
  <c r="D302" i="3"/>
  <c r="B302" i="3"/>
  <c r="X301" i="3"/>
  <c r="Z301" i="3" s="1"/>
  <c r="N301" i="3"/>
  <c r="L301" i="3"/>
  <c r="B301" i="3"/>
  <c r="T300" i="3"/>
  <c r="P300" i="3"/>
  <c r="H300" i="3"/>
  <c r="N300" i="3" s="1"/>
  <c r="D300" i="3"/>
  <c r="B300" i="3"/>
  <c r="Z299" i="3"/>
  <c r="X299" i="3"/>
  <c r="N299" i="3"/>
  <c r="L299" i="3"/>
  <c r="B299" i="3"/>
  <c r="X298" i="3"/>
  <c r="Z298" i="3" s="1"/>
  <c r="L298" i="3"/>
  <c r="N298" i="3" s="1"/>
  <c r="B298" i="3"/>
  <c r="X297" i="3"/>
  <c r="Z297" i="3" s="1"/>
  <c r="N297" i="3"/>
  <c r="L297" i="3"/>
  <c r="B297" i="3"/>
  <c r="Z296" i="3"/>
  <c r="X296" i="3"/>
  <c r="N296" i="3"/>
  <c r="L296" i="3"/>
  <c r="B296" i="3"/>
  <c r="Z295" i="3"/>
  <c r="X295" i="3"/>
  <c r="N295" i="3"/>
  <c r="L295" i="3"/>
  <c r="B295" i="3"/>
  <c r="X294" i="3"/>
  <c r="Z294" i="3" s="1"/>
  <c r="L294" i="3"/>
  <c r="N294" i="3" s="1"/>
  <c r="B294" i="3"/>
  <c r="X293" i="3"/>
  <c r="Z293" i="3" s="1"/>
  <c r="N293" i="3"/>
  <c r="L293" i="3"/>
  <c r="B293" i="3"/>
  <c r="Z292" i="3"/>
  <c r="X292" i="3"/>
  <c r="N292" i="3"/>
  <c r="L292" i="3"/>
  <c r="B292" i="3"/>
  <c r="Z291" i="3"/>
  <c r="X291" i="3"/>
  <c r="N291" i="3"/>
  <c r="L291" i="3"/>
  <c r="B291" i="3"/>
  <c r="X290" i="3"/>
  <c r="Z290" i="3" s="1"/>
  <c r="L290" i="3"/>
  <c r="N290" i="3" s="1"/>
  <c r="B290" i="3"/>
  <c r="X289" i="3"/>
  <c r="Z289" i="3" s="1"/>
  <c r="N289" i="3"/>
  <c r="L289" i="3"/>
  <c r="B289" i="3"/>
  <c r="Z288" i="3"/>
  <c r="X288" i="3"/>
  <c r="N288" i="3"/>
  <c r="L288" i="3"/>
  <c r="B288" i="3"/>
  <c r="Z287" i="3"/>
  <c r="X287" i="3"/>
  <c r="N287" i="3"/>
  <c r="L287" i="3"/>
  <c r="B287" i="3"/>
  <c r="X286" i="3"/>
  <c r="Z286" i="3" s="1"/>
  <c r="L286" i="3"/>
  <c r="N286" i="3" s="1"/>
  <c r="B286" i="3"/>
  <c r="X285" i="3"/>
  <c r="Z285" i="3" s="1"/>
  <c r="N285" i="3"/>
  <c r="L285" i="3"/>
  <c r="B285" i="3"/>
  <c r="Z284" i="3"/>
  <c r="X284" i="3"/>
  <c r="N284" i="3"/>
  <c r="L284" i="3"/>
  <c r="B284" i="3"/>
  <c r="Z283" i="3"/>
  <c r="X283" i="3"/>
  <c r="N283" i="3"/>
  <c r="L283" i="3"/>
  <c r="B283" i="3"/>
  <c r="X282" i="3"/>
  <c r="Z282" i="3" s="1"/>
  <c r="L282" i="3"/>
  <c r="N282" i="3" s="1"/>
  <c r="B282" i="3"/>
  <c r="X281" i="3"/>
  <c r="Z281" i="3" s="1"/>
  <c r="N281" i="3"/>
  <c r="L281" i="3"/>
  <c r="B281" i="3"/>
  <c r="Z280" i="3"/>
  <c r="X280" i="3"/>
  <c r="N280" i="3"/>
  <c r="L280" i="3"/>
  <c r="B280" i="3"/>
  <c r="Z279" i="3"/>
  <c r="X279" i="3"/>
  <c r="N279" i="3"/>
  <c r="L279" i="3"/>
  <c r="B279" i="3"/>
  <c r="X278" i="3"/>
  <c r="Z278" i="3" s="1"/>
  <c r="L278" i="3"/>
  <c r="N278" i="3" s="1"/>
  <c r="B278" i="3"/>
  <c r="X277" i="3"/>
  <c r="Z277" i="3" s="1"/>
  <c r="N277" i="3"/>
  <c r="L277" i="3"/>
  <c r="B277" i="3"/>
  <c r="Z276" i="3"/>
  <c r="X276" i="3"/>
  <c r="N276" i="3"/>
  <c r="L276" i="3"/>
  <c r="B276" i="3"/>
  <c r="Z275" i="3"/>
  <c r="X275" i="3"/>
  <c r="N275" i="3"/>
  <c r="L275" i="3"/>
  <c r="B275" i="3"/>
  <c r="X274" i="3"/>
  <c r="Z274" i="3" s="1"/>
  <c r="L274" i="3"/>
  <c r="N274" i="3" s="1"/>
  <c r="B274" i="3"/>
  <c r="X273" i="3"/>
  <c r="Z273" i="3" s="1"/>
  <c r="N273" i="3"/>
  <c r="L273" i="3"/>
  <c r="B273" i="3"/>
  <c r="Z272" i="3"/>
  <c r="X272" i="3"/>
  <c r="N272" i="3"/>
  <c r="L272" i="3"/>
  <c r="B272" i="3"/>
  <c r="Z271" i="3"/>
  <c r="X271" i="3"/>
  <c r="N271" i="3"/>
  <c r="L271" i="3"/>
  <c r="B271" i="3"/>
  <c r="X270" i="3"/>
  <c r="Z270" i="3" s="1"/>
  <c r="L270" i="3"/>
  <c r="N270" i="3" s="1"/>
  <c r="B270" i="3"/>
  <c r="X269" i="3"/>
  <c r="Z269" i="3" s="1"/>
  <c r="N269" i="3"/>
  <c r="L269" i="3"/>
  <c r="B269" i="3"/>
  <c r="Z268" i="3"/>
  <c r="X268" i="3"/>
  <c r="N268" i="3"/>
  <c r="L268" i="3"/>
  <c r="B268" i="3"/>
  <c r="Z267" i="3"/>
  <c r="X267" i="3"/>
  <c r="N267" i="3"/>
  <c r="L267" i="3"/>
  <c r="B267" i="3"/>
  <c r="X266" i="3"/>
  <c r="Z266" i="3" s="1"/>
  <c r="L266" i="3"/>
  <c r="N266" i="3" s="1"/>
  <c r="B266" i="3"/>
  <c r="X265" i="3"/>
  <c r="Z265" i="3" s="1"/>
  <c r="N265" i="3"/>
  <c r="L265" i="3"/>
  <c r="B265" i="3"/>
  <c r="Z264" i="3"/>
  <c r="X264" i="3"/>
  <c r="N264" i="3"/>
  <c r="L264" i="3"/>
  <c r="B264" i="3"/>
  <c r="Z263" i="3"/>
  <c r="X263" i="3"/>
  <c r="L263" i="3"/>
  <c r="N263" i="3" s="1"/>
  <c r="B263" i="3"/>
  <c r="X262" i="3"/>
  <c r="T262" i="3"/>
  <c r="Z262" i="3" s="1"/>
  <c r="P262" i="3"/>
  <c r="N262" i="3"/>
  <c r="H262" i="3"/>
  <c r="D262" i="3"/>
  <c r="L262" i="3" s="1"/>
  <c r="B262" i="3"/>
  <c r="Z261" i="3"/>
  <c r="X261" i="3"/>
  <c r="L261" i="3"/>
  <c r="N261" i="3" s="1"/>
  <c r="B261" i="3"/>
  <c r="Z260" i="3"/>
  <c r="X260" i="3"/>
  <c r="T260" i="3"/>
  <c r="P260" i="3"/>
  <c r="H260" i="3"/>
  <c r="N260" i="3" s="1"/>
  <c r="D260" i="3"/>
  <c r="L260" i="3" s="1"/>
  <c r="B260" i="3"/>
  <c r="Z259" i="3"/>
  <c r="X259" i="3"/>
  <c r="N259" i="3"/>
  <c r="L259" i="3"/>
  <c r="B259" i="3"/>
  <c r="T258" i="3"/>
  <c r="P258" i="3"/>
  <c r="H258" i="3"/>
  <c r="D258" i="3"/>
  <c r="B258" i="3"/>
  <c r="X257" i="3"/>
  <c r="Z257" i="3" s="1"/>
  <c r="N257" i="3"/>
  <c r="L257" i="3"/>
  <c r="B257" i="3"/>
  <c r="Z256" i="3"/>
  <c r="X256" i="3"/>
  <c r="N256" i="3"/>
  <c r="L256" i="3"/>
  <c r="B256" i="3"/>
  <c r="T255" i="3"/>
  <c r="P255" i="3"/>
  <c r="X255" i="3" s="1"/>
  <c r="L255" i="3"/>
  <c r="N255" i="3" s="1"/>
  <c r="H255" i="3"/>
  <c r="D255" i="3"/>
  <c r="B255" i="3"/>
  <c r="X254" i="3"/>
  <c r="Z254" i="3" s="1"/>
  <c r="L254" i="3"/>
  <c r="N254" i="3" s="1"/>
  <c r="B254" i="3"/>
  <c r="Z253" i="3"/>
  <c r="X253" i="3"/>
  <c r="L253" i="3"/>
  <c r="N253" i="3" s="1"/>
  <c r="B253" i="3"/>
  <c r="Z252" i="3"/>
  <c r="X252" i="3"/>
  <c r="T252" i="3"/>
  <c r="P252" i="3"/>
  <c r="H252" i="3"/>
  <c r="N252" i="3" s="1"/>
  <c r="D252" i="3"/>
  <c r="L252" i="3" s="1"/>
  <c r="B252" i="3"/>
  <c r="Z251" i="3"/>
  <c r="X251" i="3"/>
  <c r="N251" i="3"/>
  <c r="L251" i="3"/>
  <c r="B251" i="3"/>
  <c r="T250" i="3"/>
  <c r="P250" i="3"/>
  <c r="H250" i="3"/>
  <c r="D250" i="3"/>
  <c r="B250" i="3"/>
  <c r="X249" i="3"/>
  <c r="Z249" i="3" s="1"/>
  <c r="N249" i="3"/>
  <c r="L249" i="3"/>
  <c r="B249" i="3"/>
  <c r="T248" i="3"/>
  <c r="P248" i="3"/>
  <c r="X248" i="3" s="1"/>
  <c r="Z248" i="3" s="1"/>
  <c r="H248" i="3"/>
  <c r="N248" i="3" s="1"/>
  <c r="D248" i="3"/>
  <c r="L248" i="3" s="1"/>
  <c r="B248" i="3"/>
  <c r="Z247" i="3"/>
  <c r="X247" i="3"/>
  <c r="N247" i="3"/>
  <c r="L247" i="3"/>
  <c r="B247" i="3"/>
  <c r="T246" i="3"/>
  <c r="P246" i="3"/>
  <c r="X246" i="3" s="1"/>
  <c r="N246" i="3"/>
  <c r="L246" i="3"/>
  <c r="H246" i="3"/>
  <c r="D246" i="3"/>
  <c r="B246" i="3"/>
  <c r="X245" i="3"/>
  <c r="Z245" i="3" s="1"/>
  <c r="L245" i="3"/>
  <c r="N245" i="3" s="1"/>
  <c r="B245" i="3"/>
  <c r="X244" i="3"/>
  <c r="Z244" i="3" s="1"/>
  <c r="N244" i="3"/>
  <c r="L244" i="3"/>
  <c r="B244" i="3"/>
  <c r="T243" i="3"/>
  <c r="P243" i="3"/>
  <c r="X243" i="3" s="1"/>
  <c r="Z243" i="3" s="1"/>
  <c r="H243" i="3"/>
  <c r="D243" i="3"/>
  <c r="L243" i="3" s="1"/>
  <c r="N243" i="3" s="1"/>
  <c r="B243" i="3"/>
  <c r="X242" i="3"/>
  <c r="Z242" i="3" s="1"/>
  <c r="L242" i="3"/>
  <c r="N242" i="3" s="1"/>
  <c r="B242" i="3"/>
  <c r="X241" i="3"/>
  <c r="Z241" i="3" s="1"/>
  <c r="N241" i="3"/>
  <c r="L241" i="3"/>
  <c r="B241" i="3"/>
  <c r="Z240" i="3"/>
  <c r="X240" i="3"/>
  <c r="N240" i="3"/>
  <c r="L240" i="3"/>
  <c r="B240" i="3"/>
  <c r="T239" i="3"/>
  <c r="P239" i="3"/>
  <c r="X239" i="3" s="1"/>
  <c r="L239" i="3"/>
  <c r="N239" i="3" s="1"/>
  <c r="H239" i="3"/>
  <c r="D239" i="3"/>
  <c r="B239" i="3"/>
  <c r="X238" i="3"/>
  <c r="Z238" i="3" s="1"/>
  <c r="L238" i="3"/>
  <c r="N238" i="3" s="1"/>
  <c r="B238" i="3"/>
  <c r="T237" i="3"/>
  <c r="P237" i="3"/>
  <c r="X237" i="3" s="1"/>
  <c r="Z237" i="3" s="1"/>
  <c r="H237" i="3"/>
  <c r="D237" i="3"/>
  <c r="B237" i="3"/>
  <c r="Z236" i="3"/>
  <c r="X236" i="3"/>
  <c r="N236" i="3"/>
  <c r="L236" i="3"/>
  <c r="B236" i="3"/>
  <c r="Z235" i="3"/>
  <c r="X235" i="3"/>
  <c r="N235" i="3"/>
  <c r="L235" i="3"/>
  <c r="B235" i="3"/>
  <c r="T234" i="3"/>
  <c r="P234" i="3"/>
  <c r="H234" i="3"/>
  <c r="D234" i="3"/>
  <c r="B234" i="3"/>
  <c r="X233" i="3"/>
  <c r="Z233" i="3" s="1"/>
  <c r="N233" i="3"/>
  <c r="L233" i="3"/>
  <c r="B233" i="3"/>
  <c r="T232" i="3"/>
  <c r="P232" i="3"/>
  <c r="X232" i="3" s="1"/>
  <c r="Z232" i="3" s="1"/>
  <c r="H232" i="3"/>
  <c r="N232" i="3" s="1"/>
  <c r="D232" i="3"/>
  <c r="L232" i="3" s="1"/>
  <c r="B232" i="3"/>
  <c r="Z231" i="3"/>
  <c r="X231" i="3"/>
  <c r="N231" i="3"/>
  <c r="L231" i="3"/>
  <c r="B231" i="3"/>
  <c r="X230" i="3"/>
  <c r="Z230" i="3" s="1"/>
  <c r="L230" i="3"/>
  <c r="N230" i="3" s="1"/>
  <c r="B230" i="3"/>
  <c r="Z229" i="3"/>
  <c r="X229" i="3"/>
  <c r="L229" i="3"/>
  <c r="N229" i="3" s="1"/>
  <c r="B229" i="3"/>
  <c r="Z228" i="3"/>
  <c r="X228" i="3"/>
  <c r="L228" i="3"/>
  <c r="N228" i="3" s="1"/>
  <c r="B228" i="3"/>
  <c r="Z227" i="3"/>
  <c r="X227" i="3"/>
  <c r="N227" i="3"/>
  <c r="L227" i="3"/>
  <c r="B227" i="3"/>
  <c r="X226" i="3"/>
  <c r="Z226" i="3" s="1"/>
  <c r="L226" i="3"/>
  <c r="N226" i="3" s="1"/>
  <c r="B226" i="3"/>
  <c r="Z225" i="3"/>
  <c r="X225" i="3"/>
  <c r="L225" i="3"/>
  <c r="N225" i="3" s="1"/>
  <c r="B225" i="3"/>
  <c r="Z224" i="3"/>
  <c r="X224" i="3"/>
  <c r="T224" i="3"/>
  <c r="P224" i="3"/>
  <c r="H224" i="3"/>
  <c r="D224" i="3"/>
  <c r="L224" i="3" s="1"/>
  <c r="B224" i="3"/>
  <c r="Z223" i="3"/>
  <c r="X223" i="3"/>
  <c r="N223" i="3"/>
  <c r="L223" i="3"/>
  <c r="B223" i="3"/>
  <c r="X222" i="3"/>
  <c r="Z222" i="3" s="1"/>
  <c r="L222" i="3"/>
  <c r="N222" i="3" s="1"/>
  <c r="B222" i="3"/>
  <c r="X221" i="3"/>
  <c r="Z221" i="3" s="1"/>
  <c r="L221" i="3"/>
  <c r="N221" i="3" s="1"/>
  <c r="B221" i="3"/>
  <c r="X220" i="3"/>
  <c r="Z220" i="3" s="1"/>
  <c r="N220" i="3"/>
  <c r="L220" i="3"/>
  <c r="B220" i="3"/>
  <c r="Z219" i="3"/>
  <c r="X219" i="3"/>
  <c r="N219" i="3"/>
  <c r="L219" i="3"/>
  <c r="B219" i="3"/>
  <c r="X218" i="3"/>
  <c r="Z218" i="3" s="1"/>
  <c r="L218" i="3"/>
  <c r="N218" i="3" s="1"/>
  <c r="B218" i="3"/>
  <c r="X217" i="3"/>
  <c r="Z217" i="3" s="1"/>
  <c r="L217" i="3"/>
  <c r="N217" i="3" s="1"/>
  <c r="B217" i="3"/>
  <c r="X216" i="3"/>
  <c r="Z216" i="3" s="1"/>
  <c r="N216" i="3"/>
  <c r="L216" i="3"/>
  <c r="B216" i="3"/>
  <c r="Z215" i="3"/>
  <c r="X215" i="3"/>
  <c r="N215" i="3"/>
  <c r="L215" i="3"/>
  <c r="B215" i="3"/>
  <c r="T214" i="3"/>
  <c r="P214" i="3"/>
  <c r="H214" i="3"/>
  <c r="D214" i="3"/>
  <c r="B214" i="3"/>
  <c r="T213" i="3"/>
  <c r="P213" i="3"/>
  <c r="X213" i="3" s="1"/>
  <c r="Z213" i="3" s="1"/>
  <c r="H213" i="3"/>
  <c r="D213" i="3"/>
  <c r="X209" i="3"/>
  <c r="Z209" i="3" s="1"/>
  <c r="L209" i="3"/>
  <c r="N209" i="3" s="1"/>
  <c r="B209" i="3"/>
  <c r="Z208" i="3"/>
  <c r="X208" i="3"/>
  <c r="N208" i="3"/>
  <c r="L208" i="3"/>
  <c r="B208" i="3"/>
  <c r="Z207" i="3"/>
  <c r="X207" i="3"/>
  <c r="N207" i="3"/>
  <c r="L207" i="3"/>
  <c r="B207" i="3"/>
  <c r="X206" i="3"/>
  <c r="Z206" i="3" s="1"/>
  <c r="N206" i="3"/>
  <c r="L206" i="3"/>
  <c r="B206" i="3"/>
  <c r="X205" i="3"/>
  <c r="Z205" i="3" s="1"/>
  <c r="N205" i="3"/>
  <c r="L205" i="3"/>
  <c r="B205" i="3"/>
  <c r="Z204" i="3"/>
  <c r="X204" i="3"/>
  <c r="N204" i="3"/>
  <c r="L204" i="3"/>
  <c r="B204" i="3"/>
  <c r="Z203" i="3"/>
  <c r="X203" i="3"/>
  <c r="L203" i="3"/>
  <c r="N203" i="3" s="1"/>
  <c r="B203" i="3"/>
  <c r="X202" i="3"/>
  <c r="Z202" i="3" s="1"/>
  <c r="N202" i="3"/>
  <c r="L202" i="3"/>
  <c r="B202" i="3"/>
  <c r="X201" i="3"/>
  <c r="Z201" i="3" s="1"/>
  <c r="N201" i="3"/>
  <c r="L201" i="3"/>
  <c r="B201" i="3"/>
  <c r="Z200" i="3"/>
  <c r="X200" i="3"/>
  <c r="N200" i="3"/>
  <c r="L200" i="3"/>
  <c r="B200" i="3"/>
  <c r="Z199" i="3"/>
  <c r="X199" i="3"/>
  <c r="L199" i="3"/>
  <c r="N199" i="3" s="1"/>
  <c r="B199" i="3"/>
  <c r="X198" i="3"/>
  <c r="Z198" i="3" s="1"/>
  <c r="L198" i="3"/>
  <c r="N198" i="3" s="1"/>
  <c r="B198" i="3"/>
  <c r="X197" i="3"/>
  <c r="Z197" i="3" s="1"/>
  <c r="L197" i="3"/>
  <c r="N197" i="3" s="1"/>
  <c r="B197" i="3"/>
  <c r="Z196" i="3"/>
  <c r="X196" i="3"/>
  <c r="N196" i="3"/>
  <c r="L196" i="3"/>
  <c r="B196" i="3"/>
  <c r="Z195" i="3"/>
  <c r="X195" i="3"/>
  <c r="L195" i="3"/>
  <c r="N195" i="3" s="1"/>
  <c r="B195" i="3"/>
  <c r="X194" i="3"/>
  <c r="Z194" i="3" s="1"/>
  <c r="N194" i="3"/>
  <c r="L194" i="3"/>
  <c r="B194" i="3"/>
  <c r="Z193" i="3"/>
  <c r="X193" i="3"/>
  <c r="N193" i="3"/>
  <c r="L193" i="3"/>
  <c r="B193" i="3"/>
  <c r="Z192" i="3"/>
  <c r="X192" i="3"/>
  <c r="N192" i="3"/>
  <c r="L192" i="3"/>
  <c r="B192" i="3"/>
  <c r="Z191" i="3"/>
  <c r="X191" i="3"/>
  <c r="N191" i="3"/>
  <c r="L191" i="3"/>
  <c r="B191" i="3"/>
  <c r="X190" i="3"/>
  <c r="Z190" i="3" s="1"/>
  <c r="L190" i="3"/>
  <c r="N190" i="3" s="1"/>
  <c r="B190" i="3"/>
  <c r="X189" i="3"/>
  <c r="Z189" i="3" s="1"/>
  <c r="L189" i="3"/>
  <c r="N189" i="3" s="1"/>
  <c r="B189" i="3"/>
  <c r="Z188" i="3"/>
  <c r="X188" i="3"/>
  <c r="N188" i="3"/>
  <c r="L188" i="3"/>
  <c r="B188" i="3"/>
  <c r="Z187" i="3"/>
  <c r="X187" i="3"/>
  <c r="L187" i="3"/>
  <c r="N187" i="3" s="1"/>
  <c r="B187" i="3"/>
  <c r="X186" i="3"/>
  <c r="Z186" i="3" s="1"/>
  <c r="L186" i="3"/>
  <c r="N186" i="3" s="1"/>
  <c r="B186" i="3"/>
  <c r="Z185" i="3"/>
  <c r="X185" i="3"/>
  <c r="N185" i="3"/>
  <c r="L185" i="3"/>
  <c r="B185" i="3"/>
  <c r="Z184" i="3"/>
  <c r="X184" i="3"/>
  <c r="L184" i="3"/>
  <c r="N184" i="3" s="1"/>
  <c r="B184" i="3"/>
  <c r="Z183" i="3"/>
  <c r="X183" i="3"/>
  <c r="L183" i="3"/>
  <c r="N183" i="3" s="1"/>
  <c r="B183" i="3"/>
  <c r="X182" i="3"/>
  <c r="Z182" i="3" s="1"/>
  <c r="L182" i="3"/>
  <c r="N182" i="3" s="1"/>
  <c r="B182" i="3"/>
  <c r="Z181" i="3"/>
  <c r="X181" i="3"/>
  <c r="L181" i="3"/>
  <c r="N181" i="3" s="1"/>
  <c r="B181" i="3"/>
  <c r="Z180" i="3"/>
  <c r="X180" i="3"/>
  <c r="N180" i="3"/>
  <c r="L180" i="3"/>
  <c r="B180" i="3"/>
  <c r="Z179" i="3"/>
  <c r="X179" i="3"/>
  <c r="L179" i="3"/>
  <c r="N179" i="3" s="1"/>
  <c r="B179" i="3"/>
  <c r="X178" i="3"/>
  <c r="Z178" i="3" s="1"/>
  <c r="L178" i="3"/>
  <c r="N178" i="3" s="1"/>
  <c r="B178" i="3"/>
  <c r="Z177" i="3"/>
  <c r="X177" i="3"/>
  <c r="L177" i="3"/>
  <c r="N177" i="3" s="1"/>
  <c r="B177" i="3"/>
  <c r="Z176" i="3"/>
  <c r="X176" i="3"/>
  <c r="L176" i="3"/>
  <c r="N176" i="3" s="1"/>
  <c r="B176" i="3"/>
  <c r="Z175" i="3"/>
  <c r="X175" i="3"/>
  <c r="L175" i="3"/>
  <c r="N175" i="3" s="1"/>
  <c r="B175" i="3"/>
  <c r="X174" i="3"/>
  <c r="Z174" i="3" s="1"/>
  <c r="L174" i="3"/>
  <c r="N174" i="3" s="1"/>
  <c r="B174" i="3"/>
  <c r="Z173" i="3"/>
  <c r="X173" i="3"/>
  <c r="L173" i="3"/>
  <c r="N173" i="3" s="1"/>
  <c r="B173" i="3"/>
  <c r="Z172" i="3"/>
  <c r="X172" i="3"/>
  <c r="L172" i="3"/>
  <c r="N172" i="3" s="1"/>
  <c r="B172" i="3"/>
  <c r="Z171" i="3"/>
  <c r="X171" i="3"/>
  <c r="L171" i="3"/>
  <c r="N171" i="3" s="1"/>
  <c r="B171" i="3"/>
  <c r="X170" i="3"/>
  <c r="Z170" i="3" s="1"/>
  <c r="L170" i="3"/>
  <c r="N170" i="3" s="1"/>
  <c r="B170" i="3"/>
  <c r="Z169" i="3"/>
  <c r="X169" i="3"/>
  <c r="L169" i="3"/>
  <c r="N169" i="3" s="1"/>
  <c r="B169" i="3"/>
  <c r="Z168" i="3"/>
  <c r="X168" i="3"/>
  <c r="L168" i="3"/>
  <c r="N168" i="3" s="1"/>
  <c r="B168" i="3"/>
  <c r="Z167" i="3"/>
  <c r="X167" i="3"/>
  <c r="N167" i="3"/>
  <c r="L167" i="3"/>
  <c r="B167" i="3"/>
  <c r="X166" i="3"/>
  <c r="Z166" i="3" s="1"/>
  <c r="L166" i="3"/>
  <c r="N166" i="3" s="1"/>
  <c r="B166" i="3"/>
  <c r="Z165" i="3"/>
  <c r="X165" i="3"/>
  <c r="L165" i="3"/>
  <c r="N165" i="3" s="1"/>
  <c r="B165" i="3"/>
  <c r="Z164" i="3"/>
  <c r="X164" i="3"/>
  <c r="N164" i="3"/>
  <c r="L164" i="3"/>
  <c r="B164" i="3"/>
  <c r="Z163" i="3"/>
  <c r="X163" i="3"/>
  <c r="L163" i="3"/>
  <c r="N163" i="3" s="1"/>
  <c r="B163" i="3"/>
  <c r="X162" i="3"/>
  <c r="Z162" i="3" s="1"/>
  <c r="L162" i="3"/>
  <c r="N162" i="3" s="1"/>
  <c r="B162" i="3"/>
  <c r="X161" i="3"/>
  <c r="Z161" i="3" s="1"/>
  <c r="N161" i="3"/>
  <c r="L161" i="3"/>
  <c r="B161" i="3"/>
  <c r="Z160" i="3"/>
  <c r="X160" i="3"/>
  <c r="N160" i="3"/>
  <c r="L160" i="3"/>
  <c r="B160" i="3"/>
  <c r="Z159" i="3"/>
  <c r="X159" i="3"/>
  <c r="L159" i="3"/>
  <c r="N159" i="3" s="1"/>
  <c r="B159" i="3"/>
  <c r="X158" i="3"/>
  <c r="Z158" i="3" s="1"/>
  <c r="L158" i="3"/>
  <c r="N158" i="3" s="1"/>
  <c r="B158" i="3"/>
  <c r="Z157" i="3"/>
  <c r="X157" i="3"/>
  <c r="N157" i="3"/>
  <c r="L157" i="3"/>
  <c r="B157" i="3"/>
  <c r="Z156" i="3"/>
  <c r="X156" i="3"/>
  <c r="N156" i="3"/>
  <c r="L156" i="3"/>
  <c r="B156" i="3"/>
  <c r="Z155" i="3"/>
  <c r="X155" i="3"/>
  <c r="L155" i="3"/>
  <c r="N155" i="3" s="1"/>
  <c r="B155" i="3"/>
  <c r="X154" i="3"/>
  <c r="Z154" i="3" s="1"/>
  <c r="L154" i="3"/>
  <c r="N154" i="3" s="1"/>
  <c r="B154" i="3"/>
  <c r="X153" i="3"/>
  <c r="Z153" i="3" s="1"/>
  <c r="L153" i="3"/>
  <c r="N153" i="3" s="1"/>
  <c r="B153" i="3"/>
  <c r="Z152" i="3"/>
  <c r="X152" i="3"/>
  <c r="N152" i="3"/>
  <c r="L152" i="3"/>
  <c r="B152" i="3"/>
  <c r="Z151" i="3"/>
  <c r="X151" i="3"/>
  <c r="L151" i="3"/>
  <c r="N151" i="3" s="1"/>
  <c r="B151" i="3"/>
  <c r="X150" i="3"/>
  <c r="Z150" i="3" s="1"/>
  <c r="L150" i="3"/>
  <c r="N150" i="3" s="1"/>
  <c r="B150" i="3"/>
  <c r="X149" i="3"/>
  <c r="Z149" i="3" s="1"/>
  <c r="L149" i="3"/>
  <c r="N149" i="3" s="1"/>
  <c r="B149" i="3"/>
  <c r="T148" i="3"/>
  <c r="P148" i="3"/>
  <c r="X148" i="3" s="1"/>
  <c r="Z148" i="3" s="1"/>
  <c r="H148" i="3"/>
  <c r="D148" i="3"/>
  <c r="L148" i="3" s="1"/>
  <c r="T146" i="3"/>
  <c r="P146" i="3"/>
  <c r="N146" i="3"/>
  <c r="L146" i="3"/>
  <c r="H146" i="3"/>
  <c r="D146" i="3"/>
  <c r="B146" i="3"/>
  <c r="T145" i="3"/>
  <c r="P145" i="3"/>
  <c r="L145" i="3"/>
  <c r="H145" i="3"/>
  <c r="N145" i="3" s="1"/>
  <c r="D145" i="3"/>
  <c r="B145" i="3"/>
  <c r="T144" i="3"/>
  <c r="P144" i="3"/>
  <c r="X144" i="3" s="1"/>
  <c r="L144" i="3"/>
  <c r="H144" i="3"/>
  <c r="D144" i="3"/>
  <c r="B144" i="3"/>
  <c r="X143" i="3"/>
  <c r="T143" i="3"/>
  <c r="Z143" i="3" s="1"/>
  <c r="P143" i="3"/>
  <c r="H143" i="3"/>
  <c r="N143" i="3" s="1"/>
  <c r="D143" i="3"/>
  <c r="B143" i="3"/>
  <c r="T142" i="3"/>
  <c r="Z142" i="3" s="1"/>
  <c r="P142" i="3"/>
  <c r="N142" i="3"/>
  <c r="L142" i="3"/>
  <c r="H142" i="3"/>
  <c r="D142" i="3"/>
  <c r="B142" i="3"/>
  <c r="T141" i="3"/>
  <c r="P141" i="3"/>
  <c r="H141" i="3"/>
  <c r="D141" i="3"/>
  <c r="L141" i="3" s="1"/>
  <c r="B141" i="3"/>
  <c r="T140" i="3"/>
  <c r="P140" i="3"/>
  <c r="X140" i="3" s="1"/>
  <c r="H140" i="3"/>
  <c r="D140" i="3"/>
  <c r="B140" i="3"/>
  <c r="Z139" i="3"/>
  <c r="X139" i="3"/>
  <c r="T139" i="3"/>
  <c r="P139" i="3"/>
  <c r="H139" i="3"/>
  <c r="L139" i="3" s="1"/>
  <c r="D139" i="3"/>
  <c r="B139" i="3"/>
  <c r="Z138" i="3"/>
  <c r="T138" i="3"/>
  <c r="P138" i="3"/>
  <c r="X138" i="3" s="1"/>
  <c r="N138" i="3"/>
  <c r="H138" i="3"/>
  <c r="D138" i="3"/>
  <c r="L138" i="3" s="1"/>
  <c r="B138" i="3"/>
  <c r="T137" i="3"/>
  <c r="Z137" i="3" s="1"/>
  <c r="P137" i="3"/>
  <c r="H137" i="3"/>
  <c r="N137" i="3" s="1"/>
  <c r="D137" i="3"/>
  <c r="L137" i="3" s="1"/>
  <c r="B137" i="3"/>
  <c r="X136" i="3"/>
  <c r="T136" i="3"/>
  <c r="P136" i="3"/>
  <c r="L136" i="3"/>
  <c r="H136" i="3"/>
  <c r="N136" i="3" s="1"/>
  <c r="D136" i="3"/>
  <c r="B136" i="3"/>
  <c r="T135" i="3"/>
  <c r="X135" i="3" s="1"/>
  <c r="Z135" i="3" s="1"/>
  <c r="P135" i="3"/>
  <c r="N135" i="3"/>
  <c r="L135" i="3"/>
  <c r="H135" i="3"/>
  <c r="D135" i="3"/>
  <c r="B135" i="3"/>
  <c r="T134" i="3"/>
  <c r="P134" i="3"/>
  <c r="X134" i="3" s="1"/>
  <c r="H134" i="3"/>
  <c r="D134" i="3"/>
  <c r="L134" i="3" s="1"/>
  <c r="N134" i="3" s="1"/>
  <c r="B134" i="3"/>
  <c r="T133" i="3"/>
  <c r="P133" i="3"/>
  <c r="X133" i="3" s="1"/>
  <c r="Z133" i="3" s="1"/>
  <c r="H133" i="3"/>
  <c r="D133" i="3"/>
  <c r="L133" i="3" s="1"/>
  <c r="B133" i="3"/>
  <c r="T132" i="3"/>
  <c r="P132" i="3"/>
  <c r="X132" i="3" s="1"/>
  <c r="L132" i="3"/>
  <c r="H132" i="3"/>
  <c r="D132" i="3"/>
  <c r="B132" i="3"/>
  <c r="T131" i="3"/>
  <c r="X131" i="3" s="1"/>
  <c r="P131" i="3"/>
  <c r="L131" i="3"/>
  <c r="H131" i="3"/>
  <c r="N131" i="3" s="1"/>
  <c r="D131" i="3"/>
  <c r="B131" i="3"/>
  <c r="T130" i="3"/>
  <c r="Z130" i="3" s="1"/>
  <c r="P130" i="3"/>
  <c r="X130" i="3" s="1"/>
  <c r="N130" i="3"/>
  <c r="L130" i="3"/>
  <c r="H130" i="3"/>
  <c r="D130" i="3"/>
  <c r="B130" i="3"/>
  <c r="T129" i="3"/>
  <c r="P129" i="3"/>
  <c r="H129" i="3"/>
  <c r="D129" i="3"/>
  <c r="L129" i="3" s="1"/>
  <c r="B129" i="3"/>
  <c r="X128" i="3"/>
  <c r="T128" i="3"/>
  <c r="P128" i="3"/>
  <c r="H128" i="3"/>
  <c r="D128" i="3"/>
  <c r="L128" i="3" s="1"/>
  <c r="B128" i="3"/>
  <c r="T127" i="3"/>
  <c r="P127" i="3"/>
  <c r="X127" i="3" s="1"/>
  <c r="L127" i="3"/>
  <c r="H127" i="3"/>
  <c r="N127" i="3" s="1"/>
  <c r="D127" i="3"/>
  <c r="B127" i="3"/>
  <c r="X126" i="3"/>
  <c r="T126" i="3"/>
  <c r="Z126" i="3" s="1"/>
  <c r="P126" i="3"/>
  <c r="L126" i="3"/>
  <c r="H126" i="3"/>
  <c r="N126" i="3" s="1"/>
  <c r="D126" i="3"/>
  <c r="B126" i="3"/>
  <c r="T125" i="3"/>
  <c r="P125" i="3"/>
  <c r="X125" i="3" s="1"/>
  <c r="Z125" i="3" s="1"/>
  <c r="L125" i="3"/>
  <c r="H125" i="3"/>
  <c r="N125" i="3" s="1"/>
  <c r="D125" i="3"/>
  <c r="B125" i="3"/>
  <c r="T124" i="3"/>
  <c r="P124" i="3"/>
  <c r="X124" i="3" s="1"/>
  <c r="Z124" i="3" s="1"/>
  <c r="H124" i="3"/>
  <c r="D124" i="3"/>
  <c r="L124" i="3" s="1"/>
  <c r="B124" i="3"/>
  <c r="Z123" i="3"/>
  <c r="X123" i="3"/>
  <c r="T123" i="3"/>
  <c r="P123" i="3"/>
  <c r="N123" i="3"/>
  <c r="L123" i="3"/>
  <c r="H123" i="3"/>
  <c r="D123" i="3"/>
  <c r="B123" i="3"/>
  <c r="T122" i="3"/>
  <c r="Z122" i="3" s="1"/>
  <c r="P122" i="3"/>
  <c r="X122" i="3" s="1"/>
  <c r="N122" i="3"/>
  <c r="H122" i="3"/>
  <c r="D122" i="3"/>
  <c r="L122" i="3" s="1"/>
  <c r="B122" i="3"/>
  <c r="T121" i="3"/>
  <c r="P121" i="3"/>
  <c r="H121" i="3"/>
  <c r="D121" i="3"/>
  <c r="L121" i="3" s="1"/>
  <c r="B121" i="3"/>
  <c r="T120" i="3"/>
  <c r="P120" i="3"/>
  <c r="X120" i="3" s="1"/>
  <c r="H120" i="3"/>
  <c r="D120" i="3"/>
  <c r="L120" i="3" s="1"/>
  <c r="B120" i="3"/>
  <c r="T119" i="3"/>
  <c r="Z119" i="3" s="1"/>
  <c r="P119" i="3"/>
  <c r="X119" i="3" s="1"/>
  <c r="H119" i="3"/>
  <c r="D119" i="3"/>
  <c r="B119" i="3"/>
  <c r="Z118" i="3"/>
  <c r="X118" i="3"/>
  <c r="T118" i="3"/>
  <c r="P118" i="3"/>
  <c r="L118" i="3"/>
  <c r="H118" i="3"/>
  <c r="N118" i="3" s="1"/>
  <c r="D118" i="3"/>
  <c r="B118" i="3"/>
  <c r="T117" i="3"/>
  <c r="P117" i="3"/>
  <c r="N117" i="3"/>
  <c r="L117" i="3"/>
  <c r="H117" i="3"/>
  <c r="D117" i="3"/>
  <c r="B117" i="3"/>
  <c r="Z116" i="3"/>
  <c r="X116" i="3"/>
  <c r="T116" i="3"/>
  <c r="P116" i="3"/>
  <c r="L116" i="3"/>
  <c r="H116" i="3"/>
  <c r="N116" i="3" s="1"/>
  <c r="D116" i="3"/>
  <c r="B116" i="3"/>
  <c r="T115" i="3"/>
  <c r="P115" i="3"/>
  <c r="X115" i="3" s="1"/>
  <c r="Z115" i="3" s="1"/>
  <c r="N115" i="3"/>
  <c r="L115" i="3"/>
  <c r="H115" i="3"/>
  <c r="D115" i="3"/>
  <c r="B115" i="3"/>
  <c r="T114" i="3"/>
  <c r="P114" i="3"/>
  <c r="X114" i="3" s="1"/>
  <c r="H114" i="3"/>
  <c r="D114" i="3"/>
  <c r="L114" i="3" s="1"/>
  <c r="B114" i="3"/>
  <c r="T113" i="3"/>
  <c r="Z113" i="3" s="1"/>
  <c r="P113" i="3"/>
  <c r="X113" i="3" s="1"/>
  <c r="H113" i="3"/>
  <c r="D113" i="3"/>
  <c r="L113" i="3" s="1"/>
  <c r="B113" i="3"/>
  <c r="T112" i="3"/>
  <c r="P112" i="3"/>
  <c r="X112" i="3" s="1"/>
  <c r="H112" i="3"/>
  <c r="D112" i="3"/>
  <c r="L112" i="3" s="1"/>
  <c r="B112" i="3"/>
  <c r="X111" i="3"/>
  <c r="T111" i="3"/>
  <c r="Z111" i="3" s="1"/>
  <c r="P111" i="3"/>
  <c r="H111" i="3"/>
  <c r="D111" i="3"/>
  <c r="B111" i="3"/>
  <c r="X110" i="3"/>
  <c r="T110" i="3"/>
  <c r="Z110" i="3" s="1"/>
  <c r="P110" i="3"/>
  <c r="N110" i="3"/>
  <c r="L110" i="3"/>
  <c r="H110" i="3"/>
  <c r="D110" i="3"/>
  <c r="B110" i="3"/>
  <c r="T109" i="3"/>
  <c r="P109" i="3"/>
  <c r="L109" i="3"/>
  <c r="H109" i="3"/>
  <c r="N109" i="3" s="1"/>
  <c r="D109" i="3"/>
  <c r="B109" i="3"/>
  <c r="T108" i="3"/>
  <c r="P108" i="3"/>
  <c r="X108" i="3" s="1"/>
  <c r="Z108" i="3" s="1"/>
  <c r="L108" i="3"/>
  <c r="H108" i="3"/>
  <c r="D108" i="3"/>
  <c r="B108" i="3"/>
  <c r="T107" i="3"/>
  <c r="P107" i="3"/>
  <c r="X107" i="3" s="1"/>
  <c r="Z107" i="3" s="1"/>
  <c r="H107" i="3"/>
  <c r="L107" i="3" s="1"/>
  <c r="N107" i="3" s="1"/>
  <c r="D107" i="3"/>
  <c r="B107" i="3"/>
  <c r="T106" i="3"/>
  <c r="P106" i="3"/>
  <c r="X106" i="3" s="1"/>
  <c r="Z106" i="3" s="1"/>
  <c r="H106" i="3"/>
  <c r="N106" i="3" s="1"/>
  <c r="D106" i="3"/>
  <c r="L106" i="3" s="1"/>
  <c r="B106" i="3"/>
  <c r="T105" i="3"/>
  <c r="P105" i="3"/>
  <c r="X105" i="3" s="1"/>
  <c r="H105" i="3"/>
  <c r="N105" i="3" s="1"/>
  <c r="D105" i="3"/>
  <c r="B105" i="3"/>
  <c r="Z104" i="3"/>
  <c r="X104" i="3"/>
  <c r="T104" i="3"/>
  <c r="P104" i="3"/>
  <c r="L104" i="3"/>
  <c r="H104" i="3"/>
  <c r="N104" i="3" s="1"/>
  <c r="D104" i="3"/>
  <c r="B104" i="3"/>
  <c r="T103" i="3"/>
  <c r="P103" i="3"/>
  <c r="X103" i="3" s="1"/>
  <c r="Z103" i="3" s="1"/>
  <c r="H103" i="3"/>
  <c r="D103" i="3"/>
  <c r="L103" i="3" s="1"/>
  <c r="N103" i="3" s="1"/>
  <c r="B103" i="3"/>
  <c r="T102" i="3"/>
  <c r="P102" i="3"/>
  <c r="X102" i="3" s="1"/>
  <c r="Z102" i="3" s="1"/>
  <c r="H102" i="3"/>
  <c r="D102" i="3"/>
  <c r="L102" i="3" s="1"/>
  <c r="B102" i="3"/>
  <c r="T101" i="3"/>
  <c r="P101" i="3"/>
  <c r="X101" i="3" s="1"/>
  <c r="H101" i="3"/>
  <c r="N101" i="3" s="1"/>
  <c r="D101" i="3"/>
  <c r="B101" i="3"/>
  <c r="Z100" i="3"/>
  <c r="X100" i="3"/>
  <c r="T100" i="3"/>
  <c r="P100" i="3"/>
  <c r="L100" i="3"/>
  <c r="H100" i="3"/>
  <c r="N100" i="3" s="1"/>
  <c r="D100" i="3"/>
  <c r="B100" i="3"/>
  <c r="T99" i="3"/>
  <c r="P99" i="3"/>
  <c r="X99" i="3" s="1"/>
  <c r="Z99" i="3" s="1"/>
  <c r="H99" i="3"/>
  <c r="D99" i="3"/>
  <c r="L99" i="3" s="1"/>
  <c r="N99" i="3" s="1"/>
  <c r="B99" i="3"/>
  <c r="T98" i="3"/>
  <c r="P98" i="3"/>
  <c r="X98" i="3" s="1"/>
  <c r="Z98" i="3" s="1"/>
  <c r="H98" i="3"/>
  <c r="D98" i="3"/>
  <c r="L98" i="3" s="1"/>
  <c r="B98" i="3"/>
  <c r="T97" i="3"/>
  <c r="Z97" i="3" s="1"/>
  <c r="P97" i="3"/>
  <c r="X97" i="3" s="1"/>
  <c r="H97" i="3"/>
  <c r="N97" i="3" s="1"/>
  <c r="D97" i="3"/>
  <c r="B97" i="3"/>
  <c r="Z96" i="3"/>
  <c r="X96" i="3"/>
  <c r="T96" i="3"/>
  <c r="P96" i="3"/>
  <c r="L96" i="3"/>
  <c r="H96" i="3"/>
  <c r="N96" i="3" s="1"/>
  <c r="D96" i="3"/>
  <c r="B96" i="3"/>
  <c r="T95" i="3"/>
  <c r="P95" i="3"/>
  <c r="X95" i="3" s="1"/>
  <c r="Z95" i="3" s="1"/>
  <c r="H95" i="3"/>
  <c r="D95" i="3"/>
  <c r="L95" i="3" s="1"/>
  <c r="N95" i="3" s="1"/>
  <c r="B95" i="3"/>
  <c r="T94" i="3"/>
  <c r="P94" i="3"/>
  <c r="X94" i="3" s="1"/>
  <c r="Z94" i="3" s="1"/>
  <c r="H94" i="3"/>
  <c r="N94" i="3" s="1"/>
  <c r="D94" i="3"/>
  <c r="L94" i="3" s="1"/>
  <c r="B94" i="3"/>
  <c r="T93" i="3"/>
  <c r="P93" i="3"/>
  <c r="X93" i="3" s="1"/>
  <c r="H93" i="3"/>
  <c r="N93" i="3" s="1"/>
  <c r="D93" i="3"/>
  <c r="B93" i="3"/>
  <c r="Z92" i="3"/>
  <c r="X92" i="3"/>
  <c r="T92" i="3"/>
  <c r="P92" i="3"/>
  <c r="L92" i="3"/>
  <c r="H92" i="3"/>
  <c r="N92" i="3" s="1"/>
  <c r="D92" i="3"/>
  <c r="B92" i="3"/>
  <c r="T91" i="3"/>
  <c r="P91" i="3"/>
  <c r="X91" i="3" s="1"/>
  <c r="Z91" i="3" s="1"/>
  <c r="H91" i="3"/>
  <c r="D91" i="3"/>
  <c r="L91" i="3" s="1"/>
  <c r="N91" i="3" s="1"/>
  <c r="B91" i="3"/>
  <c r="T90" i="3"/>
  <c r="P90" i="3"/>
  <c r="X90" i="3" s="1"/>
  <c r="Z90" i="3" s="1"/>
  <c r="H90" i="3"/>
  <c r="N90" i="3" s="1"/>
  <c r="D90" i="3"/>
  <c r="L90" i="3" s="1"/>
  <c r="B90" i="3"/>
  <c r="T89" i="3"/>
  <c r="P89" i="3"/>
  <c r="X89" i="3" s="1"/>
  <c r="H89" i="3"/>
  <c r="N89" i="3" s="1"/>
  <c r="D89" i="3"/>
  <c r="B89" i="3"/>
  <c r="Z88" i="3"/>
  <c r="X88" i="3"/>
  <c r="T88" i="3"/>
  <c r="P88" i="3"/>
  <c r="L88" i="3"/>
  <c r="H88" i="3"/>
  <c r="N88" i="3" s="1"/>
  <c r="D88" i="3"/>
  <c r="B88" i="3"/>
  <c r="T87" i="3"/>
  <c r="P87" i="3"/>
  <c r="X87" i="3" s="1"/>
  <c r="Z87" i="3" s="1"/>
  <c r="H87" i="3"/>
  <c r="D87" i="3"/>
  <c r="L87" i="3" s="1"/>
  <c r="N87" i="3" s="1"/>
  <c r="B87" i="3"/>
  <c r="T86" i="3"/>
  <c r="P86" i="3"/>
  <c r="X86" i="3" s="1"/>
  <c r="Z86" i="3" s="1"/>
  <c r="H86" i="3"/>
  <c r="D86" i="3"/>
  <c r="L86" i="3" s="1"/>
  <c r="B86" i="3"/>
  <c r="T85" i="3"/>
  <c r="P85" i="3"/>
  <c r="X85" i="3" s="1"/>
  <c r="H85" i="3"/>
  <c r="D85" i="3"/>
  <c r="B85" i="3"/>
  <c r="Z84" i="3"/>
  <c r="X84" i="3"/>
  <c r="T84" i="3"/>
  <c r="P84" i="3"/>
  <c r="L84" i="3"/>
  <c r="H84" i="3"/>
  <c r="N84" i="3" s="1"/>
  <c r="D84" i="3"/>
  <c r="B84" i="3"/>
  <c r="T83" i="3"/>
  <c r="P83" i="3"/>
  <c r="X83" i="3" s="1"/>
  <c r="Z83" i="3" s="1"/>
  <c r="H83" i="3"/>
  <c r="D83" i="3"/>
  <c r="L83" i="3" s="1"/>
  <c r="N83" i="3" s="1"/>
  <c r="B83" i="3"/>
  <c r="T82" i="3"/>
  <c r="P82" i="3"/>
  <c r="X82" i="3" s="1"/>
  <c r="Z82" i="3" s="1"/>
  <c r="H82" i="3"/>
  <c r="N82" i="3" s="1"/>
  <c r="D82" i="3"/>
  <c r="L82" i="3" s="1"/>
  <c r="B82" i="3"/>
  <c r="T81" i="3"/>
  <c r="Z81" i="3" s="1"/>
  <c r="P81" i="3"/>
  <c r="X81" i="3" s="1"/>
  <c r="H81" i="3"/>
  <c r="N81" i="3" s="1"/>
  <c r="D81" i="3"/>
  <c r="B81" i="3"/>
  <c r="Z80" i="3"/>
  <c r="X80" i="3"/>
  <c r="T80" i="3"/>
  <c r="P80" i="3"/>
  <c r="L80" i="3"/>
  <c r="H80" i="3"/>
  <c r="N80" i="3" s="1"/>
  <c r="D80" i="3"/>
  <c r="B80" i="3"/>
  <c r="Z79" i="3"/>
  <c r="T79" i="3"/>
  <c r="P79" i="3"/>
  <c r="X79" i="3" s="1"/>
  <c r="N79" i="3"/>
  <c r="H79" i="3"/>
  <c r="D79" i="3"/>
  <c r="L79" i="3" s="1"/>
  <c r="B79" i="3"/>
  <c r="T78" i="3"/>
  <c r="P78" i="3"/>
  <c r="X78" i="3" s="1"/>
  <c r="Z78" i="3" s="1"/>
  <c r="H78" i="3"/>
  <c r="N78" i="3" s="1"/>
  <c r="D78" i="3"/>
  <c r="L78" i="3" s="1"/>
  <c r="B78" i="3"/>
  <c r="T77" i="3"/>
  <c r="P77" i="3"/>
  <c r="X77" i="3" s="1"/>
  <c r="H77" i="3"/>
  <c r="D77" i="3"/>
  <c r="B77" i="3"/>
  <c r="Z76" i="3"/>
  <c r="X76" i="3"/>
  <c r="T76" i="3"/>
  <c r="P76" i="3"/>
  <c r="L76" i="3"/>
  <c r="H76" i="3"/>
  <c r="N76" i="3" s="1"/>
  <c r="D76" i="3"/>
  <c r="B76" i="3"/>
  <c r="T75" i="3"/>
  <c r="P75" i="3"/>
  <c r="X75" i="3" s="1"/>
  <c r="Z75" i="3" s="1"/>
  <c r="H75" i="3"/>
  <c r="D75" i="3"/>
  <c r="L75" i="3" s="1"/>
  <c r="N75" i="3" s="1"/>
  <c r="B75" i="3"/>
  <c r="T74" i="3"/>
  <c r="P74" i="3"/>
  <c r="X74" i="3" s="1"/>
  <c r="Z74" i="3" s="1"/>
  <c r="H74" i="3"/>
  <c r="N74" i="3" s="1"/>
  <c r="D74" i="3"/>
  <c r="L74" i="3" s="1"/>
  <c r="B74" i="3"/>
  <c r="T73" i="3"/>
  <c r="Z73" i="3" s="1"/>
  <c r="P73" i="3"/>
  <c r="X73" i="3" s="1"/>
  <c r="H73" i="3"/>
  <c r="N73" i="3" s="1"/>
  <c r="D73" i="3"/>
  <c r="B73" i="3"/>
  <c r="Z72" i="3"/>
  <c r="X72" i="3"/>
  <c r="T72" i="3"/>
  <c r="P72" i="3"/>
  <c r="L72" i="3"/>
  <c r="H72" i="3"/>
  <c r="N72" i="3" s="1"/>
  <c r="D72" i="3"/>
  <c r="B72" i="3"/>
  <c r="T71" i="3"/>
  <c r="P71" i="3"/>
  <c r="X71" i="3" s="1"/>
  <c r="Z71" i="3" s="1"/>
  <c r="H71" i="3"/>
  <c r="D71" i="3"/>
  <c r="L71" i="3" s="1"/>
  <c r="N71" i="3" s="1"/>
  <c r="B71" i="3"/>
  <c r="T70" i="3"/>
  <c r="P70" i="3"/>
  <c r="X70" i="3" s="1"/>
  <c r="Z70" i="3" s="1"/>
  <c r="H70" i="3"/>
  <c r="D70" i="3"/>
  <c r="L70" i="3" s="1"/>
  <c r="B70" i="3"/>
  <c r="T69" i="3"/>
  <c r="P69" i="3"/>
  <c r="X69" i="3" s="1"/>
  <c r="H69" i="3"/>
  <c r="D69" i="3"/>
  <c r="B69" i="3"/>
  <c r="Z68" i="3"/>
  <c r="X68" i="3"/>
  <c r="T68" i="3"/>
  <c r="P68" i="3"/>
  <c r="L68" i="3"/>
  <c r="H68" i="3"/>
  <c r="N68" i="3" s="1"/>
  <c r="D68" i="3"/>
  <c r="B68" i="3"/>
  <c r="T67" i="3"/>
  <c r="P67" i="3"/>
  <c r="X67" i="3" s="1"/>
  <c r="Z67" i="3" s="1"/>
  <c r="H67" i="3"/>
  <c r="D67" i="3"/>
  <c r="L67" i="3" s="1"/>
  <c r="N67" i="3" s="1"/>
  <c r="B67" i="3"/>
  <c r="T66" i="3"/>
  <c r="P66" i="3"/>
  <c r="X66" i="3" s="1"/>
  <c r="Z66" i="3" s="1"/>
  <c r="H66" i="3"/>
  <c r="N66" i="3" s="1"/>
  <c r="D66" i="3"/>
  <c r="L66" i="3" s="1"/>
  <c r="B66" i="3"/>
  <c r="T65" i="3"/>
  <c r="Z65" i="3" s="1"/>
  <c r="P65" i="3"/>
  <c r="X65" i="3" s="1"/>
  <c r="H65" i="3"/>
  <c r="D65" i="3"/>
  <c r="B65" i="3"/>
  <c r="Z64" i="3"/>
  <c r="X64" i="3"/>
  <c r="T64" i="3"/>
  <c r="P64" i="3"/>
  <c r="L64" i="3"/>
  <c r="H64" i="3"/>
  <c r="N64" i="3" s="1"/>
  <c r="D64" i="3"/>
  <c r="B64" i="3"/>
  <c r="T63" i="3"/>
  <c r="P63" i="3"/>
  <c r="X63" i="3" s="1"/>
  <c r="Z63" i="3" s="1"/>
  <c r="N63" i="3"/>
  <c r="L63" i="3"/>
  <c r="H63" i="3"/>
  <c r="D63" i="3"/>
  <c r="B63" i="3"/>
  <c r="T62" i="3"/>
  <c r="P62" i="3"/>
  <c r="X62" i="3" s="1"/>
  <c r="Z62" i="3" s="1"/>
  <c r="H62" i="3"/>
  <c r="D62" i="3"/>
  <c r="L62" i="3" s="1"/>
  <c r="B62" i="3"/>
  <c r="T61" i="3"/>
  <c r="P61" i="3"/>
  <c r="X61" i="3" s="1"/>
  <c r="H61" i="3"/>
  <c r="D61" i="3"/>
  <c r="B61" i="3"/>
  <c r="Z60" i="3"/>
  <c r="X60" i="3"/>
  <c r="T60" i="3"/>
  <c r="P60" i="3"/>
  <c r="L60" i="3"/>
  <c r="H60" i="3"/>
  <c r="N60" i="3" s="1"/>
  <c r="D60" i="3"/>
  <c r="B60" i="3"/>
  <c r="T59" i="3"/>
  <c r="P59" i="3"/>
  <c r="X59" i="3" s="1"/>
  <c r="Z59" i="3" s="1"/>
  <c r="N59" i="3"/>
  <c r="L59" i="3"/>
  <c r="H59" i="3"/>
  <c r="D59" i="3"/>
  <c r="B59" i="3"/>
  <c r="T58" i="3"/>
  <c r="Z58" i="3" s="1"/>
  <c r="P58" i="3"/>
  <c r="X58" i="3" s="1"/>
  <c r="H58" i="3"/>
  <c r="N58" i="3" s="1"/>
  <c r="D58" i="3"/>
  <c r="L58" i="3" s="1"/>
  <c r="B58" i="3"/>
  <c r="T57" i="3"/>
  <c r="Z57" i="3" s="1"/>
  <c r="P57" i="3"/>
  <c r="X57" i="3" s="1"/>
  <c r="H57" i="3"/>
  <c r="D57" i="3"/>
  <c r="B57" i="3"/>
  <c r="Z56" i="3"/>
  <c r="X56" i="3"/>
  <c r="T56" i="3"/>
  <c r="P56" i="3"/>
  <c r="L56" i="3"/>
  <c r="H56" i="3"/>
  <c r="N56" i="3" s="1"/>
  <c r="D56" i="3"/>
  <c r="B56" i="3"/>
  <c r="T55" i="3"/>
  <c r="P55" i="3"/>
  <c r="X55" i="3" s="1"/>
  <c r="Z55" i="3" s="1"/>
  <c r="N55" i="3"/>
  <c r="L55" i="3"/>
  <c r="H55" i="3"/>
  <c r="D55" i="3"/>
  <c r="B55" i="3"/>
  <c r="T54" i="3"/>
  <c r="Z54" i="3" s="1"/>
  <c r="P54" i="3"/>
  <c r="X54" i="3" s="1"/>
  <c r="H54" i="3"/>
  <c r="N54" i="3" s="1"/>
  <c r="D54" i="3"/>
  <c r="L54" i="3" s="1"/>
  <c r="B54" i="3"/>
  <c r="T53" i="3"/>
  <c r="P53" i="3"/>
  <c r="X53" i="3" s="1"/>
  <c r="H53" i="3"/>
  <c r="D53" i="3"/>
  <c r="B53" i="3"/>
  <c r="T52" i="3"/>
  <c r="X52" i="3" s="1"/>
  <c r="Z52" i="3" s="1"/>
  <c r="P52" i="3"/>
  <c r="L52" i="3"/>
  <c r="H52" i="3"/>
  <c r="N52" i="3" s="1"/>
  <c r="D52" i="3"/>
  <c r="B52" i="3"/>
  <c r="T51" i="3"/>
  <c r="P51" i="3"/>
  <c r="X51" i="3" s="1"/>
  <c r="Z51" i="3" s="1"/>
  <c r="L51" i="3"/>
  <c r="N51" i="3" s="1"/>
  <c r="H51" i="3"/>
  <c r="D51" i="3"/>
  <c r="B51" i="3"/>
  <c r="T50" i="3"/>
  <c r="P50" i="3"/>
  <c r="X50" i="3" s="1"/>
  <c r="H50" i="3"/>
  <c r="N50" i="3" s="1"/>
  <c r="D50" i="3"/>
  <c r="L50" i="3" s="1"/>
  <c r="B50" i="3"/>
  <c r="T49" i="3"/>
  <c r="P49" i="3"/>
  <c r="X49" i="3" s="1"/>
  <c r="H49" i="3"/>
  <c r="D49" i="3"/>
  <c r="B49" i="3"/>
  <c r="T48" i="3"/>
  <c r="X48" i="3" s="1"/>
  <c r="Z48" i="3" s="1"/>
  <c r="P48" i="3"/>
  <c r="L48" i="3"/>
  <c r="H48" i="3"/>
  <c r="N48" i="3" s="1"/>
  <c r="D48" i="3"/>
  <c r="B48" i="3"/>
  <c r="T47" i="3"/>
  <c r="P47" i="3"/>
  <c r="X47" i="3" s="1"/>
  <c r="Z47" i="3" s="1"/>
  <c r="L47" i="3"/>
  <c r="N47" i="3" s="1"/>
  <c r="H47" i="3"/>
  <c r="D47" i="3"/>
  <c r="B47" i="3"/>
  <c r="T46" i="3"/>
  <c r="Z46" i="3" s="1"/>
  <c r="P46" i="3"/>
  <c r="X46" i="3" s="1"/>
  <c r="H46" i="3"/>
  <c r="N46" i="3" s="1"/>
  <c r="D46" i="3"/>
  <c r="L46" i="3" s="1"/>
  <c r="B46" i="3"/>
  <c r="T45" i="3"/>
  <c r="Z45" i="3" s="1"/>
  <c r="P45" i="3"/>
  <c r="X45" i="3" s="1"/>
  <c r="H45" i="3"/>
  <c r="N45" i="3" s="1"/>
  <c r="D45" i="3"/>
  <c r="B45" i="3"/>
  <c r="T44" i="3"/>
  <c r="X44" i="3" s="1"/>
  <c r="Z44" i="3" s="1"/>
  <c r="P44" i="3"/>
  <c r="L44" i="3"/>
  <c r="H44" i="3"/>
  <c r="N44" i="3" s="1"/>
  <c r="D44" i="3"/>
  <c r="B44" i="3"/>
  <c r="T43" i="3"/>
  <c r="P43" i="3"/>
  <c r="X43" i="3" s="1"/>
  <c r="Z43" i="3" s="1"/>
  <c r="L43" i="3"/>
  <c r="N43" i="3" s="1"/>
  <c r="H43" i="3"/>
  <c r="D43" i="3"/>
  <c r="B43" i="3"/>
  <c r="T42" i="3"/>
  <c r="P42" i="3"/>
  <c r="X42" i="3" s="1"/>
  <c r="H42" i="3"/>
  <c r="N42" i="3" s="1"/>
  <c r="D42" i="3"/>
  <c r="L42" i="3" s="1"/>
  <c r="B42" i="3"/>
  <c r="T41" i="3"/>
  <c r="Z41" i="3" s="1"/>
  <c r="P41" i="3"/>
  <c r="X41" i="3" s="1"/>
  <c r="H41" i="3"/>
  <c r="D41" i="3"/>
  <c r="B41" i="3"/>
  <c r="T40" i="3"/>
  <c r="X40" i="3" s="1"/>
  <c r="Z40" i="3" s="1"/>
  <c r="P40" i="3"/>
  <c r="L40" i="3"/>
  <c r="H40" i="3"/>
  <c r="N40" i="3" s="1"/>
  <c r="D40" i="3"/>
  <c r="B40" i="3"/>
  <c r="T39" i="3"/>
  <c r="P39" i="3"/>
  <c r="X39" i="3" s="1"/>
  <c r="Z39" i="3" s="1"/>
  <c r="L39" i="3"/>
  <c r="N39" i="3" s="1"/>
  <c r="H39" i="3"/>
  <c r="D39" i="3"/>
  <c r="B39" i="3"/>
  <c r="T38" i="3"/>
  <c r="Z38" i="3" s="1"/>
  <c r="P38" i="3"/>
  <c r="X38" i="3" s="1"/>
  <c r="H38" i="3"/>
  <c r="L38" i="3" s="1"/>
  <c r="D38" i="3"/>
  <c r="B38" i="3"/>
  <c r="T37" i="3"/>
  <c r="P37" i="3"/>
  <c r="X37" i="3" s="1"/>
  <c r="H37" i="3"/>
  <c r="D37" i="3"/>
  <c r="B37" i="3"/>
  <c r="T36" i="3"/>
  <c r="X36" i="3" s="1"/>
  <c r="Z36" i="3" s="1"/>
  <c r="P36" i="3"/>
  <c r="L36" i="3"/>
  <c r="H36" i="3"/>
  <c r="N36" i="3" s="1"/>
  <c r="D36" i="3"/>
  <c r="B36" i="3"/>
  <c r="T35" i="3"/>
  <c r="P35" i="3"/>
  <c r="X35" i="3" s="1"/>
  <c r="Z35" i="3" s="1"/>
  <c r="L35" i="3"/>
  <c r="N35" i="3" s="1"/>
  <c r="H35" i="3"/>
  <c r="D35" i="3"/>
  <c r="B35" i="3"/>
  <c r="T34" i="3"/>
  <c r="Z34" i="3" s="1"/>
  <c r="P34" i="3"/>
  <c r="X34" i="3" s="1"/>
  <c r="H34" i="3"/>
  <c r="L34" i="3" s="1"/>
  <c r="D34" i="3"/>
  <c r="B34" i="3"/>
  <c r="T33" i="3"/>
  <c r="P33" i="3"/>
  <c r="X33" i="3" s="1"/>
  <c r="H33" i="3"/>
  <c r="D33" i="3"/>
  <c r="B33" i="3"/>
  <c r="T32" i="3"/>
  <c r="X32" i="3" s="1"/>
  <c r="Z32" i="3" s="1"/>
  <c r="P32" i="3"/>
  <c r="L32" i="3"/>
  <c r="H32" i="3"/>
  <c r="N32" i="3" s="1"/>
  <c r="D32" i="3"/>
  <c r="B32" i="3"/>
  <c r="T31" i="3"/>
  <c r="P31" i="3"/>
  <c r="X31" i="3" s="1"/>
  <c r="Z31" i="3" s="1"/>
  <c r="L31" i="3"/>
  <c r="N31" i="3" s="1"/>
  <c r="H31" i="3"/>
  <c r="D31" i="3"/>
  <c r="B31" i="3"/>
  <c r="T30" i="3"/>
  <c r="P30" i="3"/>
  <c r="X30" i="3" s="1"/>
  <c r="H30" i="3"/>
  <c r="L30" i="3" s="1"/>
  <c r="D30" i="3"/>
  <c r="B30" i="3"/>
  <c r="T29" i="3"/>
  <c r="P29" i="3"/>
  <c r="X29" i="3" s="1"/>
  <c r="H29" i="3"/>
  <c r="D29" i="3"/>
  <c r="B29" i="3"/>
  <c r="T28" i="3"/>
  <c r="X28" i="3" s="1"/>
  <c r="Z28" i="3" s="1"/>
  <c r="P28" i="3"/>
  <c r="L28" i="3"/>
  <c r="H28" i="3"/>
  <c r="N28" i="3" s="1"/>
  <c r="D28" i="3"/>
  <c r="B28" i="3"/>
  <c r="T27" i="3"/>
  <c r="P27" i="3"/>
  <c r="X27" i="3" s="1"/>
  <c r="Z27" i="3" s="1"/>
  <c r="L27" i="3"/>
  <c r="N27" i="3" s="1"/>
  <c r="H27" i="3"/>
  <c r="D27" i="3"/>
  <c r="B27" i="3"/>
  <c r="T26" i="3"/>
  <c r="P26" i="3"/>
  <c r="X26" i="3" s="1"/>
  <c r="H26" i="3"/>
  <c r="D26" i="3"/>
  <c r="B26" i="3"/>
  <c r="T25" i="3"/>
  <c r="P25" i="3"/>
  <c r="X25" i="3" s="1"/>
  <c r="H25" i="3"/>
  <c r="D25" i="3"/>
  <c r="B25" i="3"/>
  <c r="T24" i="3"/>
  <c r="X24" i="3" s="1"/>
  <c r="Z24" i="3" s="1"/>
  <c r="P24" i="3"/>
  <c r="L24" i="3"/>
  <c r="H24" i="3"/>
  <c r="N24" i="3" s="1"/>
  <c r="D24" i="3"/>
  <c r="B24" i="3"/>
  <c r="T23" i="3"/>
  <c r="P23" i="3"/>
  <c r="X23" i="3" s="1"/>
  <c r="Z23" i="3" s="1"/>
  <c r="N23" i="3"/>
  <c r="L23" i="3"/>
  <c r="H23" i="3"/>
  <c r="D23" i="3"/>
  <c r="B23" i="3"/>
  <c r="T22" i="3"/>
  <c r="P22" i="3"/>
  <c r="X22" i="3" s="1"/>
  <c r="H22" i="3"/>
  <c r="L22" i="3" s="1"/>
  <c r="D22" i="3"/>
  <c r="B22" i="3"/>
  <c r="T21" i="3"/>
  <c r="P21" i="3"/>
  <c r="X21" i="3" s="1"/>
  <c r="H21" i="3"/>
  <c r="L21" i="3" s="1"/>
  <c r="D21" i="3"/>
  <c r="B21" i="3"/>
  <c r="T20" i="3"/>
  <c r="X20" i="3" s="1"/>
  <c r="Z20" i="3" s="1"/>
  <c r="P20" i="3"/>
  <c r="L20" i="3"/>
  <c r="H20" i="3"/>
  <c r="N20" i="3" s="1"/>
  <c r="D20" i="3"/>
  <c r="B20" i="3"/>
  <c r="T19" i="3"/>
  <c r="P19" i="3"/>
  <c r="X19" i="3" s="1"/>
  <c r="Z19" i="3" s="1"/>
  <c r="L19" i="3"/>
  <c r="N19" i="3" s="1"/>
  <c r="H19" i="3"/>
  <c r="D19" i="3"/>
  <c r="B19" i="3"/>
  <c r="T18" i="3"/>
  <c r="P18" i="3"/>
  <c r="X18" i="3" s="1"/>
  <c r="H18" i="3"/>
  <c r="D18" i="3"/>
  <c r="B18" i="3"/>
  <c r="T17" i="3"/>
  <c r="P17" i="3"/>
  <c r="X17" i="3" s="1"/>
  <c r="H17" i="3"/>
  <c r="L17" i="3" s="1"/>
  <c r="D17" i="3"/>
  <c r="B17" i="3"/>
  <c r="T16" i="3"/>
  <c r="X16" i="3" s="1"/>
  <c r="Z16" i="3" s="1"/>
  <c r="P16" i="3"/>
  <c r="L16" i="3"/>
  <c r="H16" i="3"/>
  <c r="N16" i="3" s="1"/>
  <c r="D16" i="3"/>
  <c r="B16" i="3"/>
  <c r="T15" i="3"/>
  <c r="P15" i="3"/>
  <c r="X15" i="3" s="1"/>
  <c r="Z15" i="3" s="1"/>
  <c r="L15" i="3"/>
  <c r="N15" i="3" s="1"/>
  <c r="H15" i="3"/>
  <c r="D15" i="3"/>
  <c r="B15" i="3"/>
  <c r="T14" i="3"/>
  <c r="P14" i="3"/>
  <c r="X14" i="3" s="1"/>
  <c r="H14" i="3"/>
  <c r="D14" i="3"/>
  <c r="B14" i="3"/>
  <c r="T13" i="3"/>
  <c r="T12" i="3" s="1"/>
  <c r="P13" i="3"/>
  <c r="P12" i="3" s="1"/>
  <c r="H13" i="3"/>
  <c r="H12" i="3" s="1"/>
  <c r="D13" i="3"/>
  <c r="D12" i="3" s="1"/>
  <c r="B13" i="3"/>
  <c r="D4" i="3"/>
  <c r="P20" i="111"/>
  <c r="B38" i="112"/>
  <c r="H34" i="111"/>
  <c r="P13" i="110"/>
  <c r="B39" i="111"/>
  <c r="B22" i="112"/>
  <c r="H21" i="111"/>
  <c r="D6" i="110"/>
  <c r="H16" i="111"/>
  <c r="T33" i="112"/>
  <c r="H15" i="111"/>
  <c r="D4" i="110"/>
  <c r="D24" i="110"/>
  <c r="P25" i="112"/>
  <c r="T12" i="111"/>
  <c r="P34" i="111"/>
  <c r="T25" i="110"/>
  <c r="P15" i="112"/>
  <c r="P29" i="110"/>
  <c r="T13" i="111"/>
  <c r="P20" i="112"/>
  <c r="T24" i="111"/>
  <c r="D20" i="50"/>
  <c r="T25" i="53"/>
  <c r="T22" i="53"/>
  <c r="T12" i="52"/>
  <c r="P33" i="53"/>
  <c r="P33" i="50"/>
  <c r="T13" i="53"/>
  <c r="T20" i="50"/>
  <c r="P21" i="53"/>
  <c r="T13" i="52"/>
  <c r="P20" i="50"/>
  <c r="H33" i="53"/>
  <c r="H34" i="50"/>
  <c r="D12" i="49"/>
  <c r="H29" i="52"/>
  <c r="D4" i="50"/>
  <c r="D21" i="53"/>
  <c r="B38" i="52"/>
  <c r="D16" i="47"/>
  <c r="D15" i="50"/>
  <c r="D15" i="47"/>
  <c r="P13" i="50"/>
  <c r="P24" i="49"/>
  <c r="T22" i="46"/>
  <c r="P20" i="43"/>
  <c r="T13" i="49"/>
  <c r="P29" i="46"/>
  <c r="H13" i="49"/>
  <c r="T16" i="46"/>
  <c r="T25" i="49"/>
  <c r="T15" i="46"/>
  <c r="B16" i="49"/>
  <c r="P20" i="46"/>
  <c r="D22" i="43"/>
  <c r="B22" i="47"/>
  <c r="B13" i="46"/>
  <c r="H24" i="46"/>
  <c r="H13" i="43"/>
  <c r="P29" i="40"/>
  <c r="P24" i="44"/>
  <c r="P21" i="41"/>
  <c r="T33" i="46"/>
  <c r="T22" i="43"/>
  <c r="T16" i="44"/>
  <c r="H25" i="41"/>
  <c r="H22" i="46"/>
  <c r="P22" i="43"/>
  <c r="B38" i="46"/>
  <c r="D24" i="53"/>
  <c r="P24" i="43"/>
  <c r="H24" i="47"/>
  <c r="B16" i="43"/>
  <c r="H16" i="40"/>
  <c r="T22" i="44"/>
  <c r="H12" i="43"/>
  <c r="P15" i="46"/>
  <c r="T15" i="43"/>
  <c r="T22" i="40"/>
  <c r="P12" i="38"/>
  <c r="D22" i="53"/>
  <c r="D16" i="41"/>
  <c r="P33" i="38"/>
  <c r="D4" i="46"/>
  <c r="P22" i="38"/>
  <c r="T21" i="37"/>
  <c r="D15" i="40"/>
  <c r="T16" i="37"/>
  <c r="D16" i="40"/>
  <c r="H12" i="37"/>
  <c r="T13" i="40"/>
  <c r="P20" i="37"/>
  <c r="B25" i="41"/>
  <c r="H13" i="38"/>
  <c r="B16" i="44"/>
  <c r="D21" i="40"/>
  <c r="D12" i="111"/>
  <c r="B39" i="112"/>
  <c r="P24" i="110"/>
  <c r="D29" i="112"/>
  <c r="H25" i="111"/>
  <c r="D24" i="112"/>
  <c r="H13" i="111"/>
  <c r="B38" i="111"/>
  <c r="H34" i="110"/>
  <c r="D16" i="112"/>
  <c r="H24" i="110"/>
  <c r="B16" i="112"/>
  <c r="D33" i="110"/>
  <c r="P12" i="112"/>
  <c r="H16" i="110"/>
  <c r="T33" i="111"/>
  <c r="H15" i="110"/>
  <c r="P25" i="111"/>
  <c r="T12" i="110"/>
  <c r="T15" i="111"/>
  <c r="T16" i="112"/>
  <c r="D20" i="110"/>
  <c r="P24" i="111"/>
  <c r="D16" i="53"/>
  <c r="D21" i="49"/>
  <c r="T12" i="53"/>
  <c r="T33" i="52"/>
  <c r="P12" i="50"/>
  <c r="T21" i="53"/>
  <c r="T21" i="50"/>
  <c r="P29" i="52"/>
  <c r="P34" i="49"/>
  <c r="H12" i="53"/>
  <c r="D12" i="53"/>
  <c r="P21" i="49"/>
  <c r="P15" i="53"/>
  <c r="H25" i="50"/>
  <c r="H22" i="53"/>
  <c r="D5" i="52"/>
  <c r="H29" i="49"/>
  <c r="D24" i="52"/>
  <c r="H15" i="50"/>
  <c r="H15" i="46"/>
  <c r="T34" i="47"/>
  <c r="D20" i="46"/>
  <c r="D15" i="49"/>
  <c r="P33" i="47"/>
  <c r="H33" i="44"/>
  <c r="D34" i="52"/>
  <c r="T20" i="47"/>
  <c r="D25" i="53"/>
  <c r="P13" i="47"/>
  <c r="H16" i="53"/>
  <c r="D13" i="49"/>
  <c r="D34" i="53"/>
  <c r="H33" i="47"/>
  <c r="B22" i="44"/>
  <c r="T29" i="50"/>
  <c r="B25" i="46"/>
  <c r="T22" i="49"/>
  <c r="H20" i="44"/>
  <c r="T20" i="41"/>
  <c r="P12" i="49"/>
  <c r="B39" i="43"/>
  <c r="H12" i="41"/>
  <c r="H22" i="44"/>
  <c r="B21" i="49"/>
  <c r="P33" i="43"/>
  <c r="D33" i="53"/>
  <c r="H24" i="44"/>
  <c r="B39" i="41"/>
  <c r="D34" i="44"/>
  <c r="T12" i="46"/>
  <c r="D16" i="43"/>
  <c r="D25" i="44"/>
  <c r="H15" i="41"/>
  <c r="D24" i="47"/>
  <c r="T29" i="43"/>
  <c r="B39" i="47"/>
  <c r="P22" i="44"/>
  <c r="P33" i="41"/>
  <c r="H13" i="41"/>
  <c r="T29" i="37"/>
  <c r="H12" i="44"/>
  <c r="D29" i="40"/>
  <c r="T21" i="38"/>
  <c r="H21" i="41"/>
  <c r="T13" i="38"/>
  <c r="P13" i="43"/>
  <c r="P13" i="38"/>
  <c r="T22" i="41"/>
  <c r="P16" i="38"/>
  <c r="D5" i="43"/>
  <c r="H33" i="38"/>
  <c r="D34" i="47"/>
  <c r="P13" i="40"/>
  <c r="H33" i="37"/>
  <c r="P16" i="41"/>
  <c r="B22" i="38"/>
  <c r="H24" i="112"/>
  <c r="P22" i="110"/>
  <c r="D25" i="112"/>
  <c r="P15" i="111"/>
  <c r="D22" i="112"/>
  <c r="D5" i="111"/>
  <c r="D34" i="111"/>
  <c r="H33" i="110"/>
  <c r="B25" i="111"/>
  <c r="H22" i="110"/>
  <c r="D15" i="112"/>
  <c r="D29" i="110"/>
  <c r="B21" i="111"/>
  <c r="B13" i="110"/>
  <c r="T29" i="111"/>
  <c r="P21" i="112"/>
  <c r="T21" i="111"/>
  <c r="H34" i="112"/>
  <c r="P13" i="111"/>
  <c r="T22" i="111"/>
  <c r="P22" i="112"/>
  <c r="P12" i="110"/>
  <c r="B22" i="52"/>
  <c r="H15" i="49"/>
  <c r="B21" i="52"/>
  <c r="T29" i="52"/>
  <c r="T34" i="49"/>
  <c r="T24" i="52"/>
  <c r="P24" i="53"/>
  <c r="P25" i="52"/>
  <c r="P33" i="49"/>
  <c r="P24" i="52"/>
  <c r="P21" i="52"/>
  <c r="T15" i="49"/>
  <c r="D5" i="53"/>
  <c r="P15" i="50"/>
  <c r="H13" i="53"/>
  <c r="B39" i="50"/>
  <c r="H25" i="49"/>
  <c r="D22" i="52"/>
  <c r="D33" i="49"/>
  <c r="D29" i="53"/>
  <c r="T33" i="47"/>
  <c r="D16" i="46"/>
  <c r="B38" i="53"/>
  <c r="P29" i="47"/>
  <c r="H29" i="44"/>
  <c r="D21" i="50"/>
  <c r="T16" i="47"/>
  <c r="H22" i="52"/>
  <c r="H12" i="47"/>
  <c r="D33" i="52"/>
  <c r="P20" i="47"/>
  <c r="D4" i="52"/>
  <c r="H29" i="47"/>
  <c r="D21" i="44"/>
  <c r="D25" i="50"/>
  <c r="D24" i="46"/>
  <c r="T12" i="49"/>
  <c r="P13" i="44"/>
  <c r="T16" i="41"/>
  <c r="D22" i="47"/>
  <c r="T33" i="43"/>
  <c r="P24" i="40"/>
  <c r="T15" i="44"/>
  <c r="D4" i="47"/>
  <c r="P21" i="43"/>
  <c r="D22" i="50"/>
  <c r="D22" i="44"/>
  <c r="T34" i="50"/>
  <c r="P16" i="44"/>
  <c r="P29" i="44"/>
  <c r="D15" i="43"/>
  <c r="T20" i="44"/>
  <c r="B25" i="40"/>
  <c r="H20" i="47"/>
  <c r="H24" i="43"/>
  <c r="H22" i="47"/>
  <c r="T13" i="44"/>
  <c r="P29" i="41"/>
  <c r="T25" i="40"/>
  <c r="T25" i="37"/>
  <c r="H25" i="43"/>
  <c r="T20" i="40"/>
  <c r="T24" i="37"/>
  <c r="B16" i="41"/>
  <c r="P34" i="37"/>
  <c r="T34" i="41"/>
  <c r="H12" i="38"/>
  <c r="B21" i="41"/>
  <c r="D12" i="38"/>
  <c r="D25" i="41"/>
  <c r="H29" i="38"/>
  <c r="D33" i="43"/>
  <c r="D5" i="40"/>
  <c r="H29" i="37"/>
  <c r="D15" i="41"/>
  <c r="H13" i="112"/>
  <c r="D5" i="112"/>
  <c r="D33" i="112"/>
  <c r="T15" i="110"/>
  <c r="P20" i="110"/>
  <c r="D13" i="111"/>
  <c r="D22" i="111"/>
  <c r="T25" i="112"/>
  <c r="D13" i="110"/>
  <c r="P34" i="112"/>
  <c r="B22" i="110"/>
  <c r="T33" i="110"/>
  <c r="P21" i="111"/>
  <c r="P22" i="111"/>
  <c r="T20" i="112"/>
  <c r="D16" i="50"/>
  <c r="D16" i="52"/>
  <c r="T22" i="50"/>
  <c r="P34" i="50"/>
  <c r="T21" i="52"/>
  <c r="T15" i="53"/>
  <c r="P13" i="52"/>
  <c r="H25" i="53"/>
  <c r="P16" i="49"/>
  <c r="H24" i="50"/>
  <c r="H15" i="53"/>
  <c r="B21" i="47"/>
  <c r="D4" i="49"/>
  <c r="H21" i="50"/>
  <c r="P25" i="47"/>
  <c r="P16" i="43"/>
  <c r="P34" i="46"/>
  <c r="T15" i="47"/>
  <c r="T12" i="50"/>
  <c r="H12" i="50"/>
  <c r="P16" i="46"/>
  <c r="B25" i="49"/>
  <c r="B38" i="49"/>
  <c r="P15" i="43"/>
  <c r="B13" i="47"/>
  <c r="T15" i="41"/>
  <c r="B38" i="43"/>
  <c r="T34" i="43"/>
  <c r="B39" i="46"/>
  <c r="H20" i="50"/>
  <c r="T24" i="47"/>
  <c r="D34" i="50"/>
  <c r="D21" i="41"/>
  <c r="B38" i="44"/>
  <c r="H13" i="47"/>
  <c r="D4" i="43"/>
  <c r="T24" i="38"/>
  <c r="T34" i="44"/>
  <c r="P34" i="38"/>
  <c r="B13" i="41"/>
  <c r="H21" i="112"/>
  <c r="H12" i="110"/>
  <c r="P16" i="110"/>
  <c r="D4" i="111"/>
  <c r="H20" i="111"/>
  <c r="T12" i="112"/>
  <c r="T24" i="112"/>
  <c r="P33" i="112"/>
  <c r="D21" i="110"/>
  <c r="T29" i="110"/>
  <c r="H12" i="111"/>
  <c r="P24" i="112"/>
  <c r="D12" i="112"/>
  <c r="B22" i="49"/>
  <c r="T24" i="53"/>
  <c r="T33" i="49"/>
  <c r="P29" i="50"/>
  <c r="P24" i="50"/>
  <c r="P13" i="53"/>
  <c r="H12" i="52"/>
  <c r="P20" i="52"/>
  <c r="B39" i="53"/>
  <c r="H22" i="50"/>
  <c r="B25" i="52"/>
  <c r="D20" i="47"/>
  <c r="T29" i="47"/>
  <c r="T24" i="49"/>
  <c r="T21" i="47"/>
  <c r="D12" i="43"/>
  <c r="P33" i="46"/>
  <c r="P24" i="46"/>
  <c r="D24" i="49"/>
  <c r="D34" i="49"/>
  <c r="D12" i="46"/>
  <c r="H22" i="49"/>
  <c r="B38" i="47"/>
  <c r="P24" i="41"/>
  <c r="D34" i="46"/>
  <c r="P13" i="41"/>
  <c r="H29" i="43"/>
  <c r="H34" i="41"/>
  <c r="H13" i="46"/>
  <c r="B25" i="47"/>
  <c r="T25" i="46"/>
  <c r="D29" i="49"/>
  <c r="D24" i="40"/>
  <c r="P20" i="44"/>
  <c r="H34" i="46"/>
  <c r="P34" i="41"/>
  <c r="T22" i="38"/>
  <c r="D33" i="41"/>
  <c r="P29" i="38"/>
  <c r="T21" i="40"/>
  <c r="P21" i="44"/>
  <c r="T20" i="37"/>
  <c r="P21" i="37"/>
  <c r="D12" i="40"/>
  <c r="B38" i="41"/>
  <c r="H34" i="37"/>
  <c r="H22" i="40"/>
  <c r="H20" i="37"/>
  <c r="H29" i="40"/>
  <c r="D15" i="38"/>
  <c r="P21" i="35"/>
  <c r="T13" i="34"/>
  <c r="B16" i="31"/>
  <c r="P16" i="35"/>
  <c r="P29" i="32"/>
  <c r="D22" i="38"/>
  <c r="D5" i="35"/>
  <c r="T13" i="32"/>
  <c r="T34" i="40"/>
  <c r="H34" i="34"/>
  <c r="P13" i="32"/>
  <c r="D34" i="38"/>
  <c r="D13" i="35"/>
  <c r="D12" i="32"/>
  <c r="H21" i="37"/>
  <c r="D34" i="34"/>
  <c r="H29" i="32"/>
  <c r="B21" i="38"/>
  <c r="D22" i="34"/>
  <c r="D4" i="32"/>
  <c r="P15" i="40"/>
  <c r="B22" i="34"/>
  <c r="H21" i="32"/>
  <c r="B25" i="38"/>
  <c r="T29" i="35"/>
  <c r="B25" i="32"/>
  <c r="D33" i="31"/>
  <c r="T24" i="35"/>
  <c r="D15" i="34"/>
  <c r="H20" i="31"/>
  <c r="P24" i="35"/>
  <c r="P25" i="34"/>
  <c r="T34" i="28"/>
  <c r="T33" i="26"/>
  <c r="D16" i="25"/>
  <c r="H29" i="22"/>
  <c r="P29" i="29"/>
  <c r="P12" i="26"/>
  <c r="B38" i="23"/>
  <c r="H24" i="22"/>
  <c r="P24" i="29"/>
  <c r="P25" i="28"/>
  <c r="T22" i="25"/>
  <c r="P24" i="28"/>
  <c r="T16" i="26"/>
  <c r="D21" i="23"/>
  <c r="D4" i="37"/>
  <c r="P13" i="28"/>
  <c r="T20" i="25"/>
  <c r="H15" i="22"/>
  <c r="P15" i="29"/>
  <c r="P21" i="25"/>
  <c r="H13" i="29"/>
  <c r="H34" i="26"/>
  <c r="D12" i="25"/>
  <c r="D34" i="29"/>
  <c r="H22" i="28"/>
  <c r="H22" i="112"/>
  <c r="D13" i="112"/>
  <c r="B25" i="112"/>
  <c r="D12" i="110"/>
  <c r="H29" i="110"/>
  <c r="B13" i="111"/>
  <c r="B22" i="111"/>
  <c r="T22" i="112"/>
  <c r="P29" i="112"/>
  <c r="T15" i="112"/>
  <c r="B16" i="110"/>
  <c r="P34" i="110"/>
  <c r="P12" i="111"/>
  <c r="T24" i="110"/>
  <c r="T34" i="53"/>
  <c r="P12" i="53"/>
  <c r="T29" i="49"/>
  <c r="P25" i="50"/>
  <c r="P22" i="50"/>
  <c r="P22" i="52"/>
  <c r="P16" i="50"/>
  <c r="P16" i="52"/>
  <c r="H24" i="53"/>
  <c r="H13" i="50"/>
  <c r="H20" i="52"/>
  <c r="B22" i="46"/>
  <c r="T25" i="47"/>
  <c r="T16" i="49"/>
  <c r="T24" i="46"/>
  <c r="B13" i="50"/>
  <c r="P25" i="46"/>
  <c r="P22" i="46"/>
  <c r="D16" i="49"/>
  <c r="H21" i="49"/>
  <c r="H15" i="44"/>
  <c r="D21" i="47"/>
  <c r="D33" i="47"/>
  <c r="P22" i="41"/>
  <c r="D29" i="46"/>
  <c r="P22" i="40"/>
  <c r="B13" i="43"/>
  <c r="H33" i="41"/>
  <c r="T29" i="44"/>
  <c r="H16" i="47"/>
  <c r="D24" i="44"/>
  <c r="H25" i="46"/>
  <c r="D22" i="40"/>
  <c r="D16" i="44"/>
  <c r="H29" i="46"/>
  <c r="P25" i="41"/>
  <c r="T34" i="37"/>
  <c r="T25" i="41"/>
  <c r="P25" i="38"/>
  <c r="P24" i="38"/>
  <c r="D29" i="41"/>
  <c r="T13" i="37"/>
  <c r="T15" i="37"/>
  <c r="H34" i="38"/>
  <c r="D34" i="41"/>
  <c r="H25" i="37"/>
  <c r="T16" i="40"/>
  <c r="H16" i="37"/>
  <c r="B22" i="40"/>
  <c r="T12" i="38"/>
  <c r="T15" i="35"/>
  <c r="T24" i="32"/>
  <c r="D15" i="31"/>
  <c r="D12" i="35"/>
  <c r="P25" i="32"/>
  <c r="H16" i="38"/>
  <c r="P20" i="34"/>
  <c r="P34" i="31"/>
  <c r="D16" i="38"/>
  <c r="H33" i="34"/>
  <c r="H12" i="32"/>
  <c r="H21" i="38"/>
  <c r="B39" i="34"/>
  <c r="P21" i="31"/>
  <c r="B25" i="35"/>
  <c r="D33" i="34"/>
  <c r="H25" i="32"/>
  <c r="D21" i="37"/>
  <c r="H20" i="34"/>
  <c r="H34" i="31"/>
  <c r="D33" i="38"/>
  <c r="D21" i="34"/>
  <c r="D13" i="32"/>
  <c r="H20" i="38"/>
  <c r="T25" i="35"/>
  <c r="D24" i="32"/>
  <c r="D29" i="31"/>
  <c r="T22" i="35"/>
  <c r="T12" i="34"/>
  <c r="H16" i="31"/>
  <c r="P22" i="35"/>
  <c r="T21" i="34"/>
  <c r="T33" i="28"/>
  <c r="T29" i="26"/>
  <c r="B39" i="23"/>
  <c r="H25" i="22"/>
  <c r="P25" i="29"/>
  <c r="T34" i="25"/>
  <c r="D34" i="23"/>
  <c r="H22" i="22"/>
  <c r="P22" i="29"/>
  <c r="T21" i="28"/>
  <c r="P12" i="25"/>
  <c r="P22" i="28"/>
  <c r="T13" i="26"/>
  <c r="H15" i="23"/>
  <c r="T21" i="35"/>
  <c r="H12" i="28"/>
  <c r="T16" i="25"/>
  <c r="T33" i="32"/>
  <c r="D5" i="29"/>
  <c r="T15" i="25"/>
  <c r="D4" i="29"/>
  <c r="H33" i="26"/>
  <c r="T24" i="23"/>
  <c r="D33" i="29"/>
  <c r="H13" i="28"/>
  <c r="P16" i="111"/>
  <c r="D4" i="112"/>
  <c r="H20" i="112"/>
  <c r="D21" i="112"/>
  <c r="H25" i="110"/>
  <c r="B39" i="110"/>
  <c r="D21" i="111"/>
  <c r="D20" i="111"/>
  <c r="T21" i="112"/>
  <c r="P13" i="112"/>
  <c r="D15" i="110"/>
  <c r="P33" i="110"/>
  <c r="T13" i="112"/>
  <c r="B21" i="53"/>
  <c r="T33" i="53"/>
  <c r="T34" i="52"/>
  <c r="P34" i="53"/>
  <c r="P22" i="53"/>
  <c r="T16" i="50"/>
  <c r="T20" i="52"/>
  <c r="D12" i="50"/>
  <c r="D12" i="52"/>
  <c r="T20" i="110"/>
  <c r="H33" i="111"/>
  <c r="H16" i="112"/>
  <c r="H15" i="112"/>
  <c r="P15" i="110"/>
  <c r="H13" i="110"/>
  <c r="B38" i="110"/>
  <c r="D16" i="111"/>
  <c r="T34" i="111"/>
  <c r="H12" i="112"/>
  <c r="H33" i="112"/>
  <c r="P25" i="110"/>
  <c r="T20" i="111"/>
  <c r="D20" i="53"/>
  <c r="T29" i="53"/>
  <c r="T25" i="52"/>
  <c r="P29" i="53"/>
  <c r="T20" i="53"/>
  <c r="T13" i="50"/>
  <c r="T16" i="52"/>
  <c r="P13" i="49"/>
  <c r="H33" i="50"/>
  <c r="H34" i="52"/>
  <c r="H33" i="49"/>
  <c r="B13" i="52"/>
  <c r="T33" i="50"/>
  <c r="T12" i="47"/>
  <c r="D33" i="50"/>
  <c r="H34" i="44"/>
  <c r="D20" i="49"/>
  <c r="H13" i="52"/>
  <c r="T13" i="46"/>
  <c r="D12" i="47"/>
  <c r="H34" i="47"/>
  <c r="D24" i="43"/>
  <c r="D22" i="46"/>
  <c r="P34" i="44"/>
  <c r="P34" i="40"/>
  <c r="D20" i="44"/>
  <c r="P12" i="47"/>
  <c r="H33" i="46"/>
  <c r="P15" i="41"/>
  <c r="D29" i="43"/>
  <c r="D13" i="46"/>
  <c r="H33" i="43"/>
  <c r="P12" i="44"/>
  <c r="B13" i="40"/>
  <c r="B21" i="43"/>
  <c r="T24" i="44"/>
  <c r="T24" i="40"/>
  <c r="B16" i="37"/>
  <c r="D13" i="41"/>
  <c r="P12" i="37"/>
  <c r="T16" i="38"/>
  <c r="P20" i="40"/>
  <c r="T12" i="41"/>
  <c r="T34" i="46"/>
  <c r="P15" i="38"/>
  <c r="D12" i="41"/>
  <c r="D5" i="37"/>
  <c r="D21" i="38"/>
  <c r="T22" i="47"/>
  <c r="T34" i="38"/>
  <c r="D20" i="37"/>
  <c r="H12" i="35"/>
  <c r="P12" i="32"/>
  <c r="B16" i="50"/>
  <c r="T15" i="34"/>
  <c r="T24" i="31"/>
  <c r="H34" i="35"/>
  <c r="D12" i="34"/>
  <c r="P29" i="31"/>
  <c r="B39" i="35"/>
  <c r="H25" i="34"/>
  <c r="P22" i="31"/>
  <c r="D34" i="35"/>
  <c r="H22" i="34"/>
  <c r="P13" i="31"/>
  <c r="D22" i="35"/>
  <c r="D25" i="34"/>
  <c r="D5" i="32"/>
  <c r="B22" i="35"/>
  <c r="B13" i="34"/>
  <c r="H29" i="31"/>
  <c r="D13" i="38"/>
  <c r="B38" i="32"/>
  <c r="H24" i="31"/>
  <c r="D33" i="37"/>
  <c r="D15" i="35"/>
  <c r="H20" i="32"/>
  <c r="H21" i="31"/>
  <c r="T34" i="34"/>
  <c r="D21" i="32"/>
  <c r="B25" i="44"/>
  <c r="T16" i="35"/>
  <c r="B39" i="37"/>
  <c r="T25" i="28"/>
  <c r="B16" i="26"/>
  <c r="H22" i="23"/>
  <c r="D5" i="22"/>
  <c r="T24" i="28"/>
  <c r="T29" i="25"/>
  <c r="D29" i="23"/>
  <c r="D4" i="22"/>
  <c r="T16" i="29"/>
  <c r="P33" i="26"/>
  <c r="B16" i="32"/>
  <c r="T16" i="28"/>
  <c r="P33" i="25"/>
  <c r="D24" i="22"/>
  <c r="P20" i="29"/>
  <c r="T15" i="26"/>
  <c r="B21" i="23"/>
  <c r="B21" i="31"/>
  <c r="P16" i="28"/>
  <c r="H12" i="25"/>
  <c r="H33" i="28"/>
  <c r="H25" i="26"/>
  <c r="P12" i="23"/>
  <c r="D25" i="29"/>
  <c r="B39" i="26"/>
  <c r="D34" i="112"/>
  <c r="P21" i="110"/>
  <c r="H22" i="111"/>
  <c r="D25" i="111"/>
  <c r="D24" i="111"/>
  <c r="T29" i="112"/>
  <c r="H21" i="110"/>
  <c r="H20" i="110"/>
  <c r="D15" i="111"/>
  <c r="T34" i="110"/>
  <c r="D6" i="112"/>
  <c r="P16" i="112"/>
  <c r="T22" i="110"/>
  <c r="B21" i="50"/>
  <c r="D20" i="52"/>
  <c r="T24" i="50"/>
  <c r="P12" i="52"/>
  <c r="P33" i="52"/>
  <c r="T21" i="49"/>
  <c r="T15" i="52"/>
  <c r="H29" i="53"/>
  <c r="P20" i="49"/>
  <c r="P15" i="52"/>
  <c r="B22" i="53"/>
  <c r="T20" i="49"/>
  <c r="D22" i="49"/>
  <c r="D25" i="52"/>
  <c r="P34" i="47"/>
  <c r="D5" i="44"/>
  <c r="T13" i="47"/>
  <c r="P21" i="47"/>
  <c r="H16" i="50"/>
  <c r="H12" i="46"/>
  <c r="D5" i="47"/>
  <c r="B22" i="50"/>
  <c r="T25" i="50"/>
  <c r="D25" i="43"/>
  <c r="P22" i="49"/>
  <c r="D13" i="43"/>
  <c r="H13" i="44"/>
  <c r="D13" i="44"/>
  <c r="H21" i="47"/>
  <c r="H15" i="43"/>
  <c r="T12" i="43"/>
  <c r="P12" i="43"/>
  <c r="B22" i="41"/>
  <c r="H21" i="46"/>
  <c r="B39" i="49"/>
  <c r="T16" i="43"/>
  <c r="H24" i="40"/>
  <c r="B16" i="46"/>
  <c r="T12" i="40"/>
  <c r="T21" i="44"/>
  <c r="P25" i="37"/>
  <c r="P24" i="37"/>
  <c r="H12" i="40"/>
  <c r="D25" i="40"/>
  <c r="D12" i="37"/>
  <c r="H22" i="38"/>
  <c r="B38" i="40"/>
  <c r="D24" i="37"/>
  <c r="D20" i="41"/>
  <c r="T25" i="38"/>
  <c r="B39" i="40"/>
  <c r="T20" i="34"/>
  <c r="T29" i="31"/>
  <c r="H22" i="37"/>
  <c r="P34" i="32"/>
  <c r="D15" i="44"/>
  <c r="H25" i="35"/>
  <c r="T20" i="32"/>
  <c r="D25" i="49"/>
  <c r="H13" i="35"/>
  <c r="P21" i="32"/>
  <c r="T13" i="31"/>
  <c r="D25" i="35"/>
  <c r="P20" i="32"/>
  <c r="H33" i="40"/>
  <c r="B13" i="35"/>
  <c r="H34" i="32"/>
  <c r="D12" i="31"/>
  <c r="B25" i="34"/>
  <c r="H22" i="32"/>
  <c r="D5" i="31"/>
  <c r="D20" i="35"/>
  <c r="D29" i="32"/>
  <c r="D4" i="31"/>
  <c r="T34" i="35"/>
  <c r="D20" i="34"/>
  <c r="B38" i="31"/>
  <c r="H21" i="40"/>
  <c r="T25" i="34"/>
  <c r="D24" i="31"/>
  <c r="D24" i="38"/>
  <c r="P33" i="34"/>
  <c r="T22" i="29"/>
  <c r="T12" i="28"/>
  <c r="B21" i="25"/>
  <c r="H34" i="22"/>
  <c r="P34" i="29"/>
  <c r="T24" i="26"/>
  <c r="D15" i="25"/>
  <c r="D13" i="23"/>
  <c r="D16" i="32"/>
  <c r="P33" i="28"/>
  <c r="T21" i="26"/>
  <c r="P13" i="29"/>
  <c r="P22" i="26"/>
  <c r="T21" i="25"/>
  <c r="H16" i="22"/>
  <c r="P21" i="28"/>
  <c r="P24" i="25"/>
  <c r="B22" i="22"/>
  <c r="H29" i="29"/>
  <c r="P16" i="26"/>
  <c r="H24" i="29"/>
  <c r="P15" i="28"/>
  <c r="P20" i="25"/>
  <c r="D20" i="31"/>
  <c r="B39" i="28"/>
  <c r="H13" i="26"/>
  <c r="D6" i="111"/>
  <c r="T34" i="112"/>
  <c r="P29" i="111"/>
  <c r="H15" i="52"/>
  <c r="P34" i="52"/>
  <c r="D5" i="50"/>
  <c r="B38" i="50"/>
  <c r="H24" i="52"/>
  <c r="P22" i="47"/>
  <c r="P21" i="46"/>
  <c r="H15" i="47"/>
  <c r="P25" i="40"/>
  <c r="D33" i="44"/>
  <c r="D33" i="46"/>
  <c r="H22" i="43"/>
  <c r="D12" i="44"/>
  <c r="D24" i="41"/>
  <c r="P29" i="37"/>
  <c r="P21" i="40"/>
  <c r="P16" i="37"/>
  <c r="T24" i="41"/>
  <c r="H24" i="41"/>
  <c r="D22" i="41"/>
  <c r="T33" i="31"/>
  <c r="H12" i="34"/>
  <c r="H29" i="35"/>
  <c r="T21" i="31"/>
  <c r="D5" i="34"/>
  <c r="D29" i="35"/>
  <c r="T29" i="46"/>
  <c r="D13" i="34"/>
  <c r="H15" i="35"/>
  <c r="P15" i="31"/>
  <c r="D33" i="32"/>
  <c r="D13" i="37"/>
  <c r="B13" i="32"/>
  <c r="T29" i="34"/>
  <c r="D4" i="40"/>
  <c r="T24" i="29"/>
  <c r="T12" i="26"/>
  <c r="T25" i="32"/>
  <c r="B16" i="25"/>
  <c r="P12" i="34"/>
  <c r="P25" i="26"/>
  <c r="P24" i="26"/>
  <c r="H20" i="22"/>
  <c r="H12" i="26"/>
  <c r="H33" i="29"/>
  <c r="B39" i="29"/>
  <c r="D5" i="26"/>
  <c r="D13" i="29"/>
  <c r="H29" i="25"/>
  <c r="T21" i="23"/>
  <c r="D24" i="29"/>
  <c r="D29" i="28"/>
  <c r="D25" i="26"/>
  <c r="P24" i="23"/>
  <c r="P25" i="22"/>
  <c r="D24" i="28"/>
  <c r="H20" i="26"/>
  <c r="H21" i="25"/>
  <c r="T20" i="22"/>
  <c r="T29" i="29"/>
  <c r="B21" i="26"/>
  <c r="T29" i="22"/>
  <c r="P24" i="17"/>
  <c r="P25" i="16"/>
  <c r="H34" i="20"/>
  <c r="D12" i="19"/>
  <c r="T16" i="16"/>
  <c r="P21" i="22"/>
  <c r="H33" i="19"/>
  <c r="P21" i="16"/>
  <c r="D29" i="22"/>
  <c r="D13" i="20"/>
  <c r="H29" i="17"/>
  <c r="H15" i="26"/>
  <c r="B13" i="20"/>
  <c r="B39" i="17"/>
  <c r="H25" i="16"/>
  <c r="D33" i="22"/>
  <c r="D22" i="19"/>
  <c r="D25" i="17"/>
  <c r="D20" i="29"/>
  <c r="B22" i="19"/>
  <c r="T29" i="20"/>
  <c r="B22" i="17"/>
  <c r="B13" i="16"/>
  <c r="P12" i="20"/>
  <c r="B21" i="17"/>
  <c r="T34" i="22"/>
  <c r="T24" i="19"/>
  <c r="D15" i="17"/>
  <c r="P21" i="20"/>
  <c r="T13" i="19"/>
  <c r="P12" i="16"/>
  <c r="T34" i="13"/>
  <c r="P25" i="19"/>
  <c r="T22" i="13"/>
  <c r="P34" i="13"/>
  <c r="P21" i="14"/>
  <c r="T13" i="13"/>
  <c r="B16" i="10"/>
  <c r="D12" i="14"/>
  <c r="P25" i="11"/>
  <c r="H29" i="14"/>
  <c r="T15" i="22"/>
  <c r="H33" i="13"/>
  <c r="D34" i="14"/>
  <c r="H22" i="13"/>
  <c r="B25" i="14"/>
  <c r="D33" i="13"/>
  <c r="B22" i="14"/>
  <c r="B13" i="13"/>
  <c r="H29" i="10"/>
  <c r="T34" i="14"/>
  <c r="D20" i="13"/>
  <c r="P29" i="10"/>
  <c r="T20" i="7"/>
  <c r="B13" i="5"/>
  <c r="D22" i="23"/>
  <c r="H15" i="10"/>
  <c r="H12" i="7"/>
  <c r="H16" i="4"/>
  <c r="T21" i="10"/>
  <c r="P20" i="7"/>
  <c r="B13" i="112"/>
  <c r="D34" i="110"/>
  <c r="H29" i="112"/>
  <c r="B16" i="53"/>
  <c r="P29" i="49"/>
  <c r="D4" i="53"/>
  <c r="B25" i="50"/>
  <c r="D13" i="50"/>
  <c r="T21" i="46"/>
  <c r="P13" i="46"/>
  <c r="H20" i="46"/>
  <c r="H21" i="44"/>
  <c r="B21" i="44"/>
  <c r="P34" i="43"/>
  <c r="H20" i="40"/>
  <c r="P29" i="43"/>
  <c r="D34" i="40"/>
  <c r="P33" i="44"/>
  <c r="P20" i="38"/>
  <c r="D21" i="43"/>
  <c r="D33" i="40"/>
  <c r="H34" i="40"/>
  <c r="D20" i="40"/>
  <c r="T25" i="31"/>
  <c r="P33" i="32"/>
  <c r="P15" i="35"/>
  <c r="D29" i="47"/>
  <c r="T15" i="32"/>
  <c r="H21" i="35"/>
  <c r="D34" i="37"/>
  <c r="H33" i="32"/>
  <c r="D24" i="34"/>
  <c r="D20" i="43"/>
  <c r="D25" i="32"/>
  <c r="T33" i="35"/>
  <c r="D34" i="31"/>
  <c r="B16" i="34"/>
  <c r="B38" i="37"/>
  <c r="P12" i="29"/>
  <c r="D20" i="25"/>
  <c r="P33" i="29"/>
  <c r="T12" i="25"/>
  <c r="B22" i="31"/>
  <c r="T24" i="25"/>
  <c r="T20" i="26"/>
  <c r="B13" i="22"/>
  <c r="P22" i="25"/>
  <c r="H25" i="29"/>
  <c r="H22" i="29"/>
  <c r="P16" i="25"/>
  <c r="H24" i="28"/>
  <c r="H25" i="25"/>
  <c r="T24" i="22"/>
  <c r="D22" i="29"/>
  <c r="D25" i="28"/>
  <c r="H21" i="26"/>
  <c r="P22" i="23"/>
  <c r="T21" i="22"/>
  <c r="D22" i="28"/>
  <c r="H16" i="26"/>
  <c r="D13" i="25"/>
  <c r="T16" i="22"/>
  <c r="T25" i="29"/>
  <c r="D20" i="26"/>
  <c r="P20" i="20"/>
  <c r="P22" i="17"/>
  <c r="T21" i="16"/>
  <c r="H33" i="20"/>
  <c r="P21" i="17"/>
  <c r="T13" i="16"/>
  <c r="D15" i="22"/>
  <c r="H29" i="19"/>
  <c r="T15" i="16"/>
  <c r="P13" i="22"/>
  <c r="B39" i="19"/>
  <c r="H25" i="17"/>
  <c r="P20" i="23"/>
  <c r="B38" i="19"/>
  <c r="H24" i="17"/>
  <c r="P15" i="16"/>
  <c r="B21" i="22"/>
  <c r="H20" i="19"/>
  <c r="H21" i="17"/>
  <c r="H20" i="25"/>
  <c r="D21" i="19"/>
  <c r="T25" i="20"/>
  <c r="D21" i="17"/>
  <c r="D16" i="29"/>
  <c r="T34" i="19"/>
  <c r="D20" i="17"/>
  <c r="B16" i="22"/>
  <c r="T22" i="19"/>
  <c r="T12" i="17"/>
  <c r="T15" i="20"/>
  <c r="P34" i="17"/>
  <c r="B13" i="23"/>
  <c r="T33" i="13"/>
  <c r="P12" i="17"/>
  <c r="P12" i="13"/>
  <c r="P33" i="13"/>
  <c r="T15" i="14"/>
  <c r="T24" i="11"/>
  <c r="D15" i="10"/>
  <c r="P21" i="13"/>
  <c r="T21" i="11"/>
  <c r="H25" i="14"/>
  <c r="D34" i="16"/>
  <c r="H29" i="13"/>
  <c r="D33" i="14"/>
  <c r="H13" i="13"/>
  <c r="D24" i="14"/>
  <c r="D29" i="13"/>
  <c r="D21" i="14"/>
  <c r="B39" i="11"/>
  <c r="H25" i="10"/>
  <c r="T33" i="14"/>
  <c r="D16" i="13"/>
  <c r="D24" i="10"/>
  <c r="T16" i="7"/>
  <c r="B38" i="4"/>
  <c r="D21" i="13"/>
  <c r="P12" i="10"/>
  <c r="B22" i="5"/>
  <c r="B13" i="4"/>
  <c r="H16" i="10"/>
  <c r="P16" i="7"/>
  <c r="H24" i="111"/>
  <c r="D25" i="110"/>
  <c r="H25" i="112"/>
  <c r="D15" i="53"/>
  <c r="P25" i="49"/>
  <c r="H33" i="52"/>
  <c r="D21" i="46"/>
  <c r="H20" i="49"/>
  <c r="D24" i="50"/>
  <c r="B13" i="49"/>
  <c r="H16" i="46"/>
  <c r="T21" i="43"/>
  <c r="H29" i="41"/>
  <c r="T25" i="43"/>
  <c r="T15" i="50"/>
  <c r="T21" i="41"/>
  <c r="H15" i="40"/>
  <c r="H25" i="40"/>
  <c r="P13" i="37"/>
  <c r="H22" i="41"/>
  <c r="H13" i="40"/>
  <c r="P16" i="40"/>
  <c r="P13" i="35"/>
  <c r="T12" i="31"/>
  <c r="T21" i="32"/>
  <c r="P16" i="34"/>
  <c r="B22" i="37"/>
  <c r="P24" i="31"/>
  <c r="H24" i="34"/>
  <c r="D24" i="35"/>
  <c r="P15" i="32"/>
  <c r="H16" i="34"/>
  <c r="D25" i="38"/>
  <c r="B39" i="31"/>
  <c r="B16" i="35"/>
  <c r="D25" i="31"/>
  <c r="B22" i="32"/>
  <c r="T20" i="35"/>
  <c r="T29" i="28"/>
  <c r="H24" i="23"/>
  <c r="T21" i="29"/>
  <c r="D33" i="23"/>
  <c r="T20" i="29"/>
  <c r="T34" i="32"/>
  <c r="P34" i="25"/>
  <c r="D21" i="31"/>
  <c r="T13" i="25"/>
  <c r="P20" i="28"/>
  <c r="H34" i="28"/>
  <c r="T22" i="23"/>
  <c r="D4" i="28"/>
  <c r="P15" i="25"/>
  <c r="T22" i="22"/>
  <c r="H20" i="29"/>
  <c r="H21" i="28"/>
  <c r="D13" i="26"/>
  <c r="T20" i="23"/>
  <c r="P33" i="35"/>
  <c r="H20" i="28"/>
  <c r="B13" i="26"/>
  <c r="P21" i="23"/>
  <c r="T13" i="22"/>
  <c r="B16" i="29"/>
  <c r="D16" i="26"/>
  <c r="P16" i="20"/>
  <c r="T20" i="17"/>
  <c r="H15" i="28"/>
  <c r="H29" i="20"/>
  <c r="T15" i="17"/>
  <c r="D24" i="25"/>
  <c r="B39" i="20"/>
  <c r="H25" i="19"/>
  <c r="P13" i="16"/>
  <c r="B38" i="20"/>
  <c r="H24" i="19"/>
  <c r="P15" i="17"/>
  <c r="H21" i="22"/>
  <c r="D34" i="19"/>
  <c r="H22" i="17"/>
  <c r="D5" i="16"/>
  <c r="D13" i="22"/>
  <c r="H16" i="19"/>
  <c r="D13" i="17"/>
  <c r="D24" i="23"/>
  <c r="H15" i="19"/>
  <c r="B16" i="20"/>
  <c r="H15" i="17"/>
  <c r="B22" i="28"/>
  <c r="T33" i="19"/>
  <c r="D16" i="17"/>
  <c r="D12" i="22"/>
  <c r="P12" i="19"/>
  <c r="B21" i="16"/>
  <c r="P13" i="20"/>
  <c r="P33" i="17"/>
  <c r="D22" i="17"/>
  <c r="T29" i="13"/>
  <c r="P34" i="14"/>
  <c r="B38" i="16"/>
  <c r="P29" i="13"/>
  <c r="P13" i="14"/>
  <c r="T22" i="11"/>
  <c r="T12" i="10"/>
  <c r="T15" i="13"/>
  <c r="D20" i="22"/>
  <c r="P15" i="14"/>
  <c r="B39" i="14"/>
  <c r="H25" i="13"/>
  <c r="D29" i="14"/>
  <c r="D4" i="13"/>
  <c r="D22" i="14"/>
  <c r="D25" i="13"/>
  <c r="H15" i="14"/>
  <c r="H24" i="11"/>
  <c r="P15" i="10"/>
  <c r="T29" i="14"/>
  <c r="D16" i="14"/>
  <c r="P21" i="8"/>
  <c r="T13" i="7"/>
  <c r="D34" i="4"/>
  <c r="B38" i="11"/>
  <c r="P20" i="8"/>
  <c r="D21" i="5"/>
  <c r="T34" i="11"/>
  <c r="H34" i="8"/>
  <c r="D12" i="7"/>
  <c r="D29" i="111"/>
  <c r="D22" i="110"/>
  <c r="B21" i="110"/>
  <c r="D15" i="52"/>
  <c r="P16" i="53"/>
  <c r="H34" i="49"/>
  <c r="P21" i="50"/>
  <c r="H25" i="44"/>
  <c r="T20" i="46"/>
  <c r="P15" i="47"/>
  <c r="T25" i="44"/>
  <c r="D29" i="52"/>
  <c r="D25" i="47"/>
  <c r="H21" i="43"/>
  <c r="B22" i="43"/>
  <c r="H16" i="41"/>
  <c r="D13" i="53"/>
  <c r="T15" i="38"/>
  <c r="P12" i="41"/>
  <c r="H24" i="38"/>
  <c r="B25" i="37"/>
  <c r="T29" i="38"/>
  <c r="P22" i="34"/>
  <c r="D29" i="38"/>
  <c r="P12" i="31"/>
  <c r="P22" i="32"/>
  <c r="H22" i="35"/>
  <c r="T16" i="31"/>
  <c r="D4" i="34"/>
  <c r="H16" i="35"/>
  <c r="P16" i="31"/>
  <c r="H24" i="32"/>
  <c r="B21" i="35"/>
  <c r="H13" i="31"/>
  <c r="B21" i="34"/>
  <c r="T29" i="40"/>
  <c r="B25" i="31"/>
  <c r="P34" i="34"/>
  <c r="D15" i="28"/>
  <c r="D4" i="23"/>
  <c r="P12" i="28"/>
  <c r="H21" i="23"/>
  <c r="P34" i="28"/>
  <c r="T15" i="29"/>
  <c r="P25" i="25"/>
  <c r="D12" i="29"/>
  <c r="D16" i="23"/>
  <c r="P20" i="26"/>
  <c r="H25" i="28"/>
  <c r="T12" i="32"/>
  <c r="H22" i="26"/>
  <c r="P34" i="23"/>
  <c r="B38" i="38"/>
  <c r="B13" i="29"/>
  <c r="B38" i="26"/>
  <c r="H24" i="25"/>
  <c r="T13" i="23"/>
  <c r="B22" i="29"/>
  <c r="B13" i="28"/>
  <c r="D34" i="25"/>
  <c r="P13" i="23"/>
  <c r="P29" i="35"/>
  <c r="T12" i="29"/>
  <c r="D21" i="26"/>
  <c r="P21" i="19"/>
  <c r="T13" i="17"/>
  <c r="H15" i="25"/>
  <c r="P15" i="20"/>
  <c r="H12" i="17"/>
  <c r="B25" i="23"/>
  <c r="H22" i="20"/>
  <c r="D5" i="19"/>
  <c r="D22" i="25"/>
  <c r="D33" i="20"/>
  <c r="H13" i="19"/>
  <c r="P20" i="16"/>
  <c r="D24" i="20"/>
  <c r="D29" i="19"/>
  <c r="D4" i="17"/>
  <c r="D21" i="25"/>
  <c r="D21" i="20"/>
  <c r="B38" i="17"/>
  <c r="H24" i="16"/>
  <c r="P16" i="22"/>
  <c r="D15" i="23"/>
  <c r="T12" i="20"/>
  <c r="D24" i="16"/>
  <c r="D16" i="22"/>
  <c r="T25" i="19"/>
  <c r="D21" i="16"/>
  <c r="P33" i="20"/>
  <c r="T33" i="17"/>
  <c r="D16" i="16"/>
  <c r="P24" i="19"/>
  <c r="P25" i="17"/>
  <c r="D29" i="16"/>
  <c r="B16" i="13"/>
  <c r="P29" i="14"/>
  <c r="P22" i="14"/>
  <c r="T21" i="13"/>
  <c r="P24" i="13"/>
  <c r="T34" i="10"/>
  <c r="H20" i="17"/>
  <c r="H12" i="13"/>
  <c r="T34" i="16"/>
  <c r="P20" i="13"/>
  <c r="H22" i="14"/>
  <c r="D5" i="13"/>
  <c r="H21" i="14"/>
  <c r="B25" i="17"/>
  <c r="H16" i="14"/>
  <c r="D13" i="13"/>
  <c r="D24" i="13"/>
  <c r="H13" i="11"/>
  <c r="P22" i="20"/>
  <c r="B16" i="14"/>
  <c r="B22" i="11"/>
  <c r="P13" i="8"/>
  <c r="D24" i="5"/>
  <c r="D29" i="4"/>
  <c r="P13" i="11"/>
  <c r="D12" i="8"/>
  <c r="B25" i="4"/>
  <c r="P20" i="11"/>
  <c r="H29" i="8"/>
  <c r="D20" i="5"/>
  <c r="T16" i="110"/>
  <c r="B21" i="112"/>
  <c r="T25" i="111"/>
  <c r="D16" i="110"/>
  <c r="P25" i="53"/>
  <c r="H12" i="49"/>
  <c r="P15" i="49"/>
  <c r="B16" i="47"/>
  <c r="P15" i="44"/>
  <c r="B25" i="53"/>
  <c r="B25" i="43"/>
  <c r="D4" i="44"/>
  <c r="D15" i="46"/>
  <c r="B13" i="44"/>
  <c r="H20" i="43"/>
  <c r="T13" i="43"/>
  <c r="T33" i="37"/>
  <c r="T33" i="44"/>
  <c r="P22" i="37"/>
  <c r="B16" i="40"/>
  <c r="D4" i="38"/>
  <c r="D22" i="37"/>
  <c r="B16" i="38"/>
  <c r="T16" i="34"/>
  <c r="P20" i="35"/>
  <c r="P20" i="41"/>
  <c r="T16" i="32"/>
  <c r="D4" i="35"/>
  <c r="H20" i="41"/>
  <c r="P16" i="32"/>
  <c r="B38" i="34"/>
  <c r="T15" i="40"/>
  <c r="H13" i="32"/>
  <c r="D16" i="35"/>
  <c r="B39" i="44"/>
  <c r="D16" i="34"/>
  <c r="D20" i="38"/>
  <c r="D22" i="31"/>
  <c r="P29" i="34"/>
  <c r="T34" i="26"/>
  <c r="H33" i="22"/>
  <c r="T22" i="26"/>
  <c r="B39" i="22"/>
  <c r="P29" i="28"/>
  <c r="H12" i="29"/>
  <c r="B22" i="23"/>
  <c r="T15" i="28"/>
  <c r="D21" i="22"/>
  <c r="D12" i="26"/>
  <c r="D5" i="28"/>
  <c r="B38" i="29"/>
  <c r="D4" i="26"/>
  <c r="P33" i="23"/>
  <c r="P34" i="35"/>
  <c r="B38" i="28"/>
  <c r="D34" i="26"/>
  <c r="H22" i="25"/>
  <c r="P34" i="22"/>
  <c r="D21" i="29"/>
  <c r="B25" i="26"/>
  <c r="D33" i="25"/>
  <c r="H12" i="23"/>
  <c r="D16" i="31"/>
  <c r="B21" i="28"/>
  <c r="P16" i="23"/>
  <c r="T15" i="19"/>
  <c r="P34" i="16"/>
  <c r="H25" i="23"/>
  <c r="D5" i="20"/>
  <c r="P24" i="16"/>
  <c r="H16" i="23"/>
  <c r="H13" i="20"/>
  <c r="P20" i="17"/>
  <c r="T34" i="23"/>
  <c r="D29" i="20"/>
  <c r="D4" i="19"/>
  <c r="P16" i="16"/>
  <c r="D22" i="20"/>
  <c r="D25" i="19"/>
  <c r="H34" i="16"/>
  <c r="H34" i="23"/>
  <c r="H15" i="20"/>
  <c r="D34" i="17"/>
  <c r="H22" i="16"/>
  <c r="B21" i="20"/>
  <c r="T12" i="22"/>
  <c r="B21" i="19"/>
  <c r="D22" i="16"/>
  <c r="H12" i="22"/>
  <c r="B16" i="19"/>
  <c r="H15" i="16"/>
  <c r="P29" i="20"/>
  <c r="T29" i="17"/>
  <c r="B22" i="26"/>
  <c r="P22" i="19"/>
  <c r="T21" i="17"/>
  <c r="T24" i="14"/>
  <c r="D15" i="13"/>
  <c r="P25" i="14"/>
  <c r="T20" i="14"/>
  <c r="T25" i="22"/>
  <c r="P22" i="13"/>
  <c r="T33" i="10"/>
  <c r="D25" i="16"/>
  <c r="P34" i="11"/>
  <c r="B16" i="16"/>
  <c r="P16" i="13"/>
  <c r="H13" i="14"/>
  <c r="T33" i="16"/>
  <c r="D13" i="14"/>
  <c r="H16" i="17"/>
  <c r="B13" i="14"/>
  <c r="P33" i="19"/>
  <c r="D22" i="13"/>
  <c r="D4" i="11"/>
  <c r="P29" i="19"/>
  <c r="D15" i="14"/>
  <c r="T20" i="11"/>
  <c r="H12" i="8"/>
  <c r="D22" i="5"/>
  <c r="D25" i="4"/>
  <c r="D5" i="11"/>
  <c r="P21" i="7"/>
  <c r="D24" i="4"/>
  <c r="B16" i="11"/>
  <c r="H25" i="8"/>
  <c r="D16" i="5"/>
  <c r="D20" i="112"/>
  <c r="B16" i="52"/>
  <c r="H16" i="52"/>
  <c r="D13" i="52"/>
  <c r="T20" i="43"/>
  <c r="P25" i="43"/>
  <c r="T20" i="38"/>
  <c r="B39" i="38"/>
  <c r="D16" i="37"/>
  <c r="D29" i="37"/>
  <c r="T20" i="31"/>
  <c r="H21" i="34"/>
  <c r="H15" i="34"/>
  <c r="D13" i="31"/>
  <c r="H15" i="31"/>
  <c r="T33" i="25"/>
  <c r="P21" i="29"/>
  <c r="P13" i="26"/>
  <c r="H29" i="26"/>
  <c r="D5" i="25"/>
  <c r="D33" i="28"/>
  <c r="P33" i="22"/>
  <c r="B38" i="25"/>
  <c r="T33" i="29"/>
  <c r="P13" i="19"/>
  <c r="H25" i="20"/>
  <c r="T33" i="22"/>
  <c r="T29" i="23"/>
  <c r="D5" i="17"/>
  <c r="D13" i="19"/>
  <c r="B25" i="19"/>
  <c r="H20" i="23"/>
  <c r="D16" i="19"/>
  <c r="D15" i="19"/>
  <c r="T34" i="17"/>
  <c r="T16" i="19"/>
  <c r="T12" i="13"/>
  <c r="P25" i="13"/>
  <c r="T25" i="10"/>
  <c r="H34" i="14"/>
  <c r="P15" i="13"/>
  <c r="D13" i="16"/>
  <c r="H20" i="13"/>
  <c r="T25" i="14"/>
  <c r="P22" i="7"/>
  <c r="D25" i="10"/>
  <c r="D24" i="11"/>
  <c r="D21" i="4"/>
  <c r="H24" i="8"/>
  <c r="P15" i="7"/>
  <c r="T12" i="5"/>
  <c r="T15" i="11"/>
  <c r="D33" i="8"/>
  <c r="H13" i="7"/>
  <c r="T25" i="4"/>
  <c r="B13" i="11"/>
  <c r="D22" i="8"/>
  <c r="D25" i="7"/>
  <c r="T24" i="4"/>
  <c r="P34" i="10"/>
  <c r="H21" i="10"/>
  <c r="T15" i="5"/>
  <c r="P16" i="11"/>
  <c r="T33" i="8"/>
  <c r="D16" i="7"/>
  <c r="H21" i="16"/>
  <c r="T16" i="10"/>
  <c r="T25" i="7"/>
  <c r="P15" i="5"/>
  <c r="H16" i="11"/>
  <c r="T20" i="8"/>
  <c r="B38" i="5"/>
  <c r="H24" i="4"/>
  <c r="P15" i="4"/>
  <c r="H25" i="4"/>
  <c r="H20" i="7"/>
  <c r="D21" i="8"/>
  <c r="H16" i="7"/>
  <c r="P34" i="4"/>
  <c r="T12" i="44"/>
  <c r="D22" i="32"/>
  <c r="H16" i="29"/>
  <c r="D12" i="17"/>
  <c r="P25" i="20"/>
  <c r="P34" i="19"/>
  <c r="P20" i="10"/>
  <c r="B25" i="11"/>
  <c r="T16" i="4"/>
  <c r="T25" i="11"/>
  <c r="P29" i="4"/>
  <c r="D5" i="110"/>
  <c r="T22" i="52"/>
  <c r="D29" i="50"/>
  <c r="P16" i="47"/>
  <c r="P25" i="44"/>
  <c r="D25" i="46"/>
  <c r="P33" i="37"/>
  <c r="P15" i="37"/>
  <c r="P24" i="34"/>
  <c r="H33" i="35"/>
  <c r="B38" i="35"/>
  <c r="P20" i="31"/>
  <c r="D34" i="32"/>
  <c r="P12" i="35"/>
  <c r="B16" i="28"/>
  <c r="T25" i="25"/>
  <c r="T20" i="28"/>
  <c r="D20" i="23"/>
  <c r="P15" i="26"/>
  <c r="P29" i="23"/>
  <c r="D13" i="28"/>
  <c r="P29" i="22"/>
  <c r="D29" i="25"/>
  <c r="D15" i="29"/>
  <c r="H12" i="19"/>
  <c r="P20" i="19"/>
  <c r="H24" i="20"/>
  <c r="B16" i="23"/>
  <c r="D12" i="16"/>
  <c r="H13" i="17"/>
  <c r="D24" i="19"/>
  <c r="D20" i="20"/>
  <c r="B25" i="16"/>
  <c r="T12" i="19"/>
  <c r="T25" i="17"/>
  <c r="P29" i="17"/>
  <c r="T20" i="20"/>
  <c r="T16" i="20"/>
  <c r="T21" i="19"/>
  <c r="H33" i="14"/>
  <c r="D15" i="16"/>
  <c r="H20" i="14"/>
  <c r="H16" i="13"/>
  <c r="T12" i="14"/>
  <c r="B25" i="5"/>
  <c r="T20" i="10"/>
  <c r="B39" i="10"/>
  <c r="H15" i="4"/>
  <c r="H22" i="8"/>
  <c r="D5" i="7"/>
  <c r="B21" i="4"/>
  <c r="D13" i="11"/>
  <c r="D29" i="8"/>
  <c r="D4" i="7"/>
  <c r="B16" i="4"/>
  <c r="D29" i="10"/>
  <c r="H20" i="8"/>
  <c r="H21" i="7"/>
  <c r="T22" i="4"/>
  <c r="H20" i="10"/>
  <c r="B21" i="8"/>
  <c r="P13" i="5"/>
  <c r="T12" i="11"/>
  <c r="T29" i="8"/>
  <c r="P20" i="5"/>
  <c r="B21" i="14"/>
  <c r="D13" i="10"/>
  <c r="B16" i="7"/>
  <c r="D5" i="5"/>
  <c r="D15" i="11"/>
  <c r="T16" i="8"/>
  <c r="D34" i="5"/>
  <c r="H22" i="4"/>
  <c r="P34" i="8"/>
  <c r="B21" i="11"/>
  <c r="H24" i="5"/>
  <c r="H22" i="5"/>
  <c r="D4" i="5"/>
  <c r="T13" i="41"/>
  <c r="H20" i="35"/>
  <c r="T24" i="34"/>
  <c r="D5" i="23"/>
  <c r="D15" i="20"/>
  <c r="P29" i="11"/>
  <c r="D22" i="4"/>
  <c r="H24" i="7"/>
  <c r="T16" i="11"/>
  <c r="D33" i="10"/>
  <c r="B39" i="5"/>
  <c r="B25" i="110"/>
  <c r="T16" i="53"/>
  <c r="B21" i="46"/>
  <c r="H25" i="47"/>
  <c r="H21" i="52"/>
  <c r="B13" i="53"/>
  <c r="P21" i="38"/>
  <c r="T33" i="41"/>
  <c r="T22" i="32"/>
  <c r="P24" i="32"/>
  <c r="D33" i="35"/>
  <c r="H15" i="37"/>
  <c r="H22" i="31"/>
  <c r="T33" i="34"/>
  <c r="T25" i="26"/>
  <c r="D25" i="23"/>
  <c r="T13" i="28"/>
  <c r="D15" i="32"/>
  <c r="T22" i="34"/>
  <c r="P25" i="23"/>
  <c r="D33" i="26"/>
  <c r="T29" i="32"/>
  <c r="D25" i="25"/>
  <c r="D20" i="28"/>
  <c r="T16" i="17"/>
  <c r="P16" i="19"/>
  <c r="D4" i="20"/>
  <c r="D34" i="20"/>
  <c r="D20" i="32"/>
  <c r="H33" i="16"/>
  <c r="B13" i="19"/>
  <c r="D16" i="20"/>
  <c r="H20" i="16"/>
  <c r="B22" i="16"/>
  <c r="B16" i="17"/>
  <c r="T24" i="16"/>
  <c r="P33" i="14"/>
  <c r="T25" i="16"/>
  <c r="P20" i="14"/>
  <c r="D5" i="14"/>
  <c r="B38" i="14"/>
  <c r="B38" i="13"/>
  <c r="H22" i="11"/>
  <c r="B21" i="13"/>
  <c r="H20" i="5"/>
  <c r="P16" i="8"/>
  <c r="B25" i="10"/>
  <c r="H33" i="11"/>
  <c r="H13" i="8"/>
  <c r="T34" i="5"/>
  <c r="D20" i="4"/>
  <c r="P33" i="10"/>
  <c r="D25" i="8"/>
  <c r="T24" i="5"/>
  <c r="D15" i="4"/>
  <c r="T24" i="10"/>
  <c r="H16" i="8"/>
  <c r="D13" i="7"/>
  <c r="P12" i="4"/>
  <c r="P13" i="10"/>
  <c r="D20" i="8"/>
  <c r="H12" i="5"/>
  <c r="P25" i="10"/>
  <c r="T25" i="8"/>
  <c r="P16" i="5"/>
  <c r="H29" i="11"/>
  <c r="T24" i="8"/>
  <c r="D15" i="7"/>
  <c r="P20" i="4"/>
  <c r="H12" i="11"/>
  <c r="T13" i="8"/>
  <c r="D33" i="5"/>
  <c r="H13" i="4"/>
  <c r="P12" i="7"/>
  <c r="D22" i="10"/>
  <c r="D5" i="4"/>
  <c r="H13" i="5"/>
  <c r="T24" i="7"/>
  <c r="T12" i="37"/>
  <c r="H25" i="31"/>
  <c r="H34" i="25"/>
  <c r="B13" i="25"/>
  <c r="T22" i="20"/>
  <c r="D4" i="14"/>
  <c r="B21" i="5"/>
  <c r="T33" i="4"/>
  <c r="H15" i="7"/>
  <c r="H29" i="5"/>
  <c r="B21" i="10"/>
  <c r="B16" i="111"/>
  <c r="P20" i="53"/>
  <c r="H20" i="53"/>
  <c r="H21" i="53"/>
  <c r="D5" i="41"/>
  <c r="D29" i="44"/>
  <c r="H34" i="43"/>
  <c r="H15" i="38"/>
  <c r="T34" i="31"/>
  <c r="P33" i="31"/>
  <c r="H13" i="34"/>
  <c r="D21" i="35"/>
  <c r="B13" i="38"/>
  <c r="H15" i="32"/>
  <c r="D15" i="26"/>
  <c r="H13" i="22"/>
  <c r="P29" i="25"/>
  <c r="H34" i="29"/>
  <c r="D29" i="29"/>
  <c r="P12" i="22"/>
  <c r="D29" i="26"/>
  <c r="H15" i="29"/>
  <c r="T15" i="23"/>
  <c r="D16" i="28"/>
  <c r="P33" i="16"/>
  <c r="P13" i="17"/>
  <c r="H34" i="19"/>
  <c r="D25" i="20"/>
  <c r="B25" i="20"/>
  <c r="H29" i="16"/>
  <c r="D33" i="17"/>
  <c r="T33" i="23"/>
  <c r="H16" i="16"/>
  <c r="D21" i="28"/>
  <c r="D20" i="16"/>
  <c r="T22" i="16"/>
  <c r="T21" i="14"/>
  <c r="H12" i="14"/>
  <c r="P16" i="14"/>
  <c r="D12" i="13"/>
  <c r="D25" i="14"/>
  <c r="D34" i="13"/>
  <c r="H34" i="10"/>
  <c r="B22" i="13"/>
  <c r="H16" i="5"/>
  <c r="T15" i="7"/>
  <c r="H33" i="8"/>
  <c r="H25" i="11"/>
  <c r="D4" i="8"/>
  <c r="T33" i="5"/>
  <c r="D16" i="4"/>
  <c r="P21" i="10"/>
  <c r="H21" i="8"/>
  <c r="T22" i="5"/>
  <c r="T12" i="4"/>
  <c r="P22" i="10"/>
  <c r="B13" i="8"/>
  <c r="P34" i="5"/>
  <c r="D24" i="17"/>
  <c r="D4" i="10"/>
  <c r="D16" i="8"/>
  <c r="P24" i="4"/>
  <c r="H22" i="10"/>
  <c r="B16" i="8"/>
  <c r="D12" i="5"/>
  <c r="P24" i="11"/>
  <c r="T22" i="8"/>
  <c r="T12" i="7"/>
  <c r="P16" i="4"/>
  <c r="D34" i="10"/>
  <c r="P34" i="7"/>
  <c r="D29" i="5"/>
  <c r="D4" i="4"/>
  <c r="T16" i="5"/>
  <c r="P33" i="8"/>
  <c r="T21" i="8"/>
  <c r="H29" i="4"/>
  <c r="T20" i="5"/>
  <c r="H25" i="52"/>
  <c r="T33" i="38"/>
  <c r="P25" i="35"/>
  <c r="D24" i="26"/>
  <c r="D33" i="19"/>
  <c r="P12" i="14"/>
  <c r="T22" i="17"/>
  <c r="B16" i="5"/>
  <c r="D33" i="7"/>
  <c r="B21" i="7"/>
  <c r="P25" i="7"/>
  <c r="P25" i="8"/>
  <c r="P33" i="111"/>
  <c r="H34" i="53"/>
  <c r="P12" i="46"/>
  <c r="B39" i="52"/>
  <c r="T24" i="43"/>
  <c r="P12" i="40"/>
  <c r="T33" i="40"/>
  <c r="B13" i="37"/>
  <c r="H16" i="44"/>
  <c r="P25" i="31"/>
  <c r="T15" i="31"/>
  <c r="B39" i="32"/>
  <c r="D25" i="37"/>
  <c r="B13" i="31"/>
  <c r="H13" i="23"/>
  <c r="H24" i="37"/>
  <c r="B25" i="22"/>
  <c r="D12" i="28"/>
  <c r="H21" i="29"/>
  <c r="B21" i="32"/>
  <c r="B39" i="25"/>
  <c r="B25" i="28"/>
  <c r="P24" i="22"/>
  <c r="B22" i="25"/>
  <c r="P29" i="16"/>
  <c r="P22" i="16"/>
  <c r="P15" i="19"/>
  <c r="H21" i="20"/>
  <c r="H20" i="20"/>
  <c r="B21" i="29"/>
  <c r="D29" i="17"/>
  <c r="T34" i="20"/>
  <c r="P20" i="22"/>
  <c r="H33" i="23"/>
  <c r="T25" i="23"/>
  <c r="B13" i="17"/>
  <c r="T24" i="13"/>
  <c r="T20" i="13"/>
  <c r="P13" i="13"/>
  <c r="H16" i="25"/>
  <c r="B39" i="13"/>
  <c r="H21" i="13"/>
  <c r="H33" i="10"/>
  <c r="T13" i="11"/>
  <c r="D33" i="4"/>
  <c r="P13" i="7"/>
  <c r="P15" i="8"/>
  <c r="B38" i="10"/>
  <c r="H34" i="7"/>
  <c r="T29" i="5"/>
  <c r="P24" i="20"/>
  <c r="D16" i="10"/>
  <c r="D13" i="8"/>
  <c r="P12" i="5"/>
  <c r="H15" i="13"/>
  <c r="T13" i="10"/>
  <c r="B38" i="7"/>
  <c r="P33" i="5"/>
  <c r="H34" i="11"/>
  <c r="D34" i="11"/>
  <c r="B22" i="7"/>
  <c r="P22" i="4"/>
  <c r="D20" i="10"/>
  <c r="D15" i="8"/>
  <c r="P21" i="4"/>
  <c r="D21" i="11"/>
  <c r="P12" i="8"/>
  <c r="H34" i="5"/>
  <c r="D12" i="4"/>
  <c r="B22" i="10"/>
  <c r="P33" i="7"/>
  <c r="D25" i="5"/>
  <c r="D22" i="7"/>
  <c r="P33" i="4"/>
  <c r="P24" i="5"/>
  <c r="P22" i="5"/>
  <c r="P29" i="8"/>
  <c r="P25" i="4"/>
  <c r="T16" i="111"/>
  <c r="H25" i="38"/>
  <c r="T13" i="35"/>
  <c r="D4" i="25"/>
  <c r="H34" i="17"/>
  <c r="H12" i="20"/>
  <c r="T12" i="16"/>
  <c r="H29" i="7"/>
  <c r="B25" i="8"/>
  <c r="H13" i="10"/>
  <c r="P24" i="8"/>
  <c r="B13" i="10"/>
  <c r="T13" i="110"/>
  <c r="T21" i="110"/>
  <c r="H29" i="50"/>
  <c r="H24" i="49"/>
  <c r="D13" i="47"/>
  <c r="H16" i="43"/>
  <c r="D15" i="37"/>
  <c r="D34" i="43"/>
  <c r="T29" i="41"/>
  <c r="P21" i="34"/>
  <c r="H24" i="35"/>
  <c r="H12" i="31"/>
  <c r="H33" i="31"/>
  <c r="T12" i="35"/>
  <c r="D4" i="41"/>
  <c r="P15" i="22"/>
  <c r="T13" i="29"/>
  <c r="D22" i="22"/>
  <c r="P13" i="25"/>
  <c r="H24" i="26"/>
  <c r="B25" i="29"/>
  <c r="H13" i="25"/>
  <c r="H16" i="28"/>
  <c r="P22" i="22"/>
  <c r="D12" i="23"/>
  <c r="B25" i="25"/>
  <c r="T20" i="16"/>
  <c r="P16" i="17"/>
  <c r="H22" i="19"/>
  <c r="H16" i="20"/>
  <c r="H29" i="23"/>
  <c r="B39" i="16"/>
  <c r="T33" i="20"/>
  <c r="T24" i="20"/>
  <c r="P34" i="20"/>
  <c r="T12" i="23"/>
  <c r="T22" i="14"/>
  <c r="P24" i="14"/>
  <c r="T16" i="13"/>
  <c r="P33" i="11"/>
  <c r="H24" i="14"/>
  <c r="H24" i="13"/>
  <c r="T24" i="17"/>
  <c r="D5" i="10"/>
  <c r="D12" i="11"/>
  <c r="H21" i="4"/>
  <c r="H15" i="5"/>
  <c r="D5" i="8"/>
  <c r="T22" i="10"/>
  <c r="H33" i="7"/>
  <c r="T25" i="5"/>
  <c r="D33" i="11"/>
  <c r="H12" i="10"/>
  <c r="B39" i="7"/>
  <c r="T34" i="4"/>
  <c r="T29" i="11"/>
  <c r="D12" i="10"/>
  <c r="D34" i="7"/>
  <c r="P29" i="5"/>
  <c r="P22" i="11"/>
  <c r="H21" i="11"/>
  <c r="D21" i="7"/>
  <c r="T20" i="4"/>
  <c r="T15" i="10"/>
  <c r="T12" i="8"/>
  <c r="T15" i="4"/>
  <c r="H15" i="11"/>
  <c r="T34" i="7"/>
  <c r="H33" i="5"/>
  <c r="T33" i="11"/>
  <c r="P16" i="10"/>
  <c r="P29" i="7"/>
  <c r="H21" i="5"/>
  <c r="B13" i="7"/>
  <c r="H24" i="10"/>
  <c r="T21" i="4"/>
  <c r="T13" i="5"/>
  <c r="D20" i="14"/>
  <c r="D29" i="11"/>
  <c r="P24" i="47"/>
  <c r="P13" i="34"/>
  <c r="P34" i="26"/>
  <c r="B21" i="40"/>
  <c r="P15" i="23"/>
  <c r="T16" i="14"/>
  <c r="T15" i="8"/>
  <c r="D25" i="11"/>
  <c r="P25" i="5"/>
  <c r="P13" i="4"/>
  <c r="D13" i="5"/>
  <c r="D33" i="111"/>
  <c r="D21" i="52"/>
  <c r="D5" i="49"/>
  <c r="H16" i="49"/>
  <c r="P33" i="40"/>
  <c r="D5" i="46"/>
  <c r="T22" i="37"/>
  <c r="D5" i="38"/>
  <c r="B21" i="37"/>
  <c r="T22" i="31"/>
  <c r="P15" i="34"/>
  <c r="D29" i="34"/>
  <c r="H13" i="37"/>
  <c r="H16" i="32"/>
  <c r="D13" i="40"/>
  <c r="T22" i="28"/>
  <c r="P29" i="26"/>
  <c r="P21" i="26"/>
  <c r="H29" i="28"/>
  <c r="H33" i="25"/>
  <c r="D34" i="28"/>
  <c r="T16" i="23"/>
  <c r="D22" i="26"/>
  <c r="T34" i="29"/>
  <c r="D12" i="20"/>
  <c r="D25" i="22"/>
  <c r="B38" i="22"/>
  <c r="H12" i="16"/>
  <c r="H33" i="17"/>
  <c r="H21" i="19"/>
  <c r="B22" i="20"/>
  <c r="D4" i="16"/>
  <c r="D20" i="19"/>
  <c r="T29" i="19"/>
  <c r="T21" i="20"/>
  <c r="T20" i="19"/>
  <c r="T25" i="13"/>
  <c r="T13" i="14"/>
  <c r="T29" i="10"/>
  <c r="T13" i="20"/>
  <c r="H34" i="13"/>
  <c r="D33" i="16"/>
  <c r="B25" i="13"/>
  <c r="T29" i="16"/>
  <c r="P24" i="7"/>
  <c r="D16" i="11"/>
  <c r="H20" i="4"/>
  <c r="B22" i="4"/>
  <c r="B39" i="8"/>
  <c r="H25" i="7"/>
  <c r="D15" i="5"/>
  <c r="P21" i="11"/>
  <c r="D34" i="8"/>
  <c r="H22" i="7"/>
  <c r="T29" i="4"/>
  <c r="H20" i="11"/>
  <c r="D24" i="8"/>
  <c r="D29" i="7"/>
  <c r="T21" i="5"/>
  <c r="P15" i="11"/>
  <c r="P24" i="10"/>
  <c r="P21" i="5"/>
  <c r="T13" i="4"/>
  <c r="T34" i="8"/>
  <c r="D20" i="7"/>
  <c r="H12" i="4"/>
  <c r="D21" i="10"/>
  <c r="T29" i="7"/>
  <c r="H25" i="5"/>
  <c r="D22" i="11"/>
  <c r="P22" i="8"/>
  <c r="T21" i="7"/>
  <c r="B39" i="4"/>
  <c r="H34" i="4"/>
  <c r="H33" i="4"/>
  <c r="B22" i="8"/>
  <c r="D24" i="7"/>
  <c r="B25" i="7"/>
  <c r="T22" i="7"/>
  <c r="H29" i="111"/>
  <c r="H29" i="34"/>
  <c r="P16" i="29"/>
  <c r="D34" i="22"/>
  <c r="H13" i="16"/>
  <c r="P12" i="11"/>
  <c r="D13" i="4"/>
  <c r="B38" i="8"/>
  <c r="D20" i="11"/>
  <c r="T33" i="7"/>
  <c r="H15" i="8"/>
  <c r="L64" i="70" l="1"/>
  <c r="N64" i="70" s="1"/>
  <c r="P30" i="85"/>
  <c r="X18" i="91"/>
  <c r="Z18" i="91"/>
  <c r="L172" i="15"/>
  <c r="N172" i="15" s="1"/>
  <c r="X78" i="68"/>
  <c r="Z78" i="68" s="1"/>
  <c r="Z66" i="27"/>
  <c r="N26" i="45"/>
  <c r="Z19" i="63"/>
  <c r="L18" i="59"/>
  <c r="Z18" i="56"/>
  <c r="N18" i="59"/>
  <c r="N19" i="109"/>
  <c r="L29" i="78"/>
  <c r="J29" i="78"/>
  <c r="X85" i="24"/>
  <c r="L74" i="30"/>
  <c r="N29" i="72"/>
  <c r="N22" i="80"/>
  <c r="V22" i="87"/>
  <c r="X25" i="101"/>
  <c r="Z25" i="101" s="1"/>
  <c r="X19" i="109"/>
  <c r="Z19" i="109" s="1"/>
  <c r="N18" i="9"/>
  <c r="X32" i="21"/>
  <c r="L41" i="39"/>
  <c r="N41" i="39" s="1"/>
  <c r="L18" i="60"/>
  <c r="N22" i="69"/>
  <c r="X29" i="72"/>
  <c r="Z29" i="72" s="1"/>
  <c r="L22" i="94"/>
  <c r="N22" i="94" s="1"/>
  <c r="N18" i="108"/>
  <c r="L198" i="18"/>
  <c r="H67" i="59"/>
  <c r="N19" i="63"/>
  <c r="Z18" i="67"/>
  <c r="N78" i="68"/>
  <c r="N22" i="83"/>
  <c r="L22" i="88"/>
  <c r="N22" i="88" s="1"/>
  <c r="N22" i="93"/>
  <c r="T94" i="95"/>
  <c r="X22" i="98"/>
  <c r="Z23" i="105"/>
  <c r="X23" i="107"/>
  <c r="X18" i="9"/>
  <c r="Z18" i="9" s="1"/>
  <c r="X22" i="69"/>
  <c r="N18" i="91"/>
  <c r="Z172" i="15"/>
  <c r="L18" i="55"/>
  <c r="N18" i="55" s="1"/>
  <c r="X18" i="56"/>
  <c r="R22" i="69"/>
  <c r="L55" i="74"/>
  <c r="N55" i="74" s="1"/>
  <c r="Z22" i="83"/>
  <c r="N22" i="87"/>
  <c r="N23" i="104"/>
  <c r="L32" i="21"/>
  <c r="X18" i="55"/>
  <c r="Z18" i="55" s="1"/>
  <c r="L29" i="72"/>
  <c r="X22" i="87"/>
  <c r="Z22" i="87" s="1"/>
  <c r="N25" i="101"/>
  <c r="P20" i="69"/>
  <c r="Z16" i="69"/>
  <c r="X34" i="4"/>
  <c r="Z22" i="7"/>
  <c r="X25" i="8"/>
  <c r="L29" i="11"/>
  <c r="X25" i="4"/>
  <c r="Z20" i="5"/>
  <c r="Z24" i="7"/>
  <c r="N16" i="7"/>
  <c r="L20" i="14"/>
  <c r="X29" i="8"/>
  <c r="N29" i="4"/>
  <c r="N13" i="5"/>
  <c r="N22" i="5"/>
  <c r="L21" i="8"/>
  <c r="L24" i="7"/>
  <c r="X29" i="4"/>
  <c r="Z13" i="5"/>
  <c r="X22" i="5"/>
  <c r="Z21" i="8"/>
  <c r="N24" i="5"/>
  <c r="N20" i="7"/>
  <c r="Z21" i="4"/>
  <c r="X24" i="5"/>
  <c r="X33" i="8"/>
  <c r="L22" i="10"/>
  <c r="N25" i="4"/>
  <c r="N33" i="4"/>
  <c r="N15" i="8"/>
  <c r="N24" i="10"/>
  <c r="X33" i="4"/>
  <c r="Z16" i="5"/>
  <c r="R21" i="7"/>
  <c r="R20" i="7"/>
  <c r="R18" i="7"/>
  <c r="R16" i="7"/>
  <c r="P18" i="7"/>
  <c r="R15" i="7"/>
  <c r="X12" i="7"/>
  <c r="R24" i="7"/>
  <c r="R22" i="7"/>
  <c r="R31" i="7"/>
  <c r="R29" i="7"/>
  <c r="R27" i="7"/>
  <c r="R36" i="7"/>
  <c r="R25" i="7"/>
  <c r="R34" i="7"/>
  <c r="R33" i="7"/>
  <c r="X34" i="8"/>
  <c r="X15" i="4"/>
  <c r="N34" i="4"/>
  <c r="L22" i="7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X16" i="10"/>
  <c r="L34" i="10"/>
  <c r="J21" i="11"/>
  <c r="J24" i="11"/>
  <c r="J18" i="11"/>
  <c r="J33" i="11"/>
  <c r="J25" i="11"/>
  <c r="H18" i="11"/>
  <c r="J20" i="11"/>
  <c r="J34" i="11"/>
  <c r="J27" i="11"/>
  <c r="J36" i="11"/>
  <c r="J29" i="11"/>
  <c r="J15" i="11"/>
  <c r="J22" i="11"/>
  <c r="N12" i="11"/>
  <c r="J31" i="11"/>
  <c r="J16" i="11"/>
  <c r="L15" i="11"/>
  <c r="N16" i="11"/>
  <c r="L22" i="11"/>
  <c r="Z25" i="11"/>
  <c r="Z33" i="11"/>
  <c r="F24" i="4"/>
  <c r="F22" i="4"/>
  <c r="F21" i="4"/>
  <c r="F20" i="4"/>
  <c r="F18" i="4"/>
  <c r="F16" i="4"/>
  <c r="D18" i="4"/>
  <c r="F15" i="4"/>
  <c r="L12" i="4"/>
  <c r="F36" i="4"/>
  <c r="F34" i="4"/>
  <c r="F33" i="4"/>
  <c r="F31" i="4"/>
  <c r="F29" i="4"/>
  <c r="F27" i="4"/>
  <c r="F25" i="4"/>
  <c r="X16" i="4"/>
  <c r="X20" i="4"/>
  <c r="X15" i="5"/>
  <c r="N25" i="5"/>
  <c r="N29" i="5"/>
  <c r="N33" i="5"/>
  <c r="N34" i="5"/>
  <c r="T18" i="7"/>
  <c r="V15" i="7"/>
  <c r="Z12" i="7"/>
  <c r="V36" i="7"/>
  <c r="V34" i="7"/>
  <c r="V33" i="7"/>
  <c r="V31" i="7"/>
  <c r="V29" i="7"/>
  <c r="V27" i="7"/>
  <c r="V25" i="7"/>
  <c r="V24" i="7"/>
  <c r="V22" i="7"/>
  <c r="V20" i="7"/>
  <c r="V18" i="7"/>
  <c r="V16" i="7"/>
  <c r="V21" i="7"/>
  <c r="L15" i="7"/>
  <c r="Z25" i="7"/>
  <c r="Z29" i="7"/>
  <c r="Z33" i="7"/>
  <c r="Z34" i="7"/>
  <c r="R20" i="8"/>
  <c r="R18" i="8"/>
  <c r="R16" i="8"/>
  <c r="P18" i="8"/>
  <c r="R15" i="8"/>
  <c r="X12" i="8"/>
  <c r="R36" i="8"/>
  <c r="R34" i="8"/>
  <c r="R33" i="8"/>
  <c r="R31" i="8"/>
  <c r="R29" i="8"/>
  <c r="R27" i="8"/>
  <c r="R25" i="8"/>
  <c r="R21" i="8"/>
  <c r="R24" i="8"/>
  <c r="R22" i="8"/>
  <c r="Z22" i="8"/>
  <c r="Z24" i="8"/>
  <c r="L13" i="10"/>
  <c r="Z16" i="10"/>
  <c r="L21" i="10"/>
  <c r="L33" i="10"/>
  <c r="N15" i="11"/>
  <c r="L21" i="11"/>
  <c r="X24" i="11"/>
  <c r="N29" i="11"/>
  <c r="N21" i="16"/>
  <c r="J20" i="4"/>
  <c r="J18" i="4"/>
  <c r="J16" i="4"/>
  <c r="H18" i="4"/>
  <c r="J15" i="4"/>
  <c r="J36" i="4"/>
  <c r="J34" i="4"/>
  <c r="J33" i="4"/>
  <c r="J31" i="4"/>
  <c r="J29" i="4"/>
  <c r="J27" i="4"/>
  <c r="J25" i="4"/>
  <c r="J21" i="4"/>
  <c r="J24" i="4"/>
  <c r="J22" i="4"/>
  <c r="N12" i="4"/>
  <c r="X13" i="4"/>
  <c r="Z15" i="4"/>
  <c r="X21" i="4"/>
  <c r="F21" i="5"/>
  <c r="F20" i="5"/>
  <c r="F18" i="5"/>
  <c r="F16" i="5"/>
  <c r="D18" i="5"/>
  <c r="F15" i="5"/>
  <c r="F24" i="5"/>
  <c r="F22" i="5"/>
  <c r="F27" i="5"/>
  <c r="F36" i="5"/>
  <c r="F25" i="5"/>
  <c r="F34" i="5"/>
  <c r="F33" i="5"/>
  <c r="L12" i="5"/>
  <c r="F31" i="5"/>
  <c r="F29" i="5"/>
  <c r="X16" i="5"/>
  <c r="X20" i="5"/>
  <c r="L16" i="7"/>
  <c r="L20" i="7"/>
  <c r="V36" i="8"/>
  <c r="V34" i="8"/>
  <c r="V33" i="8"/>
  <c r="V31" i="8"/>
  <c r="V29" i="8"/>
  <c r="V27" i="8"/>
  <c r="V25" i="8"/>
  <c r="V24" i="8"/>
  <c r="V22" i="8"/>
  <c r="V21" i="8"/>
  <c r="T18" i="8"/>
  <c r="V15" i="8"/>
  <c r="Z12" i="8"/>
  <c r="V20" i="8"/>
  <c r="V18" i="8"/>
  <c r="V16" i="8"/>
  <c r="L15" i="8"/>
  <c r="Z25" i="8"/>
  <c r="Z29" i="8"/>
  <c r="Z33" i="8"/>
  <c r="Z34" i="8"/>
  <c r="N13" i="10"/>
  <c r="Z15" i="10"/>
  <c r="L20" i="10"/>
  <c r="N22" i="10"/>
  <c r="X25" i="10"/>
  <c r="V21" i="11"/>
  <c r="V20" i="11"/>
  <c r="V18" i="11"/>
  <c r="V16" i="11"/>
  <c r="V34" i="11"/>
  <c r="V27" i="11"/>
  <c r="V15" i="11"/>
  <c r="V36" i="11"/>
  <c r="V29" i="11"/>
  <c r="V22" i="11"/>
  <c r="Z12" i="11"/>
  <c r="V31" i="11"/>
  <c r="V24" i="11"/>
  <c r="T18" i="11"/>
  <c r="V25" i="11"/>
  <c r="V33" i="11"/>
  <c r="X16" i="11"/>
  <c r="Z13" i="4"/>
  <c r="Z16" i="4"/>
  <c r="Z20" i="4"/>
  <c r="X22" i="4"/>
  <c r="X24" i="4"/>
  <c r="H18" i="5"/>
  <c r="J15" i="5"/>
  <c r="N12" i="5"/>
  <c r="J36" i="5"/>
  <c r="J34" i="5"/>
  <c r="J33" i="5"/>
  <c r="J31" i="5"/>
  <c r="J29" i="5"/>
  <c r="J27" i="5"/>
  <c r="J25" i="5"/>
  <c r="J24" i="5"/>
  <c r="J22" i="5"/>
  <c r="J20" i="5"/>
  <c r="J18" i="5"/>
  <c r="J16" i="5"/>
  <c r="J21" i="5"/>
  <c r="X13" i="5"/>
  <c r="Z15" i="5"/>
  <c r="X21" i="5"/>
  <c r="N15" i="7"/>
  <c r="L21" i="7"/>
  <c r="L16" i="8"/>
  <c r="L20" i="8"/>
  <c r="N21" i="10"/>
  <c r="X24" i="10"/>
  <c r="L20" i="11"/>
  <c r="N21" i="11"/>
  <c r="L34" i="11"/>
  <c r="X13" i="10"/>
  <c r="N20" i="10"/>
  <c r="X34" i="10"/>
  <c r="X15" i="11"/>
  <c r="Z16" i="11"/>
  <c r="X22" i="11"/>
  <c r="N34" i="11"/>
  <c r="L24" i="17"/>
  <c r="X12" i="4"/>
  <c r="R36" i="4"/>
  <c r="R34" i="4"/>
  <c r="R33" i="4"/>
  <c r="R31" i="4"/>
  <c r="R29" i="4"/>
  <c r="R27" i="4"/>
  <c r="R25" i="4"/>
  <c r="R21" i="4"/>
  <c r="R20" i="4"/>
  <c r="R18" i="4"/>
  <c r="R16" i="4"/>
  <c r="P18" i="4"/>
  <c r="R15" i="4"/>
  <c r="R22" i="4"/>
  <c r="R24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F36" i="10"/>
  <c r="F25" i="10"/>
  <c r="F27" i="10"/>
  <c r="F15" i="10"/>
  <c r="F16" i="10"/>
  <c r="L12" i="10"/>
  <c r="F29" i="10"/>
  <c r="F18" i="10"/>
  <c r="F31" i="10"/>
  <c r="D18" i="10"/>
  <c r="F20" i="10"/>
  <c r="F33" i="10"/>
  <c r="F21" i="10"/>
  <c r="F22" i="10"/>
  <c r="F24" i="10"/>
  <c r="F34" i="10"/>
  <c r="Z13" i="10"/>
  <c r="X22" i="10"/>
  <c r="Z24" i="10"/>
  <c r="L29" i="10"/>
  <c r="N20" i="11"/>
  <c r="Z29" i="11"/>
  <c r="N15" i="13"/>
  <c r="Z12" i="4"/>
  <c r="V36" i="4"/>
  <c r="V34" i="4"/>
  <c r="V33" i="4"/>
  <c r="V31" i="4"/>
  <c r="V29" i="4"/>
  <c r="V27" i="4"/>
  <c r="V25" i="4"/>
  <c r="V24" i="4"/>
  <c r="V22" i="4"/>
  <c r="V21" i="4"/>
  <c r="T18" i="4"/>
  <c r="V15" i="4"/>
  <c r="V20" i="4"/>
  <c r="V18" i="4"/>
  <c r="V16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0" i="5"/>
  <c r="R18" i="5"/>
  <c r="R16" i="5"/>
  <c r="P18" i="5"/>
  <c r="R15" i="5"/>
  <c r="R21" i="5"/>
  <c r="Z22" i="5"/>
  <c r="Z24" i="5"/>
  <c r="N13" i="7"/>
  <c r="N22" i="7"/>
  <c r="N24" i="7"/>
  <c r="L13" i="8"/>
  <c r="N21" i="8"/>
  <c r="L25" i="8"/>
  <c r="L29" i="8"/>
  <c r="L33" i="8"/>
  <c r="L34" i="8"/>
  <c r="J24" i="10"/>
  <c r="J22" i="10"/>
  <c r="J15" i="10"/>
  <c r="J27" i="10"/>
  <c r="J16" i="10"/>
  <c r="N12" i="10"/>
  <c r="J29" i="10"/>
  <c r="J18" i="10"/>
  <c r="H18" i="10"/>
  <c r="J31" i="10"/>
  <c r="J20" i="10"/>
  <c r="J21" i="10"/>
  <c r="J33" i="10"/>
  <c r="J34" i="10"/>
  <c r="J36" i="10"/>
  <c r="J25" i="10"/>
  <c r="L16" i="10"/>
  <c r="X21" i="10"/>
  <c r="X33" i="10"/>
  <c r="L13" i="11"/>
  <c r="Z15" i="11"/>
  <c r="X21" i="11"/>
  <c r="L25" i="11"/>
  <c r="L33" i="11"/>
  <c r="X24" i="20"/>
  <c r="L16" i="4"/>
  <c r="L20" i="4"/>
  <c r="Z12" i="5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V15" i="5"/>
  <c r="T18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20" i="10"/>
  <c r="Z22" i="10"/>
  <c r="N25" i="11"/>
  <c r="N33" i="11"/>
  <c r="N15" i="4"/>
  <c r="L21" i="4"/>
  <c r="L16" i="5"/>
  <c r="L20" i="5"/>
  <c r="L12" i="7"/>
  <c r="F36" i="7"/>
  <c r="F34" i="7"/>
  <c r="F33" i="7"/>
  <c r="F31" i="7"/>
  <c r="F29" i="7"/>
  <c r="F27" i="7"/>
  <c r="F25" i="7"/>
  <c r="F24" i="7"/>
  <c r="F22" i="7"/>
  <c r="F20" i="7"/>
  <c r="F18" i="7"/>
  <c r="F16" i="7"/>
  <c r="D18" i="7"/>
  <c r="F15" i="7"/>
  <c r="F21" i="7"/>
  <c r="X16" i="7"/>
  <c r="X20" i="7"/>
  <c r="X15" i="8"/>
  <c r="N25" i="8"/>
  <c r="N29" i="8"/>
  <c r="N33" i="8"/>
  <c r="N34" i="8"/>
  <c r="N16" i="10"/>
  <c r="Z21" i="10"/>
  <c r="X20" i="11"/>
  <c r="L24" i="11"/>
  <c r="Z34" i="11"/>
  <c r="N16" i="4"/>
  <c r="N20" i="4"/>
  <c r="L22" i="4"/>
  <c r="L24" i="4"/>
  <c r="N15" i="5"/>
  <c r="L21" i="5"/>
  <c r="J36" i="7"/>
  <c r="J34" i="7"/>
  <c r="J33" i="7"/>
  <c r="J31" i="7"/>
  <c r="J29" i="7"/>
  <c r="J27" i="7"/>
  <c r="J25" i="7"/>
  <c r="J24" i="7"/>
  <c r="J22" i="7"/>
  <c r="J21" i="7"/>
  <c r="J20" i="7"/>
  <c r="J18" i="7"/>
  <c r="J16" i="7"/>
  <c r="N12" i="7"/>
  <c r="J15" i="7"/>
  <c r="H18" i="7"/>
  <c r="X13" i="7"/>
  <c r="Z15" i="7"/>
  <c r="X21" i="7"/>
  <c r="F36" i="8"/>
  <c r="F34" i="8"/>
  <c r="F33" i="8"/>
  <c r="F31" i="8"/>
  <c r="F29" i="8"/>
  <c r="F27" i="8"/>
  <c r="F25" i="8"/>
  <c r="F24" i="8"/>
  <c r="F22" i="8"/>
  <c r="F21" i="8"/>
  <c r="D18" i="8"/>
  <c r="F15" i="8"/>
  <c r="L12" i="8"/>
  <c r="F16" i="8"/>
  <c r="F20" i="8"/>
  <c r="F18" i="8"/>
  <c r="X16" i="8"/>
  <c r="X20" i="8"/>
  <c r="R18" i="10"/>
  <c r="X12" i="10"/>
  <c r="R31" i="10"/>
  <c r="P18" i="10"/>
  <c r="R20" i="10"/>
  <c r="R33" i="10"/>
  <c r="R21" i="10"/>
  <c r="R22" i="10"/>
  <c r="R34" i="10"/>
  <c r="R24" i="10"/>
  <c r="R36" i="10"/>
  <c r="R25" i="10"/>
  <c r="R27" i="10"/>
  <c r="R15" i="10"/>
  <c r="R29" i="10"/>
  <c r="R16" i="10"/>
  <c r="N15" i="10"/>
  <c r="Z20" i="10"/>
  <c r="L25" i="10"/>
  <c r="X13" i="11"/>
  <c r="L16" i="11"/>
  <c r="L21" i="13"/>
  <c r="L22" i="23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36" i="8"/>
  <c r="J34" i="8"/>
  <c r="J33" i="8"/>
  <c r="J31" i="8"/>
  <c r="J29" i="8"/>
  <c r="J27" i="8"/>
  <c r="J25" i="8"/>
  <c r="J24" i="8"/>
  <c r="J22" i="8"/>
  <c r="J21" i="8"/>
  <c r="J20" i="8"/>
  <c r="J18" i="8"/>
  <c r="J16" i="8"/>
  <c r="H18" i="8"/>
  <c r="J15" i="8"/>
  <c r="N12" i="8"/>
  <c r="X13" i="8"/>
  <c r="Z15" i="8"/>
  <c r="X21" i="8"/>
  <c r="L24" i="10"/>
  <c r="X29" i="10"/>
  <c r="F36" i="11"/>
  <c r="F34" i="11"/>
  <c r="F33" i="11"/>
  <c r="F31" i="11"/>
  <c r="F29" i="11"/>
  <c r="F27" i="11"/>
  <c r="F25" i="11"/>
  <c r="F16" i="11"/>
  <c r="F24" i="11"/>
  <c r="F18" i="11"/>
  <c r="D18" i="11"/>
  <c r="F20" i="11"/>
  <c r="F21" i="11"/>
  <c r="F22" i="11"/>
  <c r="F15" i="11"/>
  <c r="L12" i="11"/>
  <c r="Z13" i="11"/>
  <c r="Z20" i="11"/>
  <c r="L16" i="14"/>
  <c r="L16" i="13"/>
  <c r="L20" i="13"/>
  <c r="V21" i="14"/>
  <c r="V20" i="14"/>
  <c r="V18" i="14"/>
  <c r="V16" i="14"/>
  <c r="T18" i="14"/>
  <c r="V15" i="14"/>
  <c r="Z12" i="14"/>
  <c r="V24" i="14"/>
  <c r="V22" i="14"/>
  <c r="V34" i="14"/>
  <c r="V33" i="14"/>
  <c r="V31" i="14"/>
  <c r="V29" i="14"/>
  <c r="V27" i="14"/>
  <c r="V25" i="14"/>
  <c r="V36" i="14"/>
  <c r="L15" i="14"/>
  <c r="Z25" i="14"/>
  <c r="Z29" i="14"/>
  <c r="Z33" i="14"/>
  <c r="Z34" i="14"/>
  <c r="Z29" i="16"/>
  <c r="Z22" i="17"/>
  <c r="X29" i="19"/>
  <c r="X22" i="20"/>
  <c r="X15" i="10"/>
  <c r="N25" i="10"/>
  <c r="N29" i="10"/>
  <c r="N33" i="10"/>
  <c r="N34" i="10"/>
  <c r="N13" i="11"/>
  <c r="N22" i="11"/>
  <c r="N24" i="11"/>
  <c r="N16" i="13"/>
  <c r="N20" i="13"/>
  <c r="L22" i="13"/>
  <c r="L24" i="13"/>
  <c r="N15" i="14"/>
  <c r="L21" i="14"/>
  <c r="V20" i="16"/>
  <c r="V18" i="16"/>
  <c r="V16" i="16"/>
  <c r="T18" i="16"/>
  <c r="V15" i="16"/>
  <c r="Z12" i="16"/>
  <c r="V36" i="16"/>
  <c r="V34" i="16"/>
  <c r="V33" i="16"/>
  <c r="V31" i="16"/>
  <c r="V29" i="16"/>
  <c r="V27" i="16"/>
  <c r="V25" i="16"/>
  <c r="V21" i="16"/>
  <c r="V24" i="16"/>
  <c r="V22" i="16"/>
  <c r="Z24" i="17"/>
  <c r="X33" i="19"/>
  <c r="L13" i="13"/>
  <c r="N21" i="13"/>
  <c r="L25" i="13"/>
  <c r="L29" i="13"/>
  <c r="L33" i="13"/>
  <c r="L34" i="13"/>
  <c r="N16" i="14"/>
  <c r="N20" i="14"/>
  <c r="L22" i="14"/>
  <c r="L24" i="14"/>
  <c r="L13" i="16"/>
  <c r="L33" i="16"/>
  <c r="N16" i="17"/>
  <c r="X34" i="19"/>
  <c r="N13" i="13"/>
  <c r="N22" i="13"/>
  <c r="N24" i="13"/>
  <c r="L13" i="14"/>
  <c r="N21" i="14"/>
  <c r="L25" i="14"/>
  <c r="L29" i="14"/>
  <c r="L33" i="14"/>
  <c r="L34" i="14"/>
  <c r="L15" i="16"/>
  <c r="Z33" i="16"/>
  <c r="X15" i="13"/>
  <c r="N25" i="13"/>
  <c r="N29" i="13"/>
  <c r="N33" i="13"/>
  <c r="N34" i="13"/>
  <c r="N13" i="14"/>
  <c r="N22" i="14"/>
  <c r="N24" i="14"/>
  <c r="L34" i="16"/>
  <c r="Z15" i="22"/>
  <c r="N16" i="25"/>
  <c r="L12" i="13"/>
  <c r="F36" i="13"/>
  <c r="F34" i="13"/>
  <c r="F33" i="13"/>
  <c r="F31" i="13"/>
  <c r="F29" i="13"/>
  <c r="F27" i="13"/>
  <c r="F25" i="13"/>
  <c r="F24" i="13"/>
  <c r="F22" i="13"/>
  <c r="F21" i="13"/>
  <c r="D18" i="13"/>
  <c r="F15" i="13"/>
  <c r="F20" i="13"/>
  <c r="F18" i="13"/>
  <c r="F16" i="13"/>
  <c r="X16" i="13"/>
  <c r="X20" i="13"/>
  <c r="X15" i="14"/>
  <c r="N25" i="14"/>
  <c r="N29" i="14"/>
  <c r="N33" i="14"/>
  <c r="N34" i="14"/>
  <c r="Z34" i="16"/>
  <c r="Z13" i="20"/>
  <c r="L20" i="22"/>
  <c r="Z21" i="11"/>
  <c r="X25" i="11"/>
  <c r="X29" i="11"/>
  <c r="X33" i="11"/>
  <c r="X34" i="11"/>
  <c r="N12" i="13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X13" i="13"/>
  <c r="Z15" i="13"/>
  <c r="X21" i="13"/>
  <c r="L12" i="14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F15" i="14"/>
  <c r="D18" i="14"/>
  <c r="X16" i="14"/>
  <c r="X20" i="14"/>
  <c r="L25" i="16"/>
  <c r="N20" i="17"/>
  <c r="Z21" i="19"/>
  <c r="V24" i="10"/>
  <c r="V22" i="10"/>
  <c r="V31" i="10"/>
  <c r="V20" i="10"/>
  <c r="V21" i="10"/>
  <c r="V33" i="10"/>
  <c r="V34" i="10"/>
  <c r="V36" i="10"/>
  <c r="V25" i="10"/>
  <c r="V15" i="10"/>
  <c r="V27" i="10"/>
  <c r="V16" i="10"/>
  <c r="T18" i="10"/>
  <c r="Z12" i="10"/>
  <c r="V18" i="10"/>
  <c r="V29" i="10"/>
  <c r="L15" i="10"/>
  <c r="Z25" i="10"/>
  <c r="Z29" i="10"/>
  <c r="Z33" i="10"/>
  <c r="Z34" i="10"/>
  <c r="R36" i="11"/>
  <c r="R34" i="11"/>
  <c r="R33" i="11"/>
  <c r="R31" i="11"/>
  <c r="R29" i="11"/>
  <c r="R27" i="11"/>
  <c r="R25" i="11"/>
  <c r="R24" i="11"/>
  <c r="R22" i="11"/>
  <c r="R20" i="11"/>
  <c r="R21" i="11"/>
  <c r="R15" i="11"/>
  <c r="R16" i="11"/>
  <c r="X12" i="11"/>
  <c r="P18" i="11"/>
  <c r="R18" i="11"/>
  <c r="Z22" i="11"/>
  <c r="Z24" i="11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X13" i="14"/>
  <c r="Z15" i="14"/>
  <c r="X21" i="14"/>
  <c r="Z25" i="16"/>
  <c r="Z16" i="20"/>
  <c r="Z25" i="22"/>
  <c r="Z21" i="13"/>
  <c r="X25" i="13"/>
  <c r="X29" i="13"/>
  <c r="X33" i="13"/>
  <c r="X34" i="13"/>
  <c r="Z13" i="14"/>
  <c r="Z16" i="14"/>
  <c r="Z20" i="14"/>
  <c r="X22" i="14"/>
  <c r="X24" i="14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X12" i="13"/>
  <c r="Z22" i="13"/>
  <c r="Z24" i="13"/>
  <c r="Z21" i="14"/>
  <c r="X25" i="14"/>
  <c r="X29" i="14"/>
  <c r="X33" i="14"/>
  <c r="X34" i="14"/>
  <c r="R21" i="17"/>
  <c r="R20" i="17"/>
  <c r="R18" i="17"/>
  <c r="R16" i="17"/>
  <c r="P18" i="17"/>
  <c r="R15" i="17"/>
  <c r="X12" i="17"/>
  <c r="R24" i="17"/>
  <c r="R22" i="17"/>
  <c r="R31" i="17"/>
  <c r="R29" i="17"/>
  <c r="R27" i="17"/>
  <c r="R36" i="17"/>
  <c r="R25" i="17"/>
  <c r="R34" i="17"/>
  <c r="R33" i="17"/>
  <c r="X25" i="19"/>
  <c r="Z20" i="20"/>
  <c r="V24" i="13"/>
  <c r="V22" i="13"/>
  <c r="V21" i="13"/>
  <c r="V20" i="13"/>
  <c r="V18" i="13"/>
  <c r="V16" i="13"/>
  <c r="T18" i="13"/>
  <c r="V15" i="13"/>
  <c r="V36" i="13"/>
  <c r="V34" i="13"/>
  <c r="V33" i="13"/>
  <c r="V31" i="13"/>
  <c r="V29" i="13"/>
  <c r="V27" i="13"/>
  <c r="V25" i="13"/>
  <c r="Z12" i="13"/>
  <c r="L15" i="13"/>
  <c r="Z25" i="13"/>
  <c r="Z29" i="13"/>
  <c r="Z33" i="13"/>
  <c r="Z34" i="13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X12" i="14"/>
  <c r="Z22" i="14"/>
  <c r="Z24" i="14"/>
  <c r="L29" i="16"/>
  <c r="L22" i="17"/>
  <c r="R24" i="16"/>
  <c r="R22" i="16"/>
  <c r="R21" i="16"/>
  <c r="R20" i="16"/>
  <c r="R18" i="16"/>
  <c r="R16" i="16"/>
  <c r="P18" i="16"/>
  <c r="R15" i="16"/>
  <c r="X12" i="16"/>
  <c r="R36" i="16"/>
  <c r="R34" i="16"/>
  <c r="R33" i="16"/>
  <c r="R31" i="16"/>
  <c r="R29" i="16"/>
  <c r="R27" i="16"/>
  <c r="R25" i="16"/>
  <c r="Z22" i="16"/>
  <c r="Z24" i="16"/>
  <c r="Z21" i="17"/>
  <c r="X25" i="17"/>
  <c r="X29" i="17"/>
  <c r="X33" i="17"/>
  <c r="X34" i="17"/>
  <c r="Z13" i="19"/>
  <c r="Z16" i="19"/>
  <c r="Z20" i="19"/>
  <c r="X22" i="19"/>
  <c r="X24" i="19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N12" i="20"/>
  <c r="X13" i="20"/>
  <c r="Z15" i="20"/>
  <c r="X21" i="20"/>
  <c r="Z12" i="23"/>
  <c r="V36" i="23"/>
  <c r="V34" i="23"/>
  <c r="V33" i="23"/>
  <c r="V31" i="23"/>
  <c r="V29" i="23"/>
  <c r="V27" i="23"/>
  <c r="V25" i="23"/>
  <c r="V21" i="23"/>
  <c r="V20" i="23"/>
  <c r="V18" i="23"/>
  <c r="V16" i="23"/>
  <c r="T18" i="23"/>
  <c r="V15" i="23"/>
  <c r="V24" i="23"/>
  <c r="V22" i="23"/>
  <c r="Z25" i="23"/>
  <c r="L16" i="16"/>
  <c r="L20" i="16"/>
  <c r="T18" i="17"/>
  <c r="V15" i="17"/>
  <c r="Z12" i="17"/>
  <c r="V36" i="17"/>
  <c r="V34" i="17"/>
  <c r="V33" i="17"/>
  <c r="V31" i="17"/>
  <c r="V29" i="17"/>
  <c r="V27" i="17"/>
  <c r="V25" i="17"/>
  <c r="V24" i="17"/>
  <c r="V22" i="17"/>
  <c r="V20" i="17"/>
  <c r="V18" i="17"/>
  <c r="V16" i="17"/>
  <c r="V21" i="17"/>
  <c r="L15" i="17"/>
  <c r="Z25" i="17"/>
  <c r="Z29" i="17"/>
  <c r="Z33" i="17"/>
  <c r="Z34" i="17"/>
  <c r="R20" i="19"/>
  <c r="R18" i="19"/>
  <c r="R16" i="19"/>
  <c r="P18" i="19"/>
  <c r="R15" i="19"/>
  <c r="X12" i="19"/>
  <c r="R36" i="19"/>
  <c r="R34" i="19"/>
  <c r="R33" i="19"/>
  <c r="R31" i="19"/>
  <c r="R29" i="19"/>
  <c r="R27" i="19"/>
  <c r="R25" i="19"/>
  <c r="R21" i="19"/>
  <c r="R24" i="19"/>
  <c r="R22" i="19"/>
  <c r="Z22" i="19"/>
  <c r="Z24" i="19"/>
  <c r="Z21" i="20"/>
  <c r="X25" i="20"/>
  <c r="X29" i="20"/>
  <c r="X33" i="20"/>
  <c r="X34" i="20"/>
  <c r="F36" i="22"/>
  <c r="F34" i="22"/>
  <c r="F33" i="22"/>
  <c r="F31" i="22"/>
  <c r="F29" i="22"/>
  <c r="F27" i="22"/>
  <c r="F25" i="22"/>
  <c r="F21" i="22"/>
  <c r="F20" i="22"/>
  <c r="F18" i="22"/>
  <c r="F16" i="22"/>
  <c r="L12" i="22"/>
  <c r="F15" i="22"/>
  <c r="D18" i="22"/>
  <c r="F24" i="22"/>
  <c r="F22" i="22"/>
  <c r="Z34" i="22"/>
  <c r="N33" i="23"/>
  <c r="L21" i="28"/>
  <c r="N15" i="16"/>
  <c r="L21" i="16"/>
  <c r="L16" i="17"/>
  <c r="L20" i="17"/>
  <c r="Z12" i="19"/>
  <c r="V36" i="19"/>
  <c r="V34" i="19"/>
  <c r="V33" i="19"/>
  <c r="V31" i="19"/>
  <c r="V29" i="19"/>
  <c r="V27" i="19"/>
  <c r="V25" i="19"/>
  <c r="V24" i="19"/>
  <c r="V22" i="19"/>
  <c r="V21" i="19"/>
  <c r="T18" i="19"/>
  <c r="V15" i="19"/>
  <c r="V20" i="19"/>
  <c r="V18" i="19"/>
  <c r="V16" i="19"/>
  <c r="L15" i="19"/>
  <c r="Z25" i="19"/>
  <c r="Z29" i="19"/>
  <c r="Z33" i="19"/>
  <c r="Z34" i="19"/>
  <c r="P18" i="20"/>
  <c r="R15" i="20"/>
  <c r="X12" i="20"/>
  <c r="R36" i="20"/>
  <c r="R34" i="20"/>
  <c r="R33" i="20"/>
  <c r="R31" i="20"/>
  <c r="R29" i="20"/>
  <c r="R27" i="20"/>
  <c r="R25" i="20"/>
  <c r="R24" i="20"/>
  <c r="R22" i="20"/>
  <c r="R20" i="20"/>
  <c r="R18" i="20"/>
  <c r="R16" i="20"/>
  <c r="R21" i="20"/>
  <c r="Z22" i="20"/>
  <c r="Z24" i="20"/>
  <c r="J24" i="22"/>
  <c r="J22" i="22"/>
  <c r="J21" i="22"/>
  <c r="H18" i="22"/>
  <c r="J15" i="22"/>
  <c r="N12" i="22"/>
  <c r="J25" i="22"/>
  <c r="J29" i="22"/>
  <c r="J18" i="22"/>
  <c r="J33" i="22"/>
  <c r="J36" i="22"/>
  <c r="J27" i="22"/>
  <c r="J16" i="22"/>
  <c r="J31" i="22"/>
  <c r="J20" i="22"/>
  <c r="J34" i="22"/>
  <c r="L16" i="22"/>
  <c r="X20" i="22"/>
  <c r="L16" i="29"/>
  <c r="N16" i="16"/>
  <c r="N20" i="16"/>
  <c r="L22" i="16"/>
  <c r="L24" i="16"/>
  <c r="N15" i="17"/>
  <c r="L21" i="17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Z12" i="22"/>
  <c r="V21" i="22"/>
  <c r="V20" i="22"/>
  <c r="V18" i="22"/>
  <c r="V16" i="22"/>
  <c r="T18" i="22"/>
  <c r="V15" i="22"/>
  <c r="V33" i="22"/>
  <c r="V36" i="22"/>
  <c r="V24" i="22"/>
  <c r="V27" i="22"/>
  <c r="V31" i="22"/>
  <c r="V34" i="22"/>
  <c r="V22" i="22"/>
  <c r="V25" i="22"/>
  <c r="V29" i="22"/>
  <c r="L15" i="23"/>
  <c r="Z33" i="23"/>
  <c r="N15" i="19"/>
  <c r="L21" i="19"/>
  <c r="L16" i="20"/>
  <c r="L20" i="20"/>
  <c r="X16" i="22"/>
  <c r="N20" i="23"/>
  <c r="L24" i="23"/>
  <c r="N20" i="25"/>
  <c r="L20" i="29"/>
  <c r="N13" i="16"/>
  <c r="N22" i="16"/>
  <c r="N24" i="16"/>
  <c r="L13" i="17"/>
  <c r="N21" i="17"/>
  <c r="L25" i="17"/>
  <c r="L29" i="17"/>
  <c r="L33" i="17"/>
  <c r="L34" i="17"/>
  <c r="N16" i="19"/>
  <c r="N20" i="19"/>
  <c r="L22" i="19"/>
  <c r="L24" i="19"/>
  <c r="N15" i="20"/>
  <c r="L21" i="20"/>
  <c r="L13" i="22"/>
  <c r="L33" i="22"/>
  <c r="X15" i="23"/>
  <c r="N29" i="23"/>
  <c r="N34" i="23"/>
  <c r="L21" i="25"/>
  <c r="X15" i="16"/>
  <c r="N25" i="16"/>
  <c r="N29" i="16"/>
  <c r="N33" i="16"/>
  <c r="N34" i="16"/>
  <c r="N13" i="17"/>
  <c r="N22" i="17"/>
  <c r="N24" i="17"/>
  <c r="L13" i="19"/>
  <c r="N21" i="19"/>
  <c r="L25" i="19"/>
  <c r="L29" i="19"/>
  <c r="L33" i="19"/>
  <c r="L34" i="19"/>
  <c r="N16" i="20"/>
  <c r="N20" i="20"/>
  <c r="L22" i="20"/>
  <c r="L24" i="20"/>
  <c r="N21" i="22"/>
  <c r="X20" i="23"/>
  <c r="N15" i="26"/>
  <c r="L20" i="32"/>
  <c r="L12" i="16"/>
  <c r="F36" i="16"/>
  <c r="F34" i="16"/>
  <c r="F33" i="16"/>
  <c r="F31" i="16"/>
  <c r="F29" i="16"/>
  <c r="F27" i="16"/>
  <c r="F25" i="16"/>
  <c r="F21" i="16"/>
  <c r="F20" i="16"/>
  <c r="F18" i="16"/>
  <c r="F16" i="16"/>
  <c r="D18" i="16"/>
  <c r="F15" i="16"/>
  <c r="F24" i="16"/>
  <c r="F22" i="16"/>
  <c r="X16" i="16"/>
  <c r="X20" i="16"/>
  <c r="X15" i="17"/>
  <c r="N25" i="17"/>
  <c r="N29" i="17"/>
  <c r="N33" i="17"/>
  <c r="N34" i="17"/>
  <c r="N13" i="19"/>
  <c r="N22" i="19"/>
  <c r="N24" i="19"/>
  <c r="L13" i="20"/>
  <c r="N21" i="20"/>
  <c r="L25" i="20"/>
  <c r="L29" i="20"/>
  <c r="L33" i="20"/>
  <c r="L34" i="20"/>
  <c r="X13" i="22"/>
  <c r="L29" i="22"/>
  <c r="Z29" i="23"/>
  <c r="Z34" i="23"/>
  <c r="L22" i="25"/>
  <c r="N12" i="16"/>
  <c r="J36" i="16"/>
  <c r="J34" i="16"/>
  <c r="J33" i="16"/>
  <c r="J31" i="16"/>
  <c r="J29" i="16"/>
  <c r="J27" i="16"/>
  <c r="J25" i="16"/>
  <c r="J24" i="16"/>
  <c r="J22" i="16"/>
  <c r="J21" i="16"/>
  <c r="H18" i="16"/>
  <c r="J15" i="16"/>
  <c r="J20" i="16"/>
  <c r="J18" i="16"/>
  <c r="J16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0" i="17"/>
  <c r="F18" i="17"/>
  <c r="F16" i="17"/>
  <c r="D18" i="17"/>
  <c r="F15" i="17"/>
  <c r="F21" i="17"/>
  <c r="X16" i="17"/>
  <c r="X20" i="17"/>
  <c r="X15" i="19"/>
  <c r="N25" i="19"/>
  <c r="N29" i="19"/>
  <c r="N33" i="19"/>
  <c r="N34" i="19"/>
  <c r="N13" i="20"/>
  <c r="N22" i="20"/>
  <c r="N24" i="20"/>
  <c r="L15" i="22"/>
  <c r="X21" i="22"/>
  <c r="Z33" i="22"/>
  <c r="N16" i="23"/>
  <c r="L24" i="25"/>
  <c r="Z13" i="16"/>
  <c r="Z16" i="16"/>
  <c r="Z20" i="16"/>
  <c r="X22" i="16"/>
  <c r="X24" i="16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N12" i="17"/>
  <c r="H18" i="17"/>
  <c r="J15" i="17"/>
  <c r="X13" i="17"/>
  <c r="Z15" i="17"/>
  <c r="X21" i="17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L12" i="19"/>
  <c r="X16" i="19"/>
  <c r="X20" i="19"/>
  <c r="X15" i="20"/>
  <c r="N25" i="20"/>
  <c r="N29" i="20"/>
  <c r="N33" i="20"/>
  <c r="N34" i="20"/>
  <c r="L25" i="22"/>
  <c r="N25" i="23"/>
  <c r="N15" i="25"/>
  <c r="N15" i="28"/>
  <c r="Z21" i="16"/>
  <c r="X25" i="16"/>
  <c r="X29" i="16"/>
  <c r="X33" i="16"/>
  <c r="X34" i="16"/>
  <c r="Z13" i="17"/>
  <c r="Z16" i="17"/>
  <c r="Z20" i="17"/>
  <c r="X22" i="17"/>
  <c r="X24" i="17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X16" i="20"/>
  <c r="X20" i="20"/>
  <c r="Z29" i="22"/>
  <c r="L34" i="22"/>
  <c r="F36" i="23"/>
  <c r="F34" i="23"/>
  <c r="F33" i="23"/>
  <c r="F31" i="23"/>
  <c r="F29" i="23"/>
  <c r="F27" i="23"/>
  <c r="F25" i="23"/>
  <c r="F24" i="23"/>
  <c r="F22" i="23"/>
  <c r="F20" i="23"/>
  <c r="F18" i="23"/>
  <c r="F16" i="23"/>
  <c r="D18" i="23"/>
  <c r="F15" i="23"/>
  <c r="L12" i="23"/>
  <c r="F21" i="23"/>
  <c r="X16" i="23"/>
  <c r="L21" i="26"/>
  <c r="L16" i="26"/>
  <c r="L20" i="26"/>
  <c r="L16" i="28"/>
  <c r="L20" i="28"/>
  <c r="V21" i="29"/>
  <c r="V20" i="29"/>
  <c r="V18" i="29"/>
  <c r="V16" i="29"/>
  <c r="T18" i="29"/>
  <c r="V15" i="29"/>
  <c r="Z12" i="29"/>
  <c r="V24" i="29"/>
  <c r="V22" i="29"/>
  <c r="V27" i="29"/>
  <c r="V25" i="29"/>
  <c r="V36" i="29"/>
  <c r="V34" i="29"/>
  <c r="V33" i="29"/>
  <c r="V29" i="29"/>
  <c r="V31" i="29"/>
  <c r="L15" i="29"/>
  <c r="Z25" i="29"/>
  <c r="Z29" i="29"/>
  <c r="Z33" i="29"/>
  <c r="Z34" i="29"/>
  <c r="L16" i="31"/>
  <c r="X29" i="35"/>
  <c r="Z13" i="22"/>
  <c r="Z16" i="22"/>
  <c r="Z20" i="22"/>
  <c r="X22" i="22"/>
  <c r="X24" i="22"/>
  <c r="J21" i="23"/>
  <c r="J20" i="23"/>
  <c r="J18" i="23"/>
  <c r="J16" i="23"/>
  <c r="N12" i="23"/>
  <c r="J36" i="23"/>
  <c r="J31" i="23"/>
  <c r="J25" i="23"/>
  <c r="J34" i="23"/>
  <c r="J29" i="23"/>
  <c r="J24" i="23"/>
  <c r="J15" i="23"/>
  <c r="J33" i="23"/>
  <c r="J27" i="23"/>
  <c r="J22" i="23"/>
  <c r="H18" i="23"/>
  <c r="X13" i="23"/>
  <c r="Z15" i="23"/>
  <c r="X21" i="23"/>
  <c r="L13" i="25"/>
  <c r="N21" i="25"/>
  <c r="L25" i="25"/>
  <c r="L29" i="25"/>
  <c r="L33" i="25"/>
  <c r="L34" i="25"/>
  <c r="N16" i="26"/>
  <c r="N20" i="26"/>
  <c r="L22" i="26"/>
  <c r="L24" i="26"/>
  <c r="N16" i="28"/>
  <c r="N20" i="28"/>
  <c r="L22" i="28"/>
  <c r="L24" i="28"/>
  <c r="N15" i="29"/>
  <c r="L21" i="29"/>
  <c r="Z29" i="32"/>
  <c r="X33" i="35"/>
  <c r="Z21" i="22"/>
  <c r="X25" i="22"/>
  <c r="X29" i="22"/>
  <c r="X33" i="22"/>
  <c r="X34" i="22"/>
  <c r="Z13" i="23"/>
  <c r="Z16" i="23"/>
  <c r="Z20" i="23"/>
  <c r="X22" i="23"/>
  <c r="X24" i="23"/>
  <c r="N13" i="25"/>
  <c r="N22" i="25"/>
  <c r="N24" i="25"/>
  <c r="L13" i="26"/>
  <c r="N21" i="26"/>
  <c r="L25" i="26"/>
  <c r="L29" i="26"/>
  <c r="L33" i="26"/>
  <c r="L34" i="26"/>
  <c r="L13" i="28"/>
  <c r="N21" i="28"/>
  <c r="L25" i="28"/>
  <c r="L29" i="28"/>
  <c r="L33" i="28"/>
  <c r="L34" i="28"/>
  <c r="N16" i="29"/>
  <c r="N20" i="29"/>
  <c r="L22" i="29"/>
  <c r="L24" i="29"/>
  <c r="X34" i="35"/>
  <c r="R36" i="22"/>
  <c r="R34" i="22"/>
  <c r="R33" i="22"/>
  <c r="R31" i="22"/>
  <c r="R29" i="22"/>
  <c r="R27" i="22"/>
  <c r="R25" i="22"/>
  <c r="R24" i="22"/>
  <c r="R22" i="22"/>
  <c r="R21" i="22"/>
  <c r="R18" i="22"/>
  <c r="P18" i="22"/>
  <c r="R16" i="22"/>
  <c r="X12" i="22"/>
  <c r="R20" i="22"/>
  <c r="R15" i="22"/>
  <c r="Z22" i="22"/>
  <c r="Z24" i="22"/>
  <c r="Z21" i="23"/>
  <c r="X25" i="23"/>
  <c r="X29" i="23"/>
  <c r="X33" i="23"/>
  <c r="X34" i="23"/>
  <c r="X15" i="25"/>
  <c r="N25" i="25"/>
  <c r="N29" i="25"/>
  <c r="N33" i="25"/>
  <c r="N34" i="25"/>
  <c r="N13" i="26"/>
  <c r="N22" i="26"/>
  <c r="N24" i="26"/>
  <c r="N13" i="28"/>
  <c r="N22" i="28"/>
  <c r="N24" i="28"/>
  <c r="L13" i="29"/>
  <c r="N21" i="29"/>
  <c r="L25" i="29"/>
  <c r="L29" i="29"/>
  <c r="L33" i="29"/>
  <c r="L34" i="29"/>
  <c r="L20" i="31"/>
  <c r="V21" i="32"/>
  <c r="V20" i="32"/>
  <c r="V18" i="32"/>
  <c r="V16" i="32"/>
  <c r="T18" i="32"/>
  <c r="V15" i="32"/>
  <c r="Z12" i="32"/>
  <c r="V36" i="32"/>
  <c r="V25" i="32"/>
  <c r="V34" i="32"/>
  <c r="V24" i="32"/>
  <c r="V33" i="32"/>
  <c r="V22" i="32"/>
  <c r="V31" i="32"/>
  <c r="V29" i="32"/>
  <c r="V27" i="32"/>
  <c r="Z22" i="34"/>
  <c r="X12" i="23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R15" i="23"/>
  <c r="P18" i="23"/>
  <c r="Z22" i="23"/>
  <c r="Z24" i="23"/>
  <c r="D18" i="25"/>
  <c r="F15" i="25"/>
  <c r="L12" i="25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X16" i="25"/>
  <c r="X20" i="25"/>
  <c r="X15" i="26"/>
  <c r="N25" i="26"/>
  <c r="N29" i="26"/>
  <c r="N33" i="26"/>
  <c r="N34" i="26"/>
  <c r="X15" i="28"/>
  <c r="N25" i="28"/>
  <c r="N29" i="28"/>
  <c r="N33" i="28"/>
  <c r="N34" i="28"/>
  <c r="N13" i="29"/>
  <c r="N22" i="29"/>
  <c r="N24" i="29"/>
  <c r="Z24" i="34"/>
  <c r="N12" i="25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J15" i="25"/>
  <c r="H18" i="25"/>
  <c r="X13" i="25"/>
  <c r="Z15" i="25"/>
  <c r="X21" i="25"/>
  <c r="L12" i="26"/>
  <c r="F36" i="26"/>
  <c r="F34" i="26"/>
  <c r="F33" i="26"/>
  <c r="F31" i="26"/>
  <c r="F29" i="26"/>
  <c r="F27" i="26"/>
  <c r="F25" i="26"/>
  <c r="F24" i="26"/>
  <c r="F22" i="26"/>
  <c r="F21" i="26"/>
  <c r="D18" i="26"/>
  <c r="F15" i="26"/>
  <c r="F20" i="26"/>
  <c r="F18" i="26"/>
  <c r="F16" i="26"/>
  <c r="X16" i="26"/>
  <c r="X20" i="26"/>
  <c r="L12" i="28"/>
  <c r="F36" i="28"/>
  <c r="F34" i="28"/>
  <c r="F33" i="28"/>
  <c r="F31" i="28"/>
  <c r="F29" i="28"/>
  <c r="F27" i="28"/>
  <c r="F25" i="28"/>
  <c r="F24" i="28"/>
  <c r="F22" i="28"/>
  <c r="F21" i="28"/>
  <c r="D18" i="28"/>
  <c r="F15" i="28"/>
  <c r="F16" i="28"/>
  <c r="F18" i="28"/>
  <c r="F20" i="28"/>
  <c r="X16" i="28"/>
  <c r="X20" i="28"/>
  <c r="X15" i="29"/>
  <c r="N25" i="29"/>
  <c r="N29" i="29"/>
  <c r="N33" i="29"/>
  <c r="N34" i="29"/>
  <c r="L15" i="32"/>
  <c r="Z33" i="32"/>
  <c r="N15" i="22"/>
  <c r="L21" i="22"/>
  <c r="L16" i="23"/>
  <c r="L20" i="23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X13" i="26"/>
  <c r="Z15" i="26"/>
  <c r="X21" i="26"/>
  <c r="N12" i="28"/>
  <c r="J36" i="28"/>
  <c r="J34" i="28"/>
  <c r="J33" i="28"/>
  <c r="J31" i="28"/>
  <c r="J29" i="28"/>
  <c r="J27" i="28"/>
  <c r="J25" i="28"/>
  <c r="J24" i="28"/>
  <c r="J22" i="28"/>
  <c r="J21" i="28"/>
  <c r="J20" i="28"/>
  <c r="J18" i="28"/>
  <c r="J16" i="28"/>
  <c r="H18" i="28"/>
  <c r="J15" i="28"/>
  <c r="X13" i="28"/>
  <c r="Z15" i="28"/>
  <c r="X21" i="28"/>
  <c r="L12" i="29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X16" i="29"/>
  <c r="X20" i="29"/>
  <c r="L21" i="31"/>
  <c r="Z21" i="35"/>
  <c r="N16" i="22"/>
  <c r="N20" i="22"/>
  <c r="L22" i="22"/>
  <c r="L24" i="22"/>
  <c r="N15" i="23"/>
  <c r="L21" i="23"/>
  <c r="Z21" i="25"/>
  <c r="X25" i="25"/>
  <c r="X29" i="25"/>
  <c r="X33" i="25"/>
  <c r="X34" i="25"/>
  <c r="Z13" i="26"/>
  <c r="Z16" i="26"/>
  <c r="Z20" i="26"/>
  <c r="X22" i="26"/>
  <c r="X24" i="26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4" i="29"/>
  <c r="J22" i="29"/>
  <c r="J21" i="29"/>
  <c r="J20" i="29"/>
  <c r="J18" i="29"/>
  <c r="J16" i="29"/>
  <c r="H18" i="29"/>
  <c r="J15" i="29"/>
  <c r="X13" i="29"/>
  <c r="Z15" i="29"/>
  <c r="X21" i="29"/>
  <c r="Z34" i="32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Z22" i="25"/>
  <c r="Z24" i="25"/>
  <c r="Z21" i="26"/>
  <c r="X25" i="26"/>
  <c r="X29" i="26"/>
  <c r="X33" i="26"/>
  <c r="X34" i="26"/>
  <c r="Z21" i="28"/>
  <c r="X25" i="28"/>
  <c r="X29" i="28"/>
  <c r="X33" i="28"/>
  <c r="X34" i="28"/>
  <c r="Z13" i="29"/>
  <c r="Z16" i="29"/>
  <c r="Z20" i="29"/>
  <c r="X22" i="29"/>
  <c r="X24" i="29"/>
  <c r="L16" i="32"/>
  <c r="R21" i="34"/>
  <c r="R20" i="34"/>
  <c r="R18" i="34"/>
  <c r="R16" i="34"/>
  <c r="P18" i="34"/>
  <c r="R15" i="34"/>
  <c r="X12" i="34"/>
  <c r="R24" i="34"/>
  <c r="R22" i="34"/>
  <c r="R34" i="34"/>
  <c r="R33" i="34"/>
  <c r="R31" i="34"/>
  <c r="R29" i="34"/>
  <c r="R27" i="34"/>
  <c r="R25" i="34"/>
  <c r="R36" i="34"/>
  <c r="N24" i="37"/>
  <c r="N13" i="22"/>
  <c r="N22" i="22"/>
  <c r="N24" i="22"/>
  <c r="L13" i="23"/>
  <c r="N21" i="23"/>
  <c r="L25" i="23"/>
  <c r="L29" i="23"/>
  <c r="L33" i="23"/>
  <c r="L34" i="23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Z12" i="25"/>
  <c r="L15" i="25"/>
  <c r="Z25" i="25"/>
  <c r="Z29" i="25"/>
  <c r="Z33" i="25"/>
  <c r="Z34" i="25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X12" i="26"/>
  <c r="Z22" i="26"/>
  <c r="Z24" i="26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X12" i="28"/>
  <c r="Z22" i="28"/>
  <c r="Z24" i="28"/>
  <c r="Z21" i="29"/>
  <c r="X25" i="29"/>
  <c r="X29" i="29"/>
  <c r="X33" i="29"/>
  <c r="X34" i="29"/>
  <c r="Z25" i="32"/>
  <c r="X25" i="35"/>
  <c r="X15" i="22"/>
  <c r="N25" i="22"/>
  <c r="N29" i="22"/>
  <c r="N33" i="22"/>
  <c r="N34" i="22"/>
  <c r="N13" i="23"/>
  <c r="N22" i="23"/>
  <c r="N24" i="23"/>
  <c r="L16" i="25"/>
  <c r="L20" i="25"/>
  <c r="V24" i="26"/>
  <c r="V22" i="26"/>
  <c r="V21" i="26"/>
  <c r="V20" i="26"/>
  <c r="V18" i="26"/>
  <c r="V16" i="26"/>
  <c r="T18" i="26"/>
  <c r="V15" i="26"/>
  <c r="V36" i="26"/>
  <c r="V34" i="26"/>
  <c r="V33" i="26"/>
  <c r="V31" i="26"/>
  <c r="V29" i="26"/>
  <c r="V27" i="26"/>
  <c r="V25" i="26"/>
  <c r="Z12" i="26"/>
  <c r="L15" i="26"/>
  <c r="Z25" i="26"/>
  <c r="Z29" i="26"/>
  <c r="Z33" i="26"/>
  <c r="Z34" i="26"/>
  <c r="V24" i="28"/>
  <c r="V22" i="28"/>
  <c r="V21" i="28"/>
  <c r="V20" i="28"/>
  <c r="V18" i="28"/>
  <c r="V16" i="28"/>
  <c r="T18" i="28"/>
  <c r="V15" i="28"/>
  <c r="V36" i="28"/>
  <c r="V34" i="28"/>
  <c r="V33" i="28"/>
  <c r="V31" i="28"/>
  <c r="V29" i="28"/>
  <c r="V27" i="28"/>
  <c r="V25" i="28"/>
  <c r="Z12" i="28"/>
  <c r="L15" i="28"/>
  <c r="Z25" i="28"/>
  <c r="Z29" i="28"/>
  <c r="Z33" i="28"/>
  <c r="Z34" i="28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P18" i="29"/>
  <c r="R15" i="29"/>
  <c r="X12" i="29"/>
  <c r="Z22" i="29"/>
  <c r="Z24" i="29"/>
  <c r="N15" i="31"/>
  <c r="L13" i="40"/>
  <c r="Z21" i="34"/>
  <c r="X25" i="34"/>
  <c r="X29" i="34"/>
  <c r="X33" i="34"/>
  <c r="X34" i="34"/>
  <c r="Z13" i="35"/>
  <c r="Z16" i="35"/>
  <c r="Z20" i="35"/>
  <c r="X22" i="35"/>
  <c r="X24" i="35"/>
  <c r="L24" i="38"/>
  <c r="N16" i="31"/>
  <c r="N20" i="31"/>
  <c r="L22" i="31"/>
  <c r="L24" i="31"/>
  <c r="N15" i="32"/>
  <c r="L21" i="32"/>
  <c r="T18" i="34"/>
  <c r="V15" i="34"/>
  <c r="Z12" i="34"/>
  <c r="V36" i="34"/>
  <c r="V34" i="34"/>
  <c r="V33" i="34"/>
  <c r="V31" i="34"/>
  <c r="V29" i="34"/>
  <c r="V27" i="34"/>
  <c r="V25" i="34"/>
  <c r="V24" i="34"/>
  <c r="V22" i="34"/>
  <c r="V20" i="34"/>
  <c r="V18" i="34"/>
  <c r="V16" i="34"/>
  <c r="V21" i="34"/>
  <c r="L15" i="34"/>
  <c r="Z25" i="34"/>
  <c r="Z29" i="34"/>
  <c r="Z33" i="34"/>
  <c r="Z34" i="34"/>
  <c r="R20" i="35"/>
  <c r="R18" i="35"/>
  <c r="R16" i="35"/>
  <c r="P18" i="35"/>
  <c r="R15" i="35"/>
  <c r="X12" i="35"/>
  <c r="R36" i="35"/>
  <c r="R34" i="35"/>
  <c r="R33" i="35"/>
  <c r="R31" i="35"/>
  <c r="R29" i="35"/>
  <c r="R27" i="35"/>
  <c r="R25" i="35"/>
  <c r="R21" i="35"/>
  <c r="R24" i="35"/>
  <c r="R22" i="35"/>
  <c r="Z22" i="35"/>
  <c r="Z24" i="35"/>
  <c r="L20" i="38"/>
  <c r="N21" i="40"/>
  <c r="Z29" i="40"/>
  <c r="L13" i="31"/>
  <c r="N21" i="31"/>
  <c r="L25" i="31"/>
  <c r="L29" i="31"/>
  <c r="L33" i="31"/>
  <c r="L34" i="31"/>
  <c r="N16" i="32"/>
  <c r="N20" i="32"/>
  <c r="L22" i="32"/>
  <c r="L24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T18" i="35"/>
  <c r="V15" i="35"/>
  <c r="V20" i="35"/>
  <c r="V18" i="35"/>
  <c r="V16" i="35"/>
  <c r="L15" i="35"/>
  <c r="Z25" i="35"/>
  <c r="Z29" i="35"/>
  <c r="Z33" i="35"/>
  <c r="Z34" i="35"/>
  <c r="L13" i="37"/>
  <c r="L25" i="37"/>
  <c r="L33" i="37"/>
  <c r="N20" i="38"/>
  <c r="N13" i="31"/>
  <c r="N22" i="31"/>
  <c r="N24" i="31"/>
  <c r="L13" i="32"/>
  <c r="N21" i="32"/>
  <c r="L25" i="32"/>
  <c r="L29" i="32"/>
  <c r="L33" i="32"/>
  <c r="L34" i="32"/>
  <c r="N15" i="34"/>
  <c r="L21" i="34"/>
  <c r="L16" i="35"/>
  <c r="L20" i="35"/>
  <c r="N13" i="37"/>
  <c r="L13" i="38"/>
  <c r="L25" i="38"/>
  <c r="L33" i="38"/>
  <c r="X15" i="40"/>
  <c r="L20" i="43"/>
  <c r="X15" i="31"/>
  <c r="N25" i="31"/>
  <c r="N29" i="31"/>
  <c r="N33" i="31"/>
  <c r="N34" i="31"/>
  <c r="N13" i="32"/>
  <c r="N22" i="32"/>
  <c r="N24" i="32"/>
  <c r="N16" i="34"/>
  <c r="N20" i="34"/>
  <c r="L22" i="34"/>
  <c r="L24" i="34"/>
  <c r="N15" i="35"/>
  <c r="L21" i="35"/>
  <c r="N15" i="37"/>
  <c r="L21" i="37"/>
  <c r="Z15" i="40"/>
  <c r="L12" i="31"/>
  <c r="F36" i="31"/>
  <c r="F34" i="31"/>
  <c r="F33" i="31"/>
  <c r="F31" i="31"/>
  <c r="F29" i="31"/>
  <c r="F27" i="31"/>
  <c r="F25" i="31"/>
  <c r="F24" i="31"/>
  <c r="F22" i="31"/>
  <c r="F21" i="31"/>
  <c r="F15" i="31"/>
  <c r="F20" i="31"/>
  <c r="F18" i="31"/>
  <c r="D18" i="31"/>
  <c r="F16" i="31"/>
  <c r="X16" i="31"/>
  <c r="X20" i="31"/>
  <c r="X15" i="32"/>
  <c r="N25" i="32"/>
  <c r="N29" i="32"/>
  <c r="N33" i="32"/>
  <c r="N34" i="32"/>
  <c r="L13" i="34"/>
  <c r="N21" i="34"/>
  <c r="L25" i="34"/>
  <c r="L29" i="34"/>
  <c r="L33" i="34"/>
  <c r="L34" i="34"/>
  <c r="N16" i="35"/>
  <c r="N20" i="35"/>
  <c r="L22" i="35"/>
  <c r="L24" i="35"/>
  <c r="N21" i="37"/>
  <c r="L34" i="37"/>
  <c r="N33" i="40"/>
  <c r="Z29" i="46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L12" i="32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X16" i="32"/>
  <c r="X20" i="32"/>
  <c r="N13" i="34"/>
  <c r="N22" i="34"/>
  <c r="N24" i="34"/>
  <c r="L13" i="35"/>
  <c r="N21" i="35"/>
  <c r="L25" i="35"/>
  <c r="L29" i="35"/>
  <c r="L33" i="35"/>
  <c r="L34" i="35"/>
  <c r="N21" i="38"/>
  <c r="L34" i="38"/>
  <c r="N20" i="41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X13" i="32"/>
  <c r="Z15" i="32"/>
  <c r="X21" i="32"/>
  <c r="X15" i="34"/>
  <c r="N25" i="34"/>
  <c r="N29" i="34"/>
  <c r="N33" i="34"/>
  <c r="N34" i="34"/>
  <c r="N13" i="35"/>
  <c r="N22" i="35"/>
  <c r="N24" i="35"/>
  <c r="L16" i="38"/>
  <c r="Z34" i="40"/>
  <c r="L29" i="47"/>
  <c r="L25" i="49"/>
  <c r="Z21" i="31"/>
  <c r="X25" i="31"/>
  <c r="X29" i="31"/>
  <c r="X33" i="31"/>
  <c r="X34" i="31"/>
  <c r="Z13" i="32"/>
  <c r="Z16" i="32"/>
  <c r="Z20" i="32"/>
  <c r="X22" i="32"/>
  <c r="X24" i="32"/>
  <c r="L12" i="34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X16" i="34"/>
  <c r="X20" i="34"/>
  <c r="X15" i="35"/>
  <c r="N25" i="35"/>
  <c r="N29" i="35"/>
  <c r="N33" i="35"/>
  <c r="N34" i="35"/>
  <c r="L29" i="37"/>
  <c r="N16" i="38"/>
  <c r="L22" i="38"/>
  <c r="X20" i="41"/>
  <c r="L15" i="44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X12" i="31"/>
  <c r="Z22" i="31"/>
  <c r="Z24" i="31"/>
  <c r="Z21" i="32"/>
  <c r="X25" i="32"/>
  <c r="X29" i="32"/>
  <c r="X33" i="32"/>
  <c r="X34" i="32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N12" i="34"/>
  <c r="X13" i="34"/>
  <c r="Z15" i="34"/>
  <c r="X21" i="34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L12" i="35"/>
  <c r="X16" i="35"/>
  <c r="X20" i="35"/>
  <c r="N22" i="37"/>
  <c r="L29" i="38"/>
  <c r="N16" i="44"/>
  <c r="V24" i="31"/>
  <c r="V22" i="31"/>
  <c r="V21" i="31"/>
  <c r="V20" i="31"/>
  <c r="V18" i="31"/>
  <c r="V16" i="31"/>
  <c r="T18" i="31"/>
  <c r="V15" i="31"/>
  <c r="V33" i="31"/>
  <c r="Z12" i="31"/>
  <c r="V31" i="31"/>
  <c r="V29" i="31"/>
  <c r="V27" i="31"/>
  <c r="V36" i="31"/>
  <c r="V25" i="31"/>
  <c r="V34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P18" i="32"/>
  <c r="R15" i="32"/>
  <c r="X12" i="32"/>
  <c r="Z22" i="32"/>
  <c r="Z24" i="32"/>
  <c r="Z13" i="34"/>
  <c r="Z16" i="34"/>
  <c r="Z20" i="34"/>
  <c r="X22" i="34"/>
  <c r="X24" i="34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N12" i="35"/>
  <c r="X13" i="35"/>
  <c r="Z15" i="35"/>
  <c r="X21" i="35"/>
  <c r="L20" i="40"/>
  <c r="L22" i="41"/>
  <c r="L16" i="37"/>
  <c r="L20" i="37"/>
  <c r="V21" i="38"/>
  <c r="V20" i="38"/>
  <c r="V18" i="38"/>
  <c r="V16" i="38"/>
  <c r="T18" i="38"/>
  <c r="V15" i="38"/>
  <c r="Z12" i="38"/>
  <c r="V24" i="38"/>
  <c r="V22" i="38"/>
  <c r="V36" i="38"/>
  <c r="V29" i="38"/>
  <c r="V34" i="38"/>
  <c r="V27" i="38"/>
  <c r="V33" i="38"/>
  <c r="V25" i="38"/>
  <c r="V31" i="38"/>
  <c r="L15" i="38"/>
  <c r="Z25" i="38"/>
  <c r="Z29" i="38"/>
  <c r="Z33" i="38"/>
  <c r="Z34" i="38"/>
  <c r="X16" i="40"/>
  <c r="N29" i="40"/>
  <c r="N34" i="40"/>
  <c r="L20" i="41"/>
  <c r="N24" i="41"/>
  <c r="Z29" i="41"/>
  <c r="Z22" i="47"/>
  <c r="N16" i="37"/>
  <c r="N20" i="37"/>
  <c r="L22" i="37"/>
  <c r="L24" i="37"/>
  <c r="N15" i="38"/>
  <c r="L21" i="38"/>
  <c r="N13" i="40"/>
  <c r="Z16" i="40"/>
  <c r="L21" i="40"/>
  <c r="N22" i="40"/>
  <c r="L33" i="40"/>
  <c r="L15" i="41"/>
  <c r="X16" i="41"/>
  <c r="Z24" i="41"/>
  <c r="Z33" i="41"/>
  <c r="X15" i="37"/>
  <c r="N25" i="37"/>
  <c r="N29" i="37"/>
  <c r="N33" i="37"/>
  <c r="N34" i="37"/>
  <c r="N13" i="38"/>
  <c r="N22" i="38"/>
  <c r="N24" i="38"/>
  <c r="X13" i="40"/>
  <c r="L12" i="41"/>
  <c r="F36" i="41"/>
  <c r="F34" i="41"/>
  <c r="F20" i="41"/>
  <c r="F18" i="41"/>
  <c r="F16" i="41"/>
  <c r="F33" i="41"/>
  <c r="F24" i="41"/>
  <c r="F29" i="41"/>
  <c r="F21" i="41"/>
  <c r="F25" i="41"/>
  <c r="D18" i="41"/>
  <c r="F27" i="41"/>
  <c r="F31" i="41"/>
  <c r="F15" i="41"/>
  <c r="F22" i="41"/>
  <c r="N22" i="41"/>
  <c r="L34" i="41"/>
  <c r="L21" i="43"/>
  <c r="L33" i="43"/>
  <c r="L34" i="47"/>
  <c r="L12" i="37"/>
  <c r="F21" i="37"/>
  <c r="D18" i="37"/>
  <c r="F15" i="37"/>
  <c r="F18" i="37"/>
  <c r="F36" i="37"/>
  <c r="F29" i="37"/>
  <c r="F22" i="37"/>
  <c r="F16" i="37"/>
  <c r="F34" i="37"/>
  <c r="F27" i="37"/>
  <c r="F33" i="37"/>
  <c r="F25" i="37"/>
  <c r="F20" i="37"/>
  <c r="F24" i="37"/>
  <c r="F31" i="37"/>
  <c r="X16" i="37"/>
  <c r="X20" i="37"/>
  <c r="X15" i="38"/>
  <c r="N25" i="38"/>
  <c r="N29" i="38"/>
  <c r="N33" i="38"/>
  <c r="N34" i="38"/>
  <c r="F21" i="40"/>
  <c r="F34" i="40"/>
  <c r="F29" i="40"/>
  <c r="F24" i="40"/>
  <c r="F15" i="40"/>
  <c r="F16" i="40"/>
  <c r="L12" i="40"/>
  <c r="F36" i="40"/>
  <c r="F31" i="40"/>
  <c r="F25" i="40"/>
  <c r="F18" i="40"/>
  <c r="D18" i="40"/>
  <c r="F27" i="40"/>
  <c r="F33" i="40"/>
  <c r="F22" i="40"/>
  <c r="F20" i="40"/>
  <c r="Z13" i="40"/>
  <c r="L25" i="40"/>
  <c r="R21" i="41"/>
  <c r="R20" i="41"/>
  <c r="R18" i="41"/>
  <c r="R16" i="41"/>
  <c r="R24" i="41"/>
  <c r="R22" i="41"/>
  <c r="R29" i="41"/>
  <c r="R25" i="41"/>
  <c r="P18" i="41"/>
  <c r="X12" i="41"/>
  <c r="R34" i="41"/>
  <c r="R15" i="41"/>
  <c r="R31" i="41"/>
  <c r="R33" i="41"/>
  <c r="R27" i="41"/>
  <c r="R36" i="41"/>
  <c r="L25" i="41"/>
  <c r="L34" i="43"/>
  <c r="Z34" i="46"/>
  <c r="N12" i="37"/>
  <c r="J36" i="37"/>
  <c r="J34" i="37"/>
  <c r="J33" i="37"/>
  <c r="J31" i="37"/>
  <c r="J29" i="37"/>
  <c r="J27" i="37"/>
  <c r="J25" i="37"/>
  <c r="J24" i="37"/>
  <c r="J22" i="37"/>
  <c r="H18" i="37"/>
  <c r="J15" i="37"/>
  <c r="J16" i="37"/>
  <c r="J21" i="37"/>
  <c r="J20" i="37"/>
  <c r="J18" i="37"/>
  <c r="X13" i="37"/>
  <c r="Z15" i="37"/>
  <c r="X21" i="37"/>
  <c r="L12" i="38"/>
  <c r="F36" i="38"/>
  <c r="F34" i="38"/>
  <c r="F33" i="38"/>
  <c r="F31" i="38"/>
  <c r="F29" i="38"/>
  <c r="F27" i="38"/>
  <c r="F25" i="38"/>
  <c r="F20" i="38"/>
  <c r="F18" i="38"/>
  <c r="F16" i="38"/>
  <c r="D18" i="38"/>
  <c r="F22" i="38"/>
  <c r="F21" i="38"/>
  <c r="F15" i="38"/>
  <c r="F24" i="38"/>
  <c r="X16" i="38"/>
  <c r="X20" i="38"/>
  <c r="H18" i="40"/>
  <c r="J15" i="40"/>
  <c r="J36" i="40"/>
  <c r="J31" i="40"/>
  <c r="J25" i="40"/>
  <c r="J16" i="40"/>
  <c r="N12" i="40"/>
  <c r="J18" i="40"/>
  <c r="J33" i="40"/>
  <c r="J27" i="40"/>
  <c r="J20" i="40"/>
  <c r="J24" i="40"/>
  <c r="J34" i="40"/>
  <c r="J22" i="40"/>
  <c r="J21" i="40"/>
  <c r="J29" i="40"/>
  <c r="L16" i="40"/>
  <c r="X21" i="40"/>
  <c r="Z33" i="40"/>
  <c r="T18" i="41"/>
  <c r="V15" i="41"/>
  <c r="Z12" i="41"/>
  <c r="V20" i="41"/>
  <c r="V18" i="41"/>
  <c r="V16" i="41"/>
  <c r="V25" i="41"/>
  <c r="V34" i="41"/>
  <c r="V31" i="41"/>
  <c r="V22" i="41"/>
  <c r="V27" i="41"/>
  <c r="V21" i="41"/>
  <c r="V33" i="41"/>
  <c r="V29" i="41"/>
  <c r="V36" i="41"/>
  <c r="V24" i="41"/>
  <c r="Z22" i="41"/>
  <c r="N34" i="43"/>
  <c r="Z13" i="37"/>
  <c r="Z16" i="37"/>
  <c r="Z20" i="37"/>
  <c r="X22" i="37"/>
  <c r="X24" i="37"/>
  <c r="N12" i="38"/>
  <c r="J36" i="38"/>
  <c r="J34" i="38"/>
  <c r="J33" i="38"/>
  <c r="J31" i="38"/>
  <c r="J29" i="38"/>
  <c r="J27" i="38"/>
  <c r="J25" i="38"/>
  <c r="J24" i="38"/>
  <c r="J22" i="38"/>
  <c r="J21" i="38"/>
  <c r="J16" i="38"/>
  <c r="J15" i="38"/>
  <c r="J20" i="38"/>
  <c r="H18" i="38"/>
  <c r="J18" i="38"/>
  <c r="X13" i="38"/>
  <c r="Z15" i="38"/>
  <c r="X21" i="38"/>
  <c r="L15" i="40"/>
  <c r="X20" i="40"/>
  <c r="N25" i="40"/>
  <c r="L29" i="41"/>
  <c r="Z34" i="41"/>
  <c r="X13" i="43"/>
  <c r="X21" i="44"/>
  <c r="X33" i="44"/>
  <c r="Z21" i="37"/>
  <c r="X25" i="37"/>
  <c r="X29" i="37"/>
  <c r="X33" i="37"/>
  <c r="X34" i="37"/>
  <c r="Z13" i="38"/>
  <c r="Z16" i="38"/>
  <c r="Z20" i="38"/>
  <c r="X22" i="38"/>
  <c r="X24" i="38"/>
  <c r="Z21" i="40"/>
  <c r="N21" i="41"/>
  <c r="Z21" i="44"/>
  <c r="Z33" i="44"/>
  <c r="L13" i="53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P18" i="37"/>
  <c r="R15" i="37"/>
  <c r="X12" i="37"/>
  <c r="Z22" i="37"/>
  <c r="Z24" i="37"/>
  <c r="Z21" i="38"/>
  <c r="X25" i="38"/>
  <c r="X29" i="38"/>
  <c r="X33" i="38"/>
  <c r="X34" i="38"/>
  <c r="V21" i="40"/>
  <c r="V20" i="40"/>
  <c r="V33" i="40"/>
  <c r="V27" i="40"/>
  <c r="V22" i="40"/>
  <c r="V36" i="40"/>
  <c r="V31" i="40"/>
  <c r="V25" i="40"/>
  <c r="T18" i="40"/>
  <c r="Z12" i="40"/>
  <c r="V18" i="40"/>
  <c r="V34" i="40"/>
  <c r="V24" i="40"/>
  <c r="V16" i="40"/>
  <c r="V15" i="40"/>
  <c r="V29" i="40"/>
  <c r="N15" i="40"/>
  <c r="Z20" i="40"/>
  <c r="L29" i="40"/>
  <c r="L34" i="40"/>
  <c r="L13" i="41"/>
  <c r="L16" i="41"/>
  <c r="L24" i="41"/>
  <c r="Z25" i="41"/>
  <c r="L33" i="41"/>
  <c r="N25" i="43"/>
  <c r="J24" i="44"/>
  <c r="J22" i="44"/>
  <c r="J21" i="44"/>
  <c r="J33" i="44"/>
  <c r="J34" i="44"/>
  <c r="J36" i="44"/>
  <c r="J25" i="44"/>
  <c r="J15" i="44"/>
  <c r="J27" i="44"/>
  <c r="J16" i="44"/>
  <c r="J29" i="44"/>
  <c r="J18" i="44"/>
  <c r="J31" i="44"/>
  <c r="J20" i="44"/>
  <c r="N12" i="44"/>
  <c r="H18" i="44"/>
  <c r="Z34" i="44"/>
  <c r="L22" i="53"/>
  <c r="V24" i="37"/>
  <c r="V22" i="37"/>
  <c r="V21" i="37"/>
  <c r="V20" i="37"/>
  <c r="V18" i="37"/>
  <c r="V16" i="37"/>
  <c r="T18" i="37"/>
  <c r="V15" i="37"/>
  <c r="V36" i="37"/>
  <c r="V34" i="37"/>
  <c r="V33" i="37"/>
  <c r="V31" i="37"/>
  <c r="V29" i="37"/>
  <c r="V27" i="37"/>
  <c r="V25" i="37"/>
  <c r="Z12" i="37"/>
  <c r="L15" i="37"/>
  <c r="Z25" i="37"/>
  <c r="Z29" i="37"/>
  <c r="Z33" i="37"/>
  <c r="Z34" i="37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X12" i="38"/>
  <c r="Z22" i="38"/>
  <c r="Z24" i="38"/>
  <c r="N24" i="40"/>
  <c r="Z25" i="40"/>
  <c r="N13" i="41"/>
  <c r="N16" i="41"/>
  <c r="R24" i="40"/>
  <c r="R36" i="40"/>
  <c r="R34" i="40"/>
  <c r="R33" i="40"/>
  <c r="R31" i="40"/>
  <c r="R29" i="40"/>
  <c r="R27" i="40"/>
  <c r="R25" i="40"/>
  <c r="R18" i="40"/>
  <c r="X12" i="40"/>
  <c r="P18" i="40"/>
  <c r="R20" i="40"/>
  <c r="R21" i="40"/>
  <c r="R22" i="40"/>
  <c r="R15" i="40"/>
  <c r="R16" i="40"/>
  <c r="Z22" i="40"/>
  <c r="Z24" i="40"/>
  <c r="Z21" i="41"/>
  <c r="X25" i="41"/>
  <c r="X29" i="41"/>
  <c r="X33" i="41"/>
  <c r="X34" i="41"/>
  <c r="Z15" i="43"/>
  <c r="Z16" i="43"/>
  <c r="X29" i="43"/>
  <c r="F20" i="44"/>
  <c r="F18" i="44"/>
  <c r="F16" i="44"/>
  <c r="F31" i="44"/>
  <c r="F33" i="44"/>
  <c r="F21" i="44"/>
  <c r="F22" i="44"/>
  <c r="F34" i="44"/>
  <c r="F24" i="44"/>
  <c r="F36" i="44"/>
  <c r="F25" i="44"/>
  <c r="F15" i="44"/>
  <c r="L12" i="44"/>
  <c r="D18" i="44"/>
  <c r="F29" i="44"/>
  <c r="F27" i="44"/>
  <c r="Z13" i="44"/>
  <c r="X22" i="44"/>
  <c r="Z24" i="44"/>
  <c r="L29" i="44"/>
  <c r="X15" i="46"/>
  <c r="N29" i="46"/>
  <c r="N34" i="46"/>
  <c r="N13" i="47"/>
  <c r="N22" i="47"/>
  <c r="J36" i="43"/>
  <c r="J34" i="43"/>
  <c r="J33" i="43"/>
  <c r="J31" i="43"/>
  <c r="J29" i="43"/>
  <c r="J27" i="43"/>
  <c r="J25" i="43"/>
  <c r="J16" i="43"/>
  <c r="J15" i="43"/>
  <c r="J18" i="43"/>
  <c r="J21" i="43"/>
  <c r="J20" i="43"/>
  <c r="H18" i="43"/>
  <c r="J22" i="43"/>
  <c r="N12" i="43"/>
  <c r="J24" i="43"/>
  <c r="Z13" i="43"/>
  <c r="N24" i="43"/>
  <c r="Z29" i="43"/>
  <c r="L16" i="44"/>
  <c r="X20" i="44"/>
  <c r="Z22" i="44"/>
  <c r="N21" i="46"/>
  <c r="L25" i="46"/>
  <c r="N20" i="47"/>
  <c r="L24" i="47"/>
  <c r="Z15" i="50"/>
  <c r="N16" i="40"/>
  <c r="N20" i="40"/>
  <c r="L22" i="40"/>
  <c r="L24" i="40"/>
  <c r="N15" i="41"/>
  <c r="L21" i="41"/>
  <c r="N22" i="43"/>
  <c r="X25" i="43"/>
  <c r="R24" i="44"/>
  <c r="R36" i="44"/>
  <c r="R25" i="44"/>
  <c r="R27" i="44"/>
  <c r="R15" i="44"/>
  <c r="R16" i="44"/>
  <c r="R29" i="44"/>
  <c r="X12" i="44"/>
  <c r="R18" i="44"/>
  <c r="R31" i="44"/>
  <c r="P18" i="44"/>
  <c r="R33" i="44"/>
  <c r="R21" i="44"/>
  <c r="R34" i="44"/>
  <c r="R22" i="44"/>
  <c r="R20" i="44"/>
  <c r="Z20" i="44"/>
  <c r="L25" i="44"/>
  <c r="N25" i="46"/>
  <c r="N24" i="47"/>
  <c r="L29" i="49"/>
  <c r="L34" i="50"/>
  <c r="P18" i="43"/>
  <c r="R15" i="43"/>
  <c r="R31" i="43"/>
  <c r="R16" i="43"/>
  <c r="R18" i="43"/>
  <c r="R33" i="43"/>
  <c r="R21" i="43"/>
  <c r="R20" i="43"/>
  <c r="R22" i="43"/>
  <c r="R34" i="43"/>
  <c r="X12" i="43"/>
  <c r="R24" i="43"/>
  <c r="R36" i="43"/>
  <c r="R25" i="43"/>
  <c r="R29" i="43"/>
  <c r="R27" i="43"/>
  <c r="L15" i="43"/>
  <c r="L16" i="43"/>
  <c r="N20" i="43"/>
  <c r="N21" i="43"/>
  <c r="X24" i="43"/>
  <c r="N33" i="43"/>
  <c r="Z12" i="44"/>
  <c r="V27" i="44"/>
  <c r="V15" i="44"/>
  <c r="V16" i="44"/>
  <c r="V29" i="44"/>
  <c r="V18" i="44"/>
  <c r="V31" i="44"/>
  <c r="T18" i="44"/>
  <c r="V20" i="44"/>
  <c r="V33" i="44"/>
  <c r="V21" i="44"/>
  <c r="V34" i="44"/>
  <c r="V36" i="44"/>
  <c r="V25" i="44"/>
  <c r="V22" i="44"/>
  <c r="V24" i="44"/>
  <c r="L24" i="44"/>
  <c r="X29" i="44"/>
  <c r="Z12" i="46"/>
  <c r="V36" i="46"/>
  <c r="V34" i="46"/>
  <c r="V33" i="46"/>
  <c r="V31" i="46"/>
  <c r="V29" i="46"/>
  <c r="V27" i="46"/>
  <c r="V25" i="46"/>
  <c r="V21" i="46"/>
  <c r="V20" i="46"/>
  <c r="V18" i="46"/>
  <c r="V16" i="46"/>
  <c r="T18" i="46"/>
  <c r="V15" i="46"/>
  <c r="V22" i="46"/>
  <c r="V24" i="46"/>
  <c r="Z25" i="46"/>
  <c r="Z24" i="47"/>
  <c r="L24" i="53"/>
  <c r="V33" i="43"/>
  <c r="V21" i="43"/>
  <c r="V20" i="43"/>
  <c r="T18" i="43"/>
  <c r="V22" i="43"/>
  <c r="V34" i="43"/>
  <c r="V24" i="43"/>
  <c r="Z12" i="43"/>
  <c r="V36" i="43"/>
  <c r="V25" i="43"/>
  <c r="V27" i="43"/>
  <c r="V18" i="43"/>
  <c r="V15" i="43"/>
  <c r="V16" i="43"/>
  <c r="V31" i="43"/>
  <c r="V29" i="43"/>
  <c r="Z25" i="43"/>
  <c r="X34" i="43"/>
  <c r="X16" i="44"/>
  <c r="L34" i="44"/>
  <c r="L13" i="46"/>
  <c r="L33" i="46"/>
  <c r="N16" i="47"/>
  <c r="N20" i="50"/>
  <c r="Z34" i="50"/>
  <c r="N15" i="43"/>
  <c r="N16" i="43"/>
  <c r="X22" i="43"/>
  <c r="Z24" i="43"/>
  <c r="L29" i="43"/>
  <c r="L22" i="44"/>
  <c r="N24" i="44"/>
  <c r="Z29" i="44"/>
  <c r="N13" i="46"/>
  <c r="N22" i="46"/>
  <c r="N21" i="47"/>
  <c r="L25" i="47"/>
  <c r="L22" i="50"/>
  <c r="L33" i="53"/>
  <c r="X15" i="41"/>
  <c r="N25" i="41"/>
  <c r="N29" i="41"/>
  <c r="N33" i="41"/>
  <c r="N34" i="41"/>
  <c r="X21" i="43"/>
  <c r="X33" i="43"/>
  <c r="Z34" i="43"/>
  <c r="L13" i="44"/>
  <c r="Z16" i="44"/>
  <c r="L33" i="44"/>
  <c r="N33" i="46"/>
  <c r="N21" i="52"/>
  <c r="Z22" i="43"/>
  <c r="N29" i="43"/>
  <c r="N13" i="44"/>
  <c r="Z15" i="44"/>
  <c r="N22" i="44"/>
  <c r="X25" i="44"/>
  <c r="L15" i="46"/>
  <c r="Z33" i="46"/>
  <c r="X12" i="47"/>
  <c r="R24" i="47"/>
  <c r="R22" i="47"/>
  <c r="R21" i="47"/>
  <c r="R20" i="47"/>
  <c r="R18" i="47"/>
  <c r="R16" i="47"/>
  <c r="P18" i="47"/>
  <c r="R15" i="47"/>
  <c r="R36" i="47"/>
  <c r="R31" i="47"/>
  <c r="R25" i="47"/>
  <c r="R34" i="47"/>
  <c r="R29" i="47"/>
  <c r="R27" i="47"/>
  <c r="R33" i="47"/>
  <c r="L29" i="52"/>
  <c r="X22" i="40"/>
  <c r="X24" i="40"/>
  <c r="J24" i="41"/>
  <c r="J22" i="41"/>
  <c r="N12" i="41"/>
  <c r="J29" i="41"/>
  <c r="J21" i="41"/>
  <c r="J25" i="41"/>
  <c r="J18" i="41"/>
  <c r="J34" i="41"/>
  <c r="H18" i="41"/>
  <c r="J31" i="41"/>
  <c r="J20" i="41"/>
  <c r="J36" i="41"/>
  <c r="J33" i="41"/>
  <c r="J16" i="41"/>
  <c r="J27" i="41"/>
  <c r="J15" i="41"/>
  <c r="X13" i="41"/>
  <c r="Z15" i="41"/>
  <c r="X21" i="41"/>
  <c r="L13" i="43"/>
  <c r="Z20" i="43"/>
  <c r="Z21" i="43"/>
  <c r="Z33" i="43"/>
  <c r="L20" i="44"/>
  <c r="N21" i="44"/>
  <c r="X24" i="44"/>
  <c r="L29" i="46"/>
  <c r="L34" i="46"/>
  <c r="L22" i="47"/>
  <c r="R36" i="49"/>
  <c r="R34" i="49"/>
  <c r="R33" i="49"/>
  <c r="R31" i="49"/>
  <c r="R29" i="49"/>
  <c r="R27" i="49"/>
  <c r="R24" i="49"/>
  <c r="R22" i="49"/>
  <c r="R20" i="49"/>
  <c r="R18" i="49"/>
  <c r="R16" i="49"/>
  <c r="P18" i="49"/>
  <c r="R15" i="49"/>
  <c r="R21" i="49"/>
  <c r="R25" i="49"/>
  <c r="X12" i="49"/>
  <c r="X22" i="49"/>
  <c r="X25" i="40"/>
  <c r="X29" i="40"/>
  <c r="X33" i="40"/>
  <c r="X34" i="40"/>
  <c r="Z13" i="41"/>
  <c r="Z16" i="41"/>
  <c r="Z20" i="41"/>
  <c r="X22" i="41"/>
  <c r="X24" i="41"/>
  <c r="N13" i="43"/>
  <c r="X15" i="43"/>
  <c r="L25" i="43"/>
  <c r="X13" i="44"/>
  <c r="N20" i="44"/>
  <c r="Z25" i="44"/>
  <c r="X34" i="44"/>
  <c r="N24" i="46"/>
  <c r="L13" i="47"/>
  <c r="L33" i="47"/>
  <c r="Z12" i="49"/>
  <c r="V20" i="49"/>
  <c r="V18" i="49"/>
  <c r="V16" i="49"/>
  <c r="V27" i="49"/>
  <c r="V24" i="49"/>
  <c r="V31" i="49"/>
  <c r="V34" i="49"/>
  <c r="V21" i="49"/>
  <c r="V25" i="49"/>
  <c r="V29" i="49"/>
  <c r="T18" i="49"/>
  <c r="V36" i="49"/>
  <c r="V33" i="49"/>
  <c r="V15" i="49"/>
  <c r="V22" i="49"/>
  <c r="Z22" i="49"/>
  <c r="Z25" i="50"/>
  <c r="N16" i="46"/>
  <c r="N20" i="46"/>
  <c r="L22" i="46"/>
  <c r="L24" i="46"/>
  <c r="N15" i="47"/>
  <c r="L21" i="47"/>
  <c r="N22" i="49"/>
  <c r="L25" i="50"/>
  <c r="Z29" i="50"/>
  <c r="N21" i="53"/>
  <c r="L22" i="43"/>
  <c r="L24" i="43"/>
  <c r="N15" i="44"/>
  <c r="L21" i="44"/>
  <c r="F20" i="46"/>
  <c r="F18" i="46"/>
  <c r="F16" i="46"/>
  <c r="D18" i="46"/>
  <c r="F15" i="46"/>
  <c r="L12" i="46"/>
  <c r="F21" i="46"/>
  <c r="F34" i="46"/>
  <c r="F29" i="46"/>
  <c r="F24" i="46"/>
  <c r="F33" i="46"/>
  <c r="F27" i="46"/>
  <c r="F22" i="46"/>
  <c r="F36" i="46"/>
  <c r="F31" i="46"/>
  <c r="F25" i="46"/>
  <c r="X16" i="46"/>
  <c r="X20" i="46"/>
  <c r="X15" i="47"/>
  <c r="N25" i="47"/>
  <c r="N29" i="47"/>
  <c r="N33" i="47"/>
  <c r="N34" i="47"/>
  <c r="N21" i="49"/>
  <c r="L34" i="49"/>
  <c r="N12" i="50"/>
  <c r="J36" i="50"/>
  <c r="J34" i="50"/>
  <c r="J33" i="50"/>
  <c r="J31" i="50"/>
  <c r="J29" i="50"/>
  <c r="J27" i="50"/>
  <c r="J25" i="50"/>
  <c r="J24" i="50"/>
  <c r="J22" i="50"/>
  <c r="J21" i="50"/>
  <c r="J18" i="50"/>
  <c r="H18" i="50"/>
  <c r="J16" i="50"/>
  <c r="J20" i="50"/>
  <c r="J15" i="50"/>
  <c r="L34" i="53"/>
  <c r="N12" i="46"/>
  <c r="J36" i="46"/>
  <c r="J34" i="46"/>
  <c r="J33" i="46"/>
  <c r="J31" i="46"/>
  <c r="J29" i="46"/>
  <c r="J27" i="46"/>
  <c r="J25" i="46"/>
  <c r="H18" i="46"/>
  <c r="J15" i="46"/>
  <c r="J20" i="46"/>
  <c r="J22" i="46"/>
  <c r="J18" i="46"/>
  <c r="J16" i="46"/>
  <c r="J24" i="46"/>
  <c r="J21" i="46"/>
  <c r="X13" i="46"/>
  <c r="Z15" i="46"/>
  <c r="X21" i="46"/>
  <c r="D18" i="47"/>
  <c r="F15" i="47"/>
  <c r="L12" i="47"/>
  <c r="F20" i="47"/>
  <c r="F18" i="47"/>
  <c r="F16" i="47"/>
  <c r="F22" i="47"/>
  <c r="F36" i="47"/>
  <c r="F31" i="47"/>
  <c r="F25" i="47"/>
  <c r="F21" i="47"/>
  <c r="F34" i="47"/>
  <c r="F29" i="47"/>
  <c r="F33" i="47"/>
  <c r="F27" i="47"/>
  <c r="F24" i="47"/>
  <c r="X16" i="47"/>
  <c r="X20" i="47"/>
  <c r="L13" i="49"/>
  <c r="L16" i="49"/>
  <c r="L24" i="49"/>
  <c r="Z25" i="49"/>
  <c r="V36" i="50"/>
  <c r="V34" i="50"/>
  <c r="V33" i="50"/>
  <c r="V31" i="50"/>
  <c r="V29" i="50"/>
  <c r="V27" i="50"/>
  <c r="V25" i="50"/>
  <c r="V21" i="50"/>
  <c r="V20" i="50"/>
  <c r="V18" i="50"/>
  <c r="V16" i="50"/>
  <c r="T18" i="50"/>
  <c r="V15" i="50"/>
  <c r="V24" i="50"/>
  <c r="Z12" i="50"/>
  <c r="V22" i="50"/>
  <c r="N16" i="50"/>
  <c r="L13" i="52"/>
  <c r="L33" i="52"/>
  <c r="N16" i="53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4" i="47"/>
  <c r="J22" i="47"/>
  <c r="J18" i="47"/>
  <c r="H18" i="47"/>
  <c r="J21" i="47"/>
  <c r="J16" i="47"/>
  <c r="J15" i="47"/>
  <c r="J20" i="47"/>
  <c r="X13" i="47"/>
  <c r="Z15" i="47"/>
  <c r="X21" i="47"/>
  <c r="N13" i="49"/>
  <c r="N16" i="49"/>
  <c r="L24" i="50"/>
  <c r="N13" i="52"/>
  <c r="N22" i="52"/>
  <c r="L25" i="53"/>
  <c r="Z21" i="46"/>
  <c r="X25" i="46"/>
  <c r="X29" i="46"/>
  <c r="X33" i="46"/>
  <c r="X34" i="46"/>
  <c r="Z13" i="47"/>
  <c r="Z16" i="47"/>
  <c r="Z20" i="47"/>
  <c r="X22" i="47"/>
  <c r="X24" i="47"/>
  <c r="Z13" i="49"/>
  <c r="L20" i="49"/>
  <c r="N24" i="49"/>
  <c r="L21" i="50"/>
  <c r="L34" i="52"/>
  <c r="F27" i="43"/>
  <c r="F29" i="43"/>
  <c r="F31" i="43"/>
  <c r="F16" i="43"/>
  <c r="F15" i="43"/>
  <c r="F18" i="43"/>
  <c r="F33" i="43"/>
  <c r="F21" i="43"/>
  <c r="F20" i="43"/>
  <c r="D18" i="43"/>
  <c r="F34" i="43"/>
  <c r="F36" i="43"/>
  <c r="F25" i="43"/>
  <c r="F24" i="43"/>
  <c r="F22" i="43"/>
  <c r="L12" i="43"/>
  <c r="X16" i="43"/>
  <c r="X20" i="43"/>
  <c r="X15" i="44"/>
  <c r="N25" i="44"/>
  <c r="N29" i="44"/>
  <c r="N33" i="44"/>
  <c r="N34" i="44"/>
  <c r="X12" i="46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Z22" i="46"/>
  <c r="Z24" i="46"/>
  <c r="Z21" i="47"/>
  <c r="X25" i="47"/>
  <c r="X29" i="47"/>
  <c r="X33" i="47"/>
  <c r="X34" i="47"/>
  <c r="N20" i="49"/>
  <c r="X24" i="49"/>
  <c r="L13" i="50"/>
  <c r="L33" i="50"/>
  <c r="N24" i="52"/>
  <c r="L15" i="49"/>
  <c r="Z16" i="49"/>
  <c r="Z24" i="49"/>
  <c r="X13" i="50"/>
  <c r="N21" i="50"/>
  <c r="L25" i="52"/>
  <c r="N20" i="53"/>
  <c r="L16" i="46"/>
  <c r="L20" i="46"/>
  <c r="V36" i="47"/>
  <c r="V34" i="47"/>
  <c r="V33" i="47"/>
  <c r="V31" i="47"/>
  <c r="V29" i="47"/>
  <c r="V27" i="47"/>
  <c r="V25" i="47"/>
  <c r="V24" i="47"/>
  <c r="V22" i="47"/>
  <c r="V20" i="47"/>
  <c r="V18" i="47"/>
  <c r="V16" i="47"/>
  <c r="T18" i="47"/>
  <c r="V15" i="47"/>
  <c r="Z12" i="47"/>
  <c r="V21" i="47"/>
  <c r="L15" i="47"/>
  <c r="Z25" i="47"/>
  <c r="Z29" i="47"/>
  <c r="Z33" i="47"/>
  <c r="Z34" i="47"/>
  <c r="L22" i="49"/>
  <c r="L15" i="50"/>
  <c r="X21" i="50"/>
  <c r="L29" i="50"/>
  <c r="Z33" i="50"/>
  <c r="L29" i="53"/>
  <c r="N15" i="46"/>
  <c r="L21" i="46"/>
  <c r="L16" i="47"/>
  <c r="L20" i="47"/>
  <c r="Z20" i="49"/>
  <c r="L33" i="49"/>
  <c r="N15" i="50"/>
  <c r="N16" i="52"/>
  <c r="N20" i="52"/>
  <c r="L22" i="52"/>
  <c r="L24" i="52"/>
  <c r="N15" i="53"/>
  <c r="L21" i="53"/>
  <c r="X15" i="49"/>
  <c r="N25" i="49"/>
  <c r="N29" i="49"/>
  <c r="N33" i="49"/>
  <c r="N34" i="49"/>
  <c r="N13" i="50"/>
  <c r="N22" i="50"/>
  <c r="N24" i="50"/>
  <c r="X15" i="52"/>
  <c r="N25" i="52"/>
  <c r="N29" i="52"/>
  <c r="N33" i="52"/>
  <c r="N34" i="52"/>
  <c r="N13" i="53"/>
  <c r="N22" i="53"/>
  <c r="N24" i="53"/>
  <c r="F20" i="49"/>
  <c r="F18" i="49"/>
  <c r="F16" i="49"/>
  <c r="F22" i="49"/>
  <c r="L12" i="49"/>
  <c r="F36" i="49"/>
  <c r="F15" i="49"/>
  <c r="F27" i="49"/>
  <c r="F31" i="49"/>
  <c r="F24" i="49"/>
  <c r="F34" i="49"/>
  <c r="F33" i="49"/>
  <c r="D18" i="49"/>
  <c r="F21" i="49"/>
  <c r="F29" i="49"/>
  <c r="F25" i="49"/>
  <c r="X16" i="49"/>
  <c r="X20" i="49"/>
  <c r="X15" i="50"/>
  <c r="N25" i="50"/>
  <c r="N29" i="50"/>
  <c r="N33" i="50"/>
  <c r="N34" i="50"/>
  <c r="F20" i="52"/>
  <c r="F18" i="52"/>
  <c r="F16" i="52"/>
  <c r="D18" i="52"/>
  <c r="F15" i="52"/>
  <c r="L12" i="52"/>
  <c r="F21" i="52"/>
  <c r="F36" i="52"/>
  <c r="F25" i="52"/>
  <c r="F34" i="52"/>
  <c r="F24" i="52"/>
  <c r="F33" i="52"/>
  <c r="F22" i="52"/>
  <c r="F31" i="52"/>
  <c r="F27" i="52"/>
  <c r="F29" i="52"/>
  <c r="X16" i="52"/>
  <c r="X20" i="52"/>
  <c r="X15" i="53"/>
  <c r="N25" i="53"/>
  <c r="N29" i="53"/>
  <c r="N33" i="53"/>
  <c r="N34" i="53"/>
  <c r="J36" i="49"/>
  <c r="J34" i="49"/>
  <c r="J33" i="49"/>
  <c r="J31" i="49"/>
  <c r="J29" i="49"/>
  <c r="J27" i="49"/>
  <c r="J25" i="49"/>
  <c r="J24" i="49"/>
  <c r="J22" i="49"/>
  <c r="J15" i="49"/>
  <c r="J20" i="49"/>
  <c r="J16" i="49"/>
  <c r="J21" i="49"/>
  <c r="N12" i="49"/>
  <c r="J18" i="49"/>
  <c r="H18" i="49"/>
  <c r="X13" i="49"/>
  <c r="Z15" i="49"/>
  <c r="X21" i="49"/>
  <c r="D18" i="50"/>
  <c r="F15" i="50"/>
  <c r="L12" i="50"/>
  <c r="F36" i="50"/>
  <c r="F34" i="50"/>
  <c r="F33" i="50"/>
  <c r="F31" i="50"/>
  <c r="F29" i="50"/>
  <c r="F27" i="50"/>
  <c r="F25" i="50"/>
  <c r="F18" i="50"/>
  <c r="F21" i="50"/>
  <c r="F24" i="50"/>
  <c r="F16" i="50"/>
  <c r="F22" i="50"/>
  <c r="F20" i="50"/>
  <c r="X16" i="50"/>
  <c r="X20" i="50"/>
  <c r="N12" i="52"/>
  <c r="J36" i="52"/>
  <c r="J34" i="52"/>
  <c r="J33" i="52"/>
  <c r="J31" i="52"/>
  <c r="J29" i="52"/>
  <c r="J27" i="52"/>
  <c r="J25" i="52"/>
  <c r="J24" i="52"/>
  <c r="J22" i="52"/>
  <c r="H18" i="52"/>
  <c r="J15" i="52"/>
  <c r="J18" i="52"/>
  <c r="J16" i="52"/>
  <c r="J21" i="52"/>
  <c r="J20" i="52"/>
  <c r="X13" i="52"/>
  <c r="Z15" i="52"/>
  <c r="X21" i="52"/>
  <c r="D18" i="53"/>
  <c r="F15" i="53"/>
  <c r="L12" i="53"/>
  <c r="F36" i="53"/>
  <c r="F34" i="53"/>
  <c r="F33" i="53"/>
  <c r="F31" i="53"/>
  <c r="F29" i="53"/>
  <c r="F27" i="53"/>
  <c r="F25" i="53"/>
  <c r="F20" i="53"/>
  <c r="F18" i="53"/>
  <c r="F16" i="53"/>
  <c r="F21" i="53"/>
  <c r="F24" i="53"/>
  <c r="F22" i="53"/>
  <c r="X16" i="53"/>
  <c r="X20" i="53"/>
  <c r="Z13" i="52"/>
  <c r="Z16" i="52"/>
  <c r="Z20" i="52"/>
  <c r="X22" i="52"/>
  <c r="X24" i="52"/>
  <c r="N12" i="53"/>
  <c r="J36" i="53"/>
  <c r="J34" i="53"/>
  <c r="J33" i="53"/>
  <c r="J31" i="53"/>
  <c r="J29" i="53"/>
  <c r="J27" i="53"/>
  <c r="J25" i="53"/>
  <c r="J24" i="53"/>
  <c r="J22" i="53"/>
  <c r="J21" i="53"/>
  <c r="J20" i="53"/>
  <c r="J18" i="53"/>
  <c r="H18" i="53"/>
  <c r="J16" i="53"/>
  <c r="J15" i="53"/>
  <c r="X13" i="53"/>
  <c r="Z15" i="53"/>
  <c r="X21" i="53"/>
  <c r="Z21" i="49"/>
  <c r="X25" i="49"/>
  <c r="X29" i="49"/>
  <c r="X33" i="49"/>
  <c r="X34" i="49"/>
  <c r="Z13" i="50"/>
  <c r="Z16" i="50"/>
  <c r="Z20" i="50"/>
  <c r="X22" i="50"/>
  <c r="X24" i="50"/>
  <c r="Z21" i="52"/>
  <c r="X25" i="52"/>
  <c r="X29" i="52"/>
  <c r="X33" i="52"/>
  <c r="X34" i="52"/>
  <c r="Z13" i="53"/>
  <c r="Z16" i="53"/>
  <c r="Z20" i="53"/>
  <c r="X22" i="53"/>
  <c r="X24" i="53"/>
  <c r="Z21" i="50"/>
  <c r="X25" i="50"/>
  <c r="X29" i="50"/>
  <c r="X33" i="50"/>
  <c r="X34" i="50"/>
  <c r="X12" i="52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Z22" i="52"/>
  <c r="Z24" i="52"/>
  <c r="Z21" i="53"/>
  <c r="X25" i="53"/>
  <c r="X29" i="53"/>
  <c r="X33" i="53"/>
  <c r="X34" i="53"/>
  <c r="Z29" i="49"/>
  <c r="Z33" i="49"/>
  <c r="Z34" i="49"/>
  <c r="X12" i="50"/>
  <c r="R36" i="50"/>
  <c r="R34" i="50"/>
  <c r="R33" i="50"/>
  <c r="R31" i="50"/>
  <c r="R29" i="50"/>
  <c r="R27" i="50"/>
  <c r="R25" i="50"/>
  <c r="R24" i="50"/>
  <c r="R22" i="50"/>
  <c r="R21" i="50"/>
  <c r="P18" i="50"/>
  <c r="R15" i="50"/>
  <c r="R16" i="50"/>
  <c r="R20" i="50"/>
  <c r="R18" i="50"/>
  <c r="Z22" i="50"/>
  <c r="Z24" i="50"/>
  <c r="Z12" i="52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L15" i="52"/>
  <c r="Z25" i="52"/>
  <c r="Z29" i="52"/>
  <c r="Z33" i="52"/>
  <c r="Z34" i="52"/>
  <c r="X12" i="53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P18" i="53"/>
  <c r="R15" i="53"/>
  <c r="Z22" i="53"/>
  <c r="Z24" i="53"/>
  <c r="L16" i="52"/>
  <c r="L20" i="52"/>
  <c r="V36" i="53"/>
  <c r="V34" i="53"/>
  <c r="V33" i="53"/>
  <c r="V31" i="53"/>
  <c r="V29" i="53"/>
  <c r="V27" i="53"/>
  <c r="V25" i="53"/>
  <c r="V24" i="53"/>
  <c r="V22" i="53"/>
  <c r="V21" i="53"/>
  <c r="V20" i="53"/>
  <c r="V18" i="53"/>
  <c r="V16" i="53"/>
  <c r="T18" i="53"/>
  <c r="V15" i="53"/>
  <c r="Z12" i="53"/>
  <c r="L15" i="53"/>
  <c r="Z25" i="53"/>
  <c r="Z29" i="53"/>
  <c r="Z33" i="53"/>
  <c r="Z34" i="53"/>
  <c r="N15" i="49"/>
  <c r="L21" i="49"/>
  <c r="L16" i="50"/>
  <c r="L20" i="50"/>
  <c r="N15" i="52"/>
  <c r="L21" i="52"/>
  <c r="L16" i="53"/>
  <c r="L20" i="53"/>
  <c r="Z24" i="111"/>
  <c r="Z24" i="110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Z20" i="112"/>
  <c r="R21" i="110"/>
  <c r="R20" i="110"/>
  <c r="R18" i="110"/>
  <c r="R16" i="110"/>
  <c r="P18" i="110"/>
  <c r="R15" i="110"/>
  <c r="R24" i="110"/>
  <c r="R22" i="110"/>
  <c r="R29" i="110"/>
  <c r="R27" i="110"/>
  <c r="R36" i="110"/>
  <c r="R25" i="110"/>
  <c r="R33" i="110"/>
  <c r="R31" i="110"/>
  <c r="R34" i="110"/>
  <c r="X12" i="110"/>
  <c r="X24" i="111"/>
  <c r="Z22" i="110"/>
  <c r="Z16" i="111"/>
  <c r="X20" i="112"/>
  <c r="L16" i="110"/>
  <c r="Z20" i="111"/>
  <c r="Z13" i="112"/>
  <c r="X22" i="112"/>
  <c r="L20" i="110"/>
  <c r="P18" i="111"/>
  <c r="R15" i="111"/>
  <c r="X12" i="111"/>
  <c r="R24" i="111"/>
  <c r="R22" i="111"/>
  <c r="R20" i="111"/>
  <c r="R18" i="111"/>
  <c r="R16" i="111"/>
  <c r="R33" i="111"/>
  <c r="R31" i="111"/>
  <c r="R21" i="111"/>
  <c r="R29" i="111"/>
  <c r="R27" i="111"/>
  <c r="R36" i="111"/>
  <c r="R25" i="111"/>
  <c r="R34" i="111"/>
  <c r="X24" i="112"/>
  <c r="Z13" i="111"/>
  <c r="X22" i="111"/>
  <c r="X16" i="112"/>
  <c r="Z22" i="111"/>
  <c r="Z16" i="112"/>
  <c r="Z21" i="110"/>
  <c r="X25" i="110"/>
  <c r="X29" i="110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T18" i="110"/>
  <c r="V15" i="110"/>
  <c r="Z12" i="110"/>
  <c r="V24" i="110"/>
  <c r="V22" i="110"/>
  <c r="V20" i="110"/>
  <c r="V18" i="110"/>
  <c r="V16" i="110"/>
  <c r="V29" i="110"/>
  <c r="V27" i="110"/>
  <c r="V36" i="110"/>
  <c r="V25" i="110"/>
  <c r="V34" i="110"/>
  <c r="V21" i="110"/>
  <c r="V33" i="110"/>
  <c r="V31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24" i="112"/>
  <c r="J22" i="112"/>
  <c r="J36" i="112"/>
  <c r="J25" i="112"/>
  <c r="J34" i="112"/>
  <c r="J33" i="112"/>
  <c r="J29" i="112"/>
  <c r="J27" i="112"/>
  <c r="J31" i="112"/>
  <c r="X13" i="112"/>
  <c r="Z15" i="112"/>
  <c r="X21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0" i="111"/>
  <c r="V18" i="111"/>
  <c r="V16" i="111"/>
  <c r="V21" i="111"/>
  <c r="V15" i="111"/>
  <c r="T18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0" i="112"/>
  <c r="R18" i="112"/>
  <c r="R16" i="112"/>
  <c r="R15" i="112"/>
  <c r="R21" i="112"/>
  <c r="P18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V15" i="112"/>
  <c r="T18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Z33" i="3"/>
  <c r="Z42" i="3"/>
  <c r="Z14" i="3"/>
  <c r="Z29" i="3"/>
  <c r="Z53" i="3"/>
  <c r="N69" i="3"/>
  <c r="Z77" i="3"/>
  <c r="Z85" i="3"/>
  <c r="N98" i="3"/>
  <c r="Z112" i="3"/>
  <c r="Z25" i="3"/>
  <c r="Z49" i="3"/>
  <c r="Z61" i="3"/>
  <c r="Z69" i="3"/>
  <c r="Z120" i="3"/>
  <c r="Z134" i="3"/>
  <c r="J312" i="12"/>
  <c r="J280" i="12"/>
  <c r="J264" i="12"/>
  <c r="J256" i="12"/>
  <c r="J252" i="12"/>
  <c r="J248" i="12"/>
  <c r="J244" i="12"/>
  <c r="J240" i="12"/>
  <c r="J236" i="12"/>
  <c r="J232" i="12"/>
  <c r="J228" i="12"/>
  <c r="J222" i="12"/>
  <c r="J212" i="12"/>
  <c r="J204" i="12"/>
  <c r="J311" i="12"/>
  <c r="J281" i="12"/>
  <c r="J275" i="12"/>
  <c r="J223" i="12"/>
  <c r="J213" i="12"/>
  <c r="J195" i="12"/>
  <c r="J191" i="12"/>
  <c r="J316" i="12"/>
  <c r="J310" i="12"/>
  <c r="J298" i="12"/>
  <c r="J290" i="12"/>
  <c r="J286" i="12"/>
  <c r="J282" i="12"/>
  <c r="J270" i="12"/>
  <c r="J224" i="12"/>
  <c r="J214" i="12"/>
  <c r="J309" i="12"/>
  <c r="J291" i="12"/>
  <c r="J265" i="12"/>
  <c r="J257" i="12"/>
  <c r="J253" i="12"/>
  <c r="J249" i="12"/>
  <c r="J245" i="12"/>
  <c r="J241" i="12"/>
  <c r="J237" i="12"/>
  <c r="J233" i="12"/>
  <c r="J229" i="12"/>
  <c r="J225" i="12"/>
  <c r="J215" i="12"/>
  <c r="J205" i="12"/>
  <c r="J197" i="12"/>
  <c r="J173" i="12"/>
  <c r="J169" i="12"/>
  <c r="J165" i="12"/>
  <c r="J161" i="12"/>
  <c r="J157" i="12"/>
  <c r="J153" i="12"/>
  <c r="J149" i="12"/>
  <c r="J145" i="12"/>
  <c r="J141" i="12"/>
  <c r="J137" i="12"/>
  <c r="J133" i="12"/>
  <c r="J129" i="12"/>
  <c r="J125" i="12"/>
  <c r="J121" i="12"/>
  <c r="J308" i="12"/>
  <c r="J292" i="12"/>
  <c r="J276" i="12"/>
  <c r="J216" i="12"/>
  <c r="J206" i="12"/>
  <c r="J198" i="12"/>
  <c r="J192" i="12"/>
  <c r="J178" i="12"/>
  <c r="J307" i="12"/>
  <c r="J299" i="12"/>
  <c r="J287" i="12"/>
  <c r="J283" i="12"/>
  <c r="J271" i="12"/>
  <c r="J207" i="12"/>
  <c r="J306" i="12"/>
  <c r="J305" i="12"/>
  <c r="J301" i="12"/>
  <c r="J293" i="12"/>
  <c r="J277" i="12"/>
  <c r="J273" i="12"/>
  <c r="J259" i="12"/>
  <c r="J217" i="12"/>
  <c r="J193" i="12"/>
  <c r="J189" i="12"/>
  <c r="J304" i="12"/>
  <c r="J294" i="12"/>
  <c r="J288" i="12"/>
  <c r="J284" i="12"/>
  <c r="J278" i="12"/>
  <c r="J260" i="12"/>
  <c r="J218" i="12"/>
  <c r="J208" i="12"/>
  <c r="J200" i="12"/>
  <c r="J184" i="12"/>
  <c r="J180" i="12"/>
  <c r="J303" i="12"/>
  <c r="J295" i="12"/>
  <c r="J279" i="12"/>
  <c r="J267" i="12"/>
  <c r="J261" i="12"/>
  <c r="J255" i="12"/>
  <c r="J251" i="12"/>
  <c r="J247" i="12"/>
  <c r="J243" i="12"/>
  <c r="J239" i="12"/>
  <c r="J235" i="12"/>
  <c r="J231" i="12"/>
  <c r="J227" i="12"/>
  <c r="J219" i="12"/>
  <c r="J209" i="12"/>
  <c r="J201" i="12"/>
  <c r="J171" i="12"/>
  <c r="J167" i="12"/>
  <c r="J163" i="12"/>
  <c r="J159" i="12"/>
  <c r="J155" i="12"/>
  <c r="J151" i="12"/>
  <c r="J147" i="12"/>
  <c r="J143" i="12"/>
  <c r="J139" i="12"/>
  <c r="J135" i="12"/>
  <c r="J131" i="12"/>
  <c r="J127" i="12"/>
  <c r="J123" i="12"/>
  <c r="J297" i="12"/>
  <c r="J289" i="12"/>
  <c r="J285" i="12"/>
  <c r="J269" i="12"/>
  <c r="J263" i="12"/>
  <c r="J221" i="12"/>
  <c r="J272" i="12"/>
  <c r="J202" i="12"/>
  <c r="J150" i="12"/>
  <c r="J148" i="12"/>
  <c r="J146" i="12"/>
  <c r="J144" i="12"/>
  <c r="J142" i="12"/>
  <c r="J140" i="12"/>
  <c r="J196" i="12"/>
  <c r="J185" i="12"/>
  <c r="J138" i="12"/>
  <c r="J136" i="12"/>
  <c r="J134" i="12"/>
  <c r="J132" i="12"/>
  <c r="J130" i="12"/>
  <c r="J274" i="12"/>
  <c r="J220" i="12"/>
  <c r="J210" i="12"/>
  <c r="J190" i="12"/>
  <c r="J183" i="12"/>
  <c r="J175" i="12"/>
  <c r="J128" i="12"/>
  <c r="J126" i="12"/>
  <c r="J124" i="12"/>
  <c r="J122" i="12"/>
  <c r="J194" i="12"/>
  <c r="J188" i="12"/>
  <c r="H175" i="12"/>
  <c r="J172" i="12"/>
  <c r="J120" i="12"/>
  <c r="J203" i="12"/>
  <c r="J181" i="12"/>
  <c r="J179" i="12"/>
  <c r="J258" i="12"/>
  <c r="J250" i="12"/>
  <c r="J242" i="12"/>
  <c r="J234" i="12"/>
  <c r="J226" i="12"/>
  <c r="J170" i="12"/>
  <c r="J168" i="12"/>
  <c r="J166" i="12"/>
  <c r="J164" i="12"/>
  <c r="J211" i="12"/>
  <c r="J296" i="12"/>
  <c r="J262" i="12"/>
  <c r="J199" i="12"/>
  <c r="J177" i="12"/>
  <c r="J162" i="12"/>
  <c r="J186" i="12"/>
  <c r="J160" i="12"/>
  <c r="J158" i="12"/>
  <c r="J156" i="12"/>
  <c r="J254" i="12"/>
  <c r="J246" i="12"/>
  <c r="J238" i="12"/>
  <c r="J230" i="12"/>
  <c r="J187" i="12"/>
  <c r="J182" i="12"/>
  <c r="J152" i="12"/>
  <c r="J154" i="12"/>
  <c r="J300" i="12"/>
  <c r="J266" i="12"/>
  <c r="J268" i="12"/>
  <c r="Z21" i="3"/>
  <c r="N86" i="3"/>
  <c r="N113" i="3"/>
  <c r="F354" i="3"/>
  <c r="F309" i="3"/>
  <c r="F301" i="3"/>
  <c r="F300" i="3"/>
  <c r="F245" i="3"/>
  <c r="F221" i="3"/>
  <c r="F217" i="3"/>
  <c r="F353" i="3"/>
  <c r="F336" i="3"/>
  <c r="F335" i="3"/>
  <c r="F320" i="3"/>
  <c r="F316" i="3"/>
  <c r="F315" i="3"/>
  <c r="F296" i="3"/>
  <c r="F292" i="3"/>
  <c r="F288" i="3"/>
  <c r="F284" i="3"/>
  <c r="F280" i="3"/>
  <c r="F276" i="3"/>
  <c r="F272" i="3"/>
  <c r="F268" i="3"/>
  <c r="F264" i="3"/>
  <c r="F256" i="3"/>
  <c r="F255" i="3"/>
  <c r="F240" i="3"/>
  <c r="F239" i="3"/>
  <c r="F208" i="3"/>
  <c r="F204" i="3"/>
  <c r="F200" i="3"/>
  <c r="F196" i="3"/>
  <c r="F192" i="3"/>
  <c r="F188" i="3"/>
  <c r="F184" i="3"/>
  <c r="F180" i="3"/>
  <c r="F176" i="3"/>
  <c r="F172" i="3"/>
  <c r="F168" i="3"/>
  <c r="F164" i="3"/>
  <c r="F352" i="3"/>
  <c r="F343" i="3"/>
  <c r="F331" i="3"/>
  <c r="F327" i="3"/>
  <c r="F303" i="3"/>
  <c r="F302" i="3"/>
  <c r="F247" i="3"/>
  <c r="F246" i="3"/>
  <c r="F231" i="3"/>
  <c r="F227" i="3"/>
  <c r="F351" i="3"/>
  <c r="F322" i="3"/>
  <c r="F321" i="3"/>
  <c r="F310" i="3"/>
  <c r="F222" i="3"/>
  <c r="F218" i="3"/>
  <c r="F350" i="3"/>
  <c r="F345" i="3"/>
  <c r="F344" i="3"/>
  <c r="F337" i="3"/>
  <c r="F317" i="3"/>
  <c r="F305" i="3"/>
  <c r="F304" i="3"/>
  <c r="F297" i="3"/>
  <c r="F293" i="3"/>
  <c r="F289" i="3"/>
  <c r="F285" i="3"/>
  <c r="F281" i="3"/>
  <c r="F277" i="3"/>
  <c r="F273" i="3"/>
  <c r="F269" i="3"/>
  <c r="F265" i="3"/>
  <c r="F257" i="3"/>
  <c r="F249" i="3"/>
  <c r="F248" i="3"/>
  <c r="F241" i="3"/>
  <c r="F233" i="3"/>
  <c r="F232" i="3"/>
  <c r="F209" i="3"/>
  <c r="F205" i="3"/>
  <c r="F201" i="3"/>
  <c r="F197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8" i="3"/>
  <c r="F349" i="3"/>
  <c r="F332" i="3"/>
  <c r="F328" i="3"/>
  <c r="F312" i="3"/>
  <c r="F311" i="3"/>
  <c r="F228" i="3"/>
  <c r="F364" i="3"/>
  <c r="F359" i="3"/>
  <c r="F347" i="3"/>
  <c r="F318" i="3"/>
  <c r="F298" i="3"/>
  <c r="F294" i="3"/>
  <c r="F290" i="3"/>
  <c r="F286" i="3"/>
  <c r="F282" i="3"/>
  <c r="F278" i="3"/>
  <c r="F274" i="3"/>
  <c r="F270" i="3"/>
  <c r="F266" i="3"/>
  <c r="F242" i="3"/>
  <c r="F213" i="3"/>
  <c r="F206" i="3"/>
  <c r="F202" i="3"/>
  <c r="F198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358" i="3"/>
  <c r="F341" i="3"/>
  <c r="F340" i="3"/>
  <c r="F333" i="3"/>
  <c r="F329" i="3"/>
  <c r="F325" i="3"/>
  <c r="F324" i="3"/>
  <c r="F313" i="3"/>
  <c r="F261" i="3"/>
  <c r="F260" i="3"/>
  <c r="F253" i="3"/>
  <c r="F252" i="3"/>
  <c r="F229" i="3"/>
  <c r="F225" i="3"/>
  <c r="F224" i="3"/>
  <c r="D211" i="3"/>
  <c r="F211" i="3" s="1"/>
  <c r="F357" i="3"/>
  <c r="F308" i="3"/>
  <c r="F244" i="3"/>
  <c r="F243" i="3"/>
  <c r="F236" i="3"/>
  <c r="F220" i="3"/>
  <c r="F216" i="3"/>
  <c r="F355" i="3"/>
  <c r="F342" i="3"/>
  <c r="F334" i="3"/>
  <c r="F330" i="3"/>
  <c r="F326" i="3"/>
  <c r="F314" i="3"/>
  <c r="F254" i="3"/>
  <c r="F369" i="3"/>
  <c r="F215" i="3"/>
  <c r="F275" i="3"/>
  <c r="F223" i="3"/>
  <c r="F356" i="3"/>
  <c r="F339" i="3"/>
  <c r="F306" i="3"/>
  <c r="F237" i="3"/>
  <c r="F235" i="3"/>
  <c r="F323" i="3"/>
  <c r="F291" i="3"/>
  <c r="F279" i="3"/>
  <c r="F267" i="3"/>
  <c r="F250" i="3"/>
  <c r="F199" i="3"/>
  <c r="F155" i="3"/>
  <c r="F156" i="3"/>
  <c r="F160" i="3"/>
  <c r="F299" i="3"/>
  <c r="F262" i="3"/>
  <c r="F226" i="3"/>
  <c r="F183" i="3"/>
  <c r="F348" i="3"/>
  <c r="F258" i="3"/>
  <c r="F219" i="3"/>
  <c r="F203" i="3"/>
  <c r="F187" i="3"/>
  <c r="F151" i="3"/>
  <c r="F179" i="3"/>
  <c r="F175" i="3"/>
  <c r="F171" i="3"/>
  <c r="F287" i="3"/>
  <c r="F307" i="3"/>
  <c r="F295" i="3"/>
  <c r="F283" i="3"/>
  <c r="F271" i="3"/>
  <c r="F214" i="3"/>
  <c r="F368" i="3"/>
  <c r="F338" i="3"/>
  <c r="F234" i="3"/>
  <c r="F167" i="3"/>
  <c r="F360" i="3"/>
  <c r="F251" i="3"/>
  <c r="F238" i="3"/>
  <c r="F230" i="3"/>
  <c r="F207" i="3"/>
  <c r="F191" i="3"/>
  <c r="F163" i="3"/>
  <c r="F263" i="3"/>
  <c r="F195" i="3"/>
  <c r="F152" i="3"/>
  <c r="F319" i="3"/>
  <c r="F259" i="3"/>
  <c r="F159" i="3"/>
  <c r="L12" i="3"/>
  <c r="N12" i="3" s="1"/>
  <c r="N111" i="3"/>
  <c r="J352" i="3"/>
  <c r="J336" i="3"/>
  <c r="J320" i="3"/>
  <c r="J316" i="3"/>
  <c r="J302" i="3"/>
  <c r="J296" i="3"/>
  <c r="J292" i="3"/>
  <c r="J288" i="3"/>
  <c r="J284" i="3"/>
  <c r="J280" i="3"/>
  <c r="J276" i="3"/>
  <c r="J272" i="3"/>
  <c r="J268" i="3"/>
  <c r="J264" i="3"/>
  <c r="J256" i="3"/>
  <c r="J246" i="3"/>
  <c r="J240" i="3"/>
  <c r="J208" i="3"/>
  <c r="J204" i="3"/>
  <c r="J200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351" i="3"/>
  <c r="J343" i="3"/>
  <c r="J331" i="3"/>
  <c r="J327" i="3"/>
  <c r="J321" i="3"/>
  <c r="J303" i="3"/>
  <c r="J247" i="3"/>
  <c r="J231" i="3"/>
  <c r="J227" i="3"/>
  <c r="J350" i="3"/>
  <c r="J344" i="3"/>
  <c r="J322" i="3"/>
  <c r="J310" i="3"/>
  <c r="J304" i="3"/>
  <c r="J248" i="3"/>
  <c r="J232" i="3"/>
  <c r="J222" i="3"/>
  <c r="J218" i="3"/>
  <c r="J349" i="3"/>
  <c r="J345" i="3"/>
  <c r="J337" i="3"/>
  <c r="J317" i="3"/>
  <c r="J311" i="3"/>
  <c r="J305" i="3"/>
  <c r="J297" i="3"/>
  <c r="J293" i="3"/>
  <c r="J289" i="3"/>
  <c r="J285" i="3"/>
  <c r="J281" i="3"/>
  <c r="J277" i="3"/>
  <c r="J273" i="3"/>
  <c r="J269" i="3"/>
  <c r="J265" i="3"/>
  <c r="J257" i="3"/>
  <c r="J249" i="3"/>
  <c r="J241" i="3"/>
  <c r="J233" i="3"/>
  <c r="J209" i="3"/>
  <c r="J205" i="3"/>
  <c r="J201" i="3"/>
  <c r="J197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J360" i="3"/>
  <c r="J348" i="3"/>
  <c r="J338" i="3"/>
  <c r="J332" i="3"/>
  <c r="J328" i="3"/>
  <c r="J312" i="3"/>
  <c r="J306" i="3"/>
  <c r="J258" i="3"/>
  <c r="J250" i="3"/>
  <c r="J234" i="3"/>
  <c r="J228" i="3"/>
  <c r="J214" i="3"/>
  <c r="J359" i="3"/>
  <c r="J347" i="3"/>
  <c r="J339" i="3"/>
  <c r="J323" i="3"/>
  <c r="J307" i="3"/>
  <c r="J259" i="3"/>
  <c r="J251" i="3"/>
  <c r="J235" i="3"/>
  <c r="J223" i="3"/>
  <c r="J219" i="3"/>
  <c r="J215" i="3"/>
  <c r="J213" i="3"/>
  <c r="J357" i="3"/>
  <c r="J341" i="3"/>
  <c r="J333" i="3"/>
  <c r="J329" i="3"/>
  <c r="J325" i="3"/>
  <c r="J313" i="3"/>
  <c r="J261" i="3"/>
  <c r="J253" i="3"/>
  <c r="J243" i="3"/>
  <c r="J229" i="3"/>
  <c r="J225" i="3"/>
  <c r="J369" i="3"/>
  <c r="J368" i="3"/>
  <c r="J356" i="3"/>
  <c r="J308" i="3"/>
  <c r="J262" i="3"/>
  <c r="J244" i="3"/>
  <c r="J236" i="3"/>
  <c r="J220" i="3"/>
  <c r="J216" i="3"/>
  <c r="J355" i="3"/>
  <c r="J319" i="3"/>
  <c r="J299" i="3"/>
  <c r="J295" i="3"/>
  <c r="J291" i="3"/>
  <c r="J287" i="3"/>
  <c r="J283" i="3"/>
  <c r="J279" i="3"/>
  <c r="J275" i="3"/>
  <c r="J271" i="3"/>
  <c r="J267" i="3"/>
  <c r="J263" i="3"/>
  <c r="J237" i="3"/>
  <c r="J207" i="3"/>
  <c r="J203" i="3"/>
  <c r="J199" i="3"/>
  <c r="J195" i="3"/>
  <c r="J191" i="3"/>
  <c r="J353" i="3"/>
  <c r="J335" i="3"/>
  <c r="J315" i="3"/>
  <c r="J309" i="3"/>
  <c r="J301" i="3"/>
  <c r="J255" i="3"/>
  <c r="J245" i="3"/>
  <c r="J354" i="3"/>
  <c r="J330" i="3"/>
  <c r="J252" i="3"/>
  <c r="J239" i="3"/>
  <c r="J166" i="3"/>
  <c r="J148" i="3"/>
  <c r="J294" i="3"/>
  <c r="J364" i="3"/>
  <c r="J300" i="3"/>
  <c r="J206" i="3"/>
  <c r="J190" i="3"/>
  <c r="J162" i="3"/>
  <c r="J155" i="3"/>
  <c r="J298" i="3"/>
  <c r="J286" i="3"/>
  <c r="J274" i="3"/>
  <c r="J254" i="3"/>
  <c r="J224" i="3"/>
  <c r="J217" i="3"/>
  <c r="J194" i="3"/>
  <c r="J186" i="3"/>
  <c r="J318" i="3"/>
  <c r="J260" i="3"/>
  <c r="J226" i="3"/>
  <c r="J187" i="3"/>
  <c r="J158" i="3"/>
  <c r="J151" i="3"/>
  <c r="J340" i="3"/>
  <c r="J334" i="3"/>
  <c r="H211" i="3"/>
  <c r="J211" i="3" s="1"/>
  <c r="J183" i="3"/>
  <c r="J179" i="3"/>
  <c r="J175" i="3"/>
  <c r="J171" i="3"/>
  <c r="J167" i="3"/>
  <c r="J202" i="3"/>
  <c r="J342" i="3"/>
  <c r="J324" i="3"/>
  <c r="J290" i="3"/>
  <c r="J278" i="3"/>
  <c r="J266" i="3"/>
  <c r="J198" i="3"/>
  <c r="J238" i="3"/>
  <c r="J230" i="3"/>
  <c r="J221" i="3"/>
  <c r="J163" i="3"/>
  <c r="J154" i="3"/>
  <c r="J326" i="3"/>
  <c r="J270" i="3"/>
  <c r="J358" i="3"/>
  <c r="J242" i="3"/>
  <c r="J314" i="3"/>
  <c r="J182" i="3"/>
  <c r="J178" i="3"/>
  <c r="J174" i="3"/>
  <c r="J170" i="3"/>
  <c r="J282" i="3"/>
  <c r="J159" i="3"/>
  <c r="J150" i="3"/>
  <c r="Z17" i="3"/>
  <c r="Z30" i="3"/>
  <c r="N62" i="3"/>
  <c r="N70" i="3"/>
  <c r="N121" i="3"/>
  <c r="Z105" i="3"/>
  <c r="Z121" i="3"/>
  <c r="N129" i="3"/>
  <c r="N133" i="3"/>
  <c r="V358" i="3"/>
  <c r="V340" i="3"/>
  <c r="V332" i="3"/>
  <c r="V328" i="3"/>
  <c r="V324" i="3"/>
  <c r="V312" i="3"/>
  <c r="V260" i="3"/>
  <c r="V252" i="3"/>
  <c r="V228" i="3"/>
  <c r="V224" i="3"/>
  <c r="T211" i="3"/>
  <c r="V357" i="3"/>
  <c r="V339" i="3"/>
  <c r="V323" i="3"/>
  <c r="V307" i="3"/>
  <c r="V259" i="3"/>
  <c r="V251" i="3"/>
  <c r="V243" i="3"/>
  <c r="V235" i="3"/>
  <c r="V223" i="3"/>
  <c r="V219" i="3"/>
  <c r="V215" i="3"/>
  <c r="V369" i="3"/>
  <c r="V368" i="3"/>
  <c r="V364" i="3"/>
  <c r="V356" i="3"/>
  <c r="V318" i="3"/>
  <c r="V298" i="3"/>
  <c r="V294" i="3"/>
  <c r="V290" i="3"/>
  <c r="V286" i="3"/>
  <c r="V282" i="3"/>
  <c r="V278" i="3"/>
  <c r="V274" i="3"/>
  <c r="V270" i="3"/>
  <c r="V266" i="3"/>
  <c r="V262" i="3"/>
  <c r="V242" i="3"/>
  <c r="V206" i="3"/>
  <c r="V202" i="3"/>
  <c r="V198" i="3"/>
  <c r="V194" i="3"/>
  <c r="V355" i="3"/>
  <c r="V341" i="3"/>
  <c r="V333" i="3"/>
  <c r="V329" i="3"/>
  <c r="V325" i="3"/>
  <c r="V313" i="3"/>
  <c r="V261" i="3"/>
  <c r="V253" i="3"/>
  <c r="V237" i="3"/>
  <c r="V229" i="3"/>
  <c r="V225" i="3"/>
  <c r="V354" i="3"/>
  <c r="V308" i="3"/>
  <c r="V300" i="3"/>
  <c r="V244" i="3"/>
  <c r="V236" i="3"/>
  <c r="V220" i="3"/>
  <c r="V216" i="3"/>
  <c r="V353" i="3"/>
  <c r="V335" i="3"/>
  <c r="V319" i="3"/>
  <c r="V315" i="3"/>
  <c r="V299" i="3"/>
  <c r="V295" i="3"/>
  <c r="V291" i="3"/>
  <c r="V287" i="3"/>
  <c r="V283" i="3"/>
  <c r="V279" i="3"/>
  <c r="V275" i="3"/>
  <c r="V271" i="3"/>
  <c r="V267" i="3"/>
  <c r="V263" i="3"/>
  <c r="V255" i="3"/>
  <c r="V239" i="3"/>
  <c r="V207" i="3"/>
  <c r="V203" i="3"/>
  <c r="V199" i="3"/>
  <c r="V195" i="3"/>
  <c r="V191" i="3"/>
  <c r="V187" i="3"/>
  <c r="V351" i="3"/>
  <c r="V321" i="3"/>
  <c r="V309" i="3"/>
  <c r="V301" i="3"/>
  <c r="V245" i="3"/>
  <c r="V221" i="3"/>
  <c r="V217" i="3"/>
  <c r="V350" i="3"/>
  <c r="V344" i="3"/>
  <c r="V336" i="3"/>
  <c r="V320" i="3"/>
  <c r="V316" i="3"/>
  <c r="V304" i="3"/>
  <c r="V296" i="3"/>
  <c r="V292" i="3"/>
  <c r="V288" i="3"/>
  <c r="V284" i="3"/>
  <c r="V280" i="3"/>
  <c r="V276" i="3"/>
  <c r="V272" i="3"/>
  <c r="V268" i="3"/>
  <c r="V264" i="3"/>
  <c r="V256" i="3"/>
  <c r="V248" i="3"/>
  <c r="V240" i="3"/>
  <c r="V232" i="3"/>
  <c r="V208" i="3"/>
  <c r="V204" i="3"/>
  <c r="V200" i="3"/>
  <c r="V196" i="3"/>
  <c r="V192" i="3"/>
  <c r="V188" i="3"/>
  <c r="V184" i="3"/>
  <c r="V180" i="3"/>
  <c r="V176" i="3"/>
  <c r="V172" i="3"/>
  <c r="V168" i="3"/>
  <c r="V349" i="3"/>
  <c r="V343" i="3"/>
  <c r="V331" i="3"/>
  <c r="V327" i="3"/>
  <c r="V311" i="3"/>
  <c r="V303" i="3"/>
  <c r="V247" i="3"/>
  <c r="V231" i="3"/>
  <c r="V227" i="3"/>
  <c r="V359" i="3"/>
  <c r="V347" i="3"/>
  <c r="V345" i="3"/>
  <c r="V337" i="3"/>
  <c r="V317" i="3"/>
  <c r="V305" i="3"/>
  <c r="V297" i="3"/>
  <c r="V293" i="3"/>
  <c r="V289" i="3"/>
  <c r="V285" i="3"/>
  <c r="V281" i="3"/>
  <c r="V277" i="3"/>
  <c r="V273" i="3"/>
  <c r="V269" i="3"/>
  <c r="V265" i="3"/>
  <c r="V257" i="3"/>
  <c r="V249" i="3"/>
  <c r="V254" i="3"/>
  <c r="V241" i="3"/>
  <c r="V250" i="3"/>
  <c r="V166" i="3"/>
  <c r="V348" i="3"/>
  <c r="V258" i="3"/>
  <c r="V226" i="3"/>
  <c r="V222" i="3"/>
  <c r="V201" i="3"/>
  <c r="V151" i="3"/>
  <c r="V334" i="3"/>
  <c r="V214" i="3"/>
  <c r="V185" i="3"/>
  <c r="V183" i="3"/>
  <c r="V179" i="3"/>
  <c r="V175" i="3"/>
  <c r="V171" i="3"/>
  <c r="V167" i="3"/>
  <c r="V158" i="3"/>
  <c r="V156" i="3"/>
  <c r="V149" i="3"/>
  <c r="V213" i="3"/>
  <c r="V338" i="3"/>
  <c r="V234" i="3"/>
  <c r="V181" i="3"/>
  <c r="V177" i="3"/>
  <c r="V173" i="3"/>
  <c r="V169" i="3"/>
  <c r="V352" i="3"/>
  <c r="V360" i="3"/>
  <c r="V342" i="3"/>
  <c r="V310" i="3"/>
  <c r="V211" i="3"/>
  <c r="V205" i="3"/>
  <c r="V189" i="3"/>
  <c r="V165" i="3"/>
  <c r="V163" i="3"/>
  <c r="V326" i="3"/>
  <c r="V322" i="3"/>
  <c r="V238" i="3"/>
  <c r="V230" i="3"/>
  <c r="V161" i="3"/>
  <c r="V154" i="3"/>
  <c r="V152" i="3"/>
  <c r="V330" i="3"/>
  <c r="V155" i="3"/>
  <c r="V193" i="3"/>
  <c r="V209" i="3"/>
  <c r="V159" i="3"/>
  <c r="V148" i="3"/>
  <c r="V306" i="3"/>
  <c r="V218" i="3"/>
  <c r="V186" i="3"/>
  <c r="V157" i="3"/>
  <c r="V150" i="3"/>
  <c r="V314" i="3"/>
  <c r="V197" i="3"/>
  <c r="V182" i="3"/>
  <c r="V178" i="3"/>
  <c r="V174" i="3"/>
  <c r="V170" i="3"/>
  <c r="V164" i="3"/>
  <c r="V233" i="3"/>
  <c r="V190" i="3"/>
  <c r="V162" i="3"/>
  <c r="V160" i="3"/>
  <c r="V153" i="3"/>
  <c r="Z12" i="3"/>
  <c r="V302" i="3"/>
  <c r="V246" i="3"/>
  <c r="Z26" i="3"/>
  <c r="Z50" i="3"/>
  <c r="Z22" i="3"/>
  <c r="Z37" i="3"/>
  <c r="Z101" i="3"/>
  <c r="N114" i="3"/>
  <c r="R360" i="3"/>
  <c r="R348" i="3"/>
  <c r="R345" i="3"/>
  <c r="R338" i="3"/>
  <c r="R337" i="3"/>
  <c r="R317" i="3"/>
  <c r="R306" i="3"/>
  <c r="R305" i="3"/>
  <c r="R297" i="3"/>
  <c r="R293" i="3"/>
  <c r="R289" i="3"/>
  <c r="R285" i="3"/>
  <c r="R281" i="3"/>
  <c r="R277" i="3"/>
  <c r="R273" i="3"/>
  <c r="R269" i="3"/>
  <c r="R265" i="3"/>
  <c r="R258" i="3"/>
  <c r="R257" i="3"/>
  <c r="R250" i="3"/>
  <c r="R249" i="3"/>
  <c r="R241" i="3"/>
  <c r="R234" i="3"/>
  <c r="R233" i="3"/>
  <c r="R214" i="3"/>
  <c r="R209" i="3"/>
  <c r="R205" i="3"/>
  <c r="R201" i="3"/>
  <c r="R197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359" i="3"/>
  <c r="R332" i="3"/>
  <c r="R328" i="3"/>
  <c r="R312" i="3"/>
  <c r="R228" i="3"/>
  <c r="R213" i="3"/>
  <c r="R358" i="3"/>
  <c r="R340" i="3"/>
  <c r="R339" i="3"/>
  <c r="R324" i="3"/>
  <c r="R323" i="3"/>
  <c r="R307" i="3"/>
  <c r="R260" i="3"/>
  <c r="R259" i="3"/>
  <c r="R252" i="3"/>
  <c r="R251" i="3"/>
  <c r="R235" i="3"/>
  <c r="R224" i="3"/>
  <c r="R223" i="3"/>
  <c r="R219" i="3"/>
  <c r="R215" i="3"/>
  <c r="P211" i="3"/>
  <c r="R211" i="3" s="1"/>
  <c r="R364" i="3"/>
  <c r="R357" i="3"/>
  <c r="R318" i="3"/>
  <c r="R298" i="3"/>
  <c r="R294" i="3"/>
  <c r="R290" i="3"/>
  <c r="R286" i="3"/>
  <c r="R282" i="3"/>
  <c r="R278" i="3"/>
  <c r="R274" i="3"/>
  <c r="R270" i="3"/>
  <c r="R266" i="3"/>
  <c r="R243" i="3"/>
  <c r="R242" i="3"/>
  <c r="R206" i="3"/>
  <c r="R202" i="3"/>
  <c r="R198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369" i="3"/>
  <c r="R368" i="3"/>
  <c r="R356" i="3"/>
  <c r="R341" i="3"/>
  <c r="R333" i="3"/>
  <c r="R329" i="3"/>
  <c r="R325" i="3"/>
  <c r="R313" i="3"/>
  <c r="R262" i="3"/>
  <c r="R261" i="3"/>
  <c r="R253" i="3"/>
  <c r="R229" i="3"/>
  <c r="R225" i="3"/>
  <c r="R355" i="3"/>
  <c r="R308" i="3"/>
  <c r="R244" i="3"/>
  <c r="R237" i="3"/>
  <c r="R236" i="3"/>
  <c r="R220" i="3"/>
  <c r="R216" i="3"/>
  <c r="R353" i="3"/>
  <c r="R342" i="3"/>
  <c r="R335" i="3"/>
  <c r="R334" i="3"/>
  <c r="R330" i="3"/>
  <c r="R326" i="3"/>
  <c r="R315" i="3"/>
  <c r="R314" i="3"/>
  <c r="R255" i="3"/>
  <c r="R254" i="3"/>
  <c r="R239" i="3"/>
  <c r="R238" i="3"/>
  <c r="R230" i="3"/>
  <c r="R226" i="3"/>
  <c r="R352" i="3"/>
  <c r="R309" i="3"/>
  <c r="R302" i="3"/>
  <c r="R301" i="3"/>
  <c r="R246" i="3"/>
  <c r="R245" i="3"/>
  <c r="R221" i="3"/>
  <c r="R217" i="3"/>
  <c r="R351" i="3"/>
  <c r="R336" i="3"/>
  <c r="R321" i="3"/>
  <c r="R320" i="3"/>
  <c r="R316" i="3"/>
  <c r="R296" i="3"/>
  <c r="R292" i="3"/>
  <c r="R288" i="3"/>
  <c r="R284" i="3"/>
  <c r="R280" i="3"/>
  <c r="R276" i="3"/>
  <c r="R272" i="3"/>
  <c r="R268" i="3"/>
  <c r="R264" i="3"/>
  <c r="R256" i="3"/>
  <c r="R240" i="3"/>
  <c r="R208" i="3"/>
  <c r="R204" i="3"/>
  <c r="R200" i="3"/>
  <c r="R196" i="3"/>
  <c r="R192" i="3"/>
  <c r="R188" i="3"/>
  <c r="R349" i="3"/>
  <c r="R322" i="3"/>
  <c r="R311" i="3"/>
  <c r="R310" i="3"/>
  <c r="R231" i="3"/>
  <c r="R199" i="3"/>
  <c r="R160" i="3"/>
  <c r="R350" i="3"/>
  <c r="R222" i="3"/>
  <c r="R187" i="3"/>
  <c r="R151" i="3"/>
  <c r="X12" i="3"/>
  <c r="R295" i="3"/>
  <c r="R283" i="3"/>
  <c r="R271" i="3"/>
  <c r="R203" i="3"/>
  <c r="R183" i="3"/>
  <c r="R179" i="3"/>
  <c r="R175" i="3"/>
  <c r="R171" i="3"/>
  <c r="R167" i="3"/>
  <c r="R156" i="3"/>
  <c r="R344" i="3"/>
  <c r="R152" i="3"/>
  <c r="R331" i="3"/>
  <c r="R232" i="3"/>
  <c r="R207" i="3"/>
  <c r="R191" i="3"/>
  <c r="R163" i="3"/>
  <c r="R354" i="3"/>
  <c r="R303" i="3"/>
  <c r="R247" i="3"/>
  <c r="R299" i="3"/>
  <c r="R287" i="3"/>
  <c r="R275" i="3"/>
  <c r="R263" i="3"/>
  <c r="R195" i="3"/>
  <c r="R227" i="3"/>
  <c r="R184" i="3"/>
  <c r="R180" i="3"/>
  <c r="R176" i="3"/>
  <c r="R172" i="3"/>
  <c r="R168" i="3"/>
  <c r="R159" i="3"/>
  <c r="R319" i="3"/>
  <c r="R218" i="3"/>
  <c r="R148" i="3"/>
  <c r="R304" i="3"/>
  <c r="R164" i="3"/>
  <c r="R343" i="3"/>
  <c r="R327" i="3"/>
  <c r="R300" i="3"/>
  <c r="R291" i="3"/>
  <c r="R279" i="3"/>
  <c r="R267" i="3"/>
  <c r="R248" i="3"/>
  <c r="R155" i="3"/>
  <c r="Z141" i="3"/>
  <c r="Z93" i="3"/>
  <c r="Z114" i="3"/>
  <c r="Z127" i="3"/>
  <c r="Z18" i="3"/>
  <c r="Z89" i="3"/>
  <c r="N102" i="3"/>
  <c r="L14" i="3"/>
  <c r="N14" i="3" s="1"/>
  <c r="L18" i="3"/>
  <c r="N18" i="3" s="1"/>
  <c r="L26" i="3"/>
  <c r="N26" i="3" s="1"/>
  <c r="N22" i="3"/>
  <c r="N30" i="3"/>
  <c r="N34" i="3"/>
  <c r="N38" i="3"/>
  <c r="Z131" i="3"/>
  <c r="N139" i="3"/>
  <c r="X142" i="3"/>
  <c r="Z246" i="3"/>
  <c r="X311" i="3"/>
  <c r="L349" i="3"/>
  <c r="N349" i="3" s="1"/>
  <c r="D347" i="3"/>
  <c r="L347" i="3" s="1"/>
  <c r="N347" i="3" s="1"/>
  <c r="L25" i="3"/>
  <c r="N25" i="3" s="1"/>
  <c r="L29" i="3"/>
  <c r="N29" i="3" s="1"/>
  <c r="L49" i="3"/>
  <c r="N49" i="3" s="1"/>
  <c r="L53" i="3"/>
  <c r="N53" i="3" s="1"/>
  <c r="L57" i="3"/>
  <c r="N57" i="3" s="1"/>
  <c r="L61" i="3"/>
  <c r="N61" i="3" s="1"/>
  <c r="L65" i="3"/>
  <c r="N65" i="3" s="1"/>
  <c r="L69" i="3"/>
  <c r="L73" i="3"/>
  <c r="L77" i="3"/>
  <c r="N77" i="3" s="1"/>
  <c r="L81" i="3"/>
  <c r="L85" i="3"/>
  <c r="N85" i="3" s="1"/>
  <c r="L89" i="3"/>
  <c r="L93" i="3"/>
  <c r="L97" i="3"/>
  <c r="L101" i="3"/>
  <c r="L105" i="3"/>
  <c r="N112" i="3"/>
  <c r="L119" i="3"/>
  <c r="N119" i="3" s="1"/>
  <c r="N141" i="3"/>
  <c r="N144" i="3"/>
  <c r="Z239" i="3"/>
  <c r="H22" i="6"/>
  <c r="Z45" i="9"/>
  <c r="Z60" i="9"/>
  <c r="Z111" i="12"/>
  <c r="L33" i="3"/>
  <c r="N33" i="3" s="1"/>
  <c r="L37" i="3"/>
  <c r="N37" i="3" s="1"/>
  <c r="L41" i="3"/>
  <c r="N41" i="3" s="1"/>
  <c r="L45" i="3"/>
  <c r="N13" i="3"/>
  <c r="N17" i="3"/>
  <c r="N21" i="3"/>
  <c r="X109" i="3"/>
  <c r="Z109" i="3" s="1"/>
  <c r="N132" i="3"/>
  <c r="Z136" i="3"/>
  <c r="X335" i="3"/>
  <c r="Z335" i="3" s="1"/>
  <c r="X349" i="3"/>
  <c r="Z349" i="3" s="1"/>
  <c r="L13" i="3"/>
  <c r="N108" i="3"/>
  <c r="X129" i="3"/>
  <c r="Z129" i="3" s="1"/>
  <c r="X141" i="3"/>
  <c r="P22" i="6"/>
  <c r="Z29" i="6"/>
  <c r="N31" i="9"/>
  <c r="L31" i="9"/>
  <c r="Z65" i="9"/>
  <c r="X65" i="9"/>
  <c r="X74" i="12"/>
  <c r="Z74" i="12" s="1"/>
  <c r="N98" i="12"/>
  <c r="N355" i="3"/>
  <c r="L355" i="3"/>
  <c r="V306" i="12"/>
  <c r="V300" i="12"/>
  <c r="V292" i="12"/>
  <c r="V276" i="12"/>
  <c r="V272" i="12"/>
  <c r="V216" i="12"/>
  <c r="V192" i="12"/>
  <c r="V188" i="12"/>
  <c r="V305" i="12"/>
  <c r="V299" i="12"/>
  <c r="V287" i="12"/>
  <c r="V283" i="12"/>
  <c r="V271" i="12"/>
  <c r="V259" i="12"/>
  <c r="V207" i="12"/>
  <c r="V199" i="12"/>
  <c r="V187" i="12"/>
  <c r="V183" i="12"/>
  <c r="V179" i="12"/>
  <c r="V304" i="12"/>
  <c r="V294" i="12"/>
  <c r="V278" i="12"/>
  <c r="V266" i="12"/>
  <c r="V258" i="12"/>
  <c r="V254" i="12"/>
  <c r="V250" i="12"/>
  <c r="V246" i="12"/>
  <c r="V242" i="12"/>
  <c r="V238" i="12"/>
  <c r="V234" i="12"/>
  <c r="V230" i="12"/>
  <c r="V226" i="12"/>
  <c r="V218" i="12"/>
  <c r="V301" i="12"/>
  <c r="V293" i="12"/>
  <c r="V277" i="12"/>
  <c r="V273" i="12"/>
  <c r="V261" i="12"/>
  <c r="V217" i="12"/>
  <c r="V209" i="12"/>
  <c r="V201" i="12"/>
  <c r="V193" i="12"/>
  <c r="V189" i="12"/>
  <c r="V296" i="12"/>
  <c r="V288" i="12"/>
  <c r="V284" i="12"/>
  <c r="V268" i="12"/>
  <c r="V260" i="12"/>
  <c r="V220" i="12"/>
  <c r="V208" i="12"/>
  <c r="V200" i="12"/>
  <c r="V184" i="12"/>
  <c r="V180" i="12"/>
  <c r="V295" i="12"/>
  <c r="V279" i="12"/>
  <c r="V267" i="12"/>
  <c r="V263" i="12"/>
  <c r="V255" i="12"/>
  <c r="V251" i="12"/>
  <c r="V247" i="12"/>
  <c r="V243" i="12"/>
  <c r="V239" i="12"/>
  <c r="V235" i="12"/>
  <c r="V231" i="12"/>
  <c r="V227" i="12"/>
  <c r="V219" i="12"/>
  <c r="V211" i="12"/>
  <c r="V203" i="12"/>
  <c r="V312" i="12"/>
  <c r="V311" i="12"/>
  <c r="V297" i="12"/>
  <c r="V289" i="12"/>
  <c r="V285" i="12"/>
  <c r="V281" i="12"/>
  <c r="V269" i="12"/>
  <c r="V221" i="12"/>
  <c r="V213" i="12"/>
  <c r="V185" i="12"/>
  <c r="V181" i="12"/>
  <c r="V310" i="12"/>
  <c r="V280" i="12"/>
  <c r="V264" i="12"/>
  <c r="V256" i="12"/>
  <c r="V252" i="12"/>
  <c r="V248" i="12"/>
  <c r="V244" i="12"/>
  <c r="V240" i="12"/>
  <c r="V236" i="12"/>
  <c r="V232" i="12"/>
  <c r="V228" i="12"/>
  <c r="V224" i="12"/>
  <c r="V212" i="12"/>
  <c r="V204" i="12"/>
  <c r="V196" i="12"/>
  <c r="V309" i="12"/>
  <c r="V291" i="12"/>
  <c r="V275" i="12"/>
  <c r="V223" i="12"/>
  <c r="V215" i="12"/>
  <c r="V195" i="12"/>
  <c r="V191" i="12"/>
  <c r="V307" i="12"/>
  <c r="V265" i="12"/>
  <c r="V257" i="12"/>
  <c r="V253" i="12"/>
  <c r="V249" i="12"/>
  <c r="V245" i="12"/>
  <c r="V241" i="12"/>
  <c r="V237" i="12"/>
  <c r="V233" i="12"/>
  <c r="V229" i="12"/>
  <c r="V225" i="12"/>
  <c r="V222" i="12"/>
  <c r="V194" i="12"/>
  <c r="T175" i="12"/>
  <c r="V175" i="12" s="1"/>
  <c r="V172" i="12"/>
  <c r="V155" i="12"/>
  <c r="V126" i="12"/>
  <c r="V122" i="12"/>
  <c r="V153" i="12"/>
  <c r="V151" i="12"/>
  <c r="V290" i="12"/>
  <c r="V170" i="12"/>
  <c r="V168" i="12"/>
  <c r="V164" i="12"/>
  <c r="V166" i="12"/>
  <c r="V149" i="12"/>
  <c r="V147" i="12"/>
  <c r="V145" i="12"/>
  <c r="V143" i="12"/>
  <c r="V141" i="12"/>
  <c r="V139" i="12"/>
  <c r="V262" i="12"/>
  <c r="V186" i="12"/>
  <c r="V177" i="12"/>
  <c r="V162" i="12"/>
  <c r="V137" i="12"/>
  <c r="V135" i="12"/>
  <c r="V133" i="12"/>
  <c r="V131" i="12"/>
  <c r="V129" i="12"/>
  <c r="V308" i="12"/>
  <c r="V205" i="12"/>
  <c r="V160" i="12"/>
  <c r="V127" i="12"/>
  <c r="V125" i="12"/>
  <c r="V123" i="12"/>
  <c r="V121" i="12"/>
  <c r="V282" i="12"/>
  <c r="V197" i="12"/>
  <c r="V173" i="12"/>
  <c r="V171" i="12"/>
  <c r="V158" i="12"/>
  <c r="V156" i="12"/>
  <c r="V182" i="12"/>
  <c r="V178" i="12"/>
  <c r="V154" i="12"/>
  <c r="V152" i="12"/>
  <c r="V169" i="12"/>
  <c r="V167" i="12"/>
  <c r="V165" i="12"/>
  <c r="V163" i="12"/>
  <c r="V298" i="12"/>
  <c r="V286" i="12"/>
  <c r="V206" i="12"/>
  <c r="V202" i="12"/>
  <c r="V150" i="12"/>
  <c r="V148" i="12"/>
  <c r="V144" i="12"/>
  <c r="V140" i="12"/>
  <c r="V316" i="12"/>
  <c r="V274" i="12"/>
  <c r="V270" i="12"/>
  <c r="V210" i="12"/>
  <c r="V190" i="12"/>
  <c r="V159" i="12"/>
  <c r="V157" i="12"/>
  <c r="V138" i="12"/>
  <c r="V134" i="12"/>
  <c r="V130" i="12"/>
  <c r="V128" i="12"/>
  <c r="V124" i="12"/>
  <c r="N110" i="12"/>
  <c r="L110" i="12"/>
  <c r="V136" i="12"/>
  <c r="V142" i="12"/>
  <c r="N78" i="12"/>
  <c r="L78" i="12"/>
  <c r="Z144" i="3"/>
  <c r="X13" i="3"/>
  <c r="Z13" i="3" s="1"/>
  <c r="L111" i="3"/>
  <c r="N128" i="3"/>
  <c r="Z132" i="3"/>
  <c r="L143" i="3"/>
  <c r="X146" i="3"/>
  <c r="Z146" i="3" s="1"/>
  <c r="Z255" i="3"/>
  <c r="X353" i="3"/>
  <c r="Z353" i="3" s="1"/>
  <c r="Z360" i="3"/>
  <c r="X96" i="12"/>
  <c r="Z96" i="12" s="1"/>
  <c r="V120" i="12"/>
  <c r="Z234" i="3"/>
  <c r="X234" i="3"/>
  <c r="X16" i="6"/>
  <c r="N20" i="6"/>
  <c r="L20" i="6"/>
  <c r="X106" i="12"/>
  <c r="Z106" i="12"/>
  <c r="N124" i="3"/>
  <c r="L140" i="3"/>
  <c r="N140" i="3" s="1"/>
  <c r="Z214" i="3"/>
  <c r="X214" i="3"/>
  <c r="N224" i="3"/>
  <c r="X315" i="3"/>
  <c r="P347" i="3"/>
  <c r="X347" i="3" s="1"/>
  <c r="Z347" i="3" s="1"/>
  <c r="L359" i="3"/>
  <c r="N54" i="9"/>
  <c r="N87" i="9"/>
  <c r="L87" i="9"/>
  <c r="Z47" i="12"/>
  <c r="Z59" i="12"/>
  <c r="Z311" i="3"/>
  <c r="X121" i="3"/>
  <c r="Z128" i="3"/>
  <c r="X137" i="3"/>
  <c r="L213" i="3"/>
  <c r="N213" i="3" s="1"/>
  <c r="Z315" i="3"/>
  <c r="Z28" i="6"/>
  <c r="V146" i="12"/>
  <c r="N120" i="3"/>
  <c r="Z140" i="3"/>
  <c r="N148" i="3"/>
  <c r="N14" i="6"/>
  <c r="L14" i="6"/>
  <c r="Z19" i="9"/>
  <c r="X116" i="12"/>
  <c r="Z116" i="12" s="1"/>
  <c r="V198" i="12"/>
  <c r="X117" i="3"/>
  <c r="Z117" i="3" s="1"/>
  <c r="X145" i="3"/>
  <c r="Z145" i="3" s="1"/>
  <c r="N237" i="3"/>
  <c r="L237" i="3"/>
  <c r="N18" i="6"/>
  <c r="L18" i="6"/>
  <c r="L43" i="9"/>
  <c r="N43" i="9" s="1"/>
  <c r="N85" i="9"/>
  <c r="N56" i="12"/>
  <c r="L56" i="12"/>
  <c r="Z206" i="12"/>
  <c r="P16" i="9"/>
  <c r="F31" i="9"/>
  <c r="F32" i="9"/>
  <c r="F36" i="9"/>
  <c r="V39" i="9"/>
  <c r="F43" i="9"/>
  <c r="F44" i="9"/>
  <c r="V47" i="9"/>
  <c r="V59" i="9"/>
  <c r="R64" i="9"/>
  <c r="F68" i="9"/>
  <c r="V71" i="9"/>
  <c r="F80" i="9"/>
  <c r="V83" i="9"/>
  <c r="F87" i="9"/>
  <c r="F88" i="9"/>
  <c r="D12" i="12"/>
  <c r="Z19" i="12"/>
  <c r="N24" i="12"/>
  <c r="Z31" i="12"/>
  <c r="N36" i="12"/>
  <c r="N76" i="12"/>
  <c r="Z79" i="12"/>
  <c r="N86" i="12"/>
  <c r="X101" i="12"/>
  <c r="Z101" i="12" s="1"/>
  <c r="N108" i="12"/>
  <c r="Z198" i="12"/>
  <c r="X206" i="12"/>
  <c r="D303" i="12"/>
  <c r="L303" i="12" s="1"/>
  <c r="R297" i="15"/>
  <c r="R291" i="15"/>
  <c r="R290" i="15"/>
  <c r="R278" i="15"/>
  <c r="R274" i="15"/>
  <c r="R262" i="15"/>
  <c r="R215" i="15"/>
  <c r="R214" i="15"/>
  <c r="R296" i="15"/>
  <c r="R257" i="15"/>
  <c r="R249" i="15"/>
  <c r="R245" i="15"/>
  <c r="R241" i="15"/>
  <c r="R237" i="15"/>
  <c r="R233" i="15"/>
  <c r="R229" i="15"/>
  <c r="R225" i="15"/>
  <c r="R221" i="15"/>
  <c r="R206" i="15"/>
  <c r="R205" i="15"/>
  <c r="R295" i="15"/>
  <c r="R292" i="15"/>
  <c r="R285" i="15"/>
  <c r="R284" i="15"/>
  <c r="R268" i="15"/>
  <c r="R217" i="15"/>
  <c r="R216" i="15"/>
  <c r="R294" i="15"/>
  <c r="R279" i="15"/>
  <c r="R275" i="15"/>
  <c r="R263" i="15"/>
  <c r="R287" i="15"/>
  <c r="R286" i="15"/>
  <c r="R258" i="15"/>
  <c r="R250" i="15"/>
  <c r="R246" i="15"/>
  <c r="R242" i="15"/>
  <c r="R238" i="15"/>
  <c r="R234" i="15"/>
  <c r="R230" i="15"/>
  <c r="R226" i="15"/>
  <c r="R222" i="15"/>
  <c r="R218" i="15"/>
  <c r="R270" i="15"/>
  <c r="R269" i="15"/>
  <c r="R210" i="15"/>
  <c r="R209" i="15"/>
  <c r="R302" i="15"/>
  <c r="R271" i="15"/>
  <c r="R259" i="15"/>
  <c r="R252" i="15"/>
  <c r="R251" i="15"/>
  <c r="R247" i="15"/>
  <c r="R243" i="15"/>
  <c r="R239" i="15"/>
  <c r="R235" i="15"/>
  <c r="R231" i="15"/>
  <c r="R227" i="15"/>
  <c r="R223" i="15"/>
  <c r="R219" i="15"/>
  <c r="R211" i="15"/>
  <c r="R301" i="15"/>
  <c r="R266" i="15"/>
  <c r="R307" i="15"/>
  <c r="R300" i="15"/>
  <c r="R289" i="15"/>
  <c r="R282" i="15"/>
  <c r="R281" i="15"/>
  <c r="R277" i="15"/>
  <c r="R254" i="15"/>
  <c r="R253" i="15"/>
  <c r="R298" i="15"/>
  <c r="R283" i="15"/>
  <c r="R267" i="15"/>
  <c r="R256" i="15"/>
  <c r="R255" i="15"/>
  <c r="R280" i="15"/>
  <c r="R224" i="15"/>
  <c r="R207" i="15"/>
  <c r="R202" i="15"/>
  <c r="R166" i="15"/>
  <c r="R162" i="15"/>
  <c r="R158" i="15"/>
  <c r="R154" i="15"/>
  <c r="R150" i="15"/>
  <c r="R146" i="15"/>
  <c r="R142" i="15"/>
  <c r="R138" i="15"/>
  <c r="R134" i="15"/>
  <c r="R130" i="15"/>
  <c r="R126" i="15"/>
  <c r="R122" i="15"/>
  <c r="R118" i="15"/>
  <c r="R261" i="15"/>
  <c r="R232" i="15"/>
  <c r="R198" i="15"/>
  <c r="R197" i="15"/>
  <c r="R189" i="15"/>
  <c r="R185" i="15"/>
  <c r="R288" i="15"/>
  <c r="R265" i="15"/>
  <c r="R180" i="15"/>
  <c r="R176" i="15"/>
  <c r="R240" i="15"/>
  <c r="R213" i="15"/>
  <c r="R208" i="15"/>
  <c r="R199" i="15"/>
  <c r="R167" i="15"/>
  <c r="R163" i="15"/>
  <c r="R159" i="15"/>
  <c r="R155" i="15"/>
  <c r="R151" i="15"/>
  <c r="R147" i="15"/>
  <c r="R143" i="15"/>
  <c r="R139" i="15"/>
  <c r="R135" i="15"/>
  <c r="R131" i="15"/>
  <c r="R127" i="15"/>
  <c r="R123" i="15"/>
  <c r="R119" i="15"/>
  <c r="R299" i="15"/>
  <c r="R272" i="15"/>
  <c r="R191" i="15"/>
  <c r="R190" i="15"/>
  <c r="R186" i="15"/>
  <c r="R248" i="15"/>
  <c r="R181" i="15"/>
  <c r="R177" i="15"/>
  <c r="R228" i="15"/>
  <c r="R220" i="15"/>
  <c r="R203" i="15"/>
  <c r="R193" i="15"/>
  <c r="R192" i="15"/>
  <c r="R173" i="15"/>
  <c r="R168" i="15"/>
  <c r="R164" i="15"/>
  <c r="R160" i="15"/>
  <c r="R156" i="15"/>
  <c r="R152" i="15"/>
  <c r="R148" i="15"/>
  <c r="R144" i="15"/>
  <c r="R140" i="15"/>
  <c r="R136" i="15"/>
  <c r="R132" i="15"/>
  <c r="R128" i="15"/>
  <c r="R124" i="15"/>
  <c r="R120" i="15"/>
  <c r="R276" i="15"/>
  <c r="R260" i="15"/>
  <c r="R200" i="15"/>
  <c r="R187" i="15"/>
  <c r="R172" i="15"/>
  <c r="R170" i="15"/>
  <c r="R236" i="15"/>
  <c r="R201" i="15"/>
  <c r="R194" i="15"/>
  <c r="R183" i="15"/>
  <c r="R182" i="15"/>
  <c r="R178" i="15"/>
  <c r="R174" i="15"/>
  <c r="P170" i="15"/>
  <c r="R204" i="15"/>
  <c r="R165" i="15"/>
  <c r="R161" i="15"/>
  <c r="R157" i="15"/>
  <c r="R153" i="15"/>
  <c r="R149" i="15"/>
  <c r="R145" i="15"/>
  <c r="R141" i="15"/>
  <c r="R137" i="15"/>
  <c r="R133" i="15"/>
  <c r="R129" i="15"/>
  <c r="R125" i="15"/>
  <c r="R121" i="15"/>
  <c r="R196" i="15"/>
  <c r="R195" i="15"/>
  <c r="R179" i="15"/>
  <c r="R175" i="15"/>
  <c r="Z60" i="15"/>
  <c r="Z64" i="15"/>
  <c r="Z72" i="15"/>
  <c r="F156" i="15"/>
  <c r="R188" i="15"/>
  <c r="X250" i="3"/>
  <c r="Z250" i="3" s="1"/>
  <c r="X258" i="3"/>
  <c r="Z258" i="3" s="1"/>
  <c r="L300" i="3"/>
  <c r="X306" i="3"/>
  <c r="Z306" i="3" s="1"/>
  <c r="X348" i="3"/>
  <c r="R100" i="9"/>
  <c r="R97" i="9"/>
  <c r="T16" i="9"/>
  <c r="R19" i="9"/>
  <c r="F22" i="9"/>
  <c r="F26" i="9"/>
  <c r="F30" i="9"/>
  <c r="J31" i="9"/>
  <c r="V33" i="9"/>
  <c r="V37" i="9"/>
  <c r="F41" i="9"/>
  <c r="F42" i="9"/>
  <c r="J43" i="9"/>
  <c r="R46" i="9"/>
  <c r="J53" i="9"/>
  <c r="V57" i="9"/>
  <c r="F62" i="9"/>
  <c r="V65" i="9"/>
  <c r="V69" i="9"/>
  <c r="F73" i="9"/>
  <c r="F74" i="9"/>
  <c r="V77" i="9"/>
  <c r="V81" i="9"/>
  <c r="F85" i="9"/>
  <c r="F86" i="9"/>
  <c r="J87" i="9"/>
  <c r="J95" i="9"/>
  <c r="X49" i="12"/>
  <c r="X61" i="12"/>
  <c r="N68" i="12"/>
  <c r="Z81" i="12"/>
  <c r="N88" i="12"/>
  <c r="Z91" i="12"/>
  <c r="L177" i="12"/>
  <c r="N177" i="12" s="1"/>
  <c r="Z261" i="12"/>
  <c r="Z263" i="12"/>
  <c r="Z46" i="15"/>
  <c r="F148" i="15"/>
  <c r="Z183" i="15"/>
  <c r="F191" i="15"/>
  <c r="F209" i="15"/>
  <c r="Z348" i="3"/>
  <c r="V93" i="9"/>
  <c r="V91" i="9"/>
  <c r="V89" i="9"/>
  <c r="V14" i="9"/>
  <c r="V16" i="9"/>
  <c r="V18" i="9"/>
  <c r="F35" i="9"/>
  <c r="V46" i="9"/>
  <c r="F50" i="9"/>
  <c r="F51" i="9"/>
  <c r="R55" i="9"/>
  <c r="R56" i="9"/>
  <c r="V58" i="9"/>
  <c r="R63" i="9"/>
  <c r="F67" i="9"/>
  <c r="V70" i="9"/>
  <c r="R75" i="9"/>
  <c r="R76" i="9"/>
  <c r="F79" i="9"/>
  <c r="V82" i="9"/>
  <c r="J86" i="9"/>
  <c r="Z39" i="12"/>
  <c r="Z49" i="12"/>
  <c r="Z61" i="12"/>
  <c r="Z178" i="12"/>
  <c r="X291" i="12"/>
  <c r="N296" i="12"/>
  <c r="X12" i="15"/>
  <c r="F128" i="15"/>
  <c r="F200" i="15"/>
  <c r="J214" i="15"/>
  <c r="V24" i="6"/>
  <c r="V26" i="6"/>
  <c r="V28" i="6"/>
  <c r="V29" i="6"/>
  <c r="V31" i="6"/>
  <c r="X12" i="9"/>
  <c r="V19" i="9"/>
  <c r="V23" i="9"/>
  <c r="V27" i="9"/>
  <c r="R32" i="9"/>
  <c r="J35" i="9"/>
  <c r="R36" i="9"/>
  <c r="F39" i="9"/>
  <c r="F40" i="9"/>
  <c r="J41" i="9"/>
  <c r="R44" i="9"/>
  <c r="R45" i="9"/>
  <c r="J51" i="9"/>
  <c r="V55" i="9"/>
  <c r="V63" i="9"/>
  <c r="J67" i="9"/>
  <c r="R68" i="9"/>
  <c r="F72" i="9"/>
  <c r="J73" i="9"/>
  <c r="V75" i="9"/>
  <c r="J79" i="9"/>
  <c r="R80" i="9"/>
  <c r="F84" i="9"/>
  <c r="J85" i="9"/>
  <c r="R88" i="9"/>
  <c r="F93" i="9"/>
  <c r="V97" i="9"/>
  <c r="Z15" i="12"/>
  <c r="N20" i="12"/>
  <c r="Z21" i="12"/>
  <c r="Z27" i="12"/>
  <c r="N32" i="12"/>
  <c r="Z33" i="12"/>
  <c r="X39" i="12"/>
  <c r="X41" i="12"/>
  <c r="Z44" i="12"/>
  <c r="Z66" i="12"/>
  <c r="X71" i="12"/>
  <c r="Z76" i="12"/>
  <c r="N80" i="12"/>
  <c r="Z83" i="12"/>
  <c r="Z93" i="12"/>
  <c r="L100" i="12"/>
  <c r="X103" i="12"/>
  <c r="Z103" i="12" s="1"/>
  <c r="Z108" i="12"/>
  <c r="N209" i="12"/>
  <c r="L209" i="12"/>
  <c r="N211" i="12"/>
  <c r="Z268" i="12"/>
  <c r="Z291" i="12"/>
  <c r="F140" i="15"/>
  <c r="J173" i="15"/>
  <c r="Z41" i="12"/>
  <c r="Z51" i="12"/>
  <c r="L201" i="12"/>
  <c r="N201" i="12" s="1"/>
  <c r="F303" i="15"/>
  <c r="F266" i="15"/>
  <c r="F265" i="15"/>
  <c r="F307" i="15"/>
  <c r="F302" i="15"/>
  <c r="F289" i="15"/>
  <c r="F281" i="15"/>
  <c r="F277" i="15"/>
  <c r="F253" i="15"/>
  <c r="F252" i="15"/>
  <c r="F301" i="15"/>
  <c r="F272" i="15"/>
  <c r="F260" i="15"/>
  <c r="F248" i="15"/>
  <c r="F244" i="15"/>
  <c r="F240" i="15"/>
  <c r="F236" i="15"/>
  <c r="F232" i="15"/>
  <c r="F228" i="15"/>
  <c r="F224" i="15"/>
  <c r="F220" i="15"/>
  <c r="F212" i="15"/>
  <c r="F300" i="15"/>
  <c r="F283" i="15"/>
  <c r="F282" i="15"/>
  <c r="F267" i="15"/>
  <c r="F255" i="15"/>
  <c r="F254" i="15"/>
  <c r="F299" i="15"/>
  <c r="F290" i="15"/>
  <c r="F278" i="15"/>
  <c r="F274" i="15"/>
  <c r="F273" i="15"/>
  <c r="F262" i="15"/>
  <c r="F261" i="15"/>
  <c r="F214" i="15"/>
  <c r="F213" i="15"/>
  <c r="F298" i="15"/>
  <c r="F257" i="15"/>
  <c r="F256" i="15"/>
  <c r="F249" i="15"/>
  <c r="F245" i="15"/>
  <c r="F241" i="15"/>
  <c r="F237" i="15"/>
  <c r="F233" i="15"/>
  <c r="F229" i="15"/>
  <c r="F225" i="15"/>
  <c r="F221" i="15"/>
  <c r="F205" i="15"/>
  <c r="F204" i="15"/>
  <c r="F296" i="15"/>
  <c r="F279" i="15"/>
  <c r="F275" i="15"/>
  <c r="F263" i="15"/>
  <c r="F207" i="15"/>
  <c r="F206" i="15"/>
  <c r="F295" i="15"/>
  <c r="F286" i="15"/>
  <c r="F285" i="15"/>
  <c r="F258" i="15"/>
  <c r="F250" i="15"/>
  <c r="F246" i="15"/>
  <c r="F242" i="15"/>
  <c r="F238" i="15"/>
  <c r="F234" i="15"/>
  <c r="F230" i="15"/>
  <c r="F226" i="15"/>
  <c r="F222" i="15"/>
  <c r="F218" i="15"/>
  <c r="F217" i="15"/>
  <c r="F269" i="15"/>
  <c r="F271" i="15"/>
  <c r="F270" i="15"/>
  <c r="F259" i="15"/>
  <c r="F251" i="15"/>
  <c r="F247" i="15"/>
  <c r="F243" i="15"/>
  <c r="F239" i="15"/>
  <c r="F235" i="15"/>
  <c r="F231" i="15"/>
  <c r="F227" i="15"/>
  <c r="F223" i="15"/>
  <c r="F219" i="15"/>
  <c r="F264" i="15"/>
  <c r="F194" i="15"/>
  <c r="F193" i="15"/>
  <c r="F182" i="15"/>
  <c r="F178" i="15"/>
  <c r="F174" i="15"/>
  <c r="F173" i="15"/>
  <c r="F291" i="15"/>
  <c r="F172" i="15"/>
  <c r="F165" i="15"/>
  <c r="F161" i="15"/>
  <c r="F157" i="15"/>
  <c r="F153" i="15"/>
  <c r="F149" i="15"/>
  <c r="F145" i="15"/>
  <c r="F141" i="15"/>
  <c r="F137" i="15"/>
  <c r="F133" i="15"/>
  <c r="F129" i="15"/>
  <c r="F125" i="15"/>
  <c r="F121" i="15"/>
  <c r="F280" i="15"/>
  <c r="F268" i="15"/>
  <c r="F201" i="15"/>
  <c r="F188" i="15"/>
  <c r="F184" i="15"/>
  <c r="F183" i="15"/>
  <c r="D170" i="15"/>
  <c r="L12" i="15"/>
  <c r="F215" i="15"/>
  <c r="F210" i="15"/>
  <c r="F195" i="15"/>
  <c r="F179" i="15"/>
  <c r="F175" i="15"/>
  <c r="F288" i="15"/>
  <c r="F284" i="15"/>
  <c r="F202" i="15"/>
  <c r="F166" i="15"/>
  <c r="F162" i="15"/>
  <c r="F158" i="15"/>
  <c r="F154" i="15"/>
  <c r="F150" i="15"/>
  <c r="F146" i="15"/>
  <c r="F142" i="15"/>
  <c r="F138" i="15"/>
  <c r="F134" i="15"/>
  <c r="F130" i="15"/>
  <c r="F126" i="15"/>
  <c r="F122" i="15"/>
  <c r="F118" i="15"/>
  <c r="F117" i="15"/>
  <c r="F292" i="15"/>
  <c r="F197" i="15"/>
  <c r="F196" i="15"/>
  <c r="F189" i="15"/>
  <c r="F185" i="15"/>
  <c r="F180" i="15"/>
  <c r="F176" i="15"/>
  <c r="F216" i="15"/>
  <c r="F211" i="15"/>
  <c r="F208" i="15"/>
  <c r="F199" i="15"/>
  <c r="F198" i="15"/>
  <c r="F167" i="15"/>
  <c r="F163" i="15"/>
  <c r="F159" i="15"/>
  <c r="F155" i="15"/>
  <c r="F151" i="15"/>
  <c r="F147" i="15"/>
  <c r="F143" i="15"/>
  <c r="F139" i="15"/>
  <c r="F135" i="15"/>
  <c r="F131" i="15"/>
  <c r="F127" i="15"/>
  <c r="F123" i="15"/>
  <c r="F119" i="15"/>
  <c r="F297" i="15"/>
  <c r="F190" i="15"/>
  <c r="F186" i="15"/>
  <c r="F276" i="15"/>
  <c r="F203" i="15"/>
  <c r="F181" i="15"/>
  <c r="F177" i="15"/>
  <c r="F187" i="15"/>
  <c r="N53" i="15"/>
  <c r="R184" i="15"/>
  <c r="J187" i="15"/>
  <c r="J193" i="15"/>
  <c r="D16" i="9"/>
  <c r="R22" i="9"/>
  <c r="R26" i="9"/>
  <c r="R30" i="9"/>
  <c r="R31" i="9"/>
  <c r="F34" i="9"/>
  <c r="F38" i="9"/>
  <c r="J39" i="9"/>
  <c r="R42" i="9"/>
  <c r="R43" i="9"/>
  <c r="V45" i="9"/>
  <c r="J49" i="9"/>
  <c r="V53" i="9"/>
  <c r="J61" i="9"/>
  <c r="R62" i="9"/>
  <c r="F65" i="9"/>
  <c r="F66" i="9"/>
  <c r="R74" i="9"/>
  <c r="F78" i="9"/>
  <c r="R86" i="9"/>
  <c r="R87" i="9"/>
  <c r="V95" i="9"/>
  <c r="L48" i="12"/>
  <c r="N48" i="12" s="1"/>
  <c r="L60" i="12"/>
  <c r="N60" i="12" s="1"/>
  <c r="X63" i="12"/>
  <c r="Z63" i="12" s="1"/>
  <c r="Z68" i="12"/>
  <c r="Z73" i="12"/>
  <c r="Z78" i="12"/>
  <c r="L82" i="12"/>
  <c r="Z88" i="12"/>
  <c r="Z95" i="12"/>
  <c r="Z105" i="12"/>
  <c r="Z110" i="12"/>
  <c r="L112" i="12"/>
  <c r="Z115" i="12"/>
  <c r="Z177" i="12"/>
  <c r="J307" i="15"/>
  <c r="J301" i="15"/>
  <c r="J289" i="15"/>
  <c r="J281" i="15"/>
  <c r="J277" i="15"/>
  <c r="J253" i="15"/>
  <c r="J300" i="15"/>
  <c r="J282" i="15"/>
  <c r="J272" i="15"/>
  <c r="J260" i="15"/>
  <c r="J254" i="15"/>
  <c r="J248" i="15"/>
  <c r="J244" i="15"/>
  <c r="J240" i="15"/>
  <c r="J236" i="15"/>
  <c r="J232" i="15"/>
  <c r="J228" i="15"/>
  <c r="J224" i="15"/>
  <c r="J220" i="15"/>
  <c r="J212" i="15"/>
  <c r="J299" i="15"/>
  <c r="J283" i="15"/>
  <c r="J273" i="15"/>
  <c r="J267" i="15"/>
  <c r="J261" i="15"/>
  <c r="J255" i="15"/>
  <c r="J213" i="15"/>
  <c r="J203" i="15"/>
  <c r="J298" i="15"/>
  <c r="J290" i="15"/>
  <c r="J278" i="15"/>
  <c r="J274" i="15"/>
  <c r="J262" i="15"/>
  <c r="J256" i="15"/>
  <c r="J297" i="15"/>
  <c r="J291" i="15"/>
  <c r="J257" i="15"/>
  <c r="J249" i="15"/>
  <c r="J245" i="15"/>
  <c r="J241" i="15"/>
  <c r="J237" i="15"/>
  <c r="J233" i="15"/>
  <c r="J229" i="15"/>
  <c r="J225" i="15"/>
  <c r="J221" i="15"/>
  <c r="J215" i="15"/>
  <c r="J205" i="15"/>
  <c r="J296" i="15"/>
  <c r="J292" i="15"/>
  <c r="J284" i="15"/>
  <c r="J268" i="15"/>
  <c r="J216" i="15"/>
  <c r="J206" i="15"/>
  <c r="J286" i="15"/>
  <c r="J258" i="15"/>
  <c r="J250" i="15"/>
  <c r="J246" i="15"/>
  <c r="J242" i="15"/>
  <c r="J238" i="15"/>
  <c r="J234" i="15"/>
  <c r="J230" i="15"/>
  <c r="J226" i="15"/>
  <c r="J222" i="15"/>
  <c r="J218" i="15"/>
  <c r="J208" i="15"/>
  <c r="J287" i="15"/>
  <c r="J269" i="15"/>
  <c r="J288" i="15"/>
  <c r="J280" i="15"/>
  <c r="J276" i="15"/>
  <c r="J270" i="15"/>
  <c r="J264" i="15"/>
  <c r="J302" i="15"/>
  <c r="J266" i="15"/>
  <c r="J252" i="15"/>
  <c r="J247" i="15"/>
  <c r="J201" i="15"/>
  <c r="J183" i="15"/>
  <c r="H170" i="15"/>
  <c r="J165" i="15"/>
  <c r="J161" i="15"/>
  <c r="J157" i="15"/>
  <c r="J153" i="15"/>
  <c r="J149" i="15"/>
  <c r="J145" i="15"/>
  <c r="J141" i="15"/>
  <c r="J137" i="15"/>
  <c r="J133" i="15"/>
  <c r="J129" i="15"/>
  <c r="J125" i="15"/>
  <c r="J121" i="15"/>
  <c r="J303" i="15"/>
  <c r="J227" i="15"/>
  <c r="J219" i="15"/>
  <c r="J210" i="15"/>
  <c r="J188" i="15"/>
  <c r="J184" i="15"/>
  <c r="N12" i="15"/>
  <c r="J259" i="15"/>
  <c r="J207" i="15"/>
  <c r="J195" i="15"/>
  <c r="J179" i="15"/>
  <c r="J175" i="15"/>
  <c r="J117" i="15"/>
  <c r="J275" i="15"/>
  <c r="J235" i="15"/>
  <c r="J202" i="15"/>
  <c r="J196" i="15"/>
  <c r="J166" i="15"/>
  <c r="J162" i="15"/>
  <c r="J158" i="15"/>
  <c r="J154" i="15"/>
  <c r="J150" i="15"/>
  <c r="J146" i="15"/>
  <c r="J142" i="15"/>
  <c r="J138" i="15"/>
  <c r="J134" i="15"/>
  <c r="J130" i="15"/>
  <c r="J126" i="15"/>
  <c r="J122" i="15"/>
  <c r="J118" i="15"/>
  <c r="J265" i="15"/>
  <c r="J197" i="15"/>
  <c r="J189" i="15"/>
  <c r="J185" i="15"/>
  <c r="J263" i="15"/>
  <c r="J243" i="15"/>
  <c r="J198" i="15"/>
  <c r="J180" i="15"/>
  <c r="J176" i="15"/>
  <c r="J211" i="15"/>
  <c r="J199" i="15"/>
  <c r="J167" i="15"/>
  <c r="J163" i="15"/>
  <c r="J159" i="15"/>
  <c r="J155" i="15"/>
  <c r="J151" i="15"/>
  <c r="J147" i="15"/>
  <c r="J143" i="15"/>
  <c r="J139" i="15"/>
  <c r="J135" i="15"/>
  <c r="J131" i="15"/>
  <c r="J127" i="15"/>
  <c r="J123" i="15"/>
  <c r="J119" i="15"/>
  <c r="J279" i="15"/>
  <c r="J251" i="15"/>
  <c r="J223" i="15"/>
  <c r="J190" i="15"/>
  <c r="J186" i="15"/>
  <c r="J295" i="15"/>
  <c r="J285" i="15"/>
  <c r="J231" i="15"/>
  <c r="J191" i="15"/>
  <c r="J181" i="15"/>
  <c r="J177" i="15"/>
  <c r="J209" i="15"/>
  <c r="J200" i="15"/>
  <c r="J192" i="15"/>
  <c r="J168" i="15"/>
  <c r="J164" i="15"/>
  <c r="J160" i="15"/>
  <c r="J156" i="15"/>
  <c r="J152" i="15"/>
  <c r="J148" i="15"/>
  <c r="J144" i="15"/>
  <c r="J140" i="15"/>
  <c r="J136" i="15"/>
  <c r="J132" i="15"/>
  <c r="J128" i="15"/>
  <c r="J124" i="15"/>
  <c r="J120" i="15"/>
  <c r="J271" i="15"/>
  <c r="J217" i="15"/>
  <c r="J204" i="15"/>
  <c r="J194" i="15"/>
  <c r="J182" i="15"/>
  <c r="J178" i="15"/>
  <c r="J174" i="15"/>
  <c r="J172" i="15"/>
  <c r="J170" i="15"/>
  <c r="F120" i="15"/>
  <c r="F152" i="15"/>
  <c r="F160" i="15"/>
  <c r="R273" i="15"/>
  <c r="R303" i="15"/>
  <c r="T16" i="6"/>
  <c r="F14" i="9"/>
  <c r="F16" i="9"/>
  <c r="F18" i="9"/>
  <c r="V22" i="9"/>
  <c r="V26" i="9"/>
  <c r="V30" i="9"/>
  <c r="J34" i="9"/>
  <c r="R35" i="9"/>
  <c r="J38" i="9"/>
  <c r="V42" i="9"/>
  <c r="F47" i="9"/>
  <c r="J48" i="9"/>
  <c r="R51" i="9"/>
  <c r="R52" i="9"/>
  <c r="V54" i="9"/>
  <c r="F58" i="9"/>
  <c r="F59" i="9"/>
  <c r="J60" i="9"/>
  <c r="V62" i="9"/>
  <c r="J66" i="9"/>
  <c r="R67" i="9"/>
  <c r="F70" i="9"/>
  <c r="F71" i="9"/>
  <c r="V74" i="9"/>
  <c r="J78" i="9"/>
  <c r="R79" i="9"/>
  <c r="F82" i="9"/>
  <c r="F83" i="9"/>
  <c r="V86" i="9"/>
  <c r="J91" i="9"/>
  <c r="X17" i="12"/>
  <c r="X29" i="12"/>
  <c r="Z29" i="12" s="1"/>
  <c r="N40" i="12"/>
  <c r="Z46" i="12"/>
  <c r="Z53" i="12"/>
  <c r="Z58" i="12"/>
  <c r="X65" i="12"/>
  <c r="N72" i="12"/>
  <c r="Z85" i="12"/>
  <c r="L92" i="12"/>
  <c r="N92" i="12" s="1"/>
  <c r="Z100" i="12"/>
  <c r="N104" i="12"/>
  <c r="X211" i="12"/>
  <c r="Z296" i="12"/>
  <c r="Z106" i="15"/>
  <c r="F132" i="15"/>
  <c r="Z198" i="15"/>
  <c r="R212" i="15"/>
  <c r="X19" i="24"/>
  <c r="Z19" i="24" s="1"/>
  <c r="L214" i="3"/>
  <c r="N214" i="3" s="1"/>
  <c r="L234" i="3"/>
  <c r="N234" i="3" s="1"/>
  <c r="L250" i="3"/>
  <c r="N250" i="3" s="1"/>
  <c r="L258" i="3"/>
  <c r="N258" i="3" s="1"/>
  <c r="X300" i="3"/>
  <c r="Z300" i="3" s="1"/>
  <c r="L338" i="3"/>
  <c r="N338" i="3" s="1"/>
  <c r="L348" i="3"/>
  <c r="N348" i="3" s="1"/>
  <c r="X354" i="3"/>
  <c r="Z354" i="3" s="1"/>
  <c r="L360" i="3"/>
  <c r="N360" i="3" s="1"/>
  <c r="V14" i="6"/>
  <c r="V16" i="6"/>
  <c r="V18" i="6"/>
  <c r="V20" i="6"/>
  <c r="V22" i="6"/>
  <c r="F26" i="6"/>
  <c r="F28" i="6"/>
  <c r="F29" i="6"/>
  <c r="F31" i="6"/>
  <c r="H16" i="9"/>
  <c r="F19" i="9"/>
  <c r="F20" i="9"/>
  <c r="F24" i="9"/>
  <c r="F28" i="9"/>
  <c r="V31" i="9"/>
  <c r="V35" i="9"/>
  <c r="R40" i="9"/>
  <c r="R41" i="9"/>
  <c r="V43" i="9"/>
  <c r="J47" i="9"/>
  <c r="V51" i="9"/>
  <c r="J59" i="9"/>
  <c r="F64" i="9"/>
  <c r="J65" i="9"/>
  <c r="V67" i="9"/>
  <c r="J71" i="9"/>
  <c r="R72" i="9"/>
  <c r="R73" i="9"/>
  <c r="V79" i="9"/>
  <c r="J83" i="9"/>
  <c r="R84" i="9"/>
  <c r="R85" i="9"/>
  <c r="V87" i="9"/>
  <c r="Z17" i="12"/>
  <c r="N28" i="12"/>
  <c r="Z35" i="12"/>
  <c r="Z65" i="12"/>
  <c r="Z107" i="12"/>
  <c r="X117" i="12"/>
  <c r="Z211" i="12"/>
  <c r="Z98" i="15"/>
  <c r="Z100" i="15"/>
  <c r="Z102" i="15"/>
  <c r="Z104" i="15"/>
  <c r="Z108" i="15"/>
  <c r="R117" i="15"/>
  <c r="F144" i="15"/>
  <c r="F287" i="15"/>
  <c r="R25" i="9"/>
  <c r="R29" i="9"/>
  <c r="F33" i="9"/>
  <c r="F37" i="9"/>
  <c r="V40" i="9"/>
  <c r="R49" i="9"/>
  <c r="R50" i="9"/>
  <c r="V52" i="9"/>
  <c r="F56" i="9"/>
  <c r="F57" i="9"/>
  <c r="J58" i="9"/>
  <c r="R61" i="9"/>
  <c r="J64" i="9"/>
  <c r="F69" i="9"/>
  <c r="J70" i="9"/>
  <c r="V72" i="9"/>
  <c r="F76" i="9"/>
  <c r="F77" i="9"/>
  <c r="F81" i="9"/>
  <c r="J82" i="9"/>
  <c r="V84" i="9"/>
  <c r="R93" i="9"/>
  <c r="J100" i="9"/>
  <c r="L16" i="12"/>
  <c r="N16" i="12" s="1"/>
  <c r="X23" i="12"/>
  <c r="Z23" i="12" s="1"/>
  <c r="L28" i="12"/>
  <c r="X35" i="12"/>
  <c r="X43" i="12"/>
  <c r="Z43" i="12" s="1"/>
  <c r="Z48" i="12"/>
  <c r="Z55" i="12"/>
  <c r="Z60" i="12"/>
  <c r="N64" i="12"/>
  <c r="X75" i="12"/>
  <c r="Z75" i="12" s="1"/>
  <c r="X77" i="12"/>
  <c r="L84" i="12"/>
  <c r="N84" i="12" s="1"/>
  <c r="Z97" i="12"/>
  <c r="Z102" i="12"/>
  <c r="X109" i="12"/>
  <c r="X203" i="12"/>
  <c r="Z215" i="12"/>
  <c r="X215" i="12"/>
  <c r="N307" i="12"/>
  <c r="Z196" i="15"/>
  <c r="N206" i="15"/>
  <c r="F100" i="9"/>
  <c r="F97" i="9"/>
  <c r="V41" i="9"/>
  <c r="F45" i="9"/>
  <c r="F46" i="9"/>
  <c r="V49" i="9"/>
  <c r="V61" i="9"/>
  <c r="R66" i="9"/>
  <c r="V73" i="9"/>
  <c r="R78" i="9"/>
  <c r="J81" i="9"/>
  <c r="V85" i="9"/>
  <c r="J89" i="9"/>
  <c r="Z67" i="12"/>
  <c r="Z77" i="12"/>
  <c r="Z87" i="12"/>
  <c r="Z109" i="12"/>
  <c r="L178" i="12"/>
  <c r="N178" i="12" s="1"/>
  <c r="N198" i="12"/>
  <c r="Z203" i="12"/>
  <c r="N303" i="12"/>
  <c r="Z78" i="15"/>
  <c r="Z80" i="15"/>
  <c r="Z82" i="15"/>
  <c r="Z86" i="15"/>
  <c r="Z88" i="15"/>
  <c r="F124" i="15"/>
  <c r="F164" i="15"/>
  <c r="D16" i="6"/>
  <c r="F23" i="9"/>
  <c r="F27" i="9"/>
  <c r="V34" i="9"/>
  <c r="V38" i="9"/>
  <c r="J46" i="9"/>
  <c r="R47" i="9"/>
  <c r="R48" i="9"/>
  <c r="V50" i="9"/>
  <c r="F54" i="9"/>
  <c r="F55" i="9"/>
  <c r="J56" i="9"/>
  <c r="R59" i="9"/>
  <c r="R60" i="9"/>
  <c r="F63" i="9"/>
  <c r="V66" i="9"/>
  <c r="R71" i="9"/>
  <c r="F75" i="9"/>
  <c r="J76" i="9"/>
  <c r="V78" i="9"/>
  <c r="R83" i="9"/>
  <c r="R91" i="9"/>
  <c r="J97" i="9"/>
  <c r="P12" i="12"/>
  <c r="X13" i="12"/>
  <c r="Z13" i="12" s="1"/>
  <c r="X25" i="12"/>
  <c r="Z25" i="12" s="1"/>
  <c r="X37" i="12"/>
  <c r="Z37" i="12" s="1"/>
  <c r="Z40" i="12"/>
  <c r="Z45" i="12"/>
  <c r="Z50" i="12"/>
  <c r="Z57" i="12"/>
  <c r="Z62" i="12"/>
  <c r="X69" i="12"/>
  <c r="Z69" i="12" s="1"/>
  <c r="Z72" i="12"/>
  <c r="X89" i="12"/>
  <c r="Z89" i="12" s="1"/>
  <c r="L96" i="12"/>
  <c r="N96" i="12" s="1"/>
  <c r="Z99" i="12"/>
  <c r="Z104" i="12"/>
  <c r="L116" i="12"/>
  <c r="N116" i="12" s="1"/>
  <c r="X198" i="12"/>
  <c r="L261" i="12"/>
  <c r="N261" i="12" s="1"/>
  <c r="N263" i="12"/>
  <c r="Z307" i="12"/>
  <c r="X309" i="12"/>
  <c r="Z309" i="12" s="1"/>
  <c r="X311" i="12"/>
  <c r="Z311" i="12" s="1"/>
  <c r="P303" i="12"/>
  <c r="Z68" i="15"/>
  <c r="Z76" i="15"/>
  <c r="Z84" i="15"/>
  <c r="F136" i="15"/>
  <c r="F192" i="15"/>
  <c r="Z39" i="18"/>
  <c r="X39" i="18"/>
  <c r="V295" i="15"/>
  <c r="V285" i="15"/>
  <c r="V257" i="15"/>
  <c r="V249" i="15"/>
  <c r="V245" i="15"/>
  <c r="V241" i="15"/>
  <c r="V237" i="15"/>
  <c r="V233" i="15"/>
  <c r="V229" i="15"/>
  <c r="V225" i="15"/>
  <c r="V221" i="15"/>
  <c r="V217" i="15"/>
  <c r="V294" i="15"/>
  <c r="V292" i="15"/>
  <c r="V284" i="15"/>
  <c r="V268" i="15"/>
  <c r="V216" i="15"/>
  <c r="V208" i="15"/>
  <c r="V287" i="15"/>
  <c r="V279" i="15"/>
  <c r="V275" i="15"/>
  <c r="V263" i="15"/>
  <c r="V207" i="15"/>
  <c r="V286" i="15"/>
  <c r="V270" i="15"/>
  <c r="V258" i="15"/>
  <c r="V250" i="15"/>
  <c r="V246" i="15"/>
  <c r="V242" i="15"/>
  <c r="V238" i="15"/>
  <c r="V234" i="15"/>
  <c r="V230" i="15"/>
  <c r="V226" i="15"/>
  <c r="V222" i="15"/>
  <c r="V303" i="15"/>
  <c r="V269" i="15"/>
  <c r="V265" i="15"/>
  <c r="V209" i="15"/>
  <c r="V201" i="15"/>
  <c r="V302" i="15"/>
  <c r="V288" i="15"/>
  <c r="V280" i="15"/>
  <c r="V276" i="15"/>
  <c r="V264" i="15"/>
  <c r="V252" i="15"/>
  <c r="V200" i="15"/>
  <c r="V300" i="15"/>
  <c r="V282" i="15"/>
  <c r="V266" i="15"/>
  <c r="V254" i="15"/>
  <c r="V202" i="15"/>
  <c r="V307" i="15"/>
  <c r="V299" i="15"/>
  <c r="V289" i="15"/>
  <c r="V281" i="15"/>
  <c r="V277" i="15"/>
  <c r="V273" i="15"/>
  <c r="V261" i="15"/>
  <c r="V253" i="15"/>
  <c r="V298" i="15"/>
  <c r="V272" i="15"/>
  <c r="V260" i="15"/>
  <c r="V256" i="15"/>
  <c r="V248" i="15"/>
  <c r="V244" i="15"/>
  <c r="V240" i="15"/>
  <c r="V236" i="15"/>
  <c r="V232" i="15"/>
  <c r="V228" i="15"/>
  <c r="V296" i="15"/>
  <c r="V290" i="15"/>
  <c r="V278" i="15"/>
  <c r="V274" i="15"/>
  <c r="V262" i="15"/>
  <c r="V214" i="15"/>
  <c r="V118" i="15"/>
  <c r="V122" i="15"/>
  <c r="V126" i="15"/>
  <c r="V130" i="15"/>
  <c r="V134" i="15"/>
  <c r="V138" i="15"/>
  <c r="V142" i="15"/>
  <c r="V146" i="15"/>
  <c r="V150" i="15"/>
  <c r="V154" i="15"/>
  <c r="V158" i="15"/>
  <c r="V162" i="15"/>
  <c r="V166" i="15"/>
  <c r="V198" i="15"/>
  <c r="L206" i="15"/>
  <c r="Z215" i="15"/>
  <c r="V219" i="15"/>
  <c r="V224" i="15"/>
  <c r="V227" i="15"/>
  <c r="N298" i="15"/>
  <c r="L15" i="18"/>
  <c r="N15" i="18" s="1"/>
  <c r="L19" i="18"/>
  <c r="N19" i="18" s="1"/>
  <c r="N23" i="18"/>
  <c r="L23" i="18"/>
  <c r="L27" i="18"/>
  <c r="N27" i="18" s="1"/>
  <c r="N31" i="18"/>
  <c r="L31" i="18"/>
  <c r="L35" i="18"/>
  <c r="N35" i="18" s="1"/>
  <c r="X43" i="18"/>
  <c r="Z43" i="18" s="1"/>
  <c r="X47" i="18"/>
  <c r="Z47" i="18" s="1"/>
  <c r="X51" i="18"/>
  <c r="Z51" i="18" s="1"/>
  <c r="X55" i="18"/>
  <c r="Z55" i="18" s="1"/>
  <c r="X59" i="18"/>
  <c r="Z59" i="18" s="1"/>
  <c r="N78" i="18"/>
  <c r="Z104" i="18"/>
  <c r="Z106" i="18"/>
  <c r="Z110" i="18"/>
  <c r="Z112" i="18"/>
  <c r="Z116" i="18"/>
  <c r="Z118" i="18"/>
  <c r="Z122" i="18"/>
  <c r="Z126" i="18"/>
  <c r="J153" i="18"/>
  <c r="N209" i="18"/>
  <c r="Z222" i="18"/>
  <c r="Z12" i="15"/>
  <c r="V184" i="15"/>
  <c r="V188" i="15"/>
  <c r="V196" i="15"/>
  <c r="V210" i="15"/>
  <c r="V212" i="15"/>
  <c r="Z252" i="15"/>
  <c r="V271" i="15"/>
  <c r="N285" i="15"/>
  <c r="Z298" i="15"/>
  <c r="Z15" i="18"/>
  <c r="X15" i="18"/>
  <c r="T12" i="18"/>
  <c r="Z19" i="18"/>
  <c r="Z23" i="18"/>
  <c r="X27" i="18"/>
  <c r="Z27" i="18" s="1"/>
  <c r="X31" i="18"/>
  <c r="Z31" i="18" s="1"/>
  <c r="Z35" i="18"/>
  <c r="Z96" i="18"/>
  <c r="Z98" i="18"/>
  <c r="L131" i="18"/>
  <c r="N131" i="18" s="1"/>
  <c r="J145" i="18"/>
  <c r="J177" i="18"/>
  <c r="Z209" i="18"/>
  <c r="N230" i="18"/>
  <c r="X302" i="18"/>
  <c r="D30" i="21"/>
  <c r="F121" i="27"/>
  <c r="V117" i="15"/>
  <c r="V121" i="15"/>
  <c r="V125" i="15"/>
  <c r="V129" i="15"/>
  <c r="V133" i="15"/>
  <c r="V137" i="15"/>
  <c r="V141" i="15"/>
  <c r="V145" i="15"/>
  <c r="V149" i="15"/>
  <c r="V153" i="15"/>
  <c r="V157" i="15"/>
  <c r="V161" i="15"/>
  <c r="V165" i="15"/>
  <c r="Z204" i="15"/>
  <c r="V239" i="15"/>
  <c r="V291" i="15"/>
  <c r="L107" i="18"/>
  <c r="N107" i="18" s="1"/>
  <c r="N111" i="18"/>
  <c r="L111" i="18"/>
  <c r="N113" i="18"/>
  <c r="L119" i="18"/>
  <c r="N119" i="18" s="1"/>
  <c r="N123" i="18"/>
  <c r="L123" i="18"/>
  <c r="L127" i="18"/>
  <c r="N127" i="18" s="1"/>
  <c r="J137" i="18"/>
  <c r="J233" i="18"/>
  <c r="Z302" i="18"/>
  <c r="J305" i="18"/>
  <c r="L324" i="18"/>
  <c r="N324" i="18" s="1"/>
  <c r="D323" i="18"/>
  <c r="T12" i="21"/>
  <c r="Z13" i="21"/>
  <c r="X13" i="21"/>
  <c r="L304" i="12"/>
  <c r="N304" i="12" s="1"/>
  <c r="V174" i="15"/>
  <c r="V178" i="15"/>
  <c r="V182" i="15"/>
  <c r="V194" i="15"/>
  <c r="Z201" i="15"/>
  <c r="V204" i="15"/>
  <c r="V283" i="15"/>
  <c r="X294" i="15"/>
  <c r="Z294" i="15" s="1"/>
  <c r="Z72" i="18"/>
  <c r="Z74" i="18"/>
  <c r="N103" i="18"/>
  <c r="L103" i="18"/>
  <c r="L115" i="18"/>
  <c r="N115" i="18" s="1"/>
  <c r="Z131" i="18"/>
  <c r="Z230" i="18"/>
  <c r="X290" i="18"/>
  <c r="Z290" i="18" s="1"/>
  <c r="J293" i="18"/>
  <c r="X328" i="18"/>
  <c r="Z328" i="18" s="1"/>
  <c r="N332" i="18"/>
  <c r="L334" i="18"/>
  <c r="Z17" i="21"/>
  <c r="X17" i="21"/>
  <c r="N32" i="21"/>
  <c r="Z50" i="24"/>
  <c r="X50" i="24"/>
  <c r="T170" i="15"/>
  <c r="V183" i="15"/>
  <c r="V187" i="15"/>
  <c r="V206" i="15"/>
  <c r="N208" i="15"/>
  <c r="V231" i="15"/>
  <c r="V255" i="15"/>
  <c r="L99" i="18"/>
  <c r="N99" i="18" s="1"/>
  <c r="Z107" i="18"/>
  <c r="X107" i="18"/>
  <c r="Z111" i="18"/>
  <c r="Z123" i="18"/>
  <c r="J165" i="18"/>
  <c r="J185" i="18"/>
  <c r="N320" i="18"/>
  <c r="F94" i="21"/>
  <c r="F90" i="21"/>
  <c r="F89" i="21"/>
  <c r="F66" i="21"/>
  <c r="F101" i="21"/>
  <c r="F100" i="21"/>
  <c r="F77" i="21"/>
  <c r="F57" i="21"/>
  <c r="F103" i="21"/>
  <c r="F102" i="21"/>
  <c r="F95" i="21"/>
  <c r="F91" i="21"/>
  <c r="F59" i="21"/>
  <c r="F58" i="21"/>
  <c r="F78" i="21"/>
  <c r="F70" i="21"/>
  <c r="F69" i="21"/>
  <c r="F50" i="21"/>
  <c r="F49" i="21"/>
  <c r="F87" i="21"/>
  <c r="F86" i="21"/>
  <c r="F63" i="21"/>
  <c r="F62" i="21"/>
  <c r="F107" i="21"/>
  <c r="F82" i="21"/>
  <c r="F81" i="21"/>
  <c r="F74" i="21"/>
  <c r="F73" i="21"/>
  <c r="F111" i="21"/>
  <c r="F97" i="21"/>
  <c r="F93" i="21"/>
  <c r="F65" i="21"/>
  <c r="F64" i="21"/>
  <c r="F84" i="21"/>
  <c r="F79" i="21"/>
  <c r="F72" i="21"/>
  <c r="F75" i="21"/>
  <c r="F52" i="21"/>
  <c r="F48" i="21"/>
  <c r="F45" i="21"/>
  <c r="F104" i="21"/>
  <c r="F96" i="21"/>
  <c r="F68" i="21"/>
  <c r="F56" i="21"/>
  <c r="F40" i="21"/>
  <c r="F36" i="21"/>
  <c r="F61" i="21"/>
  <c r="F53" i="21"/>
  <c r="F27" i="21"/>
  <c r="F26" i="21"/>
  <c r="F99" i="21"/>
  <c r="F80" i="21"/>
  <c r="F54" i="21"/>
  <c r="F46" i="21"/>
  <c r="F41" i="21"/>
  <c r="F37" i="21"/>
  <c r="F92" i="21"/>
  <c r="F85" i="21"/>
  <c r="F76" i="21"/>
  <c r="F28" i="21"/>
  <c r="F105" i="21"/>
  <c r="F83" i="21"/>
  <c r="F71" i="21"/>
  <c r="F43" i="21"/>
  <c r="F42" i="21"/>
  <c r="F38" i="21"/>
  <c r="F34" i="21"/>
  <c r="F33" i="21"/>
  <c r="F47" i="21"/>
  <c r="F32" i="21"/>
  <c r="F98" i="21"/>
  <c r="F67" i="21"/>
  <c r="F60" i="21"/>
  <c r="F39" i="21"/>
  <c r="F35" i="21"/>
  <c r="X21" i="21"/>
  <c r="Z21" i="21" s="1"/>
  <c r="Z46" i="24"/>
  <c r="X46" i="24"/>
  <c r="L13" i="15"/>
  <c r="L17" i="15"/>
  <c r="L21" i="15"/>
  <c r="N21" i="15" s="1"/>
  <c r="L25" i="15"/>
  <c r="N25" i="15" s="1"/>
  <c r="L29" i="15"/>
  <c r="N29" i="15" s="1"/>
  <c r="L33" i="15"/>
  <c r="N33" i="15" s="1"/>
  <c r="L37" i="15"/>
  <c r="N37" i="15" s="1"/>
  <c r="L41" i="15"/>
  <c r="N41" i="15" s="1"/>
  <c r="L45" i="15"/>
  <c r="L49" i="15"/>
  <c r="N49" i="15" s="1"/>
  <c r="L53" i="15"/>
  <c r="L57" i="15"/>
  <c r="N57" i="15" s="1"/>
  <c r="L61" i="15"/>
  <c r="N61" i="15" s="1"/>
  <c r="L65" i="15"/>
  <c r="L69" i="15"/>
  <c r="N69" i="15" s="1"/>
  <c r="L73" i="15"/>
  <c r="N73" i="15" s="1"/>
  <c r="L77" i="15"/>
  <c r="N77" i="15" s="1"/>
  <c r="L81" i="15"/>
  <c r="N81" i="15" s="1"/>
  <c r="L85" i="15"/>
  <c r="N85" i="15" s="1"/>
  <c r="L89" i="15"/>
  <c r="N89" i="15" s="1"/>
  <c r="L93" i="15"/>
  <c r="N93" i="15" s="1"/>
  <c r="L97" i="15"/>
  <c r="L101" i="15"/>
  <c r="N101" i="15" s="1"/>
  <c r="L105" i="15"/>
  <c r="N105" i="15" s="1"/>
  <c r="L109" i="15"/>
  <c r="L113" i="15"/>
  <c r="N113" i="15" s="1"/>
  <c r="V120" i="15"/>
  <c r="V124" i="15"/>
  <c r="V128" i="15"/>
  <c r="V132" i="15"/>
  <c r="V136" i="15"/>
  <c r="V140" i="15"/>
  <c r="V144" i="15"/>
  <c r="V148" i="15"/>
  <c r="V152" i="15"/>
  <c r="V156" i="15"/>
  <c r="V160" i="15"/>
  <c r="V164" i="15"/>
  <c r="V168" i="15"/>
  <c r="V170" i="15"/>
  <c r="V172" i="15"/>
  <c r="V192" i="15"/>
  <c r="V203" i="15"/>
  <c r="N213" i="15"/>
  <c r="V218" i="15"/>
  <c r="V220" i="15"/>
  <c r="V223" i="15"/>
  <c r="V251" i="15"/>
  <c r="V267" i="15"/>
  <c r="X302" i="15"/>
  <c r="Z302" i="15" s="1"/>
  <c r="N18" i="18"/>
  <c r="N22" i="18"/>
  <c r="Z52" i="18"/>
  <c r="Z56" i="18"/>
  <c r="Z60" i="18"/>
  <c r="Z62" i="18"/>
  <c r="L79" i="18"/>
  <c r="N79" i="18" s="1"/>
  <c r="N83" i="18"/>
  <c r="L83" i="18"/>
  <c r="N85" i="18"/>
  <c r="L87" i="18"/>
  <c r="N87" i="18" s="1"/>
  <c r="N91" i="18"/>
  <c r="L91" i="18"/>
  <c r="N95" i="18"/>
  <c r="L95" i="18"/>
  <c r="Z103" i="18"/>
  <c r="X103" i="18"/>
  <c r="J157" i="18"/>
  <c r="L224" i="18"/>
  <c r="N224" i="18" s="1"/>
  <c r="T323" i="18"/>
  <c r="J339" i="18"/>
  <c r="Z32" i="21"/>
  <c r="X49" i="21"/>
  <c r="Z49" i="21" s="1"/>
  <c r="Z42" i="24"/>
  <c r="X42" i="24"/>
  <c r="T303" i="12"/>
  <c r="N13" i="15"/>
  <c r="X14" i="15"/>
  <c r="Z14" i="15" s="1"/>
  <c r="V173" i="15"/>
  <c r="V177" i="15"/>
  <c r="V181" i="15"/>
  <c r="V193" i="15"/>
  <c r="X213" i="15"/>
  <c r="Z213" i="15" s="1"/>
  <c r="N75" i="18"/>
  <c r="L75" i="18"/>
  <c r="Z99" i="18"/>
  <c r="X99" i="18"/>
  <c r="J149" i="18"/>
  <c r="J173" i="18"/>
  <c r="Z332" i="18"/>
  <c r="F88" i="21"/>
  <c r="Z38" i="24"/>
  <c r="X38" i="24"/>
  <c r="V186" i="15"/>
  <c r="V190" i="15"/>
  <c r="V205" i="15"/>
  <c r="V211" i="15"/>
  <c r="V243" i="15"/>
  <c r="N261" i="15"/>
  <c r="N270" i="15"/>
  <c r="L296" i="15"/>
  <c r="V297" i="15"/>
  <c r="P12" i="18"/>
  <c r="Z16" i="18"/>
  <c r="Z20" i="18"/>
  <c r="Z24" i="18"/>
  <c r="Z28" i="18"/>
  <c r="Z32" i="18"/>
  <c r="Z36" i="18"/>
  <c r="Z38" i="18"/>
  <c r="N67" i="18"/>
  <c r="L67" i="18"/>
  <c r="N69" i="18"/>
  <c r="L71" i="18"/>
  <c r="N71" i="18" s="1"/>
  <c r="Z79" i="18"/>
  <c r="X83" i="18"/>
  <c r="Z83" i="18" s="1"/>
  <c r="Z87" i="18"/>
  <c r="X87" i="18"/>
  <c r="X91" i="18"/>
  <c r="Z91" i="18" s="1"/>
  <c r="Z95" i="18"/>
  <c r="X95" i="18"/>
  <c r="J141" i="18"/>
  <c r="J243" i="18"/>
  <c r="V119" i="15"/>
  <c r="V123" i="15"/>
  <c r="V127" i="15"/>
  <c r="V131" i="15"/>
  <c r="V135" i="15"/>
  <c r="V139" i="15"/>
  <c r="V143" i="15"/>
  <c r="V147" i="15"/>
  <c r="V151" i="15"/>
  <c r="V155" i="15"/>
  <c r="V159" i="15"/>
  <c r="V163" i="15"/>
  <c r="V167" i="15"/>
  <c r="V191" i="15"/>
  <c r="V199" i="15"/>
  <c r="N210" i="15"/>
  <c r="N215" i="15"/>
  <c r="N296" i="15"/>
  <c r="H294" i="15"/>
  <c r="J294" i="15" s="1"/>
  <c r="Z30" i="18"/>
  <c r="Z34" i="18"/>
  <c r="N61" i="18"/>
  <c r="L63" i="18"/>
  <c r="N63" i="18" s="1"/>
  <c r="Z75" i="18"/>
  <c r="N198" i="18"/>
  <c r="Z224" i="18"/>
  <c r="J309" i="18"/>
  <c r="N316" i="18"/>
  <c r="Z14" i="21"/>
  <c r="Z18" i="21"/>
  <c r="X13" i="15"/>
  <c r="Z13" i="15" s="1"/>
  <c r="X17" i="15"/>
  <c r="Z17" i="15" s="1"/>
  <c r="X21" i="15"/>
  <c r="Z21" i="15" s="1"/>
  <c r="V176" i="15"/>
  <c r="V180" i="15"/>
  <c r="V213" i="15"/>
  <c r="V235" i="15"/>
  <c r="Z270" i="15"/>
  <c r="D294" i="15"/>
  <c r="L294" i="15" s="1"/>
  <c r="N43" i="18"/>
  <c r="L43" i="18"/>
  <c r="L47" i="18"/>
  <c r="N47" i="18" s="1"/>
  <c r="L51" i="18"/>
  <c r="N51" i="18" s="1"/>
  <c r="N55" i="18"/>
  <c r="L55" i="18"/>
  <c r="N59" i="18"/>
  <c r="L59" i="18"/>
  <c r="Z67" i="18"/>
  <c r="X67" i="18"/>
  <c r="Z71" i="18"/>
  <c r="X71" i="18"/>
  <c r="J193" i="18"/>
  <c r="L232" i="18"/>
  <c r="L98" i="21"/>
  <c r="N98" i="21" s="1"/>
  <c r="F123" i="27"/>
  <c r="F122" i="27"/>
  <c r="F79" i="27"/>
  <c r="F110" i="27"/>
  <c r="F94" i="27"/>
  <c r="F86" i="27"/>
  <c r="F85" i="27"/>
  <c r="F74" i="27"/>
  <c r="F70" i="27"/>
  <c r="F130" i="27"/>
  <c r="F125" i="27"/>
  <c r="F124" i="27"/>
  <c r="F117" i="27"/>
  <c r="F105" i="27"/>
  <c r="F101" i="27"/>
  <c r="F61" i="27"/>
  <c r="F57" i="27"/>
  <c r="F53" i="27"/>
  <c r="F49" i="27"/>
  <c r="F134" i="27"/>
  <c r="F129" i="27"/>
  <c r="F112" i="27"/>
  <c r="F111" i="27"/>
  <c r="F96" i="27"/>
  <c r="F95" i="27"/>
  <c r="F80" i="27"/>
  <c r="F128" i="27"/>
  <c r="F87" i="27"/>
  <c r="F75" i="27"/>
  <c r="F71" i="27"/>
  <c r="F127" i="27"/>
  <c r="F118" i="27"/>
  <c r="F106" i="27"/>
  <c r="F102" i="27"/>
  <c r="F98" i="27"/>
  <c r="F97" i="27"/>
  <c r="F62" i="27"/>
  <c r="F58" i="27"/>
  <c r="F54" i="27"/>
  <c r="F50" i="27"/>
  <c r="F113" i="27"/>
  <c r="F89" i="27"/>
  <c r="F88" i="27"/>
  <c r="F81" i="27"/>
  <c r="F120" i="27"/>
  <c r="F119" i="27"/>
  <c r="F108" i="27"/>
  <c r="F107" i="27"/>
  <c r="F76" i="27"/>
  <c r="F72" i="27"/>
  <c r="F68" i="27"/>
  <c r="F67" i="27"/>
  <c r="F115" i="27"/>
  <c r="F114" i="27"/>
  <c r="F103" i="27"/>
  <c r="F99" i="27"/>
  <c r="F91" i="27"/>
  <c r="F90" i="27"/>
  <c r="F66" i="27"/>
  <c r="F59" i="27"/>
  <c r="F55" i="27"/>
  <c r="F51" i="27"/>
  <c r="F47" i="27"/>
  <c r="F46" i="27"/>
  <c r="F82" i="27"/>
  <c r="F78" i="27"/>
  <c r="F77" i="27"/>
  <c r="D64" i="27"/>
  <c r="F64" i="27" s="1"/>
  <c r="F116" i="27"/>
  <c r="F104" i="27"/>
  <c r="F100" i="27"/>
  <c r="F84" i="27"/>
  <c r="F83" i="27"/>
  <c r="F60" i="27"/>
  <c r="F56" i="27"/>
  <c r="F52" i="27"/>
  <c r="F48" i="27"/>
  <c r="F93" i="27"/>
  <c r="F73" i="27"/>
  <c r="F69" i="27"/>
  <c r="F92" i="27"/>
  <c r="V185" i="15"/>
  <c r="V189" i="15"/>
  <c r="V197" i="15"/>
  <c r="X256" i="15"/>
  <c r="Z256" i="15" s="1"/>
  <c r="V259" i="15"/>
  <c r="Z282" i="15"/>
  <c r="V301" i="15"/>
  <c r="J331" i="18"/>
  <c r="J295" i="18"/>
  <c r="J281" i="18"/>
  <c r="J235" i="18"/>
  <c r="J217" i="18"/>
  <c r="J207" i="18"/>
  <c r="J203" i="18"/>
  <c r="L12" i="18"/>
  <c r="N12" i="18" s="1"/>
  <c r="J330" i="18"/>
  <c r="J318" i="18"/>
  <c r="J310" i="18"/>
  <c r="J306" i="18"/>
  <c r="J282" i="18"/>
  <c r="J236" i="18"/>
  <c r="J226" i="18"/>
  <c r="J218" i="18"/>
  <c r="J194" i="18"/>
  <c r="J190" i="18"/>
  <c r="J186" i="18"/>
  <c r="J182" i="18"/>
  <c r="J178" i="18"/>
  <c r="J174" i="18"/>
  <c r="J170" i="18"/>
  <c r="J166" i="18"/>
  <c r="J162" i="18"/>
  <c r="J158" i="18"/>
  <c r="J154" i="18"/>
  <c r="J150" i="18"/>
  <c r="J146" i="18"/>
  <c r="J142" i="18"/>
  <c r="J138" i="18"/>
  <c r="J329" i="18"/>
  <c r="J311" i="18"/>
  <c r="J301" i="18"/>
  <c r="J289" i="18"/>
  <c r="J283" i="18"/>
  <c r="J277" i="18"/>
  <c r="J273" i="18"/>
  <c r="J269" i="18"/>
  <c r="J265" i="18"/>
  <c r="J261" i="18"/>
  <c r="J257" i="18"/>
  <c r="J253" i="18"/>
  <c r="J249" i="18"/>
  <c r="J245" i="18"/>
  <c r="J237" i="18"/>
  <c r="J227" i="18"/>
  <c r="J219" i="18"/>
  <c r="J213" i="18"/>
  <c r="J199" i="18"/>
  <c r="J328" i="18"/>
  <c r="J312" i="18"/>
  <c r="J302" i="18"/>
  <c r="J296" i="18"/>
  <c r="J290" i="18"/>
  <c r="J284" i="18"/>
  <c r="J228" i="18"/>
  <c r="J220" i="18"/>
  <c r="J208" i="18"/>
  <c r="J204" i="18"/>
  <c r="J200" i="18"/>
  <c r="J198" i="18"/>
  <c r="J196" i="18"/>
  <c r="J327" i="18"/>
  <c r="J319" i="18"/>
  <c r="J307" i="18"/>
  <c r="J303" i="18"/>
  <c r="J291" i="18"/>
  <c r="J285" i="18"/>
  <c r="J209" i="18"/>
  <c r="H196" i="18"/>
  <c r="J191" i="18"/>
  <c r="J187" i="18"/>
  <c r="J183" i="18"/>
  <c r="J179" i="18"/>
  <c r="J175" i="18"/>
  <c r="J171" i="18"/>
  <c r="J167" i="18"/>
  <c r="J163" i="18"/>
  <c r="J159" i="18"/>
  <c r="J155" i="18"/>
  <c r="J151" i="18"/>
  <c r="J147" i="18"/>
  <c r="J143" i="18"/>
  <c r="J139" i="18"/>
  <c r="J326" i="18"/>
  <c r="J320" i="18"/>
  <c r="J286" i="18"/>
  <c r="J278" i="18"/>
  <c r="J274" i="18"/>
  <c r="J270" i="18"/>
  <c r="J266" i="18"/>
  <c r="J262" i="18"/>
  <c r="J258" i="18"/>
  <c r="J254" i="18"/>
  <c r="J250" i="18"/>
  <c r="J246" i="18"/>
  <c r="J238" i="18"/>
  <c r="J214" i="18"/>
  <c r="J210" i="18"/>
  <c r="J325" i="18"/>
  <c r="J321" i="18"/>
  <c r="J313" i="18"/>
  <c r="J297" i="18"/>
  <c r="J239" i="18"/>
  <c r="J229" i="18"/>
  <c r="J221" i="18"/>
  <c r="J205" i="18"/>
  <c r="J201" i="18"/>
  <c r="J135" i="18"/>
  <c r="J324" i="18"/>
  <c r="J314" i="18"/>
  <c r="J308" i="18"/>
  <c r="J304" i="18"/>
  <c r="J292" i="18"/>
  <c r="J240" i="18"/>
  <c r="J230" i="18"/>
  <c r="J222" i="18"/>
  <c r="J192" i="18"/>
  <c r="J188" i="18"/>
  <c r="J184" i="18"/>
  <c r="J180" i="18"/>
  <c r="J176" i="18"/>
  <c r="J172" i="18"/>
  <c r="J168" i="18"/>
  <c r="J164" i="18"/>
  <c r="J160" i="18"/>
  <c r="J156" i="18"/>
  <c r="J152" i="18"/>
  <c r="J148" i="18"/>
  <c r="J144" i="18"/>
  <c r="J140" i="18"/>
  <c r="J136" i="18"/>
  <c r="J335" i="18"/>
  <c r="J323" i="18"/>
  <c r="J315" i="18"/>
  <c r="J287" i="18"/>
  <c r="J279" i="18"/>
  <c r="J275" i="18"/>
  <c r="J271" i="18"/>
  <c r="J267" i="18"/>
  <c r="J263" i="18"/>
  <c r="J259" i="18"/>
  <c r="J255" i="18"/>
  <c r="J251" i="18"/>
  <c r="J247" i="18"/>
  <c r="J241" i="18"/>
  <c r="J231" i="18"/>
  <c r="J223" i="18"/>
  <c r="J215" i="18"/>
  <c r="J211" i="18"/>
  <c r="J334" i="18"/>
  <c r="J316" i="18"/>
  <c r="J298" i="18"/>
  <c r="J242" i="18"/>
  <c r="J232" i="18"/>
  <c r="J224" i="18"/>
  <c r="J206" i="18"/>
  <c r="J202" i="18"/>
  <c r="J332" i="18"/>
  <c r="J300" i="18"/>
  <c r="J294" i="18"/>
  <c r="J288" i="18"/>
  <c r="J280" i="18"/>
  <c r="J276" i="18"/>
  <c r="J272" i="18"/>
  <c r="J268" i="18"/>
  <c r="J264" i="18"/>
  <c r="J260" i="18"/>
  <c r="J256" i="18"/>
  <c r="J252" i="18"/>
  <c r="J248" i="18"/>
  <c r="J244" i="18"/>
  <c r="J234" i="18"/>
  <c r="J216" i="18"/>
  <c r="J212" i="18"/>
  <c r="N39" i="18"/>
  <c r="L39" i="18"/>
  <c r="Z63" i="18"/>
  <c r="X63" i="18"/>
  <c r="J161" i="18"/>
  <c r="J169" i="18"/>
  <c r="J181" i="18"/>
  <c r="X198" i="18"/>
  <c r="Z198" i="18" s="1"/>
  <c r="J225" i="18"/>
  <c r="N232" i="18"/>
  <c r="J333" i="18"/>
  <c r="F55" i="21"/>
  <c r="X295" i="15"/>
  <c r="Z295" i="15" s="1"/>
  <c r="F137" i="18"/>
  <c r="F141" i="18"/>
  <c r="F145" i="18"/>
  <c r="F149" i="18"/>
  <c r="F153" i="18"/>
  <c r="F157" i="18"/>
  <c r="F161" i="18"/>
  <c r="F165" i="18"/>
  <c r="F169" i="18"/>
  <c r="F173" i="18"/>
  <c r="F177" i="18"/>
  <c r="F181" i="18"/>
  <c r="F185" i="18"/>
  <c r="F189" i="18"/>
  <c r="F193" i="18"/>
  <c r="F224" i="18"/>
  <c r="F225" i="18"/>
  <c r="F232" i="18"/>
  <c r="F233" i="18"/>
  <c r="F293" i="18"/>
  <c r="F305" i="18"/>
  <c r="F309" i="18"/>
  <c r="F316" i="18"/>
  <c r="F317" i="18"/>
  <c r="Z324" i="18"/>
  <c r="F334" i="18"/>
  <c r="F339" i="18"/>
  <c r="H12" i="21"/>
  <c r="L51" i="21"/>
  <c r="N51" i="21" s="1"/>
  <c r="N86" i="21"/>
  <c r="Z15" i="24"/>
  <c r="X15" i="24"/>
  <c r="Z34" i="24"/>
  <c r="Z36" i="24"/>
  <c r="Z40" i="24"/>
  <c r="Z44" i="24"/>
  <c r="Z48" i="24"/>
  <c r="Z52" i="24"/>
  <c r="Z142" i="24"/>
  <c r="V118" i="27"/>
  <c r="V114" i="27"/>
  <c r="V106" i="27"/>
  <c r="V102" i="27"/>
  <c r="V98" i="27"/>
  <c r="V90" i="27"/>
  <c r="V66" i="27"/>
  <c r="V64" i="27"/>
  <c r="V62" i="27"/>
  <c r="V58" i="27"/>
  <c r="V54" i="27"/>
  <c r="V50" i="27"/>
  <c r="V46" i="27"/>
  <c r="V113" i="27"/>
  <c r="V89" i="27"/>
  <c r="V81" i="27"/>
  <c r="V77" i="27"/>
  <c r="T64" i="27"/>
  <c r="V120" i="27"/>
  <c r="V108" i="27"/>
  <c r="V92" i="27"/>
  <c r="V76" i="27"/>
  <c r="V72" i="27"/>
  <c r="V68" i="27"/>
  <c r="V115" i="27"/>
  <c r="V103" i="27"/>
  <c r="V99" i="27"/>
  <c r="V91" i="27"/>
  <c r="V83" i="27"/>
  <c r="V59" i="27"/>
  <c r="V55" i="27"/>
  <c r="V51" i="27"/>
  <c r="V47" i="27"/>
  <c r="V122" i="27"/>
  <c r="V82" i="27"/>
  <c r="V78" i="27"/>
  <c r="V121" i="27"/>
  <c r="V109" i="27"/>
  <c r="V93" i="27"/>
  <c r="V85" i="27"/>
  <c r="V73" i="27"/>
  <c r="V69" i="27"/>
  <c r="V130" i="27"/>
  <c r="V124" i="27"/>
  <c r="V116" i="27"/>
  <c r="V104" i="27"/>
  <c r="V100" i="27"/>
  <c r="V84" i="27"/>
  <c r="V60" i="27"/>
  <c r="V56" i="27"/>
  <c r="V52" i="27"/>
  <c r="V48" i="27"/>
  <c r="V129" i="27"/>
  <c r="V123" i="27"/>
  <c r="V111" i="27"/>
  <c r="V95" i="27"/>
  <c r="V79" i="27"/>
  <c r="V128" i="27"/>
  <c r="V110" i="27"/>
  <c r="V94" i="27"/>
  <c r="V86" i="27"/>
  <c r="V74" i="27"/>
  <c r="V70" i="27"/>
  <c r="V127" i="27"/>
  <c r="V125" i="27"/>
  <c r="V117" i="27"/>
  <c r="V105" i="27"/>
  <c r="V101" i="27"/>
  <c r="V97" i="27"/>
  <c r="V61" i="27"/>
  <c r="V57" i="27"/>
  <c r="V53" i="27"/>
  <c r="V49" i="27"/>
  <c r="V119" i="27"/>
  <c r="V107" i="27"/>
  <c r="V87" i="27"/>
  <c r="V75" i="27"/>
  <c r="V71" i="27"/>
  <c r="V67" i="27"/>
  <c r="N26" i="27"/>
  <c r="L30" i="27"/>
  <c r="N30" i="27" s="1"/>
  <c r="L34" i="27"/>
  <c r="N34" i="27" s="1"/>
  <c r="V96" i="27"/>
  <c r="N21" i="30"/>
  <c r="Z36" i="30"/>
  <c r="Z38" i="30"/>
  <c r="Z42" i="30"/>
  <c r="N74" i="30"/>
  <c r="L265" i="15"/>
  <c r="N265" i="15" s="1"/>
  <c r="F211" i="18"/>
  <c r="F215" i="18"/>
  <c r="F222" i="18"/>
  <c r="F223" i="18"/>
  <c r="F230" i="18"/>
  <c r="F231" i="18"/>
  <c r="F247" i="18"/>
  <c r="F251" i="18"/>
  <c r="F255" i="18"/>
  <c r="F259" i="18"/>
  <c r="F263" i="18"/>
  <c r="F267" i="18"/>
  <c r="F271" i="18"/>
  <c r="F275" i="18"/>
  <c r="F279" i="18"/>
  <c r="F287" i="18"/>
  <c r="F314" i="18"/>
  <c r="F315" i="18"/>
  <c r="H323" i="18"/>
  <c r="F324" i="18"/>
  <c r="L62" i="21"/>
  <c r="Z75" i="21"/>
  <c r="X79" i="21"/>
  <c r="Z104" i="21"/>
  <c r="X104" i="21"/>
  <c r="Z23" i="24"/>
  <c r="X23" i="24"/>
  <c r="N86" i="24"/>
  <c r="X145" i="24"/>
  <c r="H12" i="27"/>
  <c r="Z26" i="27"/>
  <c r="N38" i="27"/>
  <c r="L42" i="27"/>
  <c r="V80" i="27"/>
  <c r="Z74" i="30"/>
  <c r="X84" i="30"/>
  <c r="Z84" i="30" s="1"/>
  <c r="J87" i="30"/>
  <c r="F135" i="18"/>
  <c r="F136" i="18"/>
  <c r="F140" i="18"/>
  <c r="F144" i="18"/>
  <c r="F148" i="18"/>
  <c r="F152" i="18"/>
  <c r="F156" i="18"/>
  <c r="F160" i="18"/>
  <c r="F164" i="18"/>
  <c r="F168" i="18"/>
  <c r="F172" i="18"/>
  <c r="F176" i="18"/>
  <c r="F180" i="18"/>
  <c r="F184" i="18"/>
  <c r="F188" i="18"/>
  <c r="F192" i="18"/>
  <c r="F239" i="18"/>
  <c r="F240" i="18"/>
  <c r="F292" i="18"/>
  <c r="F304" i="18"/>
  <c r="F308" i="18"/>
  <c r="F325" i="18"/>
  <c r="P12" i="21"/>
  <c r="N62" i="21"/>
  <c r="L71" i="21"/>
  <c r="N71" i="21" s="1"/>
  <c r="Z79" i="21"/>
  <c r="N81" i="21"/>
  <c r="D12" i="24"/>
  <c r="Z145" i="24"/>
  <c r="N156" i="24"/>
  <c r="L156" i="24"/>
  <c r="P161" i="24"/>
  <c r="N42" i="27"/>
  <c r="Z29" i="30"/>
  <c r="F60" i="30"/>
  <c r="F201" i="18"/>
  <c r="F205" i="18"/>
  <c r="F221" i="18"/>
  <c r="F229" i="18"/>
  <c r="F297" i="18"/>
  <c r="F313" i="18"/>
  <c r="F320" i="18"/>
  <c r="F321" i="18"/>
  <c r="F326" i="18"/>
  <c r="P12" i="27"/>
  <c r="X15" i="27"/>
  <c r="N85" i="27"/>
  <c r="Z127" i="27"/>
  <c r="F92" i="30"/>
  <c r="D196" i="18"/>
  <c r="F209" i="18"/>
  <c r="F210" i="18"/>
  <c r="F214" i="18"/>
  <c r="F238" i="18"/>
  <c r="F246" i="18"/>
  <c r="F250" i="18"/>
  <c r="F254" i="18"/>
  <c r="F258" i="18"/>
  <c r="F262" i="18"/>
  <c r="F266" i="18"/>
  <c r="F270" i="18"/>
  <c r="F274" i="18"/>
  <c r="F278" i="18"/>
  <c r="F285" i="18"/>
  <c r="F286" i="18"/>
  <c r="F327" i="18"/>
  <c r="T12" i="24"/>
  <c r="N39" i="24"/>
  <c r="Z15" i="27"/>
  <c r="L83" i="27"/>
  <c r="N83" i="27" s="1"/>
  <c r="R148" i="30"/>
  <c r="R136" i="30"/>
  <c r="R129" i="30"/>
  <c r="R128" i="30"/>
  <c r="R109" i="30"/>
  <c r="R108" i="30"/>
  <c r="R156" i="30"/>
  <c r="R155" i="30"/>
  <c r="R143" i="30"/>
  <c r="R123" i="30"/>
  <c r="R119" i="30"/>
  <c r="R115" i="30"/>
  <c r="R100" i="30"/>
  <c r="R99" i="30"/>
  <c r="R131" i="30"/>
  <c r="R130" i="30"/>
  <c r="R111" i="30"/>
  <c r="R110" i="30"/>
  <c r="R157" i="30"/>
  <c r="R149" i="30"/>
  <c r="R138" i="30"/>
  <c r="R137" i="30"/>
  <c r="R102" i="30"/>
  <c r="R101" i="30"/>
  <c r="R145" i="30"/>
  <c r="R144" i="30"/>
  <c r="R132" i="30"/>
  <c r="R124" i="30"/>
  <c r="R120" i="30"/>
  <c r="R116" i="30"/>
  <c r="R112" i="30"/>
  <c r="R139" i="30"/>
  <c r="R159" i="30"/>
  <c r="R158" i="30"/>
  <c r="R150" i="30"/>
  <c r="R146" i="30"/>
  <c r="R133" i="30"/>
  <c r="R125" i="30"/>
  <c r="R121" i="30"/>
  <c r="R117" i="30"/>
  <c r="R113" i="30"/>
  <c r="R105" i="30"/>
  <c r="R163" i="30"/>
  <c r="R160" i="30"/>
  <c r="R140" i="30"/>
  <c r="R162" i="30"/>
  <c r="R152" i="30"/>
  <c r="R151" i="30"/>
  <c r="R147" i="30"/>
  <c r="R134" i="30"/>
  <c r="R95" i="30"/>
  <c r="R75" i="30"/>
  <c r="R70" i="30"/>
  <c r="R66" i="30"/>
  <c r="R62" i="30"/>
  <c r="R58" i="30"/>
  <c r="R54" i="30"/>
  <c r="R50" i="30"/>
  <c r="R154" i="30"/>
  <c r="R141" i="30"/>
  <c r="R118" i="30"/>
  <c r="R104" i="30"/>
  <c r="R89" i="30"/>
  <c r="R85" i="30"/>
  <c r="R74" i="30"/>
  <c r="R46" i="30"/>
  <c r="R80" i="30"/>
  <c r="R76" i="30"/>
  <c r="P72" i="30"/>
  <c r="R72" i="30" s="1"/>
  <c r="R127" i="30"/>
  <c r="R96" i="30"/>
  <c r="R67" i="30"/>
  <c r="R63" i="30"/>
  <c r="R59" i="30"/>
  <c r="R55" i="30"/>
  <c r="R51" i="30"/>
  <c r="R47" i="30"/>
  <c r="R142" i="30"/>
  <c r="R107" i="30"/>
  <c r="R91" i="30"/>
  <c r="R90" i="30"/>
  <c r="R86" i="30"/>
  <c r="R122" i="30"/>
  <c r="R97" i="30"/>
  <c r="R81" i="30"/>
  <c r="R77" i="30"/>
  <c r="R135" i="30"/>
  <c r="R68" i="30"/>
  <c r="R64" i="30"/>
  <c r="R60" i="30"/>
  <c r="R56" i="30"/>
  <c r="R52" i="30"/>
  <c r="R48" i="30"/>
  <c r="R92" i="30"/>
  <c r="R87" i="30"/>
  <c r="R114" i="30"/>
  <c r="R93" i="30"/>
  <c r="R82" i="30"/>
  <c r="R78" i="30"/>
  <c r="R126" i="30"/>
  <c r="R98" i="30"/>
  <c r="R69" i="30"/>
  <c r="R65" i="30"/>
  <c r="R61" i="30"/>
  <c r="R57" i="30"/>
  <c r="R53" i="30"/>
  <c r="R49" i="30"/>
  <c r="R167" i="30"/>
  <c r="R153" i="30"/>
  <c r="R106" i="30"/>
  <c r="R94" i="30"/>
  <c r="R84" i="30"/>
  <c r="R83" i="30"/>
  <c r="R79" i="30"/>
  <c r="X111" i="18"/>
  <c r="X115" i="18"/>
  <c r="Z115" i="18" s="1"/>
  <c r="X119" i="18"/>
  <c r="Z119" i="18" s="1"/>
  <c r="X123" i="18"/>
  <c r="F139" i="18"/>
  <c r="F143" i="18"/>
  <c r="F147" i="18"/>
  <c r="F151" i="18"/>
  <c r="F155" i="18"/>
  <c r="F159" i="18"/>
  <c r="F163" i="18"/>
  <c r="F167" i="18"/>
  <c r="F171" i="18"/>
  <c r="F175" i="18"/>
  <c r="F179" i="18"/>
  <c r="F183" i="18"/>
  <c r="F187" i="18"/>
  <c r="F191" i="18"/>
  <c r="F196" i="18"/>
  <c r="F198" i="18"/>
  <c r="F290" i="18"/>
  <c r="F291" i="18"/>
  <c r="F302" i="18"/>
  <c r="F303" i="18"/>
  <c r="F307" i="18"/>
  <c r="F319" i="18"/>
  <c r="P323" i="18"/>
  <c r="X323" i="18" s="1"/>
  <c r="F328" i="18"/>
  <c r="Z55" i="21"/>
  <c r="X60" i="21"/>
  <c r="Z60" i="21" s="1"/>
  <c r="N102" i="21"/>
  <c r="X14" i="24"/>
  <c r="Z14" i="24" s="1"/>
  <c r="Z18" i="24"/>
  <c r="Z20" i="24"/>
  <c r="N148" i="24"/>
  <c r="L148" i="24"/>
  <c r="Z19" i="27"/>
  <c r="Z23" i="27"/>
  <c r="Z107" i="27"/>
  <c r="Z46" i="30"/>
  <c r="F64" i="30"/>
  <c r="F97" i="30"/>
  <c r="F199" i="18"/>
  <c r="F200" i="18"/>
  <c r="F204" i="18"/>
  <c r="F208" i="18"/>
  <c r="F219" i="18"/>
  <c r="F220" i="18"/>
  <c r="F227" i="18"/>
  <c r="F228" i="18"/>
  <c r="X234" i="18"/>
  <c r="Z234" i="18" s="1"/>
  <c r="F283" i="18"/>
  <c r="F284" i="18"/>
  <c r="X294" i="18"/>
  <c r="Z294" i="18" s="1"/>
  <c r="F296" i="18"/>
  <c r="F311" i="18"/>
  <c r="F312" i="18"/>
  <c r="L320" i="18"/>
  <c r="L326" i="18"/>
  <c r="F329" i="18"/>
  <c r="X332" i="18"/>
  <c r="L14" i="21"/>
  <c r="L42" i="21"/>
  <c r="N42" i="21" s="1"/>
  <c r="X51" i="21"/>
  <c r="Z51" i="21" s="1"/>
  <c r="Z22" i="24"/>
  <c r="Z39" i="24"/>
  <c r="N140" i="24"/>
  <c r="L140" i="24"/>
  <c r="X12" i="30"/>
  <c r="L37" i="18"/>
  <c r="N37" i="18" s="1"/>
  <c r="L41" i="18"/>
  <c r="N41" i="18" s="1"/>
  <c r="L45" i="18"/>
  <c r="N45" i="18" s="1"/>
  <c r="L49" i="18"/>
  <c r="N49" i="18" s="1"/>
  <c r="L53" i="18"/>
  <c r="N53" i="18" s="1"/>
  <c r="L57" i="18"/>
  <c r="N57" i="18" s="1"/>
  <c r="L61" i="18"/>
  <c r="L65" i="18"/>
  <c r="N65" i="18" s="1"/>
  <c r="L69" i="18"/>
  <c r="L73" i="18"/>
  <c r="L77" i="18"/>
  <c r="N77" i="18" s="1"/>
  <c r="L81" i="18"/>
  <c r="L85" i="18"/>
  <c r="L89" i="18"/>
  <c r="N89" i="18" s="1"/>
  <c r="L93" i="18"/>
  <c r="L97" i="18"/>
  <c r="N97" i="18" s="1"/>
  <c r="L101" i="18"/>
  <c r="N101" i="18" s="1"/>
  <c r="L105" i="18"/>
  <c r="N105" i="18" s="1"/>
  <c r="L109" i="18"/>
  <c r="L113" i="18"/>
  <c r="L117" i="18"/>
  <c r="L121" i="18"/>
  <c r="N121" i="18" s="1"/>
  <c r="L125" i="18"/>
  <c r="L129" i="18"/>
  <c r="L133" i="18"/>
  <c r="F213" i="18"/>
  <c r="F236" i="18"/>
  <c r="F237" i="18"/>
  <c r="F245" i="18"/>
  <c r="F249" i="18"/>
  <c r="F253" i="18"/>
  <c r="F257" i="18"/>
  <c r="F261" i="18"/>
  <c r="F265" i="18"/>
  <c r="F269" i="18"/>
  <c r="F273" i="18"/>
  <c r="F277" i="18"/>
  <c r="F289" i="18"/>
  <c r="F301" i="18"/>
  <c r="F330" i="18"/>
  <c r="X15" i="21"/>
  <c r="Z15" i="21" s="1"/>
  <c r="X19" i="21"/>
  <c r="X23" i="21"/>
  <c r="Z23" i="21" s="1"/>
  <c r="N49" i="21"/>
  <c r="L58" i="21"/>
  <c r="N58" i="21" s="1"/>
  <c r="Z71" i="21"/>
  <c r="N73" i="21"/>
  <c r="L89" i="21"/>
  <c r="Z100" i="21"/>
  <c r="X22" i="24"/>
  <c r="N96" i="24"/>
  <c r="L96" i="24"/>
  <c r="Z158" i="24"/>
  <c r="Z31" i="27"/>
  <c r="Z88" i="27"/>
  <c r="X97" i="27"/>
  <c r="Z97" i="27" s="1"/>
  <c r="Z16" i="30"/>
  <c r="Z20" i="30"/>
  <c r="Z26" i="30"/>
  <c r="Z75" i="30"/>
  <c r="N13" i="18"/>
  <c r="F138" i="18"/>
  <c r="F142" i="18"/>
  <c r="F146" i="18"/>
  <c r="F150" i="18"/>
  <c r="F154" i="18"/>
  <c r="F158" i="18"/>
  <c r="F162" i="18"/>
  <c r="F166" i="18"/>
  <c r="F170" i="18"/>
  <c r="F174" i="18"/>
  <c r="F178" i="18"/>
  <c r="F182" i="18"/>
  <c r="F186" i="18"/>
  <c r="F190" i="18"/>
  <c r="F194" i="18"/>
  <c r="F217" i="18"/>
  <c r="F218" i="18"/>
  <c r="F226" i="18"/>
  <c r="F281" i="18"/>
  <c r="F282" i="18"/>
  <c r="F306" i="18"/>
  <c r="F310" i="18"/>
  <c r="F318" i="18"/>
  <c r="F331" i="18"/>
  <c r="N53" i="21"/>
  <c r="N89" i="21"/>
  <c r="L14" i="27"/>
  <c r="F160" i="30"/>
  <c r="F159" i="30"/>
  <c r="F140" i="30"/>
  <c r="F96" i="30"/>
  <c r="F95" i="30"/>
  <c r="F151" i="30"/>
  <c r="F147" i="30"/>
  <c r="F163" i="30"/>
  <c r="F134" i="30"/>
  <c r="F126" i="30"/>
  <c r="F122" i="30"/>
  <c r="F118" i="30"/>
  <c r="F114" i="30"/>
  <c r="F167" i="30"/>
  <c r="F162" i="30"/>
  <c r="F153" i="30"/>
  <c r="F152" i="30"/>
  <c r="F141" i="30"/>
  <c r="F148" i="30"/>
  <c r="F136" i="30"/>
  <c r="F135" i="30"/>
  <c r="F128" i="30"/>
  <c r="F127" i="30"/>
  <c r="F108" i="30"/>
  <c r="F107" i="30"/>
  <c r="F155" i="30"/>
  <c r="F154" i="30"/>
  <c r="F143" i="30"/>
  <c r="F142" i="30"/>
  <c r="F123" i="30"/>
  <c r="F119" i="30"/>
  <c r="F115" i="30"/>
  <c r="F130" i="30"/>
  <c r="F129" i="30"/>
  <c r="F157" i="30"/>
  <c r="F156" i="30"/>
  <c r="F149" i="30"/>
  <c r="F137" i="30"/>
  <c r="F101" i="30"/>
  <c r="F100" i="30"/>
  <c r="F144" i="30"/>
  <c r="F132" i="30"/>
  <c r="F131" i="30"/>
  <c r="F124" i="30"/>
  <c r="F120" i="30"/>
  <c r="F116" i="30"/>
  <c r="F112" i="30"/>
  <c r="F111" i="30"/>
  <c r="F139" i="30"/>
  <c r="F138" i="30"/>
  <c r="F103" i="30"/>
  <c r="F102" i="30"/>
  <c r="F110" i="30"/>
  <c r="F98" i="30"/>
  <c r="F82" i="30"/>
  <c r="F78" i="30"/>
  <c r="F121" i="30"/>
  <c r="F93" i="30"/>
  <c r="F69" i="30"/>
  <c r="F65" i="30"/>
  <c r="F61" i="30"/>
  <c r="F57" i="30"/>
  <c r="F53" i="30"/>
  <c r="F49" i="30"/>
  <c r="F106" i="30"/>
  <c r="F94" i="30"/>
  <c r="F88" i="30"/>
  <c r="L12" i="30"/>
  <c r="F145" i="30"/>
  <c r="F83" i="30"/>
  <c r="F79" i="30"/>
  <c r="F150" i="30"/>
  <c r="F70" i="30"/>
  <c r="F66" i="30"/>
  <c r="F62" i="30"/>
  <c r="F58" i="30"/>
  <c r="F54" i="30"/>
  <c r="F50" i="30"/>
  <c r="F158" i="30"/>
  <c r="F125" i="30"/>
  <c r="F113" i="30"/>
  <c r="F104" i="30"/>
  <c r="F89" i="30"/>
  <c r="F85" i="30"/>
  <c r="F84" i="30"/>
  <c r="F109" i="30"/>
  <c r="F99" i="30"/>
  <c r="F80" i="30"/>
  <c r="F76" i="30"/>
  <c r="F75" i="30"/>
  <c r="F74" i="30"/>
  <c r="F67" i="30"/>
  <c r="F63" i="30"/>
  <c r="F59" i="30"/>
  <c r="F55" i="30"/>
  <c r="F51" i="30"/>
  <c r="F47" i="30"/>
  <c r="F46" i="30"/>
  <c r="F133" i="30"/>
  <c r="F90" i="30"/>
  <c r="F86" i="30"/>
  <c r="D72" i="30"/>
  <c r="F117" i="30"/>
  <c r="F105" i="30"/>
  <c r="F81" i="30"/>
  <c r="F77" i="30"/>
  <c r="F87" i="30"/>
  <c r="R88" i="30"/>
  <c r="F203" i="18"/>
  <c r="F207" i="18"/>
  <c r="F234" i="18"/>
  <c r="F235" i="18"/>
  <c r="F294" i="18"/>
  <c r="F295" i="18"/>
  <c r="F332" i="18"/>
  <c r="L13" i="21"/>
  <c r="N13" i="21" s="1"/>
  <c r="L17" i="21"/>
  <c r="L21" i="21"/>
  <c r="N21" i="21" s="1"/>
  <c r="X26" i="24"/>
  <c r="N36" i="24"/>
  <c r="N48" i="24"/>
  <c r="X106" i="24"/>
  <c r="Z106" i="24" s="1"/>
  <c r="Z150" i="24"/>
  <c r="N14" i="27"/>
  <c r="J163" i="30"/>
  <c r="J151" i="30"/>
  <c r="J147" i="30"/>
  <c r="J97" i="30"/>
  <c r="J162" i="30"/>
  <c r="J152" i="30"/>
  <c r="J134" i="30"/>
  <c r="J126" i="30"/>
  <c r="J122" i="30"/>
  <c r="J118" i="30"/>
  <c r="J114" i="30"/>
  <c r="J106" i="30"/>
  <c r="J98" i="30"/>
  <c r="J167" i="30"/>
  <c r="J153" i="30"/>
  <c r="J141" i="30"/>
  <c r="J135" i="30"/>
  <c r="J127" i="30"/>
  <c r="J107" i="30"/>
  <c r="J154" i="30"/>
  <c r="J148" i="30"/>
  <c r="J142" i="30"/>
  <c r="J136" i="30"/>
  <c r="J128" i="30"/>
  <c r="J108" i="30"/>
  <c r="J155" i="30"/>
  <c r="J143" i="30"/>
  <c r="J129" i="30"/>
  <c r="J123" i="30"/>
  <c r="J119" i="30"/>
  <c r="J115" i="30"/>
  <c r="J109" i="30"/>
  <c r="J99" i="30"/>
  <c r="J156" i="30"/>
  <c r="J130" i="30"/>
  <c r="J110" i="30"/>
  <c r="J157" i="30"/>
  <c r="J149" i="30"/>
  <c r="J137" i="30"/>
  <c r="J131" i="30"/>
  <c r="J144" i="30"/>
  <c r="J138" i="30"/>
  <c r="J132" i="30"/>
  <c r="J124" i="30"/>
  <c r="J120" i="30"/>
  <c r="J116" i="30"/>
  <c r="J112" i="30"/>
  <c r="J102" i="30"/>
  <c r="J92" i="30"/>
  <c r="J145" i="30"/>
  <c r="J139" i="30"/>
  <c r="J158" i="30"/>
  <c r="J150" i="30"/>
  <c r="J146" i="30"/>
  <c r="J104" i="30"/>
  <c r="J121" i="30"/>
  <c r="J69" i="30"/>
  <c r="J65" i="30"/>
  <c r="J61" i="30"/>
  <c r="J57" i="30"/>
  <c r="J53" i="30"/>
  <c r="J49" i="30"/>
  <c r="J103" i="30"/>
  <c r="J94" i="30"/>
  <c r="J88" i="30"/>
  <c r="N12" i="30"/>
  <c r="J83" i="30"/>
  <c r="J79" i="30"/>
  <c r="J84" i="30"/>
  <c r="J70" i="30"/>
  <c r="J66" i="30"/>
  <c r="J62" i="30"/>
  <c r="J58" i="30"/>
  <c r="J54" i="30"/>
  <c r="J50" i="30"/>
  <c r="J125" i="30"/>
  <c r="J113" i="30"/>
  <c r="J111" i="30"/>
  <c r="J101" i="30"/>
  <c r="J95" i="30"/>
  <c r="J89" i="30"/>
  <c r="J85" i="30"/>
  <c r="J75" i="30"/>
  <c r="J80" i="30"/>
  <c r="J76" i="30"/>
  <c r="J74" i="30"/>
  <c r="J46" i="30"/>
  <c r="J160" i="30"/>
  <c r="J96" i="30"/>
  <c r="H72" i="30"/>
  <c r="J67" i="30"/>
  <c r="J63" i="30"/>
  <c r="J59" i="30"/>
  <c r="J55" i="30"/>
  <c r="J51" i="30"/>
  <c r="J47" i="30"/>
  <c r="J140" i="30"/>
  <c r="J133" i="30"/>
  <c r="J90" i="30"/>
  <c r="J86" i="30"/>
  <c r="J117" i="30"/>
  <c r="J105" i="30"/>
  <c r="J91" i="30"/>
  <c r="J81" i="30"/>
  <c r="J77" i="30"/>
  <c r="J68" i="30"/>
  <c r="J64" i="30"/>
  <c r="J60" i="30"/>
  <c r="J56" i="30"/>
  <c r="J52" i="30"/>
  <c r="J48" i="30"/>
  <c r="J93" i="30"/>
  <c r="J82" i="30"/>
  <c r="J78" i="30"/>
  <c r="F68" i="30"/>
  <c r="F91" i="30"/>
  <c r="F212" i="18"/>
  <c r="F216" i="18"/>
  <c r="F243" i="18"/>
  <c r="F244" i="18"/>
  <c r="F248" i="18"/>
  <c r="F252" i="18"/>
  <c r="F256" i="18"/>
  <c r="F260" i="18"/>
  <c r="F264" i="18"/>
  <c r="F268" i="18"/>
  <c r="F272" i="18"/>
  <c r="F276" i="18"/>
  <c r="F280" i="18"/>
  <c r="F288" i="18"/>
  <c r="F299" i="18"/>
  <c r="F300" i="18"/>
  <c r="X89" i="21"/>
  <c r="Z89" i="21" s="1"/>
  <c r="Z30" i="24"/>
  <c r="Z32" i="24"/>
  <c r="Z85" i="24"/>
  <c r="N18" i="27"/>
  <c r="N22" i="27"/>
  <c r="Z34" i="30"/>
  <c r="F56" i="30"/>
  <c r="J100" i="30"/>
  <c r="V155" i="30"/>
  <c r="V143" i="30"/>
  <c r="V131" i="30"/>
  <c r="V123" i="30"/>
  <c r="V119" i="30"/>
  <c r="V115" i="30"/>
  <c r="V111" i="30"/>
  <c r="V99" i="30"/>
  <c r="V138" i="30"/>
  <c r="V130" i="30"/>
  <c r="V110" i="30"/>
  <c r="V102" i="30"/>
  <c r="V157" i="30"/>
  <c r="V149" i="30"/>
  <c r="V145" i="30"/>
  <c r="V137" i="30"/>
  <c r="V144" i="30"/>
  <c r="V132" i="30"/>
  <c r="V124" i="30"/>
  <c r="V120" i="30"/>
  <c r="V116" i="30"/>
  <c r="V112" i="30"/>
  <c r="V104" i="30"/>
  <c r="V159" i="30"/>
  <c r="V139" i="30"/>
  <c r="V103" i="30"/>
  <c r="V158" i="30"/>
  <c r="V150" i="30"/>
  <c r="V146" i="30"/>
  <c r="V163" i="30"/>
  <c r="V133" i="30"/>
  <c r="V125" i="30"/>
  <c r="V121" i="30"/>
  <c r="V117" i="30"/>
  <c r="V162" i="30"/>
  <c r="V160" i="30"/>
  <c r="V152" i="30"/>
  <c r="V140" i="30"/>
  <c r="V96" i="30"/>
  <c r="V151" i="30"/>
  <c r="V147" i="30"/>
  <c r="V135" i="30"/>
  <c r="V127" i="30"/>
  <c r="V107" i="30"/>
  <c r="V154" i="30"/>
  <c r="V142" i="30"/>
  <c r="V134" i="30"/>
  <c r="V126" i="30"/>
  <c r="V122" i="30"/>
  <c r="V118" i="30"/>
  <c r="V114" i="30"/>
  <c r="V106" i="30"/>
  <c r="V98" i="30"/>
  <c r="V46" i="30"/>
  <c r="V50" i="30"/>
  <c r="V54" i="30"/>
  <c r="V58" i="30"/>
  <c r="V62" i="30"/>
  <c r="V66" i="30"/>
  <c r="V70" i="30"/>
  <c r="V72" i="30"/>
  <c r="V74" i="30"/>
  <c r="V148" i="30"/>
  <c r="L100" i="33"/>
  <c r="Z17" i="36"/>
  <c r="Z75" i="36"/>
  <c r="H12" i="24"/>
  <c r="R59" i="24"/>
  <c r="R63" i="24"/>
  <c r="R67" i="24"/>
  <c r="R71" i="24"/>
  <c r="R75" i="24"/>
  <c r="R79" i="24"/>
  <c r="R103" i="24"/>
  <c r="R104" i="24"/>
  <c r="R119" i="24"/>
  <c r="R123" i="24"/>
  <c r="R127" i="24"/>
  <c r="R131" i="24"/>
  <c r="R135" i="24"/>
  <c r="R143" i="24"/>
  <c r="R151" i="24"/>
  <c r="R159" i="24"/>
  <c r="T161" i="24"/>
  <c r="Z161" i="24" s="1"/>
  <c r="R162" i="24"/>
  <c r="Z12" i="30"/>
  <c r="V84" i="30"/>
  <c r="V88" i="30"/>
  <c r="X95" i="30"/>
  <c r="Z95" i="30" s="1"/>
  <c r="P94" i="33"/>
  <c r="X94" i="33" s="1"/>
  <c r="Z21" i="36"/>
  <c r="J43" i="36"/>
  <c r="J119" i="36"/>
  <c r="R88" i="24"/>
  <c r="R92" i="24"/>
  <c r="R112" i="24"/>
  <c r="R113" i="24"/>
  <c r="V49" i="30"/>
  <c r="V53" i="30"/>
  <c r="V57" i="30"/>
  <c r="V61" i="30"/>
  <c r="V65" i="30"/>
  <c r="V69" i="30"/>
  <c r="Z100" i="30"/>
  <c r="N78" i="39"/>
  <c r="R97" i="24"/>
  <c r="R101" i="24"/>
  <c r="R102" i="24"/>
  <c r="R141" i="24"/>
  <c r="R142" i="24"/>
  <c r="R149" i="24"/>
  <c r="R150" i="24"/>
  <c r="R157" i="24"/>
  <c r="R158" i="24"/>
  <c r="X128" i="27"/>
  <c r="Z128" i="27" s="1"/>
  <c r="V78" i="30"/>
  <c r="V82" i="30"/>
  <c r="V100" i="30"/>
  <c r="Z28" i="33"/>
  <c r="N44" i="33"/>
  <c r="N61" i="33"/>
  <c r="Z67" i="33"/>
  <c r="N72" i="33"/>
  <c r="R58" i="24"/>
  <c r="R62" i="24"/>
  <c r="R66" i="24"/>
  <c r="R70" i="24"/>
  <c r="R74" i="24"/>
  <c r="R78" i="24"/>
  <c r="R110" i="24"/>
  <c r="R111" i="24"/>
  <c r="R118" i="24"/>
  <c r="R122" i="24"/>
  <c r="R126" i="24"/>
  <c r="R130" i="24"/>
  <c r="R134" i="24"/>
  <c r="V87" i="30"/>
  <c r="V92" i="30"/>
  <c r="V93" i="30"/>
  <c r="N129" i="30"/>
  <c r="J97" i="33"/>
  <c r="J91" i="33"/>
  <c r="J85" i="33"/>
  <c r="J77" i="33"/>
  <c r="H42" i="33"/>
  <c r="J37" i="33"/>
  <c r="J96" i="33"/>
  <c r="J92" i="33"/>
  <c r="J78" i="33"/>
  <c r="J60" i="33"/>
  <c r="J56" i="33"/>
  <c r="J95" i="33"/>
  <c r="J79" i="33"/>
  <c r="J71" i="33"/>
  <c r="J61" i="33"/>
  <c r="J51" i="33"/>
  <c r="J47" i="33"/>
  <c r="J86" i="33"/>
  <c r="J72" i="33"/>
  <c r="J62" i="33"/>
  <c r="J38" i="33"/>
  <c r="J73" i="33"/>
  <c r="J63" i="33"/>
  <c r="J57" i="33"/>
  <c r="J80" i="33"/>
  <c r="J74" i="33"/>
  <c r="J64" i="33"/>
  <c r="J52" i="33"/>
  <c r="J48" i="33"/>
  <c r="J87" i="33"/>
  <c r="J81" i="33"/>
  <c r="J75" i="33"/>
  <c r="J65" i="33"/>
  <c r="J39" i="33"/>
  <c r="J82" i="33"/>
  <c r="J66" i="33"/>
  <c r="J58" i="33"/>
  <c r="J83" i="33"/>
  <c r="J67" i="33"/>
  <c r="J53" i="33"/>
  <c r="J49" i="33"/>
  <c r="J35" i="33"/>
  <c r="J100" i="33"/>
  <c r="J88" i="33"/>
  <c r="J84" i="33"/>
  <c r="J76" i="33"/>
  <c r="J68" i="33"/>
  <c r="J54" i="33"/>
  <c r="J40" i="33"/>
  <c r="J36" i="33"/>
  <c r="J104" i="33"/>
  <c r="J98" i="33"/>
  <c r="J90" i="33"/>
  <c r="J70" i="33"/>
  <c r="J50" i="33"/>
  <c r="J46" i="33"/>
  <c r="J44" i="33"/>
  <c r="N54" i="33"/>
  <c r="L54" i="33"/>
  <c r="N86" i="39"/>
  <c r="L39" i="24"/>
  <c r="L43" i="24"/>
  <c r="L47" i="24"/>
  <c r="N47" i="24" s="1"/>
  <c r="L51" i="24"/>
  <c r="L55" i="24"/>
  <c r="P83" i="24"/>
  <c r="R87" i="24"/>
  <c r="R91" i="24"/>
  <c r="R95" i="24"/>
  <c r="R96" i="24"/>
  <c r="R139" i="24"/>
  <c r="R140" i="24"/>
  <c r="R147" i="24"/>
  <c r="R148" i="24"/>
  <c r="R155" i="24"/>
  <c r="R156" i="24"/>
  <c r="X14" i="27"/>
  <c r="X18" i="27"/>
  <c r="Z18" i="27" s="1"/>
  <c r="X22" i="27"/>
  <c r="Z22" i="27" s="1"/>
  <c r="L46" i="27"/>
  <c r="N46" i="27" s="1"/>
  <c r="L66" i="27"/>
  <c r="N66" i="27" s="1"/>
  <c r="L13" i="30"/>
  <c r="V48" i="30"/>
  <c r="V52" i="30"/>
  <c r="V56" i="30"/>
  <c r="V60" i="30"/>
  <c r="V64" i="30"/>
  <c r="V68" i="30"/>
  <c r="X93" i="30"/>
  <c r="Z93" i="30" s="1"/>
  <c r="V105" i="30"/>
  <c r="L109" i="30"/>
  <c r="N109" i="30" s="1"/>
  <c r="N138" i="30"/>
  <c r="R86" i="33"/>
  <c r="R63" i="33"/>
  <c r="R62" i="33"/>
  <c r="R38" i="33"/>
  <c r="R74" i="33"/>
  <c r="R73" i="33"/>
  <c r="R57" i="33"/>
  <c r="R81" i="33"/>
  <c r="R80" i="33"/>
  <c r="R65" i="33"/>
  <c r="R64" i="33"/>
  <c r="R52" i="33"/>
  <c r="R48" i="33"/>
  <c r="R87" i="33"/>
  <c r="R75" i="33"/>
  <c r="R39" i="33"/>
  <c r="R83" i="33"/>
  <c r="R82" i="33"/>
  <c r="R67" i="33"/>
  <c r="R66" i="33"/>
  <c r="R58" i="33"/>
  <c r="R35" i="33"/>
  <c r="R100" i="33"/>
  <c r="R54" i="33"/>
  <c r="R53" i="33"/>
  <c r="R49" i="33"/>
  <c r="R99" i="33"/>
  <c r="R89" i="33"/>
  <c r="R88" i="33"/>
  <c r="R84" i="33"/>
  <c r="R76" i="33"/>
  <c r="R69" i="33"/>
  <c r="R68" i="33"/>
  <c r="R45" i="33"/>
  <c r="R40" i="33"/>
  <c r="R36" i="33"/>
  <c r="R98" i="33"/>
  <c r="R59" i="33"/>
  <c r="R55" i="33"/>
  <c r="R44" i="33"/>
  <c r="R104" i="33"/>
  <c r="R97" i="33"/>
  <c r="R91" i="33"/>
  <c r="R90" i="33"/>
  <c r="R70" i="33"/>
  <c r="R50" i="33"/>
  <c r="R46" i="33"/>
  <c r="P42" i="33"/>
  <c r="R96" i="33"/>
  <c r="R85" i="33"/>
  <c r="R78" i="33"/>
  <c r="R77" i="33"/>
  <c r="R37" i="33"/>
  <c r="R94" i="33"/>
  <c r="R79" i="33"/>
  <c r="R72" i="33"/>
  <c r="R71" i="33"/>
  <c r="R51" i="33"/>
  <c r="R47" i="33"/>
  <c r="R61" i="33"/>
  <c r="Z72" i="33"/>
  <c r="X72" i="33"/>
  <c r="X12" i="24"/>
  <c r="R57" i="24"/>
  <c r="R83" i="24"/>
  <c r="R85" i="24"/>
  <c r="R100" i="24"/>
  <c r="R108" i="24"/>
  <c r="R109" i="24"/>
  <c r="Z14" i="27"/>
  <c r="H127" i="27"/>
  <c r="N13" i="30"/>
  <c r="X14" i="30"/>
  <c r="Z14" i="30" s="1"/>
  <c r="V77" i="30"/>
  <c r="V81" i="30"/>
  <c r="Z97" i="30"/>
  <c r="Z129" i="30"/>
  <c r="N156" i="30"/>
  <c r="Z15" i="33"/>
  <c r="Z17" i="33"/>
  <c r="Z44" i="33"/>
  <c r="Z54" i="33"/>
  <c r="Z83" i="33"/>
  <c r="R92" i="33"/>
  <c r="J99" i="33"/>
  <c r="Z16" i="36"/>
  <c r="N54" i="36"/>
  <c r="R61" i="24"/>
  <c r="R65" i="24"/>
  <c r="R69" i="24"/>
  <c r="R73" i="24"/>
  <c r="R77" i="24"/>
  <c r="R81" i="24"/>
  <c r="R86" i="24"/>
  <c r="R117" i="24"/>
  <c r="R121" i="24"/>
  <c r="R125" i="24"/>
  <c r="R129" i="24"/>
  <c r="R133" i="24"/>
  <c r="R137" i="24"/>
  <c r="R138" i="24"/>
  <c r="R153" i="24"/>
  <c r="R154" i="24"/>
  <c r="H161" i="24"/>
  <c r="V86" i="30"/>
  <c r="V90" i="30"/>
  <c r="V97" i="30"/>
  <c r="Z102" i="30"/>
  <c r="L104" i="30"/>
  <c r="N104" i="30" s="1"/>
  <c r="X109" i="30"/>
  <c r="Z109" i="30" s="1"/>
  <c r="V129" i="30"/>
  <c r="Z142" i="30"/>
  <c r="X142" i="30"/>
  <c r="D12" i="36"/>
  <c r="N15" i="36"/>
  <c r="N44" i="36"/>
  <c r="R90" i="24"/>
  <c r="R94" i="24"/>
  <c r="R146" i="24"/>
  <c r="V47" i="30"/>
  <c r="V51" i="30"/>
  <c r="V55" i="30"/>
  <c r="V59" i="30"/>
  <c r="V63" i="30"/>
  <c r="V67" i="30"/>
  <c r="V91" i="30"/>
  <c r="V109" i="30"/>
  <c r="D12" i="33"/>
  <c r="L14" i="33"/>
  <c r="N14" i="33" s="1"/>
  <c r="J55" i="33"/>
  <c r="J127" i="36"/>
  <c r="J121" i="36"/>
  <c r="J113" i="36"/>
  <c r="J93" i="36"/>
  <c r="J87" i="36"/>
  <c r="J77" i="36"/>
  <c r="J67" i="36"/>
  <c r="J59" i="36"/>
  <c r="J126" i="36"/>
  <c r="J122" i="36"/>
  <c r="J114" i="36"/>
  <c r="J98" i="36"/>
  <c r="J94" i="36"/>
  <c r="J78" i="36"/>
  <c r="J68" i="36"/>
  <c r="J131" i="36"/>
  <c r="J125" i="36"/>
  <c r="J115" i="36"/>
  <c r="J109" i="36"/>
  <c r="J105" i="36"/>
  <c r="J99" i="36"/>
  <c r="J79" i="36"/>
  <c r="J69" i="36"/>
  <c r="J41" i="36"/>
  <c r="J37" i="36"/>
  <c r="J27" i="36"/>
  <c r="J124" i="36"/>
  <c r="J116" i="36"/>
  <c r="J100" i="36"/>
  <c r="J88" i="36"/>
  <c r="J80" i="36"/>
  <c r="J117" i="36"/>
  <c r="J95" i="36"/>
  <c r="J81" i="36"/>
  <c r="J71" i="36"/>
  <c r="J51" i="36"/>
  <c r="J47" i="36"/>
  <c r="J118" i="36"/>
  <c r="J110" i="36"/>
  <c r="J106" i="36"/>
  <c r="J101" i="36"/>
  <c r="J89" i="36"/>
  <c r="J83" i="36"/>
  <c r="J73" i="36"/>
  <c r="J61" i="36"/>
  <c r="J53" i="36"/>
  <c r="J86" i="36"/>
  <c r="J74" i="36"/>
  <c r="J64" i="36"/>
  <c r="J56" i="36"/>
  <c r="J44" i="36"/>
  <c r="J120" i="36"/>
  <c r="J112" i="36"/>
  <c r="J108" i="36"/>
  <c r="J104" i="36"/>
  <c r="J92" i="36"/>
  <c r="J76" i="36"/>
  <c r="J66" i="36"/>
  <c r="J58" i="36"/>
  <c r="J40" i="36"/>
  <c r="J36" i="36"/>
  <c r="J103" i="36"/>
  <c r="J84" i="36"/>
  <c r="J39" i="36"/>
  <c r="J90" i="36"/>
  <c r="J75" i="36"/>
  <c r="J54" i="36"/>
  <c r="J49" i="36"/>
  <c r="J35" i="36"/>
  <c r="J85" i="36"/>
  <c r="J82" i="36"/>
  <c r="J63" i="36"/>
  <c r="J107" i="36"/>
  <c r="J102" i="36"/>
  <c r="J52" i="36"/>
  <c r="J96" i="36"/>
  <c r="J42" i="36"/>
  <c r="H31" i="36"/>
  <c r="J57" i="36"/>
  <c r="J45" i="36"/>
  <c r="J38" i="36"/>
  <c r="J33" i="36"/>
  <c r="J111" i="36"/>
  <c r="J72" i="36"/>
  <c r="J55" i="36"/>
  <c r="J50" i="36"/>
  <c r="J28" i="36"/>
  <c r="J91" i="36"/>
  <c r="J48" i="36"/>
  <c r="J97" i="36"/>
  <c r="J65" i="36"/>
  <c r="J46" i="36"/>
  <c r="J29" i="36"/>
  <c r="Z70" i="36"/>
  <c r="X27" i="24"/>
  <c r="Z27" i="24" s="1"/>
  <c r="X31" i="24"/>
  <c r="Z31" i="24" s="1"/>
  <c r="X35" i="24"/>
  <c r="Z35" i="24" s="1"/>
  <c r="X39" i="24"/>
  <c r="X43" i="24"/>
  <c r="Z43" i="24" s="1"/>
  <c r="X47" i="24"/>
  <c r="Z47" i="24" s="1"/>
  <c r="X51" i="24"/>
  <c r="Z51" i="24" s="1"/>
  <c r="X55" i="24"/>
  <c r="R99" i="24"/>
  <c r="R107" i="24"/>
  <c r="X13" i="30"/>
  <c r="X17" i="30"/>
  <c r="Z17" i="30" s="1"/>
  <c r="X21" i="30"/>
  <c r="Z21" i="30" s="1"/>
  <c r="X25" i="30"/>
  <c r="Z25" i="30" s="1"/>
  <c r="X29" i="30"/>
  <c r="X33" i="30"/>
  <c r="Z33" i="30" s="1"/>
  <c r="X37" i="30"/>
  <c r="Z37" i="30" s="1"/>
  <c r="X41" i="30"/>
  <c r="V76" i="30"/>
  <c r="V80" i="30"/>
  <c r="V101" i="30"/>
  <c r="V113" i="30"/>
  <c r="V136" i="30"/>
  <c r="V156" i="30"/>
  <c r="Z29" i="33"/>
  <c r="N45" i="33"/>
  <c r="Z94" i="33"/>
  <c r="R117" i="36"/>
  <c r="R116" i="36"/>
  <c r="R100" i="36"/>
  <c r="R88" i="36"/>
  <c r="R81" i="36"/>
  <c r="R80" i="36"/>
  <c r="R60" i="36"/>
  <c r="R95" i="36"/>
  <c r="R72" i="36"/>
  <c r="R71" i="36"/>
  <c r="R118" i="36"/>
  <c r="R110" i="36"/>
  <c r="R106" i="36"/>
  <c r="R83" i="36"/>
  <c r="R82" i="36"/>
  <c r="R42" i="36"/>
  <c r="R38" i="36"/>
  <c r="R102" i="36"/>
  <c r="R101" i="36"/>
  <c r="R90" i="36"/>
  <c r="R89" i="36"/>
  <c r="R73" i="36"/>
  <c r="R96" i="36"/>
  <c r="R85" i="36"/>
  <c r="R84" i="36"/>
  <c r="R48" i="36"/>
  <c r="R33" i="36"/>
  <c r="R119" i="36"/>
  <c r="R111" i="36"/>
  <c r="R107" i="36"/>
  <c r="R103" i="36"/>
  <c r="R91" i="36"/>
  <c r="R86" i="36"/>
  <c r="R75" i="36"/>
  <c r="R74" i="36"/>
  <c r="R126" i="36"/>
  <c r="R87" i="36"/>
  <c r="R68" i="36"/>
  <c r="R67" i="36"/>
  <c r="R59" i="36"/>
  <c r="R131" i="36"/>
  <c r="R124" i="36"/>
  <c r="R109" i="36"/>
  <c r="R105" i="36"/>
  <c r="R70" i="36"/>
  <c r="R69" i="36"/>
  <c r="R41" i="36"/>
  <c r="R37" i="36"/>
  <c r="R63" i="36"/>
  <c r="R127" i="36"/>
  <c r="R114" i="36"/>
  <c r="R66" i="36"/>
  <c r="R52" i="36"/>
  <c r="P31" i="36"/>
  <c r="R31" i="36" s="1"/>
  <c r="R112" i="36"/>
  <c r="R94" i="36"/>
  <c r="R47" i="36"/>
  <c r="R27" i="36"/>
  <c r="R122" i="36"/>
  <c r="R98" i="36"/>
  <c r="R64" i="36"/>
  <c r="R61" i="36"/>
  <c r="R57" i="36"/>
  <c r="R45" i="36"/>
  <c r="R120" i="36"/>
  <c r="R92" i="36"/>
  <c r="R78" i="36"/>
  <c r="R125" i="36"/>
  <c r="R113" i="36"/>
  <c r="R50" i="36"/>
  <c r="R40" i="36"/>
  <c r="R28" i="36"/>
  <c r="R115" i="36"/>
  <c r="R104" i="36"/>
  <c r="R55" i="36"/>
  <c r="R34" i="36"/>
  <c r="R121" i="36"/>
  <c r="R93" i="36"/>
  <c r="R76" i="36"/>
  <c r="R62" i="36"/>
  <c r="R53" i="36"/>
  <c r="R43" i="36"/>
  <c r="R36" i="36"/>
  <c r="X12" i="36"/>
  <c r="R99" i="36"/>
  <c r="R97" i="36"/>
  <c r="R65" i="36"/>
  <c r="R58" i="36"/>
  <c r="R46" i="36"/>
  <c r="R79" i="36"/>
  <c r="R39" i="36"/>
  <c r="R29" i="36"/>
  <c r="R108" i="36"/>
  <c r="R54" i="36"/>
  <c r="R51" i="36"/>
  <c r="R49" i="36"/>
  <c r="R44" i="36"/>
  <c r="R35" i="36"/>
  <c r="N19" i="36"/>
  <c r="R77" i="36"/>
  <c r="Z23" i="39"/>
  <c r="X23" i="39"/>
  <c r="R60" i="24"/>
  <c r="R64" i="24"/>
  <c r="R68" i="24"/>
  <c r="R72" i="24"/>
  <c r="R76" i="24"/>
  <c r="R80" i="24"/>
  <c r="R116" i="24"/>
  <c r="R120" i="24"/>
  <c r="R124" i="24"/>
  <c r="R128" i="24"/>
  <c r="R132" i="24"/>
  <c r="R136" i="24"/>
  <c r="R144" i="24"/>
  <c r="R145" i="24"/>
  <c r="R152" i="24"/>
  <c r="T72" i="30"/>
  <c r="V85" i="30"/>
  <c r="V89" i="30"/>
  <c r="L100" i="30"/>
  <c r="V141" i="30"/>
  <c r="Z145" i="30"/>
  <c r="X154" i="30"/>
  <c r="Z154" i="30" s="1"/>
  <c r="L159" i="30"/>
  <c r="N159" i="30" s="1"/>
  <c r="J45" i="33"/>
  <c r="N89" i="33"/>
  <c r="V95" i="36"/>
  <c r="V83" i="36"/>
  <c r="V71" i="36"/>
  <c r="V51" i="36"/>
  <c r="V47" i="36"/>
  <c r="V118" i="36"/>
  <c r="V110" i="36"/>
  <c r="V106" i="36"/>
  <c r="V102" i="36"/>
  <c r="V90" i="36"/>
  <c r="V82" i="36"/>
  <c r="V62" i="36"/>
  <c r="V54" i="36"/>
  <c r="V101" i="36"/>
  <c r="V89" i="36"/>
  <c r="V85" i="36"/>
  <c r="V73" i="36"/>
  <c r="V61" i="36"/>
  <c r="V53" i="36"/>
  <c r="V33" i="36"/>
  <c r="V31" i="36"/>
  <c r="V29" i="36"/>
  <c r="V96" i="36"/>
  <c r="V84" i="36"/>
  <c r="V119" i="36"/>
  <c r="V111" i="36"/>
  <c r="V107" i="36"/>
  <c r="V103" i="36"/>
  <c r="V91" i="36"/>
  <c r="V75" i="36"/>
  <c r="V63" i="36"/>
  <c r="V55" i="36"/>
  <c r="V43" i="36"/>
  <c r="V39" i="36"/>
  <c r="V35" i="36"/>
  <c r="V86" i="36"/>
  <c r="V127" i="36"/>
  <c r="V121" i="36"/>
  <c r="V113" i="36"/>
  <c r="V97" i="36"/>
  <c r="V93" i="36"/>
  <c r="V77" i="36"/>
  <c r="V65" i="36"/>
  <c r="V57" i="36"/>
  <c r="V49" i="36"/>
  <c r="V124" i="36"/>
  <c r="V122" i="36"/>
  <c r="V114" i="36"/>
  <c r="V98" i="36"/>
  <c r="V94" i="36"/>
  <c r="V78" i="36"/>
  <c r="V70" i="36"/>
  <c r="V50" i="36"/>
  <c r="V46" i="36"/>
  <c r="V116" i="36"/>
  <c r="V100" i="36"/>
  <c r="V88" i="36"/>
  <c r="V80" i="36"/>
  <c r="V72" i="36"/>
  <c r="V60" i="36"/>
  <c r="V52" i="36"/>
  <c r="V105" i="36"/>
  <c r="V37" i="36"/>
  <c r="T31" i="36"/>
  <c r="V27" i="36"/>
  <c r="V112" i="36"/>
  <c r="V64" i="36"/>
  <c r="V59" i="36"/>
  <c r="V87" i="36"/>
  <c r="V45" i="36"/>
  <c r="V42" i="36"/>
  <c r="V125" i="36"/>
  <c r="V120" i="36"/>
  <c r="V92" i="36"/>
  <c r="V115" i="36"/>
  <c r="V40" i="36"/>
  <c r="V38" i="36"/>
  <c r="V34" i="36"/>
  <c r="V28" i="36"/>
  <c r="V117" i="36"/>
  <c r="V109" i="36"/>
  <c r="V104" i="36"/>
  <c r="V69" i="36"/>
  <c r="V99" i="36"/>
  <c r="V81" i="36"/>
  <c r="V76" i="36"/>
  <c r="V67" i="36"/>
  <c r="V58" i="36"/>
  <c r="V48" i="36"/>
  <c r="V36" i="36"/>
  <c r="Z12" i="36"/>
  <c r="V131" i="36"/>
  <c r="V126" i="36"/>
  <c r="V79" i="36"/>
  <c r="V74" i="36"/>
  <c r="V56" i="36"/>
  <c r="V44" i="36"/>
  <c r="V66" i="36"/>
  <c r="J62" i="36"/>
  <c r="V68" i="36"/>
  <c r="V38" i="33"/>
  <c r="V62" i="33"/>
  <c r="V74" i="33"/>
  <c r="V86" i="33"/>
  <c r="N58" i="36"/>
  <c r="X75" i="36"/>
  <c r="N60" i="39"/>
  <c r="R92" i="42"/>
  <c r="R69" i="42"/>
  <c r="R68" i="42"/>
  <c r="R40" i="42"/>
  <c r="R36" i="42"/>
  <c r="R128" i="42"/>
  <c r="R115" i="42"/>
  <c r="R107" i="42"/>
  <c r="R103" i="42"/>
  <c r="R80" i="42"/>
  <c r="R79" i="42"/>
  <c r="R59" i="42"/>
  <c r="R27" i="42"/>
  <c r="R99" i="42"/>
  <c r="R98" i="42"/>
  <c r="R87" i="42"/>
  <c r="R86" i="42"/>
  <c r="R71" i="42"/>
  <c r="R70" i="42"/>
  <c r="R51" i="42"/>
  <c r="R50" i="42"/>
  <c r="R46" i="42"/>
  <c r="R93" i="42"/>
  <c r="R82" i="42"/>
  <c r="R81" i="42"/>
  <c r="R41" i="42"/>
  <c r="R37" i="42"/>
  <c r="R116" i="42"/>
  <c r="R108" i="42"/>
  <c r="R104" i="42"/>
  <c r="R100" i="42"/>
  <c r="R88" i="42"/>
  <c r="R72" i="42"/>
  <c r="R61" i="42"/>
  <c r="R60" i="42"/>
  <c r="R53" i="42"/>
  <c r="R52" i="42"/>
  <c r="R33" i="42"/>
  <c r="R28" i="42"/>
  <c r="R83" i="42"/>
  <c r="R94" i="42"/>
  <c r="R63" i="42"/>
  <c r="R62" i="42"/>
  <c r="R55" i="42"/>
  <c r="R54" i="42"/>
  <c r="R43" i="42"/>
  <c r="R42" i="42"/>
  <c r="R38" i="42"/>
  <c r="R34" i="42"/>
  <c r="R118" i="42"/>
  <c r="R117" i="42"/>
  <c r="R110" i="42"/>
  <c r="R109" i="42"/>
  <c r="R105" i="42"/>
  <c r="R101" i="42"/>
  <c r="R90" i="42"/>
  <c r="R89" i="42"/>
  <c r="R74" i="42"/>
  <c r="R73" i="42"/>
  <c r="R122" i="42"/>
  <c r="R119" i="42"/>
  <c r="R112" i="42"/>
  <c r="R111" i="42"/>
  <c r="R96" i="42"/>
  <c r="R95" i="42"/>
  <c r="R91" i="42"/>
  <c r="R76" i="42"/>
  <c r="R75" i="42"/>
  <c r="R114" i="42"/>
  <c r="R113" i="42"/>
  <c r="R97" i="42"/>
  <c r="R85" i="42"/>
  <c r="R78" i="42"/>
  <c r="R77" i="42"/>
  <c r="R49" i="42"/>
  <c r="R45" i="42"/>
  <c r="R26" i="42"/>
  <c r="R65" i="42"/>
  <c r="R56" i="42"/>
  <c r="R106" i="42"/>
  <c r="R67" i="42"/>
  <c r="R48" i="42"/>
  <c r="R44" i="42"/>
  <c r="R32" i="42"/>
  <c r="R124" i="42"/>
  <c r="R57" i="42"/>
  <c r="R84" i="42"/>
  <c r="R35" i="42"/>
  <c r="R47" i="42"/>
  <c r="R123" i="42"/>
  <c r="R58" i="42"/>
  <c r="P30" i="42"/>
  <c r="Z12" i="33"/>
  <c r="V56" i="33"/>
  <c r="V60" i="33"/>
  <c r="V72" i="33"/>
  <c r="V92" i="33"/>
  <c r="V94" i="33"/>
  <c r="Z13" i="36"/>
  <c r="Z77" i="36"/>
  <c r="N81" i="36"/>
  <c r="P124" i="36"/>
  <c r="X124" i="36" s="1"/>
  <c r="Z124" i="36" s="1"/>
  <c r="X126" i="36"/>
  <c r="Z42" i="39"/>
  <c r="R56" i="39"/>
  <c r="X62" i="39"/>
  <c r="Z62" i="39" s="1"/>
  <c r="Z66" i="39"/>
  <c r="N81" i="39"/>
  <c r="R87" i="39"/>
  <c r="L120" i="39"/>
  <c r="X16" i="42"/>
  <c r="V37" i="33"/>
  <c r="V61" i="33"/>
  <c r="V77" i="33"/>
  <c r="V85" i="33"/>
  <c r="V95" i="33"/>
  <c r="Z126" i="36"/>
  <c r="R50" i="39"/>
  <c r="R60" i="39"/>
  <c r="R97" i="39"/>
  <c r="N120" i="39"/>
  <c r="R66" i="42"/>
  <c r="X15" i="33"/>
  <c r="X19" i="33"/>
  <c r="Z19" i="33" s="1"/>
  <c r="X23" i="33"/>
  <c r="Z23" i="33" s="1"/>
  <c r="X27" i="33"/>
  <c r="X31" i="33"/>
  <c r="V46" i="33"/>
  <c r="V50" i="33"/>
  <c r="V70" i="33"/>
  <c r="V78" i="33"/>
  <c r="V90" i="33"/>
  <c r="X95" i="33"/>
  <c r="Z95" i="33" s="1"/>
  <c r="V96" i="33"/>
  <c r="V104" i="33"/>
  <c r="X70" i="36"/>
  <c r="N83" i="36"/>
  <c r="N125" i="36"/>
  <c r="X27" i="39"/>
  <c r="Z27" i="39" s="1"/>
  <c r="Z31" i="39"/>
  <c r="R81" i="39"/>
  <c r="R95" i="39"/>
  <c r="L100" i="39"/>
  <c r="N100" i="39" s="1"/>
  <c r="R102" i="39"/>
  <c r="J120" i="39"/>
  <c r="R128" i="39"/>
  <c r="R138" i="39"/>
  <c r="L53" i="42"/>
  <c r="N53" i="42" s="1"/>
  <c r="R64" i="42"/>
  <c r="Z76" i="42"/>
  <c r="T42" i="33"/>
  <c r="V55" i="33"/>
  <c r="V59" i="33"/>
  <c r="V91" i="33"/>
  <c r="D94" i="33"/>
  <c r="V97" i="33"/>
  <c r="Z93" i="36"/>
  <c r="X93" i="36"/>
  <c r="L102" i="36"/>
  <c r="N102" i="36" s="1"/>
  <c r="X121" i="36"/>
  <c r="Z121" i="36" s="1"/>
  <c r="R41" i="39"/>
  <c r="R79" i="39"/>
  <c r="N132" i="39"/>
  <c r="L13" i="33"/>
  <c r="L17" i="33"/>
  <c r="N17" i="33" s="1"/>
  <c r="L21" i="33"/>
  <c r="N21" i="33" s="1"/>
  <c r="L25" i="33"/>
  <c r="N25" i="33" s="1"/>
  <c r="L29" i="33"/>
  <c r="L33" i="33"/>
  <c r="V36" i="33"/>
  <c r="V40" i="33"/>
  <c r="V42" i="33"/>
  <c r="V44" i="33"/>
  <c r="V68" i="33"/>
  <c r="V76" i="33"/>
  <c r="V84" i="33"/>
  <c r="V88" i="33"/>
  <c r="V98" i="33"/>
  <c r="D12" i="39"/>
  <c r="L13" i="39"/>
  <c r="N84" i="39"/>
  <c r="L86" i="39"/>
  <c r="J100" i="39"/>
  <c r="R124" i="39"/>
  <c r="N15" i="42"/>
  <c r="L15" i="42"/>
  <c r="R102" i="42"/>
  <c r="L13" i="45"/>
  <c r="N13" i="45" s="1"/>
  <c r="D12" i="45"/>
  <c r="N13" i="33"/>
  <c r="V45" i="33"/>
  <c r="V49" i="33"/>
  <c r="V53" i="33"/>
  <c r="V69" i="33"/>
  <c r="V89" i="33"/>
  <c r="H94" i="33"/>
  <c r="V99" i="33"/>
  <c r="L54" i="36"/>
  <c r="X113" i="36"/>
  <c r="Z113" i="36" s="1"/>
  <c r="N13" i="39"/>
  <c r="R46" i="39"/>
  <c r="J84" i="39"/>
  <c r="Z124" i="39"/>
  <c r="H12" i="42"/>
  <c r="X43" i="42"/>
  <c r="Z43" i="42" s="1"/>
  <c r="N61" i="45"/>
  <c r="L129" i="30"/>
  <c r="V54" i="33"/>
  <c r="V58" i="33"/>
  <c r="V66" i="33"/>
  <c r="V82" i="33"/>
  <c r="V100" i="33"/>
  <c r="Z33" i="36"/>
  <c r="R133" i="39"/>
  <c r="R118" i="39"/>
  <c r="R114" i="39"/>
  <c r="R110" i="39"/>
  <c r="R98" i="39"/>
  <c r="R82" i="39"/>
  <c r="R131" i="39"/>
  <c r="R93" i="39"/>
  <c r="R74" i="39"/>
  <c r="R73" i="39"/>
  <c r="R66" i="39"/>
  <c r="R65" i="39"/>
  <c r="R57" i="39"/>
  <c r="R53" i="39"/>
  <c r="R134" i="39"/>
  <c r="R132" i="39"/>
  <c r="R104" i="39"/>
  <c r="R48" i="39"/>
  <c r="R44" i="39"/>
  <c r="R126" i="39"/>
  <c r="R120" i="39"/>
  <c r="R119" i="39"/>
  <c r="R115" i="39"/>
  <c r="R111" i="39"/>
  <c r="R100" i="39"/>
  <c r="R99" i="39"/>
  <c r="R84" i="39"/>
  <c r="R83" i="39"/>
  <c r="R76" i="39"/>
  <c r="R75" i="39"/>
  <c r="R67" i="39"/>
  <c r="R94" i="39"/>
  <c r="R58" i="39"/>
  <c r="R54" i="39"/>
  <c r="R35" i="39"/>
  <c r="R122" i="39"/>
  <c r="R121" i="39"/>
  <c r="R106" i="39"/>
  <c r="R105" i="39"/>
  <c r="R101" i="39"/>
  <c r="R86" i="39"/>
  <c r="R85" i="39"/>
  <c r="R78" i="39"/>
  <c r="R77" i="39"/>
  <c r="R49" i="39"/>
  <c r="R45" i="39"/>
  <c r="R116" i="39"/>
  <c r="R112" i="39"/>
  <c r="R68" i="39"/>
  <c r="R36" i="39"/>
  <c r="R117" i="39"/>
  <c r="R113" i="39"/>
  <c r="R90" i="39"/>
  <c r="R89" i="39"/>
  <c r="R70" i="39"/>
  <c r="R69" i="39"/>
  <c r="R62" i="39"/>
  <c r="R61" i="39"/>
  <c r="R42" i="39"/>
  <c r="R37" i="39"/>
  <c r="R103" i="39"/>
  <c r="R92" i="39"/>
  <c r="R91" i="39"/>
  <c r="R72" i="39"/>
  <c r="R71" i="39"/>
  <c r="R64" i="39"/>
  <c r="R63" i="39"/>
  <c r="R52" i="39"/>
  <c r="R51" i="39"/>
  <c r="R47" i="39"/>
  <c r="R43" i="39"/>
  <c r="P39" i="39"/>
  <c r="N17" i="39"/>
  <c r="R59" i="39"/>
  <c r="R96" i="39"/>
  <c r="R107" i="39"/>
  <c r="R129" i="39"/>
  <c r="L32" i="33"/>
  <c r="V35" i="33"/>
  <c r="V39" i="33"/>
  <c r="V67" i="33"/>
  <c r="V75" i="33"/>
  <c r="V83" i="33"/>
  <c r="V87" i="33"/>
  <c r="L13" i="36"/>
  <c r="L44" i="36"/>
  <c r="N90" i="36"/>
  <c r="Z102" i="36"/>
  <c r="T12" i="39"/>
  <c r="X12" i="39" s="1"/>
  <c r="N76" i="39"/>
  <c r="L78" i="39"/>
  <c r="R80" i="39"/>
  <c r="R88" i="39"/>
  <c r="R127" i="39"/>
  <c r="R30" i="42"/>
  <c r="R39" i="42"/>
  <c r="X13" i="33"/>
  <c r="Z13" i="33" s="1"/>
  <c r="X35" i="33"/>
  <c r="Z35" i="33" s="1"/>
  <c r="V48" i="33"/>
  <c r="V52" i="33"/>
  <c r="V64" i="33"/>
  <c r="V80" i="33"/>
  <c r="N13" i="36"/>
  <c r="Z15" i="39"/>
  <c r="R55" i="39"/>
  <c r="X90" i="39"/>
  <c r="X19" i="42"/>
  <c r="Z19" i="42" s="1"/>
  <c r="L45" i="45"/>
  <c r="N45" i="45" s="1"/>
  <c r="V57" i="33"/>
  <c r="V65" i="33"/>
  <c r="V73" i="33"/>
  <c r="Z52" i="36"/>
  <c r="L62" i="36"/>
  <c r="X68" i="36"/>
  <c r="Z68" i="36" s="1"/>
  <c r="X127" i="36"/>
  <c r="Z127" i="36" s="1"/>
  <c r="Z19" i="39"/>
  <c r="X70" i="39"/>
  <c r="Z70" i="39" s="1"/>
  <c r="Z90" i="39"/>
  <c r="R123" i="39"/>
  <c r="R125" i="39"/>
  <c r="L32" i="42"/>
  <c r="N32" i="42" s="1"/>
  <c r="J46" i="39"/>
  <c r="J50" i="39"/>
  <c r="J60" i="39"/>
  <c r="J88" i="39"/>
  <c r="J102" i="39"/>
  <c r="J124" i="39"/>
  <c r="J128" i="39"/>
  <c r="X132" i="39"/>
  <c r="Z132" i="39" s="1"/>
  <c r="X134" i="39"/>
  <c r="Z134" i="39" s="1"/>
  <c r="Z14" i="42"/>
  <c r="N16" i="42"/>
  <c r="Z24" i="42"/>
  <c r="X76" i="42"/>
  <c r="V77" i="45"/>
  <c r="J36" i="39"/>
  <c r="J68" i="39"/>
  <c r="J78" i="39"/>
  <c r="J86" i="39"/>
  <c r="J106" i="39"/>
  <c r="J112" i="39"/>
  <c r="J116" i="39"/>
  <c r="J122" i="39"/>
  <c r="J127" i="39"/>
  <c r="Z16" i="42"/>
  <c r="N33" i="42"/>
  <c r="Z74" i="42"/>
  <c r="R85" i="45"/>
  <c r="R84" i="45"/>
  <c r="R80" i="45"/>
  <c r="R76" i="45"/>
  <c r="R61" i="45"/>
  <c r="R60" i="45"/>
  <c r="R49" i="45"/>
  <c r="R48" i="45"/>
  <c r="R37" i="45"/>
  <c r="R36" i="45"/>
  <c r="R32" i="45"/>
  <c r="R28" i="45"/>
  <c r="P24" i="45"/>
  <c r="R81" i="45"/>
  <c r="R77" i="45"/>
  <c r="R33" i="45"/>
  <c r="R29" i="45"/>
  <c r="R89" i="45"/>
  <c r="R88" i="45"/>
  <c r="R72" i="45"/>
  <c r="R65" i="45"/>
  <c r="R64" i="45"/>
  <c r="R53" i="45"/>
  <c r="R52" i="45"/>
  <c r="R90" i="45"/>
  <c r="R82" i="45"/>
  <c r="R78" i="45"/>
  <c r="R67" i="45"/>
  <c r="R66" i="45"/>
  <c r="R55" i="45"/>
  <c r="R54" i="45"/>
  <c r="R34" i="45"/>
  <c r="R30" i="45"/>
  <c r="R73" i="45"/>
  <c r="R21" i="45"/>
  <c r="R69" i="45"/>
  <c r="R41" i="45"/>
  <c r="R83" i="45"/>
  <c r="X12" i="45"/>
  <c r="R71" i="45"/>
  <c r="R58" i="45"/>
  <c r="R39" i="45"/>
  <c r="R47" i="45"/>
  <c r="R20" i="45"/>
  <c r="R91" i="45"/>
  <c r="R59" i="45"/>
  <c r="R26" i="45"/>
  <c r="R86" i="45"/>
  <c r="R44" i="45"/>
  <c r="R31" i="45"/>
  <c r="R27" i="45"/>
  <c r="R93" i="45"/>
  <c r="R35" i="45"/>
  <c r="R74" i="45"/>
  <c r="R56" i="45"/>
  <c r="R50" i="45"/>
  <c r="R97" i="45"/>
  <c r="R87" i="45"/>
  <c r="R62" i="45"/>
  <c r="R51" i="45"/>
  <c r="R45" i="45"/>
  <c r="R42" i="45"/>
  <c r="R40" i="45"/>
  <c r="R75" i="45"/>
  <c r="R63" i="45"/>
  <c r="R57" i="45"/>
  <c r="R38" i="45"/>
  <c r="R22" i="45"/>
  <c r="R46" i="45"/>
  <c r="X63" i="45"/>
  <c r="Z63" i="45" s="1"/>
  <c r="X75" i="45"/>
  <c r="Z75" i="45" s="1"/>
  <c r="D124" i="36"/>
  <c r="L124" i="36" s="1"/>
  <c r="J67" i="39"/>
  <c r="J75" i="39"/>
  <c r="J83" i="39"/>
  <c r="J99" i="39"/>
  <c r="J111" i="39"/>
  <c r="J115" i="39"/>
  <c r="J119" i="39"/>
  <c r="J126" i="39"/>
  <c r="J134" i="39"/>
  <c r="Z18" i="42"/>
  <c r="N20" i="42"/>
  <c r="Z33" i="42"/>
  <c r="L82" i="42"/>
  <c r="N112" i="42"/>
  <c r="X122" i="42"/>
  <c r="P121" i="42"/>
  <c r="J91" i="45"/>
  <c r="J83" i="45"/>
  <c r="J79" i="45"/>
  <c r="J57" i="45"/>
  <c r="J45" i="45"/>
  <c r="J35" i="45"/>
  <c r="J31" i="45"/>
  <c r="J84" i="45"/>
  <c r="J80" i="45"/>
  <c r="J76" i="45"/>
  <c r="J60" i="45"/>
  <c r="J48" i="45"/>
  <c r="J36" i="45"/>
  <c r="J32" i="45"/>
  <c r="J28" i="45"/>
  <c r="J26" i="45"/>
  <c r="J97" i="45"/>
  <c r="J85" i="45"/>
  <c r="J61" i="45"/>
  <c r="J49" i="45"/>
  <c r="J37" i="45"/>
  <c r="J86" i="45"/>
  <c r="J70" i="45"/>
  <c r="J87" i="45"/>
  <c r="J81" i="45"/>
  <c r="J77" i="45"/>
  <c r="J71" i="45"/>
  <c r="J63" i="45"/>
  <c r="J51" i="45"/>
  <c r="J33" i="45"/>
  <c r="J29" i="45"/>
  <c r="J88" i="45"/>
  <c r="J72" i="45"/>
  <c r="J64" i="45"/>
  <c r="J52" i="45"/>
  <c r="J68" i="45"/>
  <c r="J56" i="45"/>
  <c r="J44" i="45"/>
  <c r="J40" i="45"/>
  <c r="J75" i="45"/>
  <c r="J30" i="45"/>
  <c r="J22" i="45"/>
  <c r="J66" i="45"/>
  <c r="J43" i="45"/>
  <c r="J34" i="45"/>
  <c r="J46" i="45"/>
  <c r="J73" i="45"/>
  <c r="J55" i="45"/>
  <c r="J41" i="45"/>
  <c r="J39" i="45"/>
  <c r="J58" i="45"/>
  <c r="H24" i="45"/>
  <c r="J24" i="45" s="1"/>
  <c r="J78" i="45"/>
  <c r="J47" i="45"/>
  <c r="J20" i="45"/>
  <c r="J89" i="45"/>
  <c r="J69" i="45"/>
  <c r="J53" i="45"/>
  <c r="J82" i="45"/>
  <c r="J67" i="45"/>
  <c r="J59" i="45"/>
  <c r="J27" i="45"/>
  <c r="J93" i="45"/>
  <c r="J74" i="45"/>
  <c r="J62" i="45"/>
  <c r="J42" i="45"/>
  <c r="J90" i="45"/>
  <c r="J54" i="45"/>
  <c r="J38" i="45"/>
  <c r="V54" i="45"/>
  <c r="J44" i="39"/>
  <c r="J48" i="39"/>
  <c r="J66" i="39"/>
  <c r="J74" i="39"/>
  <c r="J104" i="39"/>
  <c r="N131" i="39"/>
  <c r="J132" i="39"/>
  <c r="N82" i="42"/>
  <c r="Z114" i="42"/>
  <c r="Z122" i="42"/>
  <c r="T121" i="42"/>
  <c r="H124" i="36"/>
  <c r="J53" i="39"/>
  <c r="J57" i="39"/>
  <c r="J65" i="39"/>
  <c r="J73" i="39"/>
  <c r="J93" i="39"/>
  <c r="D12" i="42"/>
  <c r="Z20" i="42"/>
  <c r="X23" i="42"/>
  <c r="Z23" i="42" s="1"/>
  <c r="Z26" i="42"/>
  <c r="X55" i="42"/>
  <c r="Z55" i="42" s="1"/>
  <c r="X96" i="42"/>
  <c r="Z112" i="42"/>
  <c r="X114" i="42"/>
  <c r="J133" i="39"/>
  <c r="J129" i="39"/>
  <c r="H39" i="39"/>
  <c r="J52" i="39"/>
  <c r="J64" i="39"/>
  <c r="J72" i="39"/>
  <c r="J82" i="39"/>
  <c r="J92" i="39"/>
  <c r="J98" i="39"/>
  <c r="J110" i="39"/>
  <c r="J114" i="39"/>
  <c r="J118" i="39"/>
  <c r="Z15" i="42"/>
  <c r="Z96" i="42"/>
  <c r="V97" i="45"/>
  <c r="V87" i="45"/>
  <c r="V71" i="45"/>
  <c r="V63" i="45"/>
  <c r="V51" i="45"/>
  <c r="V88" i="45"/>
  <c r="V72" i="45"/>
  <c r="V64" i="45"/>
  <c r="V52" i="45"/>
  <c r="V20" i="45"/>
  <c r="V67" i="45"/>
  <c r="V55" i="45"/>
  <c r="V43" i="45"/>
  <c r="V39" i="45"/>
  <c r="V90" i="45"/>
  <c r="V82" i="45"/>
  <c r="V78" i="45"/>
  <c r="V66" i="45"/>
  <c r="V73" i="45"/>
  <c r="V57" i="45"/>
  <c r="V45" i="45"/>
  <c r="V68" i="45"/>
  <c r="V56" i="45"/>
  <c r="V44" i="45"/>
  <c r="V40" i="45"/>
  <c r="Z12" i="45"/>
  <c r="V84" i="45"/>
  <c r="V80" i="45"/>
  <c r="V76" i="45"/>
  <c r="V60" i="45"/>
  <c r="V48" i="45"/>
  <c r="V36" i="45"/>
  <c r="V32" i="45"/>
  <c r="V28" i="45"/>
  <c r="V58" i="45"/>
  <c r="V49" i="45"/>
  <c r="V47" i="45"/>
  <c r="T24" i="45"/>
  <c r="V61" i="45"/>
  <c r="V59" i="45"/>
  <c r="V41" i="45"/>
  <c r="V26" i="45"/>
  <c r="V91" i="45"/>
  <c r="V27" i="45"/>
  <c r="V93" i="45"/>
  <c r="V89" i="45"/>
  <c r="V86" i="45"/>
  <c r="V53" i="45"/>
  <c r="V37" i="45"/>
  <c r="V31" i="45"/>
  <c r="V69" i="45"/>
  <c r="V35" i="45"/>
  <c r="V29" i="45"/>
  <c r="V74" i="45"/>
  <c r="V65" i="45"/>
  <c r="V50" i="45"/>
  <c r="V33" i="45"/>
  <c r="V21" i="45"/>
  <c r="V62" i="45"/>
  <c r="V42" i="45"/>
  <c r="V75" i="45"/>
  <c r="V85" i="45"/>
  <c r="V79" i="45"/>
  <c r="V70" i="45"/>
  <c r="V83" i="45"/>
  <c r="V81" i="45"/>
  <c r="V34" i="45"/>
  <c r="V24" i="45"/>
  <c r="V22" i="45"/>
  <c r="T12" i="51"/>
  <c r="L16" i="39"/>
  <c r="N16" i="39" s="1"/>
  <c r="L20" i="39"/>
  <c r="L24" i="39"/>
  <c r="L28" i="39"/>
  <c r="N28" i="39" s="1"/>
  <c r="L32" i="39"/>
  <c r="J39" i="39"/>
  <c r="J41" i="39"/>
  <c r="J43" i="39"/>
  <c r="J47" i="39"/>
  <c r="J51" i="39"/>
  <c r="J63" i="39"/>
  <c r="J71" i="39"/>
  <c r="J81" i="39"/>
  <c r="J91" i="39"/>
  <c r="J97" i="39"/>
  <c r="J103" i="39"/>
  <c r="J109" i="39"/>
  <c r="T12" i="42"/>
  <c r="X15" i="42"/>
  <c r="X26" i="42"/>
  <c r="Z32" i="42"/>
  <c r="N80" i="42"/>
  <c r="X17" i="45"/>
  <c r="V46" i="45"/>
  <c r="R79" i="45"/>
  <c r="X13" i="39"/>
  <c r="Z13" i="39" s="1"/>
  <c r="J42" i="39"/>
  <c r="J56" i="39"/>
  <c r="J62" i="39"/>
  <c r="J70" i="39"/>
  <c r="J80" i="39"/>
  <c r="L81" i="39"/>
  <c r="J90" i="39"/>
  <c r="J96" i="39"/>
  <c r="L97" i="39"/>
  <c r="N97" i="39" s="1"/>
  <c r="J108" i="39"/>
  <c r="L109" i="39"/>
  <c r="N109" i="39" s="1"/>
  <c r="J125" i="39"/>
  <c r="Z17" i="45"/>
  <c r="V30" i="45"/>
  <c r="J37" i="39"/>
  <c r="J61" i="39"/>
  <c r="J69" i="39"/>
  <c r="J89" i="39"/>
  <c r="J113" i="39"/>
  <c r="J117" i="39"/>
  <c r="X63" i="42"/>
  <c r="Z63" i="42" s="1"/>
  <c r="N76" i="42"/>
  <c r="L121" i="42"/>
  <c r="N121" i="42" s="1"/>
  <c r="J65" i="45"/>
  <c r="N122" i="42"/>
  <c r="N57" i="45"/>
  <c r="L65" i="45"/>
  <c r="N65" i="45" s="1"/>
  <c r="Z71" i="45"/>
  <c r="Z20" i="48"/>
  <c r="Z71" i="48"/>
  <c r="T69" i="48"/>
  <c r="X28" i="51"/>
  <c r="Z28" i="51" s="1"/>
  <c r="L32" i="51"/>
  <c r="N32" i="51" s="1"/>
  <c r="R69" i="48"/>
  <c r="R54" i="48"/>
  <c r="R59" i="48"/>
  <c r="R58" i="48"/>
  <c r="R51" i="48"/>
  <c r="R50" i="48"/>
  <c r="R61" i="48"/>
  <c r="R53" i="48"/>
  <c r="R32" i="48"/>
  <c r="X12" i="48"/>
  <c r="R66" i="48"/>
  <c r="R57" i="48"/>
  <c r="R48" i="48"/>
  <c r="R40" i="48"/>
  <c r="R39" i="48"/>
  <c r="R27" i="48"/>
  <c r="R23" i="48"/>
  <c r="R49" i="48"/>
  <c r="R42" i="48"/>
  <c r="R41" i="48"/>
  <c r="R33" i="48"/>
  <c r="R67" i="48"/>
  <c r="R29" i="48"/>
  <c r="R28" i="48"/>
  <c r="R24" i="48"/>
  <c r="R62" i="48"/>
  <c r="R43" i="48"/>
  <c r="R20" i="48"/>
  <c r="R34" i="48"/>
  <c r="R30" i="48"/>
  <c r="R19" i="48"/>
  <c r="R17" i="48"/>
  <c r="R15" i="48"/>
  <c r="R55" i="48"/>
  <c r="R25" i="48"/>
  <c r="R21" i="48"/>
  <c r="P17" i="48"/>
  <c r="R65" i="48"/>
  <c r="R56" i="48"/>
  <c r="R52" i="48"/>
  <c r="R38" i="48"/>
  <c r="R37" i="48"/>
  <c r="R31" i="48"/>
  <c r="Z41" i="57"/>
  <c r="L61" i="42"/>
  <c r="X67" i="42"/>
  <c r="Z67" i="42" s="1"/>
  <c r="Z123" i="42"/>
  <c r="T73" i="48"/>
  <c r="V73" i="48" s="1"/>
  <c r="N36" i="48"/>
  <c r="N38" i="48"/>
  <c r="L42" i="48"/>
  <c r="R45" i="48"/>
  <c r="X51" i="48"/>
  <c r="R75" i="48"/>
  <c r="X102" i="51"/>
  <c r="N20" i="45"/>
  <c r="L61" i="45"/>
  <c r="X93" i="45"/>
  <c r="D12" i="48"/>
  <c r="L13" i="48"/>
  <c r="X49" i="48"/>
  <c r="Z51" i="48"/>
  <c r="R70" i="48"/>
  <c r="Z19" i="51"/>
  <c r="Z102" i="51"/>
  <c r="L16" i="56"/>
  <c r="D74" i="56"/>
  <c r="Z19" i="56"/>
  <c r="H12" i="48"/>
  <c r="N13" i="48"/>
  <c r="R36" i="48"/>
  <c r="R47" i="48"/>
  <c r="Z49" i="48"/>
  <c r="R63" i="48"/>
  <c r="Z13" i="45"/>
  <c r="L20" i="45"/>
  <c r="X59" i="45"/>
  <c r="Z59" i="45" s="1"/>
  <c r="Z36" i="48"/>
  <c r="Z38" i="48"/>
  <c r="X42" i="48"/>
  <c r="R44" i="48"/>
  <c r="Z47" i="48"/>
  <c r="L18" i="51"/>
  <c r="N18" i="51" s="1"/>
  <c r="L69" i="42"/>
  <c r="N69" i="42" s="1"/>
  <c r="Z16" i="45"/>
  <c r="Z27" i="45"/>
  <c r="X47" i="45"/>
  <c r="N20" i="48"/>
  <c r="Z42" i="48"/>
  <c r="H12" i="51"/>
  <c r="N16" i="51"/>
  <c r="L16" i="51"/>
  <c r="R26" i="48"/>
  <c r="Z47" i="45"/>
  <c r="R35" i="48"/>
  <c r="R46" i="48"/>
  <c r="N113" i="51"/>
  <c r="X26" i="45"/>
  <c r="Z26" i="45" s="1"/>
  <c r="R22" i="48"/>
  <c r="L29" i="48"/>
  <c r="N29" i="48" s="1"/>
  <c r="X69" i="48"/>
  <c r="R71" i="48"/>
  <c r="Z35" i="51"/>
  <c r="P34" i="55"/>
  <c r="X16" i="55"/>
  <c r="Z12" i="48"/>
  <c r="V32" i="48"/>
  <c r="V40" i="48"/>
  <c r="V57" i="48"/>
  <c r="L70" i="48"/>
  <c r="N70" i="48" s="1"/>
  <c r="X71" i="48"/>
  <c r="L28" i="51"/>
  <c r="N28" i="51" s="1"/>
  <c r="D16" i="54"/>
  <c r="L12" i="55"/>
  <c r="Z28" i="55"/>
  <c r="P78" i="56"/>
  <c r="V36" i="48"/>
  <c r="V44" i="48"/>
  <c r="V51" i="48"/>
  <c r="V63" i="48"/>
  <c r="L66" i="48"/>
  <c r="Z70" i="48"/>
  <c r="X16" i="51"/>
  <c r="Z16" i="51" s="1"/>
  <c r="Z32" i="51"/>
  <c r="Z58" i="51"/>
  <c r="X117" i="51"/>
  <c r="V21" i="48"/>
  <c r="V25" i="48"/>
  <c r="V45" i="48"/>
  <c r="V50" i="48"/>
  <c r="V55" i="48"/>
  <c r="V64" i="48"/>
  <c r="V69" i="48"/>
  <c r="V70" i="48"/>
  <c r="D12" i="51"/>
  <c r="L13" i="51"/>
  <c r="N13" i="51" s="1"/>
  <c r="N36" i="51"/>
  <c r="L36" i="51"/>
  <c r="Z87" i="51"/>
  <c r="N105" i="51"/>
  <c r="D34" i="55"/>
  <c r="V30" i="48"/>
  <c r="V34" i="48"/>
  <c r="V59" i="48"/>
  <c r="L20" i="51"/>
  <c r="N20" i="51" s="1"/>
  <c r="L22" i="51"/>
  <c r="X23" i="51"/>
  <c r="Z23" i="51" s="1"/>
  <c r="Z117" i="51"/>
  <c r="N59" i="56"/>
  <c r="P50" i="60"/>
  <c r="V15" i="48"/>
  <c r="V17" i="48"/>
  <c r="V19" i="48"/>
  <c r="V43" i="48"/>
  <c r="N53" i="48"/>
  <c r="V58" i="48"/>
  <c r="V62" i="48"/>
  <c r="P12" i="51"/>
  <c r="X13" i="51"/>
  <c r="Z13" i="51" s="1"/>
  <c r="Z36" i="51"/>
  <c r="Z57" i="51"/>
  <c r="V20" i="48"/>
  <c r="V24" i="48"/>
  <c r="V28" i="48"/>
  <c r="V54" i="48"/>
  <c r="D69" i="48"/>
  <c r="L69" i="48" s="1"/>
  <c r="N69" i="48" s="1"/>
  <c r="N15" i="51"/>
  <c r="Z27" i="51"/>
  <c r="Z82" i="51"/>
  <c r="N24" i="51"/>
  <c r="L24" i="51"/>
  <c r="V75" i="48"/>
  <c r="V61" i="48"/>
  <c r="V66" i="48"/>
  <c r="V71" i="48"/>
  <c r="V65" i="48"/>
  <c r="V53" i="48"/>
  <c r="V42" i="48"/>
  <c r="V49" i="48"/>
  <c r="L113" i="51"/>
  <c r="T113" i="51"/>
  <c r="X113" i="51" s="1"/>
  <c r="Z116" i="51"/>
  <c r="Z26" i="54"/>
  <c r="T31" i="54"/>
  <c r="N54" i="58"/>
  <c r="V23" i="48"/>
  <c r="V27" i="48"/>
  <c r="V39" i="48"/>
  <c r="V48" i="48"/>
  <c r="Z15" i="51"/>
  <c r="X31" i="51"/>
  <c r="Z31" i="51" s="1"/>
  <c r="N76" i="51"/>
  <c r="N115" i="51"/>
  <c r="J41" i="55"/>
  <c r="J38" i="55"/>
  <c r="J27" i="55"/>
  <c r="J32" i="55"/>
  <c r="J20" i="55"/>
  <c r="J18" i="55"/>
  <c r="J16" i="55"/>
  <c r="J14" i="55"/>
  <c r="J28" i="55"/>
  <c r="H16" i="55"/>
  <c r="L16" i="55" s="1"/>
  <c r="J34" i="55"/>
  <c r="J21" i="55"/>
  <c r="J22" i="55"/>
  <c r="J29" i="55"/>
  <c r="J23" i="55"/>
  <c r="J24" i="55"/>
  <c r="J25" i="55"/>
  <c r="N12" i="55"/>
  <c r="J19" i="55"/>
  <c r="X12" i="54"/>
  <c r="L14" i="55"/>
  <c r="F26" i="55"/>
  <c r="F27" i="55"/>
  <c r="X19" i="56"/>
  <c r="V26" i="56"/>
  <c r="X35" i="56"/>
  <c r="Z35" i="56" s="1"/>
  <c r="N37" i="56"/>
  <c r="L41" i="56"/>
  <c r="N41" i="56" s="1"/>
  <c r="L57" i="56"/>
  <c r="V63" i="56"/>
  <c r="R67" i="56"/>
  <c r="X45" i="57"/>
  <c r="Z45" i="57" s="1"/>
  <c r="L54" i="58"/>
  <c r="F14" i="54"/>
  <c r="F16" i="54"/>
  <c r="F18" i="54"/>
  <c r="F20" i="54"/>
  <c r="F22" i="54"/>
  <c r="J24" i="54"/>
  <c r="V20" i="55"/>
  <c r="F24" i="55"/>
  <c r="F25" i="55"/>
  <c r="R23" i="56"/>
  <c r="R41" i="56"/>
  <c r="N49" i="56"/>
  <c r="L49" i="56"/>
  <c r="R57" i="56"/>
  <c r="Z18" i="58"/>
  <c r="N30" i="58"/>
  <c r="Z39" i="59"/>
  <c r="H16" i="54"/>
  <c r="R29" i="55"/>
  <c r="R36" i="55"/>
  <c r="T16" i="55"/>
  <c r="R19" i="55"/>
  <c r="V27" i="55"/>
  <c r="R30" i="55"/>
  <c r="F41" i="55"/>
  <c r="R18" i="56"/>
  <c r="V34" i="56"/>
  <c r="Z37" i="56"/>
  <c r="Z41" i="56"/>
  <c r="Z59" i="56"/>
  <c r="X59" i="56"/>
  <c r="L67" i="57"/>
  <c r="N67" i="57" s="1"/>
  <c r="L14" i="58"/>
  <c r="L46" i="58"/>
  <c r="N57" i="58"/>
  <c r="L57" i="58"/>
  <c r="J14" i="54"/>
  <c r="J16" i="54"/>
  <c r="J18" i="54"/>
  <c r="J20" i="54"/>
  <c r="R26" i="54"/>
  <c r="R28" i="54"/>
  <c r="R29" i="54"/>
  <c r="R31" i="54"/>
  <c r="V41" i="55"/>
  <c r="V38" i="55"/>
  <c r="V36" i="55"/>
  <c r="V25" i="55"/>
  <c r="V14" i="55"/>
  <c r="V16" i="55"/>
  <c r="V18" i="55"/>
  <c r="F22" i="55"/>
  <c r="F23" i="55"/>
  <c r="F29" i="55"/>
  <c r="V30" i="55"/>
  <c r="R69" i="56"/>
  <c r="R61" i="56"/>
  <c r="R49" i="56"/>
  <c r="R48" i="56"/>
  <c r="R37" i="56"/>
  <c r="R55" i="56"/>
  <c r="R70" i="56"/>
  <c r="R62" i="56"/>
  <c r="R50" i="56"/>
  <c r="R39" i="56"/>
  <c r="R38" i="56"/>
  <c r="R30" i="56"/>
  <c r="R74" i="56"/>
  <c r="R72" i="56"/>
  <c r="R76" i="56"/>
  <c r="R59" i="56"/>
  <c r="R58" i="56"/>
  <c r="R43" i="56"/>
  <c r="R42" i="56"/>
  <c r="R26" i="56"/>
  <c r="R22" i="56"/>
  <c r="R81" i="56"/>
  <c r="R78" i="56"/>
  <c r="R66" i="56"/>
  <c r="R65" i="56"/>
  <c r="R60" i="56"/>
  <c r="R53" i="56"/>
  <c r="R52" i="56"/>
  <c r="R45" i="56"/>
  <c r="R44" i="56"/>
  <c r="R33" i="56"/>
  <c r="R32" i="56"/>
  <c r="X12" i="56"/>
  <c r="R54" i="56"/>
  <c r="R47" i="56"/>
  <c r="R46" i="56"/>
  <c r="R35" i="56"/>
  <c r="R34" i="56"/>
  <c r="R19" i="56"/>
  <c r="H16" i="56"/>
  <c r="R25" i="56"/>
  <c r="X43" i="56"/>
  <c r="Z43" i="56" s="1"/>
  <c r="V51" i="56"/>
  <c r="L50" i="58"/>
  <c r="N50" i="58" s="1"/>
  <c r="R24" i="54"/>
  <c r="F34" i="55"/>
  <c r="V48" i="56"/>
  <c r="V36" i="56"/>
  <c r="V28" i="56"/>
  <c r="V24" i="56"/>
  <c r="V20" i="56"/>
  <c r="V55" i="56"/>
  <c r="V39" i="56"/>
  <c r="V74" i="56"/>
  <c r="V72" i="56"/>
  <c r="V70" i="56"/>
  <c r="V62" i="56"/>
  <c r="V50" i="56"/>
  <c r="V38" i="56"/>
  <c r="V30" i="56"/>
  <c r="V57" i="56"/>
  <c r="V41" i="56"/>
  <c r="V25" i="56"/>
  <c r="V21" i="56"/>
  <c r="V64" i="56"/>
  <c r="V56" i="56"/>
  <c r="V40" i="56"/>
  <c r="V65" i="56"/>
  <c r="V53" i="56"/>
  <c r="V45" i="56"/>
  <c r="V33" i="56"/>
  <c r="V68" i="56"/>
  <c r="V60" i="56"/>
  <c r="V52" i="56"/>
  <c r="V44" i="56"/>
  <c r="V32" i="56"/>
  <c r="Z12" i="56"/>
  <c r="V67" i="56"/>
  <c r="V47" i="56"/>
  <c r="V35" i="56"/>
  <c r="V27" i="56"/>
  <c r="V23" i="56"/>
  <c r="V19" i="56"/>
  <c r="V69" i="56"/>
  <c r="V61" i="56"/>
  <c r="V49" i="56"/>
  <c r="V37" i="56"/>
  <c r="V29" i="56"/>
  <c r="V18" i="56"/>
  <c r="N29" i="56"/>
  <c r="V43" i="56"/>
  <c r="R68" i="56"/>
  <c r="N38" i="58"/>
  <c r="N44" i="58"/>
  <c r="F62" i="59"/>
  <c r="F61" i="59"/>
  <c r="F54" i="59"/>
  <c r="F53" i="59"/>
  <c r="F38" i="59"/>
  <c r="F37" i="59"/>
  <c r="F33" i="59"/>
  <c r="F48" i="59"/>
  <c r="F40" i="59"/>
  <c r="F39" i="59"/>
  <c r="F28" i="59"/>
  <c r="F24" i="59"/>
  <c r="F20" i="59"/>
  <c r="F19" i="59"/>
  <c r="F63" i="59"/>
  <c r="F55" i="59"/>
  <c r="F18" i="59"/>
  <c r="F16" i="59"/>
  <c r="F14" i="59"/>
  <c r="F67" i="59"/>
  <c r="F65" i="59"/>
  <c r="F58" i="59"/>
  <c r="F50" i="59"/>
  <c r="F26" i="59"/>
  <c r="F22" i="59"/>
  <c r="F74" i="59"/>
  <c r="F71" i="59"/>
  <c r="F60" i="59"/>
  <c r="F59" i="59"/>
  <c r="F52" i="59"/>
  <c r="F51" i="59"/>
  <c r="F36" i="59"/>
  <c r="F32" i="59"/>
  <c r="L12" i="59"/>
  <c r="F29" i="59"/>
  <c r="F45" i="59"/>
  <c r="F34" i="59"/>
  <c r="F27" i="59"/>
  <c r="F57" i="59"/>
  <c r="F25" i="59"/>
  <c r="F42" i="59"/>
  <c r="F23" i="59"/>
  <c r="F46" i="59"/>
  <c r="F21" i="59"/>
  <c r="D16" i="59"/>
  <c r="F30" i="59"/>
  <c r="F43" i="59"/>
  <c r="F35" i="59"/>
  <c r="F69" i="59"/>
  <c r="F49" i="59"/>
  <c r="F47" i="59"/>
  <c r="F31" i="59"/>
  <c r="F56" i="59"/>
  <c r="F44" i="59"/>
  <c r="F41" i="59"/>
  <c r="F21" i="55"/>
  <c r="L28" i="55"/>
  <c r="L14" i="56"/>
  <c r="R36" i="56"/>
  <c r="Z47" i="56"/>
  <c r="R64" i="56"/>
  <c r="V66" i="56"/>
  <c r="V76" i="56"/>
  <c r="D73" i="57"/>
  <c r="H53" i="61"/>
  <c r="N16" i="61"/>
  <c r="L57" i="51"/>
  <c r="N57" i="51" s="1"/>
  <c r="X87" i="51"/>
  <c r="X107" i="51"/>
  <c r="Z107" i="51" s="1"/>
  <c r="L115" i="51"/>
  <c r="P16" i="54"/>
  <c r="L22" i="55"/>
  <c r="N22" i="55" s="1"/>
  <c r="F28" i="55"/>
  <c r="L32" i="55"/>
  <c r="F38" i="55"/>
  <c r="L19" i="56"/>
  <c r="N19" i="56" s="1"/>
  <c r="L35" i="56"/>
  <c r="N35" i="56" s="1"/>
  <c r="X64" i="56"/>
  <c r="Z64" i="56" s="1"/>
  <c r="Z44" i="58"/>
  <c r="R14" i="54"/>
  <c r="R16" i="54"/>
  <c r="R18" i="54"/>
  <c r="R20" i="54"/>
  <c r="F18" i="55"/>
  <c r="F32" i="55"/>
  <c r="T16" i="56"/>
  <c r="X16" i="56" s="1"/>
  <c r="V22" i="56"/>
  <c r="V42" i="56"/>
  <c r="V58" i="56"/>
  <c r="N16" i="58"/>
  <c r="H74" i="58"/>
  <c r="H71" i="59"/>
  <c r="T62" i="67"/>
  <c r="Z16" i="67"/>
  <c r="V54" i="56"/>
  <c r="N59" i="57"/>
  <c r="Z40" i="58"/>
  <c r="V14" i="54"/>
  <c r="V16" i="54"/>
  <c r="V18" i="54"/>
  <c r="V20" i="54"/>
  <c r="F26" i="54"/>
  <c r="F28" i="54"/>
  <c r="F29" i="54"/>
  <c r="V24" i="55"/>
  <c r="X28" i="55"/>
  <c r="X14" i="56"/>
  <c r="L18" i="56"/>
  <c r="N18" i="56" s="1"/>
  <c r="Z29" i="56"/>
  <c r="V46" i="56"/>
  <c r="R63" i="56"/>
  <c r="V78" i="56"/>
  <c r="N39" i="57"/>
  <c r="N41" i="57"/>
  <c r="N51" i="57"/>
  <c r="L18" i="58"/>
  <c r="N18" i="58" s="1"/>
  <c r="F22" i="56"/>
  <c r="F26" i="56"/>
  <c r="F41" i="56"/>
  <c r="F42" i="56"/>
  <c r="J43" i="56"/>
  <c r="F57" i="56"/>
  <c r="F58" i="56"/>
  <c r="J59" i="56"/>
  <c r="J65" i="56"/>
  <c r="F76" i="56"/>
  <c r="L12" i="57"/>
  <c r="P16" i="57"/>
  <c r="R20" i="57"/>
  <c r="J23" i="57"/>
  <c r="R24" i="57"/>
  <c r="J27" i="57"/>
  <c r="F32" i="57"/>
  <c r="V35" i="57"/>
  <c r="F39" i="57"/>
  <c r="F40" i="57"/>
  <c r="J41" i="57"/>
  <c r="R44" i="57"/>
  <c r="R45" i="57"/>
  <c r="V47" i="57"/>
  <c r="F51" i="57"/>
  <c r="F52" i="57"/>
  <c r="V55" i="57"/>
  <c r="F59" i="57"/>
  <c r="F60" i="57"/>
  <c r="V63" i="57"/>
  <c r="F67" i="57"/>
  <c r="F68" i="57"/>
  <c r="R71" i="57"/>
  <c r="R73" i="57"/>
  <c r="F14" i="58"/>
  <c r="F16" i="58"/>
  <c r="F18" i="58"/>
  <c r="V26" i="58"/>
  <c r="R31" i="58"/>
  <c r="J38" i="58"/>
  <c r="R39" i="58"/>
  <c r="R40" i="58"/>
  <c r="L42" i="58"/>
  <c r="N42" i="58" s="1"/>
  <c r="R43" i="58"/>
  <c r="V44" i="58"/>
  <c r="F46" i="58"/>
  <c r="V48" i="58"/>
  <c r="F50" i="58"/>
  <c r="V52" i="58"/>
  <c r="F54" i="58"/>
  <c r="J65" i="58"/>
  <c r="V66" i="58"/>
  <c r="R70" i="58"/>
  <c r="Z72" i="58"/>
  <c r="V78" i="58"/>
  <c r="V16" i="59"/>
  <c r="V27" i="59"/>
  <c r="R32" i="59"/>
  <c r="V34" i="59"/>
  <c r="V37" i="59"/>
  <c r="R45" i="59"/>
  <c r="Z46" i="59"/>
  <c r="R50" i="59"/>
  <c r="R59" i="59"/>
  <c r="X61" i="59"/>
  <c r="Z61" i="59" s="1"/>
  <c r="R71" i="59"/>
  <c r="F22" i="60"/>
  <c r="F43" i="60"/>
  <c r="R55" i="61"/>
  <c r="R33" i="61"/>
  <c r="R29" i="61"/>
  <c r="R18" i="61"/>
  <c r="R16" i="61"/>
  <c r="R14" i="61"/>
  <c r="R60" i="61"/>
  <c r="R57" i="61"/>
  <c r="R44" i="61"/>
  <c r="R24" i="61"/>
  <c r="R20" i="61"/>
  <c r="P16" i="61"/>
  <c r="R35" i="61"/>
  <c r="R34" i="61"/>
  <c r="R30" i="61"/>
  <c r="R46" i="61"/>
  <c r="R45" i="61"/>
  <c r="R25" i="61"/>
  <c r="R21" i="61"/>
  <c r="R48" i="61"/>
  <c r="R47" i="61"/>
  <c r="R31" i="61"/>
  <c r="R49" i="61"/>
  <c r="R28" i="61"/>
  <c r="R27" i="61"/>
  <c r="R23" i="61"/>
  <c r="R40" i="61"/>
  <c r="R43" i="61"/>
  <c r="N12" i="63"/>
  <c r="Z44" i="63"/>
  <c r="J31" i="56"/>
  <c r="F39" i="56"/>
  <c r="F40" i="56"/>
  <c r="J41" i="56"/>
  <c r="J51" i="56"/>
  <c r="F56" i="56"/>
  <c r="J57" i="56"/>
  <c r="J63" i="56"/>
  <c r="T16" i="57"/>
  <c r="R19" i="57"/>
  <c r="F22" i="57"/>
  <c r="F26" i="57"/>
  <c r="V29" i="57"/>
  <c r="V33" i="57"/>
  <c r="F37" i="57"/>
  <c r="F38" i="57"/>
  <c r="J39" i="57"/>
  <c r="R42" i="57"/>
  <c r="R43" i="57"/>
  <c r="V45" i="57"/>
  <c r="F49" i="57"/>
  <c r="F50" i="57"/>
  <c r="J51" i="57"/>
  <c r="V53" i="57"/>
  <c r="F57" i="57"/>
  <c r="F58" i="57"/>
  <c r="J59" i="57"/>
  <c r="V61" i="57"/>
  <c r="F65" i="57"/>
  <c r="F66" i="57"/>
  <c r="J67" i="57"/>
  <c r="V69" i="57"/>
  <c r="V71" i="57"/>
  <c r="V73" i="57"/>
  <c r="F77" i="57"/>
  <c r="F80" i="57"/>
  <c r="J14" i="58"/>
  <c r="J16" i="58"/>
  <c r="J18" i="58"/>
  <c r="J20" i="58"/>
  <c r="R21" i="58"/>
  <c r="J24" i="58"/>
  <c r="R25" i="58"/>
  <c r="J28" i="58"/>
  <c r="R29" i="58"/>
  <c r="R30" i="58"/>
  <c r="J33" i="58"/>
  <c r="V34" i="58"/>
  <c r="J37" i="58"/>
  <c r="J42" i="58"/>
  <c r="V47" i="58"/>
  <c r="J50" i="58"/>
  <c r="R51" i="58"/>
  <c r="V55" i="58"/>
  <c r="J57" i="58"/>
  <c r="R58" i="58"/>
  <c r="V76" i="58"/>
  <c r="J39" i="59"/>
  <c r="J33" i="59"/>
  <c r="J48" i="59"/>
  <c r="J40" i="59"/>
  <c r="J28" i="59"/>
  <c r="J24" i="59"/>
  <c r="J20" i="59"/>
  <c r="J18" i="59"/>
  <c r="J16" i="59"/>
  <c r="J14" i="59"/>
  <c r="J63" i="59"/>
  <c r="J55" i="59"/>
  <c r="J56" i="59"/>
  <c r="J34" i="59"/>
  <c r="J69" i="59"/>
  <c r="J74" i="59"/>
  <c r="J71" i="59"/>
  <c r="J59" i="59"/>
  <c r="J51" i="59"/>
  <c r="J45" i="59"/>
  <c r="J61" i="59"/>
  <c r="J53" i="59"/>
  <c r="J47" i="59"/>
  <c r="J37" i="59"/>
  <c r="J27" i="59"/>
  <c r="J23" i="59"/>
  <c r="V20" i="59"/>
  <c r="R36" i="59"/>
  <c r="J38" i="59"/>
  <c r="V39" i="59"/>
  <c r="J44" i="59"/>
  <c r="V54" i="59"/>
  <c r="J58" i="59"/>
  <c r="V61" i="59"/>
  <c r="Z18" i="60"/>
  <c r="R24" i="60"/>
  <c r="Z30" i="60"/>
  <c r="F36" i="60"/>
  <c r="X12" i="61"/>
  <c r="R22" i="61"/>
  <c r="R37" i="61"/>
  <c r="Z26" i="62"/>
  <c r="T29" i="62"/>
  <c r="Z29" i="62" s="1"/>
  <c r="V102" i="63"/>
  <c r="V113" i="63"/>
  <c r="V110" i="63"/>
  <c r="V108" i="63"/>
  <c r="V93" i="63"/>
  <c r="V104" i="63"/>
  <c r="V70" i="63"/>
  <c r="V62" i="63"/>
  <c r="V50" i="63"/>
  <c r="V42" i="63"/>
  <c r="V34" i="63"/>
  <c r="V30" i="63"/>
  <c r="T17" i="63"/>
  <c r="V92" i="63"/>
  <c r="V77" i="63"/>
  <c r="V61" i="63"/>
  <c r="V49" i="63"/>
  <c r="V41" i="63"/>
  <c r="V25" i="63"/>
  <c r="V21" i="63"/>
  <c r="V91" i="63"/>
  <c r="V87" i="63"/>
  <c r="V64" i="63"/>
  <c r="V52" i="63"/>
  <c r="V44" i="63"/>
  <c r="V99" i="63"/>
  <c r="V96" i="63"/>
  <c r="V84" i="63"/>
  <c r="V79" i="63"/>
  <c r="V71" i="63"/>
  <c r="V63" i="63"/>
  <c r="V51" i="63"/>
  <c r="V43" i="63"/>
  <c r="V35" i="63"/>
  <c r="V31" i="63"/>
  <c r="V94" i="63"/>
  <c r="V78" i="63"/>
  <c r="V66" i="63"/>
  <c r="V54" i="63"/>
  <c r="V26" i="63"/>
  <c r="V22" i="63"/>
  <c r="V106" i="63"/>
  <c r="V73" i="63"/>
  <c r="V65" i="63"/>
  <c r="V53" i="63"/>
  <c r="V45" i="63"/>
  <c r="V37" i="63"/>
  <c r="V101" i="63"/>
  <c r="V88" i="63"/>
  <c r="V80" i="63"/>
  <c r="V72" i="63"/>
  <c r="V68" i="63"/>
  <c r="V56" i="63"/>
  <c r="V36" i="63"/>
  <c r="V32" i="63"/>
  <c r="V85" i="63"/>
  <c r="V75" i="63"/>
  <c r="V67" i="63"/>
  <c r="V55" i="63"/>
  <c r="V47" i="63"/>
  <c r="V39" i="63"/>
  <c r="V27" i="63"/>
  <c r="V23" i="63"/>
  <c r="X12" i="63"/>
  <c r="V103" i="63"/>
  <c r="V97" i="63"/>
  <c r="V82" i="63"/>
  <c r="V74" i="63"/>
  <c r="V58" i="63"/>
  <c r="V46" i="63"/>
  <c r="V38" i="63"/>
  <c r="V95" i="63"/>
  <c r="V81" i="63"/>
  <c r="V69" i="63"/>
  <c r="V57" i="63"/>
  <c r="V33" i="63"/>
  <c r="V29" i="63"/>
  <c r="V86" i="63"/>
  <c r="V83" i="63"/>
  <c r="V59" i="63"/>
  <c r="V19" i="63"/>
  <c r="V17" i="63"/>
  <c r="V15" i="63"/>
  <c r="Z73" i="63"/>
  <c r="V98" i="63"/>
  <c r="J40" i="56"/>
  <c r="J56" i="56"/>
  <c r="J72" i="56"/>
  <c r="J74" i="56"/>
  <c r="V14" i="57"/>
  <c r="V16" i="57"/>
  <c r="V18" i="57"/>
  <c r="J22" i="57"/>
  <c r="J26" i="57"/>
  <c r="F31" i="57"/>
  <c r="J38" i="57"/>
  <c r="V42" i="57"/>
  <c r="J50" i="57"/>
  <c r="J58" i="57"/>
  <c r="J66" i="57"/>
  <c r="F81" i="58"/>
  <c r="F78" i="58"/>
  <c r="F59" i="58"/>
  <c r="F43" i="58"/>
  <c r="F42" i="58"/>
  <c r="F61" i="58"/>
  <c r="F60" i="58"/>
  <c r="F53" i="58"/>
  <c r="F45" i="58"/>
  <c r="F44" i="58"/>
  <c r="F76" i="58"/>
  <c r="F58" i="58"/>
  <c r="F57" i="58"/>
  <c r="F36" i="58"/>
  <c r="F49" i="58"/>
  <c r="F63" i="58"/>
  <c r="R65" i="58"/>
  <c r="F68" i="58"/>
  <c r="V14" i="59"/>
  <c r="N19" i="59"/>
  <c r="J26" i="59"/>
  <c r="J31" i="59"/>
  <c r="V36" i="59"/>
  <c r="J60" i="59"/>
  <c r="L14" i="60"/>
  <c r="R20" i="60"/>
  <c r="N38" i="60"/>
  <c r="R46" i="60"/>
  <c r="T53" i="61"/>
  <c r="Z16" i="61"/>
  <c r="N19" i="61"/>
  <c r="R36" i="61"/>
  <c r="Z37" i="61"/>
  <c r="N12" i="62"/>
  <c r="L12" i="62"/>
  <c r="H16" i="62"/>
  <c r="J22" i="62"/>
  <c r="N37" i="63"/>
  <c r="V76" i="63"/>
  <c r="J21" i="56"/>
  <c r="J25" i="56"/>
  <c r="F29" i="56"/>
  <c r="F30" i="56"/>
  <c r="F37" i="56"/>
  <c r="F38" i="56"/>
  <c r="J39" i="56"/>
  <c r="F49" i="56"/>
  <c r="F50" i="56"/>
  <c r="F62" i="56"/>
  <c r="F70" i="56"/>
  <c r="X12" i="57"/>
  <c r="V19" i="57"/>
  <c r="V23" i="57"/>
  <c r="V27" i="57"/>
  <c r="J31" i="57"/>
  <c r="R32" i="57"/>
  <c r="F35" i="57"/>
  <c r="F36" i="57"/>
  <c r="J37" i="57"/>
  <c r="R40" i="57"/>
  <c r="R41" i="57"/>
  <c r="V43" i="57"/>
  <c r="F47" i="57"/>
  <c r="F48" i="57"/>
  <c r="J49" i="57"/>
  <c r="R52" i="57"/>
  <c r="F55" i="57"/>
  <c r="F56" i="57"/>
  <c r="J57" i="57"/>
  <c r="R60" i="57"/>
  <c r="F63" i="57"/>
  <c r="F64" i="57"/>
  <c r="J65" i="57"/>
  <c r="R68" i="57"/>
  <c r="J77" i="57"/>
  <c r="J80" i="57"/>
  <c r="J66" i="58"/>
  <c r="J60" i="58"/>
  <c r="J44" i="58"/>
  <c r="J34" i="58"/>
  <c r="J68" i="58"/>
  <c r="J54" i="58"/>
  <c r="J46" i="58"/>
  <c r="J41" i="58"/>
  <c r="F23" i="58"/>
  <c r="F27" i="58"/>
  <c r="N36" i="58"/>
  <c r="F41" i="58"/>
  <c r="J45" i="58"/>
  <c r="R46" i="58"/>
  <c r="J49" i="58"/>
  <c r="J53" i="58"/>
  <c r="R54" i="58"/>
  <c r="R61" i="58"/>
  <c r="J63" i="58"/>
  <c r="R64" i="58"/>
  <c r="R69" i="58"/>
  <c r="F72" i="58"/>
  <c r="J81" i="58"/>
  <c r="R67" i="59"/>
  <c r="R65" i="59"/>
  <c r="R34" i="59"/>
  <c r="R57" i="59"/>
  <c r="R49" i="59"/>
  <c r="R42" i="59"/>
  <c r="R41" i="59"/>
  <c r="R30" i="59"/>
  <c r="R29" i="59"/>
  <c r="R25" i="59"/>
  <c r="R21" i="59"/>
  <c r="R69" i="59"/>
  <c r="R44" i="59"/>
  <c r="R43" i="59"/>
  <c r="R35" i="59"/>
  <c r="R31" i="59"/>
  <c r="R74" i="59"/>
  <c r="R61" i="59"/>
  <c r="R60" i="59"/>
  <c r="R53" i="59"/>
  <c r="R52" i="59"/>
  <c r="R62" i="59"/>
  <c r="R54" i="59"/>
  <c r="R39" i="59"/>
  <c r="R38" i="59"/>
  <c r="R19" i="59"/>
  <c r="R48" i="59"/>
  <c r="R40" i="59"/>
  <c r="R28" i="59"/>
  <c r="R24" i="59"/>
  <c r="R20" i="59"/>
  <c r="P16" i="59"/>
  <c r="R22" i="59"/>
  <c r="R47" i="59"/>
  <c r="J49" i="59"/>
  <c r="N51" i="59"/>
  <c r="J62" i="59"/>
  <c r="L65" i="59"/>
  <c r="X14" i="60"/>
  <c r="Z32" i="60"/>
  <c r="N40" i="60"/>
  <c r="F45" i="60"/>
  <c r="L14" i="61"/>
  <c r="R26" i="61"/>
  <c r="L79" i="63"/>
  <c r="N79" i="63" s="1"/>
  <c r="V89" i="63"/>
  <c r="J54" i="67"/>
  <c r="J50" i="67"/>
  <c r="J40" i="67"/>
  <c r="J55" i="67"/>
  <c r="J41" i="67"/>
  <c r="J33" i="67"/>
  <c r="J19" i="67"/>
  <c r="J56" i="67"/>
  <c r="J42" i="67"/>
  <c r="J57" i="67"/>
  <c r="J51" i="67"/>
  <c r="J53" i="67"/>
  <c r="J69" i="67"/>
  <c r="J66" i="67"/>
  <c r="J48" i="67"/>
  <c r="J38" i="67"/>
  <c r="J32" i="67"/>
  <c r="N12" i="67"/>
  <c r="J36" i="67"/>
  <c r="J26" i="67"/>
  <c r="J64" i="67"/>
  <c r="J60" i="67"/>
  <c r="J43" i="67"/>
  <c r="J23" i="67"/>
  <c r="J52" i="67"/>
  <c r="J20" i="67"/>
  <c r="J47" i="67"/>
  <c r="J44" i="67"/>
  <c r="J34" i="67"/>
  <c r="J31" i="67"/>
  <c r="J27" i="67"/>
  <c r="J24" i="67"/>
  <c r="J35" i="67"/>
  <c r="J16" i="67"/>
  <c r="J30" i="67"/>
  <c r="J22" i="67"/>
  <c r="H16" i="67"/>
  <c r="J25" i="67"/>
  <c r="J49" i="67"/>
  <c r="J45" i="67"/>
  <c r="J39" i="67"/>
  <c r="J37" i="67"/>
  <c r="J58" i="67"/>
  <c r="J62" i="67"/>
  <c r="J28" i="67"/>
  <c r="J14" i="67"/>
  <c r="J46" i="67"/>
  <c r="J18" i="67"/>
  <c r="J21" i="67"/>
  <c r="F75" i="57"/>
  <c r="P16" i="58"/>
  <c r="R24" i="58"/>
  <c r="R28" i="58"/>
  <c r="R33" i="58"/>
  <c r="R42" i="58"/>
  <c r="F56" i="58"/>
  <c r="F67" i="58"/>
  <c r="R68" i="58"/>
  <c r="V57" i="59"/>
  <c r="V49" i="59"/>
  <c r="V41" i="59"/>
  <c r="V29" i="59"/>
  <c r="V25" i="59"/>
  <c r="V44" i="59"/>
  <c r="V74" i="59"/>
  <c r="V71" i="59"/>
  <c r="V69" i="59"/>
  <c r="V59" i="59"/>
  <c r="V51" i="59"/>
  <c r="V43" i="59"/>
  <c r="V35" i="59"/>
  <c r="V31" i="59"/>
  <c r="V58" i="59"/>
  <c r="V50" i="59"/>
  <c r="V46" i="59"/>
  <c r="V26" i="59"/>
  <c r="V22" i="59"/>
  <c r="V33" i="59"/>
  <c r="V67" i="59"/>
  <c r="V65" i="59"/>
  <c r="V63" i="59"/>
  <c r="V55" i="59"/>
  <c r="V38" i="59"/>
  <c r="V47" i="59"/>
  <c r="N53" i="59"/>
  <c r="V56" i="59"/>
  <c r="F19" i="60"/>
  <c r="Z34" i="60"/>
  <c r="X38" i="60"/>
  <c r="J72" i="63"/>
  <c r="F54" i="57"/>
  <c r="F62" i="57"/>
  <c r="F71" i="57"/>
  <c r="F73" i="57"/>
  <c r="J75" i="57"/>
  <c r="Z42" i="58"/>
  <c r="V28" i="59"/>
  <c r="V60" i="59"/>
  <c r="Z38" i="60"/>
  <c r="N46" i="61"/>
  <c r="J48" i="56"/>
  <c r="F61" i="56"/>
  <c r="F68" i="56"/>
  <c r="F69" i="56"/>
  <c r="F14" i="57"/>
  <c r="F16" i="57"/>
  <c r="F18" i="57"/>
  <c r="L35" i="57"/>
  <c r="X41" i="57"/>
  <c r="J46" i="57"/>
  <c r="L47" i="57"/>
  <c r="N47" i="57" s="1"/>
  <c r="V50" i="57"/>
  <c r="J54" i="57"/>
  <c r="L55" i="57"/>
  <c r="N55" i="57" s="1"/>
  <c r="V58" i="57"/>
  <c r="J62" i="57"/>
  <c r="L63" i="57"/>
  <c r="N63" i="57" s="1"/>
  <c r="V66" i="57"/>
  <c r="R55" i="58"/>
  <c r="R48" i="58"/>
  <c r="R47" i="58"/>
  <c r="R36" i="58"/>
  <c r="R35" i="58"/>
  <c r="R74" i="58"/>
  <c r="R72" i="58"/>
  <c r="R50" i="58"/>
  <c r="R49" i="58"/>
  <c r="R38" i="58"/>
  <c r="R37" i="58"/>
  <c r="R67" i="58"/>
  <c r="R66" i="58"/>
  <c r="T16" i="58"/>
  <c r="R19" i="58"/>
  <c r="R41" i="58"/>
  <c r="R45" i="58"/>
  <c r="N48" i="58"/>
  <c r="F52" i="58"/>
  <c r="R53" i="58"/>
  <c r="R60" i="58"/>
  <c r="R63" i="58"/>
  <c r="J67" i="58"/>
  <c r="L72" i="58"/>
  <c r="J78" i="58"/>
  <c r="R81" i="58"/>
  <c r="Z12" i="59"/>
  <c r="V62" i="59"/>
  <c r="F50" i="60"/>
  <c r="F48" i="60"/>
  <c r="F39" i="60"/>
  <c r="F38" i="60"/>
  <c r="F31" i="60"/>
  <c r="F30" i="60"/>
  <c r="F18" i="60"/>
  <c r="F16" i="60"/>
  <c r="F14" i="60"/>
  <c r="F52" i="60"/>
  <c r="D16" i="60"/>
  <c r="F41" i="60"/>
  <c r="F40" i="60"/>
  <c r="F33" i="60"/>
  <c r="F32" i="60"/>
  <c r="F25" i="60"/>
  <c r="F21" i="60"/>
  <c r="F57" i="60"/>
  <c r="F54" i="60"/>
  <c r="F35" i="60"/>
  <c r="F34" i="60"/>
  <c r="F27" i="60"/>
  <c r="F23" i="60"/>
  <c r="F37" i="60"/>
  <c r="F29" i="60"/>
  <c r="F28" i="60"/>
  <c r="N18" i="61"/>
  <c r="Z28" i="61"/>
  <c r="R53" i="61"/>
  <c r="J101" i="63"/>
  <c r="J19" i="56"/>
  <c r="F33" i="56"/>
  <c r="F34" i="56"/>
  <c r="J35" i="56"/>
  <c r="F45" i="56"/>
  <c r="F46" i="56"/>
  <c r="J47" i="56"/>
  <c r="F53" i="56"/>
  <c r="F54" i="56"/>
  <c r="J61" i="56"/>
  <c r="J69" i="56"/>
  <c r="H16" i="57"/>
  <c r="F19" i="57"/>
  <c r="F20" i="57"/>
  <c r="F24" i="57"/>
  <c r="V31" i="57"/>
  <c r="R36" i="57"/>
  <c r="R37" i="57"/>
  <c r="V39" i="57"/>
  <c r="F43" i="57"/>
  <c r="F44" i="57"/>
  <c r="J45" i="57"/>
  <c r="R48" i="57"/>
  <c r="R49" i="57"/>
  <c r="V51" i="57"/>
  <c r="R56" i="57"/>
  <c r="R57" i="57"/>
  <c r="V59" i="57"/>
  <c r="R64" i="57"/>
  <c r="R65" i="57"/>
  <c r="V67" i="57"/>
  <c r="J71" i="57"/>
  <c r="J73" i="57"/>
  <c r="R77" i="57"/>
  <c r="R80" i="57"/>
  <c r="V74" i="58"/>
  <c r="V72" i="58"/>
  <c r="V70" i="58"/>
  <c r="V62" i="58"/>
  <c r="V50" i="58"/>
  <c r="V38" i="58"/>
  <c r="V56" i="58"/>
  <c r="V40" i="58"/>
  <c r="V32" i="58"/>
  <c r="V69" i="58"/>
  <c r="V61" i="58"/>
  <c r="V53" i="58"/>
  <c r="V45" i="58"/>
  <c r="V14" i="58"/>
  <c r="V16" i="58"/>
  <c r="V18" i="58"/>
  <c r="J22" i="58"/>
  <c r="R23" i="58"/>
  <c r="J26" i="58"/>
  <c r="R27" i="58"/>
  <c r="F30" i="58"/>
  <c r="F31" i="58"/>
  <c r="F39" i="58"/>
  <c r="J40" i="58"/>
  <c r="V41" i="58"/>
  <c r="J48" i="58"/>
  <c r="J52" i="58"/>
  <c r="V57" i="58"/>
  <c r="F62" i="58"/>
  <c r="V63" i="58"/>
  <c r="R18" i="59"/>
  <c r="V19" i="59"/>
  <c r="L30" i="59"/>
  <c r="N30" i="59" s="1"/>
  <c r="L37" i="59"/>
  <c r="N37" i="59" s="1"/>
  <c r="V40" i="59"/>
  <c r="J46" i="59"/>
  <c r="Z53" i="59"/>
  <c r="R55" i="59"/>
  <c r="Z40" i="60"/>
  <c r="L48" i="60"/>
  <c r="R38" i="61"/>
  <c r="J20" i="62"/>
  <c r="X29" i="63"/>
  <c r="J36" i="63"/>
  <c r="N82" i="63"/>
  <c r="J29" i="67"/>
  <c r="F23" i="56"/>
  <c r="F27" i="56"/>
  <c r="J34" i="56"/>
  <c r="J46" i="56"/>
  <c r="J54" i="56"/>
  <c r="F66" i="56"/>
  <c r="F67" i="56"/>
  <c r="J68" i="56"/>
  <c r="F78" i="56"/>
  <c r="F81" i="56"/>
  <c r="J14" i="57"/>
  <c r="J16" i="57"/>
  <c r="J18" i="57"/>
  <c r="J20" i="57"/>
  <c r="R21" i="57"/>
  <c r="J24" i="57"/>
  <c r="R25" i="57"/>
  <c r="F28" i="57"/>
  <c r="F29" i="57"/>
  <c r="F33" i="57"/>
  <c r="V36" i="57"/>
  <c r="J44" i="57"/>
  <c r="V48" i="57"/>
  <c r="F53" i="57"/>
  <c r="V56" i="57"/>
  <c r="F61" i="57"/>
  <c r="V64" i="57"/>
  <c r="F69" i="57"/>
  <c r="R75" i="57"/>
  <c r="X12" i="58"/>
  <c r="V27" i="58"/>
  <c r="J31" i="58"/>
  <c r="R32" i="58"/>
  <c r="V36" i="58"/>
  <c r="J39" i="58"/>
  <c r="R56" i="58"/>
  <c r="R59" i="58"/>
  <c r="V60" i="58"/>
  <c r="J62" i="58"/>
  <c r="F66" i="58"/>
  <c r="F70" i="58"/>
  <c r="V81" i="58"/>
  <c r="N16" i="59"/>
  <c r="R23" i="59"/>
  <c r="J25" i="59"/>
  <c r="J32" i="59"/>
  <c r="X37" i="59"/>
  <c r="J42" i="59"/>
  <c r="J50" i="59"/>
  <c r="V53" i="59"/>
  <c r="J57" i="59"/>
  <c r="N59" i="59"/>
  <c r="L12" i="60"/>
  <c r="T16" i="60"/>
  <c r="F44" i="60"/>
  <c r="X48" i="60"/>
  <c r="R32" i="61"/>
  <c r="R41" i="61"/>
  <c r="Z29" i="63"/>
  <c r="J80" i="63"/>
  <c r="T149" i="68"/>
  <c r="F52" i="56"/>
  <c r="J53" i="56"/>
  <c r="F59" i="56"/>
  <c r="F60" i="56"/>
  <c r="J67" i="56"/>
  <c r="F41" i="57"/>
  <c r="F42" i="57"/>
  <c r="J43" i="57"/>
  <c r="V49" i="57"/>
  <c r="J53" i="57"/>
  <c r="V57" i="57"/>
  <c r="J61" i="57"/>
  <c r="R62" i="57"/>
  <c r="V65" i="57"/>
  <c r="J69" i="57"/>
  <c r="V75" i="57"/>
  <c r="V77" i="57"/>
  <c r="V80" i="57"/>
  <c r="F38" i="58"/>
  <c r="R44" i="58"/>
  <c r="F47" i="58"/>
  <c r="F51" i="58"/>
  <c r="F55" i="58"/>
  <c r="F65" i="58"/>
  <c r="J70" i="58"/>
  <c r="J76" i="58"/>
  <c r="R78" i="58"/>
  <c r="V18" i="59"/>
  <c r="V21" i="59"/>
  <c r="V23" i="59"/>
  <c r="J32" i="56"/>
  <c r="J44" i="56"/>
  <c r="J52" i="56"/>
  <c r="J60" i="56"/>
  <c r="F64" i="56"/>
  <c r="J66" i="56"/>
  <c r="J78" i="56"/>
  <c r="F23" i="57"/>
  <c r="J28" i="57"/>
  <c r="V30" i="57"/>
  <c r="V34" i="57"/>
  <c r="V46" i="57"/>
  <c r="V54" i="57"/>
  <c r="D16" i="58"/>
  <c r="R22" i="58"/>
  <c r="J25" i="58"/>
  <c r="R26" i="58"/>
  <c r="J29" i="58"/>
  <c r="J47" i="58"/>
  <c r="J51" i="58"/>
  <c r="R52" i="58"/>
  <c r="J55" i="58"/>
  <c r="J58" i="58"/>
  <c r="R62" i="58"/>
  <c r="N65" i="58"/>
  <c r="V67" i="58"/>
  <c r="F69" i="58"/>
  <c r="T16" i="59"/>
  <c r="V30" i="59"/>
  <c r="Z37" i="59"/>
  <c r="R46" i="59"/>
  <c r="V48" i="59"/>
  <c r="J54" i="59"/>
  <c r="L56" i="59"/>
  <c r="N56" i="59" s="1"/>
  <c r="L61" i="59"/>
  <c r="R35" i="60"/>
  <c r="R43" i="60"/>
  <c r="R42" i="60"/>
  <c r="R26" i="60"/>
  <c r="R22" i="60"/>
  <c r="R45" i="60"/>
  <c r="R44" i="60"/>
  <c r="R36" i="60"/>
  <c r="X12" i="60"/>
  <c r="R28" i="60"/>
  <c r="R27" i="60"/>
  <c r="R23" i="60"/>
  <c r="R50" i="60"/>
  <c r="R48" i="60"/>
  <c r="R38" i="60"/>
  <c r="R37" i="60"/>
  <c r="R30" i="60"/>
  <c r="R29" i="60"/>
  <c r="R18" i="60"/>
  <c r="R16" i="60"/>
  <c r="R14" i="60"/>
  <c r="R40" i="60"/>
  <c r="R39" i="60"/>
  <c r="R32" i="60"/>
  <c r="R31" i="60"/>
  <c r="R57" i="60"/>
  <c r="R54" i="60"/>
  <c r="R41" i="60"/>
  <c r="R34" i="60"/>
  <c r="R33" i="60"/>
  <c r="R25" i="60"/>
  <c r="R21" i="60"/>
  <c r="N18" i="60"/>
  <c r="F24" i="60"/>
  <c r="F26" i="60"/>
  <c r="N28" i="60"/>
  <c r="N30" i="60"/>
  <c r="H50" i="60"/>
  <c r="L16" i="61"/>
  <c r="D53" i="61"/>
  <c r="X18" i="61"/>
  <c r="Z18" i="61" s="1"/>
  <c r="Z48" i="61"/>
  <c r="J96" i="63"/>
  <c r="J97" i="63"/>
  <c r="J89" i="63"/>
  <c r="J85" i="63"/>
  <c r="J108" i="63"/>
  <c r="J95" i="63"/>
  <c r="J102" i="63"/>
  <c r="J74" i="63"/>
  <c r="J68" i="63"/>
  <c r="J56" i="63"/>
  <c r="J46" i="63"/>
  <c r="J38" i="63"/>
  <c r="J103" i="63"/>
  <c r="J81" i="63"/>
  <c r="J75" i="63"/>
  <c r="J69" i="63"/>
  <c r="J57" i="63"/>
  <c r="J47" i="63"/>
  <c r="J39" i="63"/>
  <c r="J33" i="63"/>
  <c r="J98" i="63"/>
  <c r="J86" i="63"/>
  <c r="J82" i="63"/>
  <c r="J76" i="63"/>
  <c r="J58" i="63"/>
  <c r="J48" i="63"/>
  <c r="J40" i="63"/>
  <c r="J28" i="63"/>
  <c r="J24" i="63"/>
  <c r="J14" i="63"/>
  <c r="J113" i="63"/>
  <c r="J104" i="63"/>
  <c r="J90" i="63"/>
  <c r="J83" i="63"/>
  <c r="J59" i="63"/>
  <c r="J29" i="63"/>
  <c r="J15" i="63"/>
  <c r="J70" i="63"/>
  <c r="J60" i="63"/>
  <c r="J34" i="63"/>
  <c r="J30" i="63"/>
  <c r="J20" i="63"/>
  <c r="J91" i="63"/>
  <c r="J77" i="63"/>
  <c r="J61" i="63"/>
  <c r="J49" i="63"/>
  <c r="J41" i="63"/>
  <c r="J25" i="63"/>
  <c r="J21" i="63"/>
  <c r="J19" i="63"/>
  <c r="J17" i="63"/>
  <c r="J99" i="63"/>
  <c r="J87" i="63"/>
  <c r="J62" i="63"/>
  <c r="J50" i="63"/>
  <c r="J42" i="63"/>
  <c r="H17" i="63"/>
  <c r="J92" i="63"/>
  <c r="J84" i="63"/>
  <c r="J71" i="63"/>
  <c r="J63" i="63"/>
  <c r="J51" i="63"/>
  <c r="J43" i="63"/>
  <c r="J35" i="63"/>
  <c r="J31" i="63"/>
  <c r="J110" i="63"/>
  <c r="J106" i="63"/>
  <c r="J93" i="63"/>
  <c r="J78" i="63"/>
  <c r="J64" i="63"/>
  <c r="J52" i="63"/>
  <c r="J44" i="63"/>
  <c r="J26" i="63"/>
  <c r="J22" i="63"/>
  <c r="J79" i="63"/>
  <c r="J65" i="63"/>
  <c r="J53" i="63"/>
  <c r="J45" i="63"/>
  <c r="J73" i="63"/>
  <c r="J67" i="63"/>
  <c r="J55" i="63"/>
  <c r="J37" i="63"/>
  <c r="J27" i="63"/>
  <c r="J23" i="63"/>
  <c r="Z52" i="63"/>
  <c r="N58" i="63"/>
  <c r="J66" i="63"/>
  <c r="J14" i="60"/>
  <c r="J16" i="60"/>
  <c r="J18" i="60"/>
  <c r="J20" i="60"/>
  <c r="J24" i="60"/>
  <c r="J30" i="60"/>
  <c r="J38" i="60"/>
  <c r="J48" i="60"/>
  <c r="J50" i="60"/>
  <c r="V14" i="61"/>
  <c r="V16" i="61"/>
  <c r="V18" i="61"/>
  <c r="J22" i="61"/>
  <c r="J26" i="61"/>
  <c r="F31" i="61"/>
  <c r="J38" i="61"/>
  <c r="V42" i="61"/>
  <c r="F46" i="61"/>
  <c r="F47" i="61"/>
  <c r="J48" i="61"/>
  <c r="D16" i="62"/>
  <c r="F24" i="62"/>
  <c r="L12" i="63"/>
  <c r="R24" i="63"/>
  <c r="R28" i="63"/>
  <c r="R29" i="63"/>
  <c r="F32" i="63"/>
  <c r="F36" i="63"/>
  <c r="R40" i="63"/>
  <c r="R48" i="63"/>
  <c r="F72" i="63"/>
  <c r="R76" i="63"/>
  <c r="F79" i="63"/>
  <c r="F80" i="63"/>
  <c r="F85" i="63"/>
  <c r="F88" i="63"/>
  <c r="F97" i="63"/>
  <c r="H101" i="63"/>
  <c r="F69" i="67"/>
  <c r="F66" i="67"/>
  <c r="F39" i="67"/>
  <c r="F38" i="67"/>
  <c r="F54" i="67"/>
  <c r="F50" i="67"/>
  <c r="F49" i="67"/>
  <c r="F41" i="67"/>
  <c r="F40" i="67"/>
  <c r="F56" i="67"/>
  <c r="F55" i="67"/>
  <c r="F64" i="67"/>
  <c r="F53" i="67"/>
  <c r="F37" i="67"/>
  <c r="F36" i="67"/>
  <c r="D16" i="67"/>
  <c r="F46" i="67"/>
  <c r="F26" i="67"/>
  <c r="F18" i="67"/>
  <c r="F43" i="67"/>
  <c r="F23" i="67"/>
  <c r="F19" i="67"/>
  <c r="F60" i="67"/>
  <c r="F52" i="67"/>
  <c r="F20" i="67"/>
  <c r="F47" i="67"/>
  <c r="F34" i="67"/>
  <c r="F31" i="67"/>
  <c r="F27" i="67"/>
  <c r="L12" i="67"/>
  <c r="F62" i="67"/>
  <c r="F32" i="67"/>
  <c r="F28" i="67"/>
  <c r="F21" i="67"/>
  <c r="F58" i="67"/>
  <c r="F48" i="67"/>
  <c r="F45" i="67"/>
  <c r="F25" i="67"/>
  <c r="F51" i="67"/>
  <c r="F42" i="67"/>
  <c r="F35" i="67"/>
  <c r="F29" i="67"/>
  <c r="F14" i="67"/>
  <c r="Z49" i="67"/>
  <c r="F57" i="67"/>
  <c r="V84" i="68"/>
  <c r="V113" i="68"/>
  <c r="J28" i="60"/>
  <c r="V34" i="60"/>
  <c r="J46" i="60"/>
  <c r="V52" i="60"/>
  <c r="V54" i="60"/>
  <c r="V57" i="60"/>
  <c r="F25" i="61"/>
  <c r="J36" i="61"/>
  <c r="F45" i="61"/>
  <c r="J46" i="61"/>
  <c r="R106" i="63"/>
  <c r="R104" i="63"/>
  <c r="R98" i="63"/>
  <c r="R97" i="63"/>
  <c r="R102" i="63"/>
  <c r="R108" i="63"/>
  <c r="R101" i="63"/>
  <c r="R86" i="63"/>
  <c r="R96" i="63"/>
  <c r="F22" i="63"/>
  <c r="F26" i="63"/>
  <c r="R38" i="63"/>
  <c r="R39" i="63"/>
  <c r="R46" i="63"/>
  <c r="R47" i="63"/>
  <c r="R74" i="63"/>
  <c r="R75" i="63"/>
  <c r="F78" i="63"/>
  <c r="F92" i="63"/>
  <c r="F93" i="63"/>
  <c r="Z103" i="63"/>
  <c r="F110" i="63"/>
  <c r="L25" i="70"/>
  <c r="N25" i="70" s="1"/>
  <c r="R27" i="63"/>
  <c r="F31" i="63"/>
  <c r="F35" i="63"/>
  <c r="F42" i="63"/>
  <c r="F43" i="63"/>
  <c r="F50" i="63"/>
  <c r="F51" i="63"/>
  <c r="R55" i="63"/>
  <c r="R56" i="63"/>
  <c r="F62" i="63"/>
  <c r="F63" i="63"/>
  <c r="R67" i="63"/>
  <c r="R68" i="63"/>
  <c r="F71" i="63"/>
  <c r="F84" i="63"/>
  <c r="R85" i="63"/>
  <c r="T101" i="63"/>
  <c r="Z141" i="68"/>
  <c r="X141" i="68"/>
  <c r="X16" i="70"/>
  <c r="Z16" i="70" s="1"/>
  <c r="Z16" i="102"/>
  <c r="T51" i="102"/>
  <c r="L51" i="107"/>
  <c r="N51" i="107" s="1"/>
  <c r="V20" i="60"/>
  <c r="V24" i="60"/>
  <c r="V32" i="60"/>
  <c r="V40" i="60"/>
  <c r="J30" i="61"/>
  <c r="J34" i="61"/>
  <c r="R24" i="62"/>
  <c r="F17" i="63"/>
  <c r="F19" i="63"/>
  <c r="R72" i="63"/>
  <c r="R73" i="63"/>
  <c r="R80" i="63"/>
  <c r="F87" i="63"/>
  <c r="R88" i="63"/>
  <c r="F99" i="63"/>
  <c r="X101" i="63"/>
  <c r="L14" i="67"/>
  <c r="Z55" i="67"/>
  <c r="X55" i="67"/>
  <c r="P12" i="68"/>
  <c r="F41" i="63"/>
  <c r="F49" i="63"/>
  <c r="F60" i="63"/>
  <c r="F61" i="63"/>
  <c r="R65" i="63"/>
  <c r="R66" i="63"/>
  <c r="F77" i="63"/>
  <c r="F91" i="63"/>
  <c r="R94" i="63"/>
  <c r="F96" i="63"/>
  <c r="Z42" i="67"/>
  <c r="V146" i="68"/>
  <c r="V144" i="68"/>
  <c r="V136" i="68"/>
  <c r="V128" i="68"/>
  <c r="V100" i="68"/>
  <c r="V72" i="68"/>
  <c r="V68" i="68"/>
  <c r="V64" i="68"/>
  <c r="V60" i="68"/>
  <c r="V56" i="68"/>
  <c r="V99" i="68"/>
  <c r="V91" i="68"/>
  <c r="V130" i="68"/>
  <c r="V122" i="68"/>
  <c r="V118" i="68"/>
  <c r="V114" i="68"/>
  <c r="V110" i="68"/>
  <c r="V106" i="68"/>
  <c r="V102" i="68"/>
  <c r="V86" i="68"/>
  <c r="V82" i="68"/>
  <c r="V151" i="68"/>
  <c r="V137" i="68"/>
  <c r="V101" i="68"/>
  <c r="V93" i="68"/>
  <c r="V73" i="68"/>
  <c r="V69" i="68"/>
  <c r="V65" i="68"/>
  <c r="V61" i="68"/>
  <c r="V57" i="68"/>
  <c r="V53" i="68"/>
  <c r="V139" i="68"/>
  <c r="V131" i="68"/>
  <c r="V123" i="68"/>
  <c r="V119" i="68"/>
  <c r="V115" i="68"/>
  <c r="V111" i="68"/>
  <c r="V107" i="68"/>
  <c r="V103" i="68"/>
  <c r="V95" i="68"/>
  <c r="V87" i="68"/>
  <c r="V83" i="68"/>
  <c r="V79" i="68"/>
  <c r="V138" i="68"/>
  <c r="V94" i="68"/>
  <c r="V78" i="68"/>
  <c r="V76" i="68"/>
  <c r="V74" i="68"/>
  <c r="V70" i="68"/>
  <c r="V66" i="68"/>
  <c r="V62" i="68"/>
  <c r="V58" i="68"/>
  <c r="V54" i="68"/>
  <c r="V143" i="68"/>
  <c r="V135" i="68"/>
  <c r="V127" i="68"/>
  <c r="V71" i="68"/>
  <c r="V67" i="68"/>
  <c r="V63" i="68"/>
  <c r="V59" i="68"/>
  <c r="V55" i="68"/>
  <c r="V142" i="68"/>
  <c r="V134" i="68"/>
  <c r="V126" i="68"/>
  <c r="V98" i="68"/>
  <c r="V90" i="68"/>
  <c r="V117" i="68"/>
  <c r="V112" i="68"/>
  <c r="V149" i="68"/>
  <c r="V129" i="68"/>
  <c r="V124" i="68"/>
  <c r="V133" i="68"/>
  <c r="V109" i="68"/>
  <c r="V85" i="68"/>
  <c r="V121" i="68"/>
  <c r="V89" i="68"/>
  <c r="V80" i="68"/>
  <c r="V104" i="68"/>
  <c r="V147" i="68"/>
  <c r="V140" i="68"/>
  <c r="V125" i="68"/>
  <c r="V116" i="68"/>
  <c r="V96" i="68"/>
  <c r="V88" i="68"/>
  <c r="V141" i="68"/>
  <c r="V120" i="68"/>
  <c r="V97" i="68"/>
  <c r="V105" i="68"/>
  <c r="N19" i="70"/>
  <c r="L19" i="70"/>
  <c r="V14" i="60"/>
  <c r="V16" i="60"/>
  <c r="V18" i="60"/>
  <c r="V30" i="60"/>
  <c r="V38" i="60"/>
  <c r="V46" i="60"/>
  <c r="V48" i="60"/>
  <c r="V50" i="60"/>
  <c r="P16" i="62"/>
  <c r="F70" i="63"/>
  <c r="F90" i="63"/>
  <c r="R93" i="63"/>
  <c r="R110" i="63"/>
  <c r="N46" i="68"/>
  <c r="L100" i="68"/>
  <c r="N100" i="68"/>
  <c r="V108" i="68"/>
  <c r="V132" i="68"/>
  <c r="J117" i="70"/>
  <c r="J111" i="70"/>
  <c r="J105" i="70"/>
  <c r="J87" i="70"/>
  <c r="J79" i="70"/>
  <c r="J65" i="70"/>
  <c r="J118" i="70"/>
  <c r="J112" i="70"/>
  <c r="J106" i="70"/>
  <c r="J88" i="70"/>
  <c r="J74" i="70"/>
  <c r="J70" i="70"/>
  <c r="J66" i="70"/>
  <c r="J64" i="70"/>
  <c r="J113" i="70"/>
  <c r="J101" i="70"/>
  <c r="J97" i="70"/>
  <c r="J89" i="70"/>
  <c r="J75" i="70"/>
  <c r="H62" i="70"/>
  <c r="J62" i="70" s="1"/>
  <c r="J57" i="70"/>
  <c r="J53" i="70"/>
  <c r="J90" i="70"/>
  <c r="J80" i="70"/>
  <c r="J76" i="70"/>
  <c r="J119" i="70"/>
  <c r="J107" i="70"/>
  <c r="J91" i="70"/>
  <c r="J81" i="70"/>
  <c r="J71" i="70"/>
  <c r="J67" i="70"/>
  <c r="J120" i="70"/>
  <c r="J121" i="70"/>
  <c r="J83" i="70"/>
  <c r="J77" i="70"/>
  <c r="J132" i="70"/>
  <c r="J126" i="70"/>
  <c r="J110" i="70"/>
  <c r="J94" i="70"/>
  <c r="J78" i="70"/>
  <c r="J125" i="70"/>
  <c r="J95" i="70"/>
  <c r="J85" i="70"/>
  <c r="J73" i="70"/>
  <c r="J69" i="70"/>
  <c r="J128" i="70"/>
  <c r="J54" i="70"/>
  <c r="J52" i="70"/>
  <c r="J122" i="70"/>
  <c r="J99" i="70"/>
  <c r="J84" i="70"/>
  <c r="J50" i="70"/>
  <c r="J103" i="70"/>
  <c r="J48" i="70"/>
  <c r="J82" i="70"/>
  <c r="J46" i="70"/>
  <c r="J116" i="70"/>
  <c r="J114" i="70"/>
  <c r="J59" i="70"/>
  <c r="J108" i="70"/>
  <c r="J98" i="70"/>
  <c r="J96" i="70"/>
  <c r="J92" i="70"/>
  <c r="J55" i="70"/>
  <c r="J51" i="70"/>
  <c r="J127" i="70"/>
  <c r="J72" i="70"/>
  <c r="J109" i="70"/>
  <c r="J93" i="70"/>
  <c r="J60" i="70"/>
  <c r="J49" i="70"/>
  <c r="J115" i="70"/>
  <c r="J86" i="70"/>
  <c r="J44" i="70"/>
  <c r="J100" i="70"/>
  <c r="J68" i="70"/>
  <c r="J56" i="70"/>
  <c r="J123" i="70"/>
  <c r="J102" i="70"/>
  <c r="V19" i="60"/>
  <c r="V23" i="60"/>
  <c r="V27" i="60"/>
  <c r="J35" i="60"/>
  <c r="J19" i="61"/>
  <c r="J29" i="61"/>
  <c r="J33" i="61"/>
  <c r="F41" i="61"/>
  <c r="F42" i="61"/>
  <c r="J43" i="61"/>
  <c r="F51" i="61"/>
  <c r="F53" i="61"/>
  <c r="J55" i="61"/>
  <c r="R14" i="62"/>
  <c r="R16" i="62"/>
  <c r="R18" i="62"/>
  <c r="R20" i="62"/>
  <c r="R22" i="62"/>
  <c r="F14" i="63"/>
  <c r="F15" i="63"/>
  <c r="R31" i="63"/>
  <c r="R35" i="63"/>
  <c r="R43" i="63"/>
  <c r="R44" i="63"/>
  <c r="R51" i="63"/>
  <c r="R52" i="63"/>
  <c r="F58" i="63"/>
  <c r="F59" i="63"/>
  <c r="R63" i="63"/>
  <c r="R64" i="63"/>
  <c r="R71" i="63"/>
  <c r="F82" i="63"/>
  <c r="F83" i="63"/>
  <c r="R84" i="63"/>
  <c r="F98" i="63"/>
  <c r="R99" i="63"/>
  <c r="F113" i="63"/>
  <c r="N18" i="68"/>
  <c r="Z95" i="68"/>
  <c r="J58" i="70"/>
  <c r="Z12" i="60"/>
  <c r="V28" i="60"/>
  <c r="V36" i="60"/>
  <c r="V44" i="60"/>
  <c r="J28" i="61"/>
  <c r="X37" i="61"/>
  <c r="J42" i="61"/>
  <c r="L43" i="61"/>
  <c r="N43" i="61" s="1"/>
  <c r="L20" i="63"/>
  <c r="N20" i="63" s="1"/>
  <c r="F39" i="63"/>
  <c r="F40" i="63"/>
  <c r="F47" i="63"/>
  <c r="F48" i="63"/>
  <c r="X54" i="63"/>
  <c r="L60" i="63"/>
  <c r="N60" i="63" s="1"/>
  <c r="X66" i="63"/>
  <c r="Z66" i="63" s="1"/>
  <c r="F75" i="63"/>
  <c r="F76" i="63"/>
  <c r="F86" i="63"/>
  <c r="R87" i="63"/>
  <c r="R91" i="63"/>
  <c r="R92" i="63"/>
  <c r="F103" i="63"/>
  <c r="F108" i="63"/>
  <c r="H12" i="68"/>
  <c r="J21" i="60"/>
  <c r="J25" i="60"/>
  <c r="J33" i="60"/>
  <c r="V45" i="60"/>
  <c r="L12" i="61"/>
  <c r="J23" i="61"/>
  <c r="J27" i="61"/>
  <c r="F32" i="61"/>
  <c r="F39" i="61"/>
  <c r="J41" i="61"/>
  <c r="J51" i="61"/>
  <c r="J53" i="61"/>
  <c r="V14" i="62"/>
  <c r="V16" i="62"/>
  <c r="V18" i="62"/>
  <c r="V20" i="62"/>
  <c r="F26" i="62"/>
  <c r="P17" i="63"/>
  <c r="R21" i="63"/>
  <c r="R25" i="63"/>
  <c r="F33" i="63"/>
  <c r="R41" i="63"/>
  <c r="R42" i="63"/>
  <c r="R49" i="63"/>
  <c r="R50" i="63"/>
  <c r="F56" i="63"/>
  <c r="F57" i="63"/>
  <c r="R61" i="63"/>
  <c r="R62" i="63"/>
  <c r="F68" i="63"/>
  <c r="F69" i="63"/>
  <c r="R77" i="63"/>
  <c r="F81" i="63"/>
  <c r="F89" i="63"/>
  <c r="X104" i="63"/>
  <c r="Z104" i="63" s="1"/>
  <c r="F33" i="67"/>
  <c r="L15" i="68"/>
  <c r="D12" i="68"/>
  <c r="V81" i="68"/>
  <c r="L55" i="69"/>
  <c r="N55" i="69" s="1"/>
  <c r="X61" i="69"/>
  <c r="Z61" i="69"/>
  <c r="J47" i="70"/>
  <c r="V22" i="60"/>
  <c r="V26" i="60"/>
  <c r="F106" i="63"/>
  <c r="F104" i="63"/>
  <c r="F101" i="63"/>
  <c r="F37" i="63"/>
  <c r="F38" i="63"/>
  <c r="F46" i="63"/>
  <c r="R70" i="63"/>
  <c r="F73" i="63"/>
  <c r="F74" i="63"/>
  <c r="F95" i="63"/>
  <c r="V92" i="68"/>
  <c r="F23" i="63"/>
  <c r="F27" i="63"/>
  <c r="F54" i="63"/>
  <c r="F55" i="63"/>
  <c r="R59" i="63"/>
  <c r="R60" i="63"/>
  <c r="F66" i="63"/>
  <c r="F67" i="63"/>
  <c r="R83" i="63"/>
  <c r="R90" i="63"/>
  <c r="F94" i="63"/>
  <c r="D101" i="63"/>
  <c r="R113" i="63"/>
  <c r="L147" i="68"/>
  <c r="D146" i="68"/>
  <c r="L146" i="68" s="1"/>
  <c r="X38" i="69"/>
  <c r="R38" i="69"/>
  <c r="R23" i="67"/>
  <c r="V43" i="67"/>
  <c r="R56" i="67"/>
  <c r="R64" i="67"/>
  <c r="Z22" i="68"/>
  <c r="Z27" i="68"/>
  <c r="L31" i="68"/>
  <c r="Z39" i="68"/>
  <c r="L43" i="68"/>
  <c r="Z88" i="68"/>
  <c r="L127" i="68"/>
  <c r="X14" i="69"/>
  <c r="Z14" i="69" s="1"/>
  <c r="N61" i="69"/>
  <c r="Z14" i="70"/>
  <c r="X25" i="70"/>
  <c r="Z37" i="70"/>
  <c r="X32" i="73"/>
  <c r="Z32" i="73" s="1"/>
  <c r="J116" i="76"/>
  <c r="J102" i="76"/>
  <c r="J82" i="76"/>
  <c r="J72" i="76"/>
  <c r="J58" i="76"/>
  <c r="J121" i="76"/>
  <c r="J115" i="76"/>
  <c r="J111" i="76"/>
  <c r="J103" i="76"/>
  <c r="J95" i="76"/>
  <c r="J91" i="76"/>
  <c r="J83" i="76"/>
  <c r="J67" i="76"/>
  <c r="J63" i="76"/>
  <c r="J59" i="76"/>
  <c r="J57" i="76"/>
  <c r="J114" i="76"/>
  <c r="J113" i="76"/>
  <c r="J85" i="76"/>
  <c r="J73" i="76"/>
  <c r="J69" i="76"/>
  <c r="J105" i="76"/>
  <c r="J75" i="76"/>
  <c r="J51" i="76"/>
  <c r="J47" i="76"/>
  <c r="J43" i="76"/>
  <c r="J39" i="76"/>
  <c r="J106" i="76"/>
  <c r="J86" i="76"/>
  <c r="J76" i="76"/>
  <c r="J70" i="76"/>
  <c r="J109" i="76"/>
  <c r="J99" i="76"/>
  <c r="J89" i="76"/>
  <c r="J79" i="76"/>
  <c r="J71" i="76"/>
  <c r="J110" i="76"/>
  <c r="J100" i="76"/>
  <c r="J94" i="76"/>
  <c r="J90" i="76"/>
  <c r="J80" i="76"/>
  <c r="J66" i="76"/>
  <c r="J62" i="76"/>
  <c r="J117" i="76"/>
  <c r="J101" i="76"/>
  <c r="J81" i="76"/>
  <c r="J53" i="76"/>
  <c r="J49" i="76"/>
  <c r="J45" i="76"/>
  <c r="J41" i="76"/>
  <c r="J108" i="76"/>
  <c r="J104" i="76"/>
  <c r="J92" i="76"/>
  <c r="J60" i="76"/>
  <c r="J52" i="76"/>
  <c r="J50" i="76"/>
  <c r="J42" i="76"/>
  <c r="J98" i="76"/>
  <c r="J88" i="76"/>
  <c r="J64" i="76"/>
  <c r="J46" i="76"/>
  <c r="J44" i="76"/>
  <c r="J96" i="76"/>
  <c r="J84" i="76"/>
  <c r="J74" i="76"/>
  <c r="J48" i="76"/>
  <c r="J107" i="76"/>
  <c r="J87" i="76"/>
  <c r="J77" i="76"/>
  <c r="J93" i="76"/>
  <c r="J61" i="76"/>
  <c r="J68" i="76"/>
  <c r="H55" i="76"/>
  <c r="J40" i="76"/>
  <c r="J38" i="76"/>
  <c r="J97" i="76"/>
  <c r="J78" i="76"/>
  <c r="N29" i="67"/>
  <c r="V40" i="67"/>
  <c r="R49" i="67"/>
  <c r="V64" i="67"/>
  <c r="R69" i="67"/>
  <c r="Z34" i="68"/>
  <c r="Z46" i="68"/>
  <c r="Z139" i="68"/>
  <c r="X40" i="69"/>
  <c r="Z40" i="69" s="1"/>
  <c r="D12" i="70"/>
  <c r="N21" i="70"/>
  <c r="L21" i="70"/>
  <c r="Z25" i="70"/>
  <c r="N83" i="70"/>
  <c r="Z61" i="72"/>
  <c r="X61" i="72"/>
  <c r="P16" i="67"/>
  <c r="V18" i="67"/>
  <c r="V19" i="67"/>
  <c r="R22" i="67"/>
  <c r="V30" i="67"/>
  <c r="Z36" i="67"/>
  <c r="V39" i="67"/>
  <c r="Z46" i="67"/>
  <c r="V49" i="67"/>
  <c r="V51" i="67"/>
  <c r="V69" i="67"/>
  <c r="L23" i="68"/>
  <c r="N23" i="68" s="1"/>
  <c r="N38" i="68"/>
  <c r="X125" i="68"/>
  <c r="Z125" i="68" s="1"/>
  <c r="J76" i="69"/>
  <c r="J69" i="69"/>
  <c r="J51" i="69"/>
  <c r="J39" i="69"/>
  <c r="H20" i="69"/>
  <c r="J58" i="69"/>
  <c r="J52" i="69"/>
  <c r="J40" i="69"/>
  <c r="J34" i="69"/>
  <c r="J70" i="69"/>
  <c r="J65" i="69"/>
  <c r="J59" i="69"/>
  <c r="J53" i="69"/>
  <c r="J41" i="69"/>
  <c r="J29" i="69"/>
  <c r="J25" i="69"/>
  <c r="J60" i="69"/>
  <c r="J42" i="69"/>
  <c r="J61" i="69"/>
  <c r="J43" i="69"/>
  <c r="J35" i="69"/>
  <c r="J66" i="69"/>
  <c r="J62" i="69"/>
  <c r="J54" i="69"/>
  <c r="J44" i="69"/>
  <c r="J30" i="69"/>
  <c r="J26" i="69"/>
  <c r="J16" i="69"/>
  <c r="J72" i="69"/>
  <c r="J55" i="69"/>
  <c r="J45" i="69"/>
  <c r="J17" i="69"/>
  <c r="J48" i="69"/>
  <c r="J32" i="69"/>
  <c r="J18" i="69"/>
  <c r="J57" i="69"/>
  <c r="J49" i="69"/>
  <c r="J37" i="69"/>
  <c r="J33" i="69"/>
  <c r="J23" i="69"/>
  <c r="N16" i="69"/>
  <c r="Z22" i="69"/>
  <c r="J27" i="69"/>
  <c r="J64" i="69"/>
  <c r="J68" i="69"/>
  <c r="X19" i="70"/>
  <c r="Z23" i="70"/>
  <c r="L28" i="70"/>
  <c r="L30" i="70"/>
  <c r="L31" i="73"/>
  <c r="N31" i="73" s="1"/>
  <c r="H12" i="73"/>
  <c r="N33" i="73"/>
  <c r="L33" i="73"/>
  <c r="Z48" i="78"/>
  <c r="X48" i="78"/>
  <c r="L47" i="68"/>
  <c r="N47" i="68" s="1"/>
  <c r="N129" i="68"/>
  <c r="Z38" i="69"/>
  <c r="L15" i="70"/>
  <c r="N15" i="70" s="1"/>
  <c r="Z19" i="70"/>
  <c r="N28" i="70"/>
  <c r="N30" i="70"/>
  <c r="N81" i="70"/>
  <c r="N13" i="70"/>
  <c r="L13" i="70"/>
  <c r="R123" i="74"/>
  <c r="R110" i="74"/>
  <c r="R109" i="74"/>
  <c r="R105" i="74"/>
  <c r="R98" i="74"/>
  <c r="R97" i="74"/>
  <c r="R61" i="74"/>
  <c r="R57" i="74"/>
  <c r="P53" i="74"/>
  <c r="R80" i="74"/>
  <c r="R48" i="74"/>
  <c r="R44" i="74"/>
  <c r="R40" i="74"/>
  <c r="R36" i="74"/>
  <c r="R112" i="74"/>
  <c r="R111" i="74"/>
  <c r="R99" i="74"/>
  <c r="R92" i="74"/>
  <c r="R91" i="74"/>
  <c r="R87" i="74"/>
  <c r="R72" i="74"/>
  <c r="R71" i="74"/>
  <c r="R67" i="74"/>
  <c r="R106" i="74"/>
  <c r="R62" i="74"/>
  <c r="R58" i="74"/>
  <c r="R114" i="74"/>
  <c r="R113" i="74"/>
  <c r="R94" i="74"/>
  <c r="R93" i="74"/>
  <c r="R82" i="74"/>
  <c r="R81" i="74"/>
  <c r="R74" i="74"/>
  <c r="R73" i="74"/>
  <c r="R49" i="74"/>
  <c r="R45" i="74"/>
  <c r="R41" i="74"/>
  <c r="R37" i="74"/>
  <c r="R101" i="74"/>
  <c r="R100" i="74"/>
  <c r="R88" i="74"/>
  <c r="R115" i="74"/>
  <c r="R107" i="74"/>
  <c r="R95" i="74"/>
  <c r="R84" i="74"/>
  <c r="R83" i="74"/>
  <c r="R75" i="74"/>
  <c r="R63" i="74"/>
  <c r="R59" i="74"/>
  <c r="R119" i="74"/>
  <c r="R116" i="74"/>
  <c r="R108" i="74"/>
  <c r="R96" i="74"/>
  <c r="R77" i="74"/>
  <c r="R76" i="74"/>
  <c r="R65" i="74"/>
  <c r="R64" i="74"/>
  <c r="R60" i="74"/>
  <c r="R90" i="74"/>
  <c r="R86" i="74"/>
  <c r="R79" i="74"/>
  <c r="R78" i="74"/>
  <c r="R70" i="74"/>
  <c r="R66" i="74"/>
  <c r="R55" i="74"/>
  <c r="R53" i="74"/>
  <c r="R35" i="74"/>
  <c r="R51" i="74"/>
  <c r="R103" i="74"/>
  <c r="R68" i="74"/>
  <c r="R38" i="74"/>
  <c r="R118" i="74"/>
  <c r="R42" i="74"/>
  <c r="R89" i="74"/>
  <c r="R46" i="74"/>
  <c r="R50" i="74"/>
  <c r="R104" i="74"/>
  <c r="R102" i="74"/>
  <c r="R56" i="74"/>
  <c r="R69" i="74"/>
  <c r="R39" i="74"/>
  <c r="X12" i="74"/>
  <c r="R85" i="74"/>
  <c r="R43" i="74"/>
  <c r="R47" i="74"/>
  <c r="X119" i="74"/>
  <c r="Z119" i="74" s="1"/>
  <c r="P118" i="74"/>
  <c r="R32" i="67"/>
  <c r="V55" i="67"/>
  <c r="L30" i="68"/>
  <c r="L42" i="68"/>
  <c r="X53" i="68"/>
  <c r="T12" i="69"/>
  <c r="Z13" i="69"/>
  <c r="J20" i="69"/>
  <c r="J47" i="69"/>
  <c r="X13" i="70"/>
  <c r="Z13" i="70" s="1"/>
  <c r="P12" i="70"/>
  <c r="Z17" i="70"/>
  <c r="N22" i="70"/>
  <c r="N24" i="70"/>
  <c r="Z26" i="70"/>
  <c r="Z28" i="70"/>
  <c r="X36" i="70"/>
  <c r="L44" i="70"/>
  <c r="N44" i="70" s="1"/>
  <c r="J65" i="76"/>
  <c r="R51" i="67"/>
  <c r="R44" i="67"/>
  <c r="R43" i="67"/>
  <c r="R58" i="67"/>
  <c r="R34" i="67"/>
  <c r="R30" i="67"/>
  <c r="R62" i="67"/>
  <c r="R60" i="67"/>
  <c r="R46" i="67"/>
  <c r="R45" i="67"/>
  <c r="R52" i="67"/>
  <c r="R55" i="67"/>
  <c r="R54" i="67"/>
  <c r="R50" i="67"/>
  <c r="R42" i="67"/>
  <c r="R41" i="67"/>
  <c r="R33" i="67"/>
  <c r="R18" i="67"/>
  <c r="R16" i="67"/>
  <c r="R14" i="67"/>
  <c r="V14" i="67"/>
  <c r="R21" i="67"/>
  <c r="R28" i="67"/>
  <c r="V29" i="67"/>
  <c r="V32" i="67"/>
  <c r="Z38" i="67"/>
  <c r="R66" i="67"/>
  <c r="P74" i="69"/>
  <c r="R74" i="69" s="1"/>
  <c r="T12" i="70"/>
  <c r="Z36" i="70"/>
  <c r="V62" i="67"/>
  <c r="V60" i="67"/>
  <c r="V58" i="67"/>
  <c r="V46" i="67"/>
  <c r="V34" i="67"/>
  <c r="V45" i="67"/>
  <c r="V25" i="67"/>
  <c r="V21" i="67"/>
  <c r="V52" i="67"/>
  <c r="V36" i="67"/>
  <c r="V47" i="67"/>
  <c r="V57" i="67"/>
  <c r="V56" i="67"/>
  <c r="V44" i="67"/>
  <c r="V28" i="67"/>
  <c r="V24" i="67"/>
  <c r="V20" i="67"/>
  <c r="R37" i="67"/>
  <c r="V38" i="67"/>
  <c r="N40" i="67"/>
  <c r="V50" i="67"/>
  <c r="R57" i="67"/>
  <c r="Z35" i="68"/>
  <c r="Z47" i="68"/>
  <c r="L51" i="68"/>
  <c r="Z53" i="68"/>
  <c r="L88" i="68"/>
  <c r="N88" i="68" s="1"/>
  <c r="X93" i="68"/>
  <c r="Z93" i="68" s="1"/>
  <c r="R20" i="69"/>
  <c r="J28" i="69"/>
  <c r="X52" i="69"/>
  <c r="L16" i="70"/>
  <c r="L18" i="70"/>
  <c r="Z22" i="70"/>
  <c r="Z24" i="70"/>
  <c r="N39" i="70"/>
  <c r="X88" i="70"/>
  <c r="Z88" i="70" s="1"/>
  <c r="X12" i="67"/>
  <c r="R24" i="67"/>
  <c r="V37" i="67"/>
  <c r="V54" i="67"/>
  <c r="V66" i="67"/>
  <c r="Z15" i="68"/>
  <c r="J36" i="69"/>
  <c r="Z52" i="69"/>
  <c r="J63" i="69"/>
  <c r="N18" i="70"/>
  <c r="X105" i="70"/>
  <c r="Z105" i="70" s="1"/>
  <c r="Z12" i="67"/>
  <c r="R27" i="67"/>
  <c r="R31" i="67"/>
  <c r="R47" i="67"/>
  <c r="L14" i="68"/>
  <c r="L19" i="68"/>
  <c r="N19" i="68" s="1"/>
  <c r="N22" i="68"/>
  <c r="L34" i="68"/>
  <c r="L46" i="68"/>
  <c r="N79" i="68"/>
  <c r="X97" i="68"/>
  <c r="Z97" i="68" s="1"/>
  <c r="R50" i="69"/>
  <c r="J67" i="69"/>
  <c r="N27" i="70"/>
  <c r="L27" i="70"/>
  <c r="N33" i="70"/>
  <c r="Z64" i="70"/>
  <c r="D12" i="69"/>
  <c r="R34" i="69"/>
  <c r="R58" i="69"/>
  <c r="R59" i="69"/>
  <c r="N36" i="70"/>
  <c r="Z65" i="70"/>
  <c r="T12" i="72"/>
  <c r="Z14" i="72"/>
  <c r="L23" i="72"/>
  <c r="N23" i="72" s="1"/>
  <c r="F36" i="72"/>
  <c r="F45" i="72"/>
  <c r="Z68" i="72"/>
  <c r="Z80" i="72"/>
  <c r="P12" i="73"/>
  <c r="Z26" i="73"/>
  <c r="L22" i="79"/>
  <c r="N22" i="79" s="1"/>
  <c r="Z147" i="68"/>
  <c r="R39" i="69"/>
  <c r="R40" i="69"/>
  <c r="R51" i="69"/>
  <c r="R52" i="69"/>
  <c r="X69" i="69"/>
  <c r="Z69" i="69" s="1"/>
  <c r="X31" i="70"/>
  <c r="Z31" i="70" s="1"/>
  <c r="X39" i="70"/>
  <c r="Z39" i="70" s="1"/>
  <c r="N41" i="70"/>
  <c r="L81" i="70"/>
  <c r="X95" i="70"/>
  <c r="Z95" i="70" s="1"/>
  <c r="D125" i="70"/>
  <c r="L125" i="70" s="1"/>
  <c r="N125" i="70" s="1"/>
  <c r="X18" i="72"/>
  <c r="X52" i="72"/>
  <c r="Z52" i="72" s="1"/>
  <c r="Z78" i="72"/>
  <c r="R72" i="69"/>
  <c r="R18" i="69"/>
  <c r="R23" i="69"/>
  <c r="X33" i="70"/>
  <c r="Z33" i="70" s="1"/>
  <c r="H12" i="72"/>
  <c r="N13" i="72"/>
  <c r="Z23" i="72"/>
  <c r="N30" i="72"/>
  <c r="F41" i="72"/>
  <c r="F49" i="72"/>
  <c r="Z56" i="72"/>
  <c r="L59" i="72"/>
  <c r="L71" i="72"/>
  <c r="N71" i="72" s="1"/>
  <c r="F73" i="72"/>
  <c r="N13" i="73"/>
  <c r="N15" i="73"/>
  <c r="X25" i="73"/>
  <c r="Z25" i="73" s="1"/>
  <c r="X31" i="73"/>
  <c r="Z31" i="73" s="1"/>
  <c r="T118" i="74"/>
  <c r="V119" i="74"/>
  <c r="Z102" i="76"/>
  <c r="R63" i="69"/>
  <c r="R67" i="69"/>
  <c r="X30" i="70"/>
  <c r="Z30" i="70" s="1"/>
  <c r="X38" i="70"/>
  <c r="Z38" i="70" s="1"/>
  <c r="X29" i="73"/>
  <c r="Z29" i="73" s="1"/>
  <c r="Z99" i="73"/>
  <c r="X99" i="73"/>
  <c r="D12" i="74"/>
  <c r="R78" i="75"/>
  <c r="R75" i="75"/>
  <c r="R74" i="75"/>
  <c r="R73" i="75"/>
  <c r="R68" i="75"/>
  <c r="R61" i="75"/>
  <c r="R60" i="75"/>
  <c r="R44" i="75"/>
  <c r="R33" i="75"/>
  <c r="R29" i="75"/>
  <c r="X12" i="75"/>
  <c r="R52" i="75"/>
  <c r="R51" i="75"/>
  <c r="R39" i="75"/>
  <c r="R35" i="75"/>
  <c r="P31" i="75"/>
  <c r="R62" i="75"/>
  <c r="R69" i="75"/>
  <c r="R54" i="75"/>
  <c r="R53" i="75"/>
  <c r="R45" i="75"/>
  <c r="R40" i="75"/>
  <c r="R36" i="75"/>
  <c r="R82" i="75"/>
  <c r="R64" i="75"/>
  <c r="R63" i="75"/>
  <c r="R56" i="75"/>
  <c r="R55" i="75"/>
  <c r="R70" i="75"/>
  <c r="R46" i="75"/>
  <c r="R72" i="75"/>
  <c r="R71" i="75"/>
  <c r="R67" i="75"/>
  <c r="R48" i="75"/>
  <c r="R47" i="75"/>
  <c r="R50" i="75"/>
  <c r="R49" i="75"/>
  <c r="R34" i="75"/>
  <c r="R38" i="75"/>
  <c r="R58" i="75"/>
  <c r="R42" i="75"/>
  <c r="R37" i="75"/>
  <c r="R65" i="75"/>
  <c r="R41" i="75"/>
  <c r="R59" i="75"/>
  <c r="R43" i="75"/>
  <c r="R66" i="75"/>
  <c r="L40" i="70"/>
  <c r="N40" i="70" s="1"/>
  <c r="P12" i="72"/>
  <c r="N17" i="72"/>
  <c r="D27" i="72"/>
  <c r="F37" i="72"/>
  <c r="T12" i="73"/>
  <c r="Z13" i="73"/>
  <c r="Z17" i="73"/>
  <c r="Z15" i="75"/>
  <c r="R17" i="69"/>
  <c r="R45" i="69"/>
  <c r="R46" i="69"/>
  <c r="N14" i="70"/>
  <c r="N20" i="70"/>
  <c r="N26" i="70"/>
  <c r="L32" i="70"/>
  <c r="N32" i="70" s="1"/>
  <c r="X35" i="70"/>
  <c r="Z35" i="70" s="1"/>
  <c r="Z117" i="70"/>
  <c r="X117" i="70"/>
  <c r="Z35" i="74"/>
  <c r="N112" i="74"/>
  <c r="L112" i="74"/>
  <c r="R57" i="75"/>
  <c r="Z18" i="76"/>
  <c r="V47" i="79"/>
  <c r="R26" i="69"/>
  <c r="R30" i="69"/>
  <c r="X48" i="69"/>
  <c r="R54" i="69"/>
  <c r="R55" i="69"/>
  <c r="R62" i="69"/>
  <c r="R66" i="69"/>
  <c r="N37" i="70"/>
  <c r="N42" i="70"/>
  <c r="Z59" i="72"/>
  <c r="F76" i="72"/>
  <c r="Z35" i="73"/>
  <c r="X35" i="74"/>
  <c r="T53" i="74"/>
  <c r="N30" i="76"/>
  <c r="L30" i="76"/>
  <c r="R16" i="69"/>
  <c r="R35" i="69"/>
  <c r="R43" i="69"/>
  <c r="R44" i="69"/>
  <c r="L37" i="70"/>
  <c r="N128" i="70"/>
  <c r="F87" i="72"/>
  <c r="F60" i="72"/>
  <c r="F59" i="72"/>
  <c r="F24" i="72"/>
  <c r="F23" i="72"/>
  <c r="F79" i="72"/>
  <c r="F78" i="72"/>
  <c r="F67" i="72"/>
  <c r="F51" i="72"/>
  <c r="F50" i="72"/>
  <c r="F43" i="72"/>
  <c r="F74" i="72"/>
  <c r="F62" i="72"/>
  <c r="F61" i="72"/>
  <c r="F38" i="72"/>
  <c r="F34" i="72"/>
  <c r="F81" i="72"/>
  <c r="F80" i="72"/>
  <c r="F69" i="72"/>
  <c r="F68" i="72"/>
  <c r="F53" i="72"/>
  <c r="F52" i="72"/>
  <c r="F25" i="72"/>
  <c r="F44" i="72"/>
  <c r="F40" i="72"/>
  <c r="F39" i="72"/>
  <c r="F75" i="72"/>
  <c r="F63" i="72"/>
  <c r="F55" i="72"/>
  <c r="F54" i="72"/>
  <c r="F35" i="72"/>
  <c r="F31" i="72"/>
  <c r="F30" i="72"/>
  <c r="F70" i="72"/>
  <c r="F29" i="72"/>
  <c r="F27" i="72"/>
  <c r="F47" i="72"/>
  <c r="F46" i="72"/>
  <c r="F66" i="72"/>
  <c r="F65" i="72"/>
  <c r="F58" i="72"/>
  <c r="F42" i="72"/>
  <c r="L21" i="72"/>
  <c r="F33" i="72"/>
  <c r="F72" i="72"/>
  <c r="L20" i="74"/>
  <c r="N20" i="74" s="1"/>
  <c r="N92" i="74"/>
  <c r="L92" i="74"/>
  <c r="R60" i="69"/>
  <c r="R61" i="69"/>
  <c r="R70" i="69"/>
  <c r="X17" i="70"/>
  <c r="X23" i="70"/>
  <c r="X29" i="70"/>
  <c r="Z29" i="70" s="1"/>
  <c r="X37" i="70"/>
  <c r="X42" i="70"/>
  <c r="Z42" i="70" s="1"/>
  <c r="L95" i="70"/>
  <c r="N95" i="70" s="1"/>
  <c r="N105" i="70"/>
  <c r="F64" i="72"/>
  <c r="L14" i="72"/>
  <c r="X56" i="72"/>
  <c r="L78" i="72"/>
  <c r="N78" i="72" s="1"/>
  <c r="F93" i="76"/>
  <c r="L67" i="78"/>
  <c r="N67" i="78" s="1"/>
  <c r="D66" i="78"/>
  <c r="Z20" i="73"/>
  <c r="Z23" i="73"/>
  <c r="L25" i="73"/>
  <c r="N25" i="73" s="1"/>
  <c r="N16" i="74"/>
  <c r="L27" i="74"/>
  <c r="N27" i="74" s="1"/>
  <c r="Z32" i="74"/>
  <c r="Z74" i="74"/>
  <c r="N33" i="75"/>
  <c r="F82" i="75"/>
  <c r="N20" i="76"/>
  <c r="F65" i="76"/>
  <c r="N46" i="78"/>
  <c r="Z16" i="73"/>
  <c r="Z28" i="73"/>
  <c r="Z55" i="73"/>
  <c r="F70" i="75"/>
  <c r="N34" i="76"/>
  <c r="L34" i="76"/>
  <c r="F114" i="76"/>
  <c r="N39" i="78"/>
  <c r="R68" i="79"/>
  <c r="R67" i="79"/>
  <c r="R55" i="79"/>
  <c r="R27" i="79"/>
  <c r="R39" i="79"/>
  <c r="R38" i="79"/>
  <c r="R23" i="79"/>
  <c r="R18" i="79"/>
  <c r="R69" i="79"/>
  <c r="R61" i="79"/>
  <c r="R49" i="79"/>
  <c r="R33" i="79"/>
  <c r="R22" i="79"/>
  <c r="R71" i="79"/>
  <c r="R57" i="79"/>
  <c r="R56" i="79"/>
  <c r="R41" i="79"/>
  <c r="R40" i="79"/>
  <c r="R28" i="79"/>
  <c r="R24" i="79"/>
  <c r="P20" i="79"/>
  <c r="R20" i="79" s="1"/>
  <c r="R62" i="79"/>
  <c r="R58" i="79"/>
  <c r="R51" i="79"/>
  <c r="R50" i="79"/>
  <c r="R43" i="79"/>
  <c r="R42" i="79"/>
  <c r="R34" i="79"/>
  <c r="R75" i="79"/>
  <c r="R29" i="79"/>
  <c r="R25" i="79"/>
  <c r="R53" i="79"/>
  <c r="R52" i="79"/>
  <c r="R45" i="79"/>
  <c r="R44" i="79"/>
  <c r="R54" i="79"/>
  <c r="R47" i="79"/>
  <c r="R46" i="79"/>
  <c r="R31" i="79"/>
  <c r="R30" i="79"/>
  <c r="R26" i="79"/>
  <c r="R66" i="79"/>
  <c r="R65" i="79"/>
  <c r="R17" i="79"/>
  <c r="R60" i="79"/>
  <c r="R48" i="79"/>
  <c r="R37" i="79"/>
  <c r="R36" i="79"/>
  <c r="R32" i="79"/>
  <c r="X12" i="79"/>
  <c r="R35" i="79"/>
  <c r="R63" i="79"/>
  <c r="R59" i="79"/>
  <c r="R16" i="79"/>
  <c r="N48" i="80"/>
  <c r="L48" i="80"/>
  <c r="X52" i="80"/>
  <c r="X30" i="76"/>
  <c r="Z30" i="76"/>
  <c r="Z52" i="80"/>
  <c r="L21" i="73"/>
  <c r="N21" i="73" s="1"/>
  <c r="Z20" i="74"/>
  <c r="L101" i="74"/>
  <c r="T12" i="75"/>
  <c r="Z14" i="75"/>
  <c r="Z18" i="75"/>
  <c r="Z20" i="75"/>
  <c r="Z22" i="75"/>
  <c r="Z24" i="75"/>
  <c r="N54" i="75"/>
  <c r="Z72" i="75"/>
  <c r="T12" i="76"/>
  <c r="F61" i="76"/>
  <c r="X13" i="72"/>
  <c r="Z13" i="72" s="1"/>
  <c r="X83" i="72"/>
  <c r="X18" i="73"/>
  <c r="Z18" i="73" s="1"/>
  <c r="Z70" i="73"/>
  <c r="Z79" i="73"/>
  <c r="N24" i="74"/>
  <c r="L72" i="74"/>
  <c r="N72" i="74" s="1"/>
  <c r="V77" i="74"/>
  <c r="Z82" i="74"/>
  <c r="N118" i="74"/>
  <c r="Z48" i="75"/>
  <c r="F52" i="75"/>
  <c r="L64" i="75"/>
  <c r="N64" i="75" s="1"/>
  <c r="N77" i="75"/>
  <c r="N17" i="73"/>
  <c r="Z95" i="73"/>
  <c r="L19" i="74"/>
  <c r="N19" i="74" s="1"/>
  <c r="F78" i="75"/>
  <c r="F77" i="75"/>
  <c r="F71" i="75"/>
  <c r="F67" i="75"/>
  <c r="F66" i="75"/>
  <c r="F47" i="75"/>
  <c r="F58" i="75"/>
  <c r="F42" i="75"/>
  <c r="F38" i="75"/>
  <c r="F73" i="75"/>
  <c r="F72" i="75"/>
  <c r="F49" i="75"/>
  <c r="F48" i="75"/>
  <c r="F68" i="75"/>
  <c r="F60" i="75"/>
  <c r="F59" i="75"/>
  <c r="F44" i="75"/>
  <c r="F43" i="75"/>
  <c r="F51" i="75"/>
  <c r="F50" i="75"/>
  <c r="F39" i="75"/>
  <c r="F35" i="75"/>
  <c r="F34" i="75"/>
  <c r="F74" i="75"/>
  <c r="F62" i="75"/>
  <c r="F61" i="75"/>
  <c r="F33" i="75"/>
  <c r="F29" i="75"/>
  <c r="F63" i="75"/>
  <c r="F55" i="75"/>
  <c r="F54" i="75"/>
  <c r="F65" i="75"/>
  <c r="F64" i="75"/>
  <c r="F57" i="75"/>
  <c r="F56" i="75"/>
  <c r="F41" i="75"/>
  <c r="F37" i="75"/>
  <c r="F36" i="75"/>
  <c r="L17" i="73"/>
  <c r="X24" i="73"/>
  <c r="Z24" i="73" s="1"/>
  <c r="Z27" i="73"/>
  <c r="L29" i="73"/>
  <c r="N29" i="73" s="1"/>
  <c r="X54" i="73"/>
  <c r="Z54" i="73" s="1"/>
  <c r="H12" i="74"/>
  <c r="Z24" i="74"/>
  <c r="Z84" i="74"/>
  <c r="H12" i="75"/>
  <c r="L12" i="75" s="1"/>
  <c r="N13" i="75"/>
  <c r="N17" i="75"/>
  <c r="N21" i="75"/>
  <c r="D31" i="75"/>
  <c r="N66" i="75"/>
  <c r="Z76" i="76"/>
  <c r="D12" i="73"/>
  <c r="X14" i="73"/>
  <c r="Z14" i="73" s="1"/>
  <c r="X65" i="73"/>
  <c r="Z65" i="73" s="1"/>
  <c r="L75" i="73"/>
  <c r="Z52" i="75"/>
  <c r="F101" i="76"/>
  <c r="F100" i="76"/>
  <c r="F81" i="76"/>
  <c r="F80" i="76"/>
  <c r="F53" i="76"/>
  <c r="F49" i="76"/>
  <c r="F45" i="76"/>
  <c r="F41" i="76"/>
  <c r="F117" i="76"/>
  <c r="F72" i="76"/>
  <c r="F121" i="76"/>
  <c r="F116" i="76"/>
  <c r="F111" i="76"/>
  <c r="F103" i="76"/>
  <c r="F102" i="76"/>
  <c r="F95" i="76"/>
  <c r="F91" i="76"/>
  <c r="F115" i="76"/>
  <c r="F57" i="76"/>
  <c r="F55" i="76"/>
  <c r="F50" i="76"/>
  <c r="F46" i="76"/>
  <c r="F42" i="76"/>
  <c r="F113" i="76"/>
  <c r="F104" i="76"/>
  <c r="F96" i="76"/>
  <c r="F92" i="76"/>
  <c r="F64" i="76"/>
  <c r="F60" i="76"/>
  <c r="F75" i="76"/>
  <c r="F74" i="76"/>
  <c r="F51" i="76"/>
  <c r="F47" i="76"/>
  <c r="F43" i="76"/>
  <c r="F39" i="76"/>
  <c r="F38" i="76"/>
  <c r="F108" i="76"/>
  <c r="F107" i="76"/>
  <c r="F88" i="76"/>
  <c r="F87" i="76"/>
  <c r="F52" i="76"/>
  <c r="F48" i="76"/>
  <c r="F44" i="76"/>
  <c r="F40" i="76"/>
  <c r="F99" i="76"/>
  <c r="F98" i="76"/>
  <c r="F79" i="76"/>
  <c r="F78" i="76"/>
  <c r="F71" i="76"/>
  <c r="F110" i="76"/>
  <c r="F109" i="76"/>
  <c r="F94" i="76"/>
  <c r="F90" i="76"/>
  <c r="F89" i="76"/>
  <c r="F66" i="76"/>
  <c r="F62" i="76"/>
  <c r="F106" i="76"/>
  <c r="F70" i="76"/>
  <c r="D55" i="76"/>
  <c r="F76" i="76"/>
  <c r="F68" i="76"/>
  <c r="F58" i="76"/>
  <c r="F86" i="76"/>
  <c r="F84" i="76"/>
  <c r="F69" i="76"/>
  <c r="F105" i="76"/>
  <c r="F82" i="76"/>
  <c r="F77" i="76"/>
  <c r="F59" i="76"/>
  <c r="L12" i="76"/>
  <c r="N12" i="76" s="1"/>
  <c r="F97" i="76"/>
  <c r="F73" i="76"/>
  <c r="F83" i="76"/>
  <c r="L57" i="76"/>
  <c r="N57" i="76" s="1"/>
  <c r="T66" i="78"/>
  <c r="Z70" i="78"/>
  <c r="X70" i="78"/>
  <c r="R64" i="79"/>
  <c r="N21" i="74"/>
  <c r="N25" i="74"/>
  <c r="N29" i="74"/>
  <c r="N33" i="74"/>
  <c r="V57" i="74"/>
  <c r="V61" i="74"/>
  <c r="N65" i="74"/>
  <c r="N77" i="74"/>
  <c r="V97" i="74"/>
  <c r="V105" i="74"/>
  <c r="V109" i="74"/>
  <c r="N119" i="74"/>
  <c r="V123" i="74"/>
  <c r="N48" i="75"/>
  <c r="Z54" i="75"/>
  <c r="N72" i="75"/>
  <c r="N18" i="76"/>
  <c r="Z19" i="76"/>
  <c r="Z24" i="76"/>
  <c r="N28" i="76"/>
  <c r="Z31" i="76"/>
  <c r="X58" i="76"/>
  <c r="Z58" i="76" s="1"/>
  <c r="N78" i="76"/>
  <c r="N102" i="76"/>
  <c r="H12" i="79"/>
  <c r="X16" i="79"/>
  <c r="N57" i="79"/>
  <c r="X40" i="80"/>
  <c r="Z40" i="80" s="1"/>
  <c r="J18" i="82"/>
  <c r="J19" i="82"/>
  <c r="J20" i="82"/>
  <c r="J25" i="82"/>
  <c r="J26" i="82"/>
  <c r="J24" i="82"/>
  <c r="J32" i="82"/>
  <c r="H22" i="82"/>
  <c r="J28" i="82"/>
  <c r="V35" i="74"/>
  <c r="V39" i="74"/>
  <c r="V43" i="74"/>
  <c r="V47" i="74"/>
  <c r="V51" i="74"/>
  <c r="V53" i="74"/>
  <c r="V55" i="74"/>
  <c r="V79" i="74"/>
  <c r="V103" i="74"/>
  <c r="X13" i="76"/>
  <c r="Z13" i="76" s="1"/>
  <c r="P12" i="76"/>
  <c r="X21" i="76"/>
  <c r="Z21" i="76" s="1"/>
  <c r="L32" i="76"/>
  <c r="N32" i="76" s="1"/>
  <c r="X35" i="76"/>
  <c r="Z35" i="76" s="1"/>
  <c r="Z68" i="76"/>
  <c r="Z115" i="76"/>
  <c r="X115" i="76"/>
  <c r="Z17" i="78"/>
  <c r="N30" i="78"/>
  <c r="L30" i="78"/>
  <c r="R32" i="78"/>
  <c r="R41" i="78"/>
  <c r="L59" i="78"/>
  <c r="N59" i="78" s="1"/>
  <c r="Z63" i="78"/>
  <c r="Z16" i="79"/>
  <c r="X47" i="79"/>
  <c r="Z47" i="79" s="1"/>
  <c r="V38" i="74"/>
  <c r="V42" i="74"/>
  <c r="V46" i="74"/>
  <c r="V50" i="74"/>
  <c r="V102" i="74"/>
  <c r="X15" i="76"/>
  <c r="X23" i="76"/>
  <c r="L36" i="76"/>
  <c r="N87" i="76"/>
  <c r="L87" i="76"/>
  <c r="N114" i="76"/>
  <c r="Z30" i="78"/>
  <c r="Z39" i="78"/>
  <c r="Z22" i="79"/>
  <c r="Z31" i="79"/>
  <c r="V31" i="79"/>
  <c r="N41" i="79"/>
  <c r="Z64" i="79"/>
  <c r="Z15" i="76"/>
  <c r="Z23" i="76"/>
  <c r="Z57" i="76"/>
  <c r="X57" i="76"/>
  <c r="N107" i="76"/>
  <c r="L107" i="76"/>
  <c r="R46" i="78"/>
  <c r="Z69" i="78"/>
  <c r="X71" i="78"/>
  <c r="L71" i="79"/>
  <c r="R61" i="80"/>
  <c r="R54" i="80"/>
  <c r="R53" i="80"/>
  <c r="R42" i="80"/>
  <c r="R41" i="80"/>
  <c r="R29" i="80"/>
  <c r="R25" i="80"/>
  <c r="R73" i="80"/>
  <c r="R72" i="80"/>
  <c r="R68" i="80"/>
  <c r="R75" i="80"/>
  <c r="R74" i="80"/>
  <c r="R63" i="80"/>
  <c r="R62" i="80"/>
  <c r="R69" i="80"/>
  <c r="R57" i="80"/>
  <c r="R77" i="80"/>
  <c r="R76" i="80"/>
  <c r="R48" i="80"/>
  <c r="R47" i="80"/>
  <c r="R32" i="80"/>
  <c r="R31" i="80"/>
  <c r="R27" i="80"/>
  <c r="R71" i="80"/>
  <c r="R67" i="80"/>
  <c r="R52" i="80"/>
  <c r="R51" i="80"/>
  <c r="R40" i="80"/>
  <c r="R39" i="80"/>
  <c r="R84" i="80"/>
  <c r="R26" i="80"/>
  <c r="R64" i="80"/>
  <c r="R55" i="80"/>
  <c r="R38" i="80"/>
  <c r="R80" i="80"/>
  <c r="R60" i="80"/>
  <c r="R65" i="80"/>
  <c r="R58" i="80"/>
  <c r="R45" i="80"/>
  <c r="R35" i="80"/>
  <c r="R24" i="80"/>
  <c r="R16" i="80"/>
  <c r="R56" i="80"/>
  <c r="R17" i="80"/>
  <c r="X12" i="80"/>
  <c r="R59" i="80"/>
  <c r="R46" i="80"/>
  <c r="R36" i="80"/>
  <c r="R33" i="80"/>
  <c r="R30" i="80"/>
  <c r="R78" i="80"/>
  <c r="R70" i="80"/>
  <c r="R49" i="80"/>
  <c r="R43" i="80"/>
  <c r="R34" i="80"/>
  <c r="R28" i="80"/>
  <c r="R50" i="80"/>
  <c r="R44" i="80"/>
  <c r="R37" i="80"/>
  <c r="R23" i="80"/>
  <c r="R22" i="80"/>
  <c r="P20" i="80"/>
  <c r="Z12" i="74"/>
  <c r="V68" i="74"/>
  <c r="V84" i="74"/>
  <c r="V88" i="74"/>
  <c r="V100" i="74"/>
  <c r="L16" i="75"/>
  <c r="L20" i="75"/>
  <c r="N20" i="75" s="1"/>
  <c r="L24" i="75"/>
  <c r="L14" i="76"/>
  <c r="N14" i="76" s="1"/>
  <c r="X20" i="76"/>
  <c r="Z20" i="76" s="1"/>
  <c r="L22" i="76"/>
  <c r="Z25" i="76"/>
  <c r="X82" i="76"/>
  <c r="Z82" i="76" s="1"/>
  <c r="X87" i="76"/>
  <c r="Z114" i="76"/>
  <c r="X116" i="76"/>
  <c r="Z116" i="76" s="1"/>
  <c r="D12" i="78"/>
  <c r="N29" i="78"/>
  <c r="N53" i="78"/>
  <c r="R71" i="78"/>
  <c r="R18" i="80"/>
  <c r="L42" i="80"/>
  <c r="V37" i="74"/>
  <c r="V41" i="74"/>
  <c r="V45" i="74"/>
  <c r="V49" i="74"/>
  <c r="V73" i="74"/>
  <c r="V81" i="74"/>
  <c r="V93" i="74"/>
  <c r="V101" i="74"/>
  <c r="V113" i="74"/>
  <c r="X13" i="75"/>
  <c r="Z13" i="75" s="1"/>
  <c r="Z87" i="76"/>
  <c r="Z71" i="78"/>
  <c r="L16" i="80"/>
  <c r="N16" i="80" s="1"/>
  <c r="N42" i="80"/>
  <c r="J132" i="84"/>
  <c r="J118" i="84"/>
  <c r="J112" i="84"/>
  <c r="J92" i="84"/>
  <c r="J133" i="84"/>
  <c r="J125" i="84"/>
  <c r="J119" i="84"/>
  <c r="J113" i="84"/>
  <c r="J105" i="84"/>
  <c r="J101" i="84"/>
  <c r="J97" i="84"/>
  <c r="J93" i="84"/>
  <c r="J81" i="84"/>
  <c r="J135" i="84"/>
  <c r="J126" i="84"/>
  <c r="J114" i="84"/>
  <c r="J106" i="84"/>
  <c r="J102" i="84"/>
  <c r="J98" i="84"/>
  <c r="J94" i="84"/>
  <c r="J84" i="84"/>
  <c r="J129" i="84"/>
  <c r="J117" i="84"/>
  <c r="J109" i="84"/>
  <c r="J130" i="84"/>
  <c r="J124" i="84"/>
  <c r="J110" i="84"/>
  <c r="J104" i="84"/>
  <c r="J100" i="84"/>
  <c r="J96" i="84"/>
  <c r="J90" i="84"/>
  <c r="J78" i="84"/>
  <c r="J72" i="84"/>
  <c r="J131" i="84"/>
  <c r="J111" i="84"/>
  <c r="J91" i="84"/>
  <c r="J137" i="84"/>
  <c r="J134" i="84"/>
  <c r="J122" i="84"/>
  <c r="J103" i="84"/>
  <c r="J86" i="84"/>
  <c r="J74" i="84"/>
  <c r="J70" i="84"/>
  <c r="J56" i="84"/>
  <c r="J52" i="84"/>
  <c r="J48" i="84"/>
  <c r="J44" i="84"/>
  <c r="J40" i="84"/>
  <c r="J115" i="84"/>
  <c r="J107" i="84"/>
  <c r="J99" i="84"/>
  <c r="J89" i="84"/>
  <c r="J71" i="84"/>
  <c r="J61" i="84"/>
  <c r="J95" i="84"/>
  <c r="J79" i="84"/>
  <c r="J66" i="84"/>
  <c r="J62" i="84"/>
  <c r="J60" i="84"/>
  <c r="J141" i="84"/>
  <c r="J83" i="84"/>
  <c r="J80" i="84"/>
  <c r="H58" i="84"/>
  <c r="J53" i="84"/>
  <c r="J49" i="84"/>
  <c r="J45" i="84"/>
  <c r="J41" i="84"/>
  <c r="J87" i="84"/>
  <c r="J75" i="84"/>
  <c r="J127" i="84"/>
  <c r="J123" i="84"/>
  <c r="J120" i="84"/>
  <c r="J67" i="84"/>
  <c r="J63" i="84"/>
  <c r="J108" i="84"/>
  <c r="J54" i="84"/>
  <c r="J50" i="84"/>
  <c r="J46" i="84"/>
  <c r="J42" i="84"/>
  <c r="J55" i="84"/>
  <c r="J51" i="84"/>
  <c r="J47" i="84"/>
  <c r="J43" i="84"/>
  <c r="J39" i="84"/>
  <c r="J128" i="84"/>
  <c r="J121" i="84"/>
  <c r="J85" i="84"/>
  <c r="J82" i="84"/>
  <c r="J77" i="84"/>
  <c r="J69" i="84"/>
  <c r="J65" i="84"/>
  <c r="J116" i="84"/>
  <c r="J76" i="84"/>
  <c r="J88" i="84"/>
  <c r="J73" i="84"/>
  <c r="J68" i="84"/>
  <c r="X15" i="74"/>
  <c r="Z15" i="74" s="1"/>
  <c r="V58" i="74"/>
  <c r="V62" i="74"/>
  <c r="V74" i="74"/>
  <c r="V82" i="74"/>
  <c r="V94" i="74"/>
  <c r="V106" i="74"/>
  <c r="V114" i="74"/>
  <c r="Z17" i="76"/>
  <c r="N24" i="76"/>
  <c r="Z27" i="76"/>
  <c r="L76" i="76"/>
  <c r="N76" i="76" s="1"/>
  <c r="Z105" i="76"/>
  <c r="Z107" i="76"/>
  <c r="R66" i="80"/>
  <c r="V67" i="74"/>
  <c r="V71" i="74"/>
  <c r="V87" i="74"/>
  <c r="V91" i="74"/>
  <c r="V99" i="74"/>
  <c r="V111" i="74"/>
  <c r="Z89" i="76"/>
  <c r="X89" i="76"/>
  <c r="R67" i="78"/>
  <c r="R64" i="78"/>
  <c r="R24" i="78"/>
  <c r="R66" i="78"/>
  <c r="R51" i="78"/>
  <c r="R43" i="78"/>
  <c r="R20" i="78"/>
  <c r="R59" i="78"/>
  <c r="R58" i="78"/>
  <c r="R39" i="78"/>
  <c r="R38" i="78"/>
  <c r="R34" i="78"/>
  <c r="R30" i="78"/>
  <c r="R25" i="78"/>
  <c r="R21" i="78"/>
  <c r="R60" i="78"/>
  <c r="R53" i="78"/>
  <c r="R52" i="78"/>
  <c r="R44" i="78"/>
  <c r="R40" i="78"/>
  <c r="R29" i="78"/>
  <c r="R35" i="78"/>
  <c r="R31" i="78"/>
  <c r="P27" i="78"/>
  <c r="R55" i="78"/>
  <c r="R54" i="78"/>
  <c r="R22" i="78"/>
  <c r="R70" i="78"/>
  <c r="R48" i="78"/>
  <c r="R47" i="78"/>
  <c r="R23" i="78"/>
  <c r="R69" i="78"/>
  <c r="R63" i="78"/>
  <c r="R62" i="78"/>
  <c r="R42" i="78"/>
  <c r="R75" i="78"/>
  <c r="R68" i="78"/>
  <c r="R57" i="78"/>
  <c r="R50" i="78"/>
  <c r="R49" i="78"/>
  <c r="R37" i="78"/>
  <c r="R33" i="78"/>
  <c r="N13" i="80"/>
  <c r="V36" i="74"/>
  <c r="V40" i="74"/>
  <c r="V44" i="74"/>
  <c r="V48" i="74"/>
  <c r="V72" i="74"/>
  <c r="V80" i="74"/>
  <c r="V92" i="74"/>
  <c r="L26" i="76"/>
  <c r="Z84" i="76"/>
  <c r="Z109" i="76"/>
  <c r="X109" i="76"/>
  <c r="L115" i="76"/>
  <c r="N115" i="76" s="1"/>
  <c r="D113" i="76"/>
  <c r="L113" i="76" s="1"/>
  <c r="N113" i="76" s="1"/>
  <c r="T12" i="78"/>
  <c r="Z13" i="78"/>
  <c r="R36" i="78"/>
  <c r="R45" i="78"/>
  <c r="X66" i="78"/>
  <c r="D12" i="79"/>
  <c r="L13" i="79"/>
  <c r="N13" i="79" s="1"/>
  <c r="J32" i="78"/>
  <c r="J36" i="78"/>
  <c r="J46" i="78"/>
  <c r="J56" i="78"/>
  <c r="V23" i="79"/>
  <c r="V27" i="79"/>
  <c r="V39" i="79"/>
  <c r="Z41" i="79"/>
  <c r="V55" i="79"/>
  <c r="Z57" i="79"/>
  <c r="V67" i="79"/>
  <c r="Z71" i="79"/>
  <c r="H12" i="80"/>
  <c r="Z16" i="80"/>
  <c r="F25" i="80"/>
  <c r="V26" i="80"/>
  <c r="N40" i="80"/>
  <c r="F66" i="80"/>
  <c r="Z18" i="82"/>
  <c r="X18" i="82"/>
  <c r="D12" i="84"/>
  <c r="L16" i="87"/>
  <c r="N16" i="87" s="1"/>
  <c r="T113" i="76"/>
  <c r="X113" i="76" s="1"/>
  <c r="J41" i="78"/>
  <c r="J45" i="78"/>
  <c r="J55" i="78"/>
  <c r="J61" i="78"/>
  <c r="Z12" i="79"/>
  <c r="V32" i="79"/>
  <c r="V36" i="79"/>
  <c r="V48" i="79"/>
  <c r="V60" i="79"/>
  <c r="V68" i="79"/>
  <c r="F30" i="80"/>
  <c r="F36" i="80"/>
  <c r="V37" i="80"/>
  <c r="Z44" i="80"/>
  <c r="Z50" i="80"/>
  <c r="F68" i="80"/>
  <c r="V74" i="80"/>
  <c r="V88" i="83"/>
  <c r="V50" i="83"/>
  <c r="V38" i="83"/>
  <c r="V34" i="83"/>
  <c r="V77" i="83"/>
  <c r="V65" i="83"/>
  <c r="V49" i="83"/>
  <c r="V41" i="83"/>
  <c r="V29" i="83"/>
  <c r="V25" i="83"/>
  <c r="V76" i="83"/>
  <c r="V72" i="83"/>
  <c r="V60" i="83"/>
  <c r="V52" i="83"/>
  <c r="V40" i="83"/>
  <c r="V16" i="83"/>
  <c r="V79" i="83"/>
  <c r="V67" i="83"/>
  <c r="V51" i="83"/>
  <c r="V43" i="83"/>
  <c r="V35" i="83"/>
  <c r="V78" i="83"/>
  <c r="V66" i="83"/>
  <c r="V62" i="83"/>
  <c r="V54" i="83"/>
  <c r="V42" i="83"/>
  <c r="V30" i="83"/>
  <c r="V26" i="83"/>
  <c r="V81" i="83"/>
  <c r="V73" i="83"/>
  <c r="V61" i="83"/>
  <c r="V53" i="83"/>
  <c r="V45" i="83"/>
  <c r="V17" i="83"/>
  <c r="V80" i="83"/>
  <c r="V68" i="83"/>
  <c r="V56" i="83"/>
  <c r="V44" i="83"/>
  <c r="V36" i="83"/>
  <c r="V32" i="83"/>
  <c r="Z12" i="83"/>
  <c r="V69" i="83"/>
  <c r="V57" i="83"/>
  <c r="V37" i="83"/>
  <c r="V33" i="83"/>
  <c r="T20" i="83"/>
  <c r="V64" i="83"/>
  <c r="V48" i="83"/>
  <c r="V28" i="83"/>
  <c r="V24" i="83"/>
  <c r="V75" i="83"/>
  <c r="V71" i="83"/>
  <c r="V59" i="83"/>
  <c r="V47" i="83"/>
  <c r="V39" i="83"/>
  <c r="Z14" i="83"/>
  <c r="R81" i="83"/>
  <c r="R135" i="84"/>
  <c r="R84" i="84"/>
  <c r="R83" i="84"/>
  <c r="R137" i="84"/>
  <c r="R126" i="84"/>
  <c r="R115" i="84"/>
  <c r="R114" i="84"/>
  <c r="R106" i="84"/>
  <c r="R102" i="84"/>
  <c r="R98" i="84"/>
  <c r="R94" i="84"/>
  <c r="R116" i="84"/>
  <c r="R141" i="84"/>
  <c r="R128" i="84"/>
  <c r="R127" i="84"/>
  <c r="R123" i="84"/>
  <c r="R108" i="84"/>
  <c r="R107" i="84"/>
  <c r="R103" i="84"/>
  <c r="R99" i="84"/>
  <c r="R95" i="84"/>
  <c r="R88" i="84"/>
  <c r="R87" i="84"/>
  <c r="R76" i="84"/>
  <c r="R75" i="84"/>
  <c r="R119" i="84"/>
  <c r="R118" i="84"/>
  <c r="R134" i="84"/>
  <c r="R133" i="84"/>
  <c r="R125" i="84"/>
  <c r="R113" i="84"/>
  <c r="R105" i="84"/>
  <c r="R101" i="84"/>
  <c r="R97" i="84"/>
  <c r="R93" i="84"/>
  <c r="R82" i="84"/>
  <c r="R81" i="84"/>
  <c r="R73" i="84"/>
  <c r="R120" i="84"/>
  <c r="R117" i="84"/>
  <c r="R90" i="84"/>
  <c r="R80" i="84"/>
  <c r="R53" i="84"/>
  <c r="R49" i="84"/>
  <c r="R45" i="84"/>
  <c r="R41" i="84"/>
  <c r="R132" i="84"/>
  <c r="R129" i="84"/>
  <c r="R72" i="84"/>
  <c r="R67" i="84"/>
  <c r="R63" i="84"/>
  <c r="R54" i="84"/>
  <c r="R50" i="84"/>
  <c r="R46" i="84"/>
  <c r="R42" i="84"/>
  <c r="R130" i="84"/>
  <c r="R38" i="84"/>
  <c r="R111" i="84"/>
  <c r="R104" i="84"/>
  <c r="R100" i="84"/>
  <c r="R91" i="84"/>
  <c r="R68" i="84"/>
  <c r="R64" i="84"/>
  <c r="R96" i="84"/>
  <c r="R55" i="84"/>
  <c r="R51" i="84"/>
  <c r="R47" i="84"/>
  <c r="R43" i="84"/>
  <c r="R39" i="84"/>
  <c r="R122" i="84"/>
  <c r="R109" i="84"/>
  <c r="R86" i="84"/>
  <c r="R74" i="84"/>
  <c r="R61" i="84"/>
  <c r="R56" i="84"/>
  <c r="R52" i="84"/>
  <c r="R48" i="84"/>
  <c r="R44" i="84"/>
  <c r="R40" i="84"/>
  <c r="R131" i="84"/>
  <c r="R124" i="84"/>
  <c r="R89" i="84"/>
  <c r="R71" i="84"/>
  <c r="R60" i="84"/>
  <c r="R58" i="84"/>
  <c r="R110" i="84"/>
  <c r="R79" i="84"/>
  <c r="R66" i="84"/>
  <c r="R62" i="84"/>
  <c r="P58" i="84"/>
  <c r="Z25" i="84"/>
  <c r="R77" i="84"/>
  <c r="R121" i="84"/>
  <c r="H34" i="85"/>
  <c r="J34" i="85" s="1"/>
  <c r="L44" i="87"/>
  <c r="N44" i="87"/>
  <c r="N23" i="88"/>
  <c r="J22" i="78"/>
  <c r="H27" i="78"/>
  <c r="J54" i="78"/>
  <c r="V17" i="79"/>
  <c r="V37" i="79"/>
  <c r="V65" i="79"/>
  <c r="F16" i="80"/>
  <c r="F17" i="80"/>
  <c r="T20" i="80"/>
  <c r="V23" i="80"/>
  <c r="V28" i="80"/>
  <c r="N24" i="82"/>
  <c r="L24" i="82"/>
  <c r="V18" i="83"/>
  <c r="V55" i="83"/>
  <c r="Z70" i="83"/>
  <c r="T12" i="84"/>
  <c r="Z14" i="84"/>
  <c r="N38" i="84"/>
  <c r="F88" i="87"/>
  <c r="F74" i="87"/>
  <c r="F70" i="87"/>
  <c r="F46" i="87"/>
  <c r="F18" i="87"/>
  <c r="F65" i="87"/>
  <c r="F64" i="87"/>
  <c r="F57" i="87"/>
  <c r="F37" i="87"/>
  <c r="F33" i="87"/>
  <c r="F32" i="87"/>
  <c r="F76" i="87"/>
  <c r="F75" i="87"/>
  <c r="F48" i="87"/>
  <c r="F47" i="87"/>
  <c r="F28" i="87"/>
  <c r="F24" i="87"/>
  <c r="F23" i="87"/>
  <c r="F93" i="87"/>
  <c r="F90" i="87"/>
  <c r="F71" i="87"/>
  <c r="F59" i="87"/>
  <c r="F58" i="87"/>
  <c r="F39" i="87"/>
  <c r="F38" i="87"/>
  <c r="F22" i="87"/>
  <c r="F20" i="87"/>
  <c r="F78" i="87"/>
  <c r="F77" i="87"/>
  <c r="F66" i="87"/>
  <c r="F50" i="87"/>
  <c r="F49" i="87"/>
  <c r="F34" i="87"/>
  <c r="D20" i="87"/>
  <c r="F61" i="87"/>
  <c r="F60" i="87"/>
  <c r="F80" i="87"/>
  <c r="F79" i="87"/>
  <c r="F72" i="87"/>
  <c r="F68" i="87"/>
  <c r="F67" i="87"/>
  <c r="F52" i="87"/>
  <c r="F51" i="87"/>
  <c r="F73" i="87"/>
  <c r="F69" i="87"/>
  <c r="F45" i="87"/>
  <c r="F44" i="87"/>
  <c r="F17" i="87"/>
  <c r="F16" i="87"/>
  <c r="F56" i="87"/>
  <c r="F55" i="87"/>
  <c r="F36" i="87"/>
  <c r="F86" i="87"/>
  <c r="F84" i="87"/>
  <c r="F63" i="87"/>
  <c r="F31" i="87"/>
  <c r="F27" i="87"/>
  <c r="F35" i="87"/>
  <c r="F26" i="87"/>
  <c r="F43" i="87"/>
  <c r="F41" i="87"/>
  <c r="F82" i="87"/>
  <c r="F30" i="87"/>
  <c r="F62" i="87"/>
  <c r="F53" i="87"/>
  <c r="F25" i="87"/>
  <c r="F54" i="87"/>
  <c r="N51" i="88"/>
  <c r="L51" i="88"/>
  <c r="V72" i="80"/>
  <c r="V68" i="80"/>
  <c r="V56" i="80"/>
  <c r="V44" i="80"/>
  <c r="V75" i="80"/>
  <c r="V63" i="80"/>
  <c r="V55" i="80"/>
  <c r="V43" i="80"/>
  <c r="V77" i="80"/>
  <c r="V69" i="80"/>
  <c r="V65" i="80"/>
  <c r="V57" i="80"/>
  <c r="V45" i="80"/>
  <c r="V76" i="80"/>
  <c r="V64" i="80"/>
  <c r="V80" i="80"/>
  <c r="V78" i="80"/>
  <c r="V70" i="80"/>
  <c r="V66" i="80"/>
  <c r="V58" i="80"/>
  <c r="V50" i="80"/>
  <c r="V38" i="80"/>
  <c r="V22" i="80"/>
  <c r="V71" i="80"/>
  <c r="V67" i="80"/>
  <c r="V84" i="80"/>
  <c r="V54" i="80"/>
  <c r="V42" i="80"/>
  <c r="V34" i="80"/>
  <c r="V73" i="80"/>
  <c r="V18" i="80"/>
  <c r="V25" i="80"/>
  <c r="V40" i="80"/>
  <c r="V52" i="80"/>
  <c r="N56" i="80"/>
  <c r="R25" i="82"/>
  <c r="R20" i="82"/>
  <c r="R24" i="82"/>
  <c r="R22" i="82"/>
  <c r="R26" i="82"/>
  <c r="P22" i="82"/>
  <c r="R28" i="82"/>
  <c r="X12" i="82"/>
  <c r="R19" i="82"/>
  <c r="R32" i="82"/>
  <c r="F63" i="83"/>
  <c r="F62" i="83"/>
  <c r="F55" i="83"/>
  <c r="F54" i="83"/>
  <c r="F31" i="83"/>
  <c r="F27" i="83"/>
  <c r="F82" i="83"/>
  <c r="F81" i="83"/>
  <c r="F74" i="83"/>
  <c r="F46" i="83"/>
  <c r="F45" i="83"/>
  <c r="F18" i="83"/>
  <c r="F69" i="83"/>
  <c r="F57" i="83"/>
  <c r="F56" i="83"/>
  <c r="F37" i="83"/>
  <c r="F33" i="83"/>
  <c r="F32" i="83"/>
  <c r="F64" i="83"/>
  <c r="F28" i="83"/>
  <c r="F24" i="83"/>
  <c r="F23" i="83"/>
  <c r="F86" i="83"/>
  <c r="F84" i="83"/>
  <c r="F75" i="83"/>
  <c r="F71" i="83"/>
  <c r="F70" i="83"/>
  <c r="F59" i="83"/>
  <c r="F58" i="83"/>
  <c r="F47" i="83"/>
  <c r="F22" i="83"/>
  <c r="F20" i="83"/>
  <c r="F88" i="83"/>
  <c r="F38" i="83"/>
  <c r="F34" i="83"/>
  <c r="D20" i="83"/>
  <c r="F65" i="83"/>
  <c r="F49" i="83"/>
  <c r="F48" i="83"/>
  <c r="F29" i="83"/>
  <c r="F25" i="83"/>
  <c r="F78" i="83"/>
  <c r="F77" i="83"/>
  <c r="F66" i="83"/>
  <c r="F42" i="83"/>
  <c r="F41" i="83"/>
  <c r="F30" i="83"/>
  <c r="F26" i="83"/>
  <c r="F73" i="83"/>
  <c r="F61" i="83"/>
  <c r="F53" i="83"/>
  <c r="F52" i="83"/>
  <c r="F17" i="83"/>
  <c r="F16" i="83"/>
  <c r="F80" i="83"/>
  <c r="F79" i="83"/>
  <c r="F68" i="83"/>
  <c r="F67" i="83"/>
  <c r="F44" i="83"/>
  <c r="F43" i="83"/>
  <c r="F36" i="83"/>
  <c r="L12" i="83"/>
  <c r="Z23" i="83"/>
  <c r="F39" i="83"/>
  <c r="N41" i="83"/>
  <c r="F76" i="83"/>
  <c r="Z20" i="84"/>
  <c r="Z31" i="84"/>
  <c r="Z61" i="84"/>
  <c r="J21" i="78"/>
  <c r="J25" i="78"/>
  <c r="J39" i="78"/>
  <c r="J59" i="78"/>
  <c r="H66" i="78"/>
  <c r="J66" i="78" s="1"/>
  <c r="V16" i="79"/>
  <c r="V44" i="79"/>
  <c r="V52" i="79"/>
  <c r="V64" i="79"/>
  <c r="F29" i="80"/>
  <c r="V30" i="80"/>
  <c r="V33" i="80"/>
  <c r="V36" i="80"/>
  <c r="Z46" i="80"/>
  <c r="X54" i="80"/>
  <c r="Z54" i="80" s="1"/>
  <c r="F58" i="80"/>
  <c r="F71" i="80"/>
  <c r="F73" i="80"/>
  <c r="F80" i="80"/>
  <c r="J82" i="83"/>
  <c r="J74" i="83"/>
  <c r="J56" i="83"/>
  <c r="J46" i="83"/>
  <c r="J32" i="83"/>
  <c r="J18" i="83"/>
  <c r="J69" i="83"/>
  <c r="J57" i="83"/>
  <c r="J37" i="83"/>
  <c r="J33" i="83"/>
  <c r="J23" i="83"/>
  <c r="J84" i="83"/>
  <c r="J70" i="83"/>
  <c r="J64" i="83"/>
  <c r="J58" i="83"/>
  <c r="J28" i="83"/>
  <c r="J24" i="83"/>
  <c r="J22" i="83"/>
  <c r="J20" i="83"/>
  <c r="J75" i="83"/>
  <c r="J71" i="83"/>
  <c r="J59" i="83"/>
  <c r="J47" i="83"/>
  <c r="H20" i="83"/>
  <c r="J88" i="83"/>
  <c r="J48" i="83"/>
  <c r="J38" i="83"/>
  <c r="J34" i="83"/>
  <c r="J65" i="83"/>
  <c r="J49" i="83"/>
  <c r="J39" i="83"/>
  <c r="J29" i="83"/>
  <c r="J25" i="83"/>
  <c r="J76" i="83"/>
  <c r="J72" i="83"/>
  <c r="J60" i="83"/>
  <c r="J50" i="83"/>
  <c r="J40" i="83"/>
  <c r="J79" i="83"/>
  <c r="J73" i="83"/>
  <c r="J67" i="83"/>
  <c r="J61" i="83"/>
  <c r="J53" i="83"/>
  <c r="J43" i="83"/>
  <c r="J17" i="83"/>
  <c r="J80" i="83"/>
  <c r="J68" i="83"/>
  <c r="J62" i="83"/>
  <c r="J54" i="83"/>
  <c r="J44" i="83"/>
  <c r="J36" i="83"/>
  <c r="N12" i="83"/>
  <c r="J81" i="83"/>
  <c r="J63" i="83"/>
  <c r="J55" i="83"/>
  <c r="J45" i="83"/>
  <c r="J31" i="83"/>
  <c r="J27" i="83"/>
  <c r="V23" i="83"/>
  <c r="J41" i="83"/>
  <c r="V82" i="83"/>
  <c r="X18" i="84"/>
  <c r="Z18" i="84" s="1"/>
  <c r="X70" i="84"/>
  <c r="F40" i="87"/>
  <c r="J20" i="78"/>
  <c r="J34" i="78"/>
  <c r="J38" i="78"/>
  <c r="J58" i="78"/>
  <c r="V25" i="79"/>
  <c r="V29" i="79"/>
  <c r="V45" i="79"/>
  <c r="V53" i="79"/>
  <c r="V75" i="79"/>
  <c r="Z12" i="80"/>
  <c r="F23" i="80"/>
  <c r="F24" i="80"/>
  <c r="V27" i="80"/>
  <c r="F38" i="80"/>
  <c r="V39" i="80"/>
  <c r="V46" i="80"/>
  <c r="X48" i="80"/>
  <c r="Z48" i="80" s="1"/>
  <c r="V59" i="80"/>
  <c r="F62" i="80"/>
  <c r="F69" i="80"/>
  <c r="R45" i="83"/>
  <c r="F50" i="83"/>
  <c r="F60" i="83"/>
  <c r="F90" i="83"/>
  <c r="X22" i="84"/>
  <c r="Z22" i="84" s="1"/>
  <c r="Z24" i="84"/>
  <c r="Z35" i="84"/>
  <c r="Z38" i="84"/>
  <c r="R70" i="84"/>
  <c r="N78" i="84"/>
  <c r="X92" i="84"/>
  <c r="R112" i="84"/>
  <c r="J43" i="78"/>
  <c r="J51" i="78"/>
  <c r="J67" i="78"/>
  <c r="V34" i="79"/>
  <c r="V42" i="79"/>
  <c r="V50" i="79"/>
  <c r="V58" i="79"/>
  <c r="V62" i="79"/>
  <c r="V17" i="80"/>
  <c r="D20" i="80"/>
  <c r="F22" i="80"/>
  <c r="F41" i="80"/>
  <c r="F44" i="80"/>
  <c r="V51" i="80"/>
  <c r="F67" i="80"/>
  <c r="Z32" i="83"/>
  <c r="X32" i="83"/>
  <c r="F35" i="83"/>
  <c r="L50" i="83"/>
  <c r="N50" i="83" s="1"/>
  <c r="Z70" i="84"/>
  <c r="X78" i="84"/>
  <c r="R92" i="84"/>
  <c r="X112" i="84"/>
  <c r="Z112" i="84" s="1"/>
  <c r="J24" i="78"/>
  <c r="J50" i="78"/>
  <c r="J64" i="78"/>
  <c r="J68" i="78"/>
  <c r="V43" i="79"/>
  <c r="V51" i="79"/>
  <c r="F20" i="80"/>
  <c r="F26" i="80"/>
  <c r="L38" i="80"/>
  <c r="V48" i="80"/>
  <c r="F50" i="80"/>
  <c r="V53" i="80"/>
  <c r="Z56" i="80"/>
  <c r="V62" i="80"/>
  <c r="L15" i="82"/>
  <c r="N15" i="82" s="1"/>
  <c r="F93" i="83"/>
  <c r="X26" i="84"/>
  <c r="Z26" i="84" s="1"/>
  <c r="R69" i="84"/>
  <c r="R78" i="84"/>
  <c r="Z82" i="84"/>
  <c r="Z92" i="84"/>
  <c r="J57" i="78"/>
  <c r="J63" i="78"/>
  <c r="J69" i="78"/>
  <c r="J75" i="78"/>
  <c r="V56" i="79"/>
  <c r="V24" i="80"/>
  <c r="V29" i="80"/>
  <c r="V32" i="80"/>
  <c r="F34" i="80"/>
  <c r="V35" i="80"/>
  <c r="V74" i="83"/>
  <c r="Z30" i="84"/>
  <c r="Z60" i="84"/>
  <c r="Z78" i="84"/>
  <c r="P34" i="85"/>
  <c r="L68" i="76"/>
  <c r="N68" i="76" s="1"/>
  <c r="X78" i="76"/>
  <c r="Z78" i="76" s="1"/>
  <c r="L84" i="76"/>
  <c r="X98" i="76"/>
  <c r="X29" i="78"/>
  <c r="Z29" i="78" s="1"/>
  <c r="J42" i="78"/>
  <c r="J48" i="78"/>
  <c r="J62" i="78"/>
  <c r="J70" i="78"/>
  <c r="T20" i="79"/>
  <c r="V33" i="79"/>
  <c r="V41" i="79"/>
  <c r="V49" i="79"/>
  <c r="V57" i="79"/>
  <c r="V61" i="79"/>
  <c r="V69" i="79"/>
  <c r="V71" i="79"/>
  <c r="V16" i="80"/>
  <c r="L40" i="80"/>
  <c r="V41" i="80"/>
  <c r="V60" i="80"/>
  <c r="Z80" i="80"/>
  <c r="X80" i="80"/>
  <c r="V24" i="82"/>
  <c r="V20" i="82"/>
  <c r="T22" i="82"/>
  <c r="V28" i="82"/>
  <c r="V26" i="82"/>
  <c r="Z12" i="82"/>
  <c r="V32" i="82"/>
  <c r="V18" i="82"/>
  <c r="V19" i="82"/>
  <c r="V25" i="82"/>
  <c r="F40" i="83"/>
  <c r="V46" i="83"/>
  <c r="V58" i="83"/>
  <c r="L77" i="83"/>
  <c r="X30" i="84"/>
  <c r="R65" i="84"/>
  <c r="R30" i="85"/>
  <c r="F80" i="92"/>
  <c r="F78" i="92"/>
  <c r="F61" i="92"/>
  <c r="F60" i="92"/>
  <c r="F53" i="92"/>
  <c r="F52" i="92"/>
  <c r="F41" i="92"/>
  <c r="F82" i="92"/>
  <c r="F71" i="92"/>
  <c r="F67" i="92"/>
  <c r="F62" i="92"/>
  <c r="F87" i="92"/>
  <c r="F84" i="92"/>
  <c r="F45" i="92"/>
  <c r="F44" i="92"/>
  <c r="F37" i="92"/>
  <c r="F63" i="92"/>
  <c r="F47" i="92"/>
  <c r="F46" i="92"/>
  <c r="F76" i="92"/>
  <c r="F75" i="92"/>
  <c r="F59" i="92"/>
  <c r="F58" i="92"/>
  <c r="F51" i="92"/>
  <c r="F50" i="92"/>
  <c r="F39" i="92"/>
  <c r="F35" i="92"/>
  <c r="F70" i="92"/>
  <c r="F66" i="92"/>
  <c r="F73" i="92"/>
  <c r="F26" i="92"/>
  <c r="F55" i="92"/>
  <c r="F29" i="92"/>
  <c r="F68" i="92"/>
  <c r="F64" i="92"/>
  <c r="F57" i="92"/>
  <c r="F43" i="92"/>
  <c r="F32" i="92"/>
  <c r="F18" i="92"/>
  <c r="F17" i="92"/>
  <c r="F40" i="92"/>
  <c r="F48" i="92"/>
  <c r="F27" i="92"/>
  <c r="F74" i="92"/>
  <c r="F72" i="92"/>
  <c r="F30" i="92"/>
  <c r="F19" i="92"/>
  <c r="F49" i="92"/>
  <c r="F36" i="92"/>
  <c r="F28" i="92"/>
  <c r="F25" i="92"/>
  <c r="F23" i="92"/>
  <c r="F21" i="92"/>
  <c r="F69" i="92"/>
  <c r="F54" i="92"/>
  <c r="D21" i="92"/>
  <c r="F42" i="92"/>
  <c r="F34" i="92"/>
  <c r="F31" i="92"/>
  <c r="F56" i="92"/>
  <c r="F33" i="92"/>
  <c r="F65" i="92"/>
  <c r="F38" i="92"/>
  <c r="F24" i="92"/>
  <c r="J23" i="78"/>
  <c r="J47" i="78"/>
  <c r="J71" i="78"/>
  <c r="V18" i="79"/>
  <c r="V22" i="79"/>
  <c r="F49" i="80"/>
  <c r="F48" i="80"/>
  <c r="F37" i="80"/>
  <c r="F33" i="80"/>
  <c r="F32" i="80"/>
  <c r="F60" i="80"/>
  <c r="F59" i="80"/>
  <c r="F84" i="80"/>
  <c r="F61" i="80"/>
  <c r="F53" i="80"/>
  <c r="F52" i="80"/>
  <c r="F89" i="80"/>
  <c r="F86" i="80"/>
  <c r="F55" i="80"/>
  <c r="F54" i="80"/>
  <c r="F43" i="80"/>
  <c r="F42" i="80"/>
  <c r="F35" i="80"/>
  <c r="F76" i="80"/>
  <c r="F75" i="80"/>
  <c r="F64" i="80"/>
  <c r="F63" i="80"/>
  <c r="F47" i="80"/>
  <c r="F46" i="80"/>
  <c r="F31" i="80"/>
  <c r="F27" i="80"/>
  <c r="F78" i="80"/>
  <c r="F77" i="80"/>
  <c r="F70" i="80"/>
  <c r="F18" i="80"/>
  <c r="V31" i="80"/>
  <c r="F40" i="80"/>
  <c r="V47" i="80"/>
  <c r="F57" i="80"/>
  <c r="L63" i="80"/>
  <c r="F72" i="80"/>
  <c r="F74" i="80"/>
  <c r="F82" i="80"/>
  <c r="R18" i="82"/>
  <c r="Z56" i="83"/>
  <c r="X56" i="83"/>
  <c r="V63" i="83"/>
  <c r="F72" i="83"/>
  <c r="N77" i="83"/>
  <c r="V84" i="83"/>
  <c r="Z34" i="84"/>
  <c r="D12" i="82"/>
  <c r="P20" i="83"/>
  <c r="R24" i="83"/>
  <c r="R28" i="83"/>
  <c r="R64" i="83"/>
  <c r="Z80" i="84"/>
  <c r="N82" i="84"/>
  <c r="L86" i="84"/>
  <c r="R79" i="87"/>
  <c r="R78" i="87"/>
  <c r="R67" i="87"/>
  <c r="R66" i="87"/>
  <c r="R51" i="87"/>
  <c r="R50" i="87"/>
  <c r="R34" i="87"/>
  <c r="R61" i="87"/>
  <c r="R42" i="87"/>
  <c r="R41" i="87"/>
  <c r="R29" i="87"/>
  <c r="R25" i="87"/>
  <c r="R81" i="87"/>
  <c r="R80" i="87"/>
  <c r="R72" i="87"/>
  <c r="R68" i="87"/>
  <c r="R53" i="87"/>
  <c r="R52" i="87"/>
  <c r="R44" i="87"/>
  <c r="R43" i="87"/>
  <c r="R35" i="87"/>
  <c r="R16" i="87"/>
  <c r="R82" i="87"/>
  <c r="R62" i="87"/>
  <c r="R55" i="87"/>
  <c r="R54" i="87"/>
  <c r="R30" i="87"/>
  <c r="R26" i="87"/>
  <c r="R84" i="87"/>
  <c r="R73" i="87"/>
  <c r="R69" i="87"/>
  <c r="R56" i="87"/>
  <c r="R36" i="87"/>
  <c r="X12" i="87"/>
  <c r="Z12" i="87" s="1"/>
  <c r="R65" i="87"/>
  <c r="R58" i="87"/>
  <c r="R57" i="87"/>
  <c r="R38" i="87"/>
  <c r="R37" i="87"/>
  <c r="R33" i="87"/>
  <c r="R22" i="87"/>
  <c r="R77" i="87"/>
  <c r="R76" i="87"/>
  <c r="R49" i="87"/>
  <c r="R48" i="87"/>
  <c r="R28" i="87"/>
  <c r="R24" i="87"/>
  <c r="P20" i="87"/>
  <c r="R71" i="87"/>
  <c r="R60" i="87"/>
  <c r="R59" i="87"/>
  <c r="R40" i="87"/>
  <c r="R39" i="87"/>
  <c r="X13" i="83"/>
  <c r="Z13" i="83" s="1"/>
  <c r="R20" i="83"/>
  <c r="R22" i="83"/>
  <c r="R33" i="83"/>
  <c r="R37" i="83"/>
  <c r="R57" i="83"/>
  <c r="R58" i="83"/>
  <c r="R69" i="83"/>
  <c r="R70" i="83"/>
  <c r="R84" i="83"/>
  <c r="X15" i="84"/>
  <c r="Z15" i="84" s="1"/>
  <c r="X19" i="84"/>
  <c r="Z19" i="84" s="1"/>
  <c r="X23" i="84"/>
  <c r="Z23" i="84" s="1"/>
  <c r="X27" i="84"/>
  <c r="Z27" i="84" s="1"/>
  <c r="X31" i="84"/>
  <c r="X35" i="84"/>
  <c r="N92" i="84"/>
  <c r="X13" i="85"/>
  <c r="Z13" i="85" s="1"/>
  <c r="D18" i="85"/>
  <c r="L21" i="85"/>
  <c r="N21" i="85" s="1"/>
  <c r="V81" i="87"/>
  <c r="V61" i="87"/>
  <c r="V53" i="87"/>
  <c r="V41" i="87"/>
  <c r="V29" i="87"/>
  <c r="V25" i="87"/>
  <c r="V80" i="87"/>
  <c r="V72" i="87"/>
  <c r="V68" i="87"/>
  <c r="V52" i="87"/>
  <c r="V44" i="87"/>
  <c r="V16" i="87"/>
  <c r="V55" i="87"/>
  <c r="V43" i="87"/>
  <c r="V35" i="87"/>
  <c r="V84" i="87"/>
  <c r="V82" i="87"/>
  <c r="V62" i="87"/>
  <c r="V54" i="87"/>
  <c r="V30" i="87"/>
  <c r="V26" i="87"/>
  <c r="V73" i="87"/>
  <c r="V69" i="87"/>
  <c r="V45" i="87"/>
  <c r="V17" i="87"/>
  <c r="V64" i="87"/>
  <c r="V56" i="87"/>
  <c r="V75" i="87"/>
  <c r="V63" i="87"/>
  <c r="V47" i="87"/>
  <c r="V31" i="87"/>
  <c r="V27" i="87"/>
  <c r="V23" i="87"/>
  <c r="V76" i="87"/>
  <c r="V60" i="87"/>
  <c r="V48" i="87"/>
  <c r="V40" i="87"/>
  <c r="V28" i="87"/>
  <c r="V24" i="87"/>
  <c r="V79" i="87"/>
  <c r="V71" i="87"/>
  <c r="V67" i="87"/>
  <c r="V59" i="87"/>
  <c r="V51" i="87"/>
  <c r="V39" i="87"/>
  <c r="V78" i="87"/>
  <c r="V66" i="87"/>
  <c r="V50" i="87"/>
  <c r="V42" i="87"/>
  <c r="V34" i="87"/>
  <c r="R47" i="87"/>
  <c r="V49" i="87"/>
  <c r="Z58" i="87"/>
  <c r="X58" i="87"/>
  <c r="R74" i="87"/>
  <c r="F44" i="88"/>
  <c r="F43" i="88"/>
  <c r="F36" i="88"/>
  <c r="F55" i="88"/>
  <c r="F31" i="88"/>
  <c r="F27" i="88"/>
  <c r="F77" i="88"/>
  <c r="F75" i="88"/>
  <c r="F66" i="88"/>
  <c r="F62" i="88"/>
  <c r="F46" i="88"/>
  <c r="F45" i="88"/>
  <c r="F18" i="88"/>
  <c r="F79" i="88"/>
  <c r="F37" i="88"/>
  <c r="F33" i="88"/>
  <c r="F32" i="88"/>
  <c r="F68" i="88"/>
  <c r="F67" i="88"/>
  <c r="F56" i="88"/>
  <c r="F48" i="88"/>
  <c r="F47" i="88"/>
  <c r="F28" i="88"/>
  <c r="F24" i="88"/>
  <c r="F23" i="88"/>
  <c r="F63" i="88"/>
  <c r="F22" i="88"/>
  <c r="F20" i="88"/>
  <c r="F84" i="88"/>
  <c r="F81" i="88"/>
  <c r="F70" i="88"/>
  <c r="F69" i="88"/>
  <c r="F58" i="88"/>
  <c r="F57" i="88"/>
  <c r="F50" i="88"/>
  <c r="F49" i="88"/>
  <c r="F38" i="88"/>
  <c r="F34" i="88"/>
  <c r="D20" i="88"/>
  <c r="F59" i="88"/>
  <c r="F35" i="88"/>
  <c r="F54" i="88"/>
  <c r="F53" i="88"/>
  <c r="F42" i="88"/>
  <c r="F41" i="88"/>
  <c r="F30" i="88"/>
  <c r="F26" i="88"/>
  <c r="F73" i="88"/>
  <c r="F65" i="88"/>
  <c r="F61" i="88"/>
  <c r="F60" i="88"/>
  <c r="F17" i="88"/>
  <c r="F16" i="88"/>
  <c r="Z75" i="88"/>
  <c r="X75" i="88"/>
  <c r="N86" i="91"/>
  <c r="R18" i="83"/>
  <c r="R23" i="83"/>
  <c r="R46" i="83"/>
  <c r="R74" i="83"/>
  <c r="R82" i="83"/>
  <c r="X47" i="87"/>
  <c r="Z47" i="87" s="1"/>
  <c r="V58" i="87"/>
  <c r="V74" i="87"/>
  <c r="X32" i="88"/>
  <c r="Z32" i="88" s="1"/>
  <c r="F64" i="88"/>
  <c r="Z15" i="92"/>
  <c r="T12" i="92"/>
  <c r="R17" i="83"/>
  <c r="R53" i="83"/>
  <c r="R54" i="83"/>
  <c r="R61" i="83"/>
  <c r="R62" i="83"/>
  <c r="R73" i="83"/>
  <c r="Z128" i="84"/>
  <c r="T12" i="85"/>
  <c r="N13" i="87"/>
  <c r="V18" i="87"/>
  <c r="N42" i="87"/>
  <c r="V46" i="87"/>
  <c r="V70" i="87"/>
  <c r="L81" i="87"/>
  <c r="N81" i="87" s="1"/>
  <c r="N39" i="88"/>
  <c r="L39" i="88"/>
  <c r="N47" i="88"/>
  <c r="F71" i="88"/>
  <c r="R26" i="83"/>
  <c r="R30" i="83"/>
  <c r="R42" i="83"/>
  <c r="R43" i="83"/>
  <c r="R66" i="83"/>
  <c r="R67" i="83"/>
  <c r="R78" i="83"/>
  <c r="R79" i="83"/>
  <c r="X88" i="84"/>
  <c r="V36" i="87"/>
  <c r="N71" i="88"/>
  <c r="L71" i="88"/>
  <c r="R16" i="83"/>
  <c r="R35" i="83"/>
  <c r="R51" i="83"/>
  <c r="R52" i="83"/>
  <c r="X13" i="84"/>
  <c r="X17" i="84"/>
  <c r="Z17" i="84" s="1"/>
  <c r="X21" i="84"/>
  <c r="Z21" i="84" s="1"/>
  <c r="X25" i="84"/>
  <c r="X29" i="84"/>
  <c r="Z29" i="84" s="1"/>
  <c r="X33" i="84"/>
  <c r="Z33" i="84" s="1"/>
  <c r="N80" i="84"/>
  <c r="Z88" i="84"/>
  <c r="L115" i="84"/>
  <c r="N115" i="84" s="1"/>
  <c r="J23" i="85"/>
  <c r="R40" i="83"/>
  <c r="R41" i="83"/>
  <c r="R60" i="83"/>
  <c r="R72" i="83"/>
  <c r="R76" i="83"/>
  <c r="R77" i="83"/>
  <c r="L137" i="84"/>
  <c r="N20" i="85"/>
  <c r="L23" i="85"/>
  <c r="N23" i="85" s="1"/>
  <c r="T20" i="87"/>
  <c r="Z38" i="87"/>
  <c r="N51" i="87"/>
  <c r="N53" i="87"/>
  <c r="L53" i="87"/>
  <c r="L14" i="88"/>
  <c r="Z43" i="88"/>
  <c r="F52" i="88"/>
  <c r="Z71" i="88"/>
  <c r="J35" i="91"/>
  <c r="R49" i="83"/>
  <c r="R50" i="83"/>
  <c r="R65" i="83"/>
  <c r="R75" i="87"/>
  <c r="V77" i="87"/>
  <c r="H12" i="88"/>
  <c r="N14" i="88"/>
  <c r="F29" i="88"/>
  <c r="Z45" i="88"/>
  <c r="X45" i="88"/>
  <c r="N13" i="83"/>
  <c r="R34" i="83"/>
  <c r="R38" i="83"/>
  <c r="R39" i="83"/>
  <c r="R88" i="83"/>
  <c r="N122" i="84"/>
  <c r="N134" i="84"/>
  <c r="R32" i="87"/>
  <c r="N49" i="87"/>
  <c r="R64" i="87"/>
  <c r="X75" i="87"/>
  <c r="Z75" i="87" s="1"/>
  <c r="F40" i="88"/>
  <c r="F72" i="88"/>
  <c r="J99" i="91"/>
  <c r="J93" i="91"/>
  <c r="J85" i="91"/>
  <c r="J63" i="91"/>
  <c r="J57" i="91"/>
  <c r="J45" i="91"/>
  <c r="J37" i="91"/>
  <c r="J86" i="91"/>
  <c r="J68" i="91"/>
  <c r="J64" i="91"/>
  <c r="J58" i="91"/>
  <c r="J46" i="91"/>
  <c r="J38" i="91"/>
  <c r="J104" i="91"/>
  <c r="J101" i="91"/>
  <c r="J70" i="91"/>
  <c r="J48" i="91"/>
  <c r="J40" i="91"/>
  <c r="J65" i="91"/>
  <c r="J49" i="91"/>
  <c r="J41" i="91"/>
  <c r="J33" i="91"/>
  <c r="J19" i="91"/>
  <c r="J88" i="91"/>
  <c r="J80" i="91"/>
  <c r="J76" i="91"/>
  <c r="J71" i="91"/>
  <c r="J51" i="91"/>
  <c r="J90" i="91"/>
  <c r="J82" i="91"/>
  <c r="J54" i="91"/>
  <c r="J97" i="91"/>
  <c r="J95" i="91"/>
  <c r="J91" i="91"/>
  <c r="J83" i="91"/>
  <c r="J94" i="91"/>
  <c r="J84" i="91"/>
  <c r="J78" i="91"/>
  <c r="J74" i="91"/>
  <c r="J62" i="91"/>
  <c r="J56" i="91"/>
  <c r="J44" i="91"/>
  <c r="J36" i="91"/>
  <c r="J26" i="91"/>
  <c r="J22" i="91"/>
  <c r="J59" i="91"/>
  <c r="J16" i="91"/>
  <c r="J89" i="91"/>
  <c r="J66" i="91"/>
  <c r="H16" i="91"/>
  <c r="J87" i="91"/>
  <c r="J34" i="91"/>
  <c r="J31" i="91"/>
  <c r="J25" i="91"/>
  <c r="J18" i="91"/>
  <c r="J81" i="91"/>
  <c r="J79" i="91"/>
  <c r="J77" i="91"/>
  <c r="J75" i="91"/>
  <c r="J28" i="91"/>
  <c r="J73" i="91"/>
  <c r="J69" i="91"/>
  <c r="J60" i="91"/>
  <c r="J52" i="91"/>
  <c r="J43" i="91"/>
  <c r="J29" i="91"/>
  <c r="J32" i="91"/>
  <c r="J23" i="91"/>
  <c r="J20" i="91"/>
  <c r="N12" i="91"/>
  <c r="J72" i="91"/>
  <c r="J47" i="91"/>
  <c r="J30" i="91"/>
  <c r="J21" i="91"/>
  <c r="J61" i="91"/>
  <c r="J14" i="91"/>
  <c r="J53" i="91"/>
  <c r="J42" i="91"/>
  <c r="J39" i="91"/>
  <c r="J27" i="91"/>
  <c r="J24" i="91"/>
  <c r="X72" i="91"/>
  <c r="R47" i="83"/>
  <c r="R48" i="83"/>
  <c r="R59" i="83"/>
  <c r="R71" i="83"/>
  <c r="L119" i="84"/>
  <c r="N119" i="84" s="1"/>
  <c r="Z132" i="84"/>
  <c r="N14" i="87"/>
  <c r="R17" i="87"/>
  <c r="X23" i="87"/>
  <c r="Z23" i="87" s="1"/>
  <c r="Z32" i="87"/>
  <c r="R45" i="87"/>
  <c r="Z64" i="87"/>
  <c r="R88" i="87"/>
  <c r="T97" i="91"/>
  <c r="Z16" i="91"/>
  <c r="Z72" i="91"/>
  <c r="L24" i="92"/>
  <c r="N24" i="92" s="1"/>
  <c r="J28" i="85"/>
  <c r="J30" i="85"/>
  <c r="R34" i="85"/>
  <c r="H12" i="87"/>
  <c r="L12" i="87" s="1"/>
  <c r="R22" i="88"/>
  <c r="N32" i="88"/>
  <c r="R33" i="88"/>
  <c r="R37" i="88"/>
  <c r="R79" i="88"/>
  <c r="R18" i="91"/>
  <c r="R25" i="91"/>
  <c r="R31" i="91"/>
  <c r="R54" i="91"/>
  <c r="R68" i="91"/>
  <c r="R83" i="91"/>
  <c r="R15" i="85"/>
  <c r="F25" i="85"/>
  <c r="F26" i="85"/>
  <c r="R32" i="85"/>
  <c r="R18" i="88"/>
  <c r="R23" i="88"/>
  <c r="R46" i="88"/>
  <c r="R47" i="88"/>
  <c r="R62" i="88"/>
  <c r="R66" i="88"/>
  <c r="R67" i="88"/>
  <c r="P16" i="91"/>
  <c r="N72" i="91"/>
  <c r="R91" i="91"/>
  <c r="J26" i="85"/>
  <c r="T12" i="88"/>
  <c r="R27" i="88"/>
  <c r="R31" i="88"/>
  <c r="R32" i="88"/>
  <c r="R55" i="88"/>
  <c r="R16" i="91"/>
  <c r="R74" i="91"/>
  <c r="R78" i="91"/>
  <c r="Z13" i="92"/>
  <c r="X15" i="92"/>
  <c r="R26" i="85"/>
  <c r="R26" i="88"/>
  <c r="R30" i="88"/>
  <c r="R42" i="88"/>
  <c r="R43" i="88"/>
  <c r="R54" i="88"/>
  <c r="R21" i="91"/>
  <c r="N29" i="91"/>
  <c r="Z36" i="91"/>
  <c r="N58" i="91"/>
  <c r="R63" i="91"/>
  <c r="X86" i="91"/>
  <c r="Z86" i="91" s="1"/>
  <c r="H12" i="92"/>
  <c r="N14" i="92"/>
  <c r="N17" i="92"/>
  <c r="L46" i="92"/>
  <c r="L39" i="94"/>
  <c r="R70" i="91"/>
  <c r="R19" i="91"/>
  <c r="R65" i="91"/>
  <c r="R50" i="91"/>
  <c r="R49" i="91"/>
  <c r="R41" i="91"/>
  <c r="R72" i="91"/>
  <c r="R71" i="91"/>
  <c r="R52" i="91"/>
  <c r="R51" i="91"/>
  <c r="R66" i="91"/>
  <c r="R42" i="91"/>
  <c r="R34" i="91"/>
  <c r="R30" i="91"/>
  <c r="R90" i="91"/>
  <c r="R89" i="91"/>
  <c r="R82" i="91"/>
  <c r="R81" i="91"/>
  <c r="R77" i="91"/>
  <c r="R73" i="91"/>
  <c r="R61" i="91"/>
  <c r="R97" i="91"/>
  <c r="R95" i="91"/>
  <c r="R99" i="91"/>
  <c r="R86" i="91"/>
  <c r="R85" i="91"/>
  <c r="R58" i="91"/>
  <c r="R57" i="91"/>
  <c r="R46" i="91"/>
  <c r="R45" i="91"/>
  <c r="R38" i="91"/>
  <c r="R37" i="91"/>
  <c r="R104" i="91"/>
  <c r="R101" i="91"/>
  <c r="R87" i="91"/>
  <c r="R79" i="91"/>
  <c r="R75" i="91"/>
  <c r="R59" i="91"/>
  <c r="R48" i="91"/>
  <c r="R47" i="91"/>
  <c r="R40" i="91"/>
  <c r="R39" i="91"/>
  <c r="R27" i="91"/>
  <c r="R23" i="91"/>
  <c r="R26" i="91"/>
  <c r="Z63" i="91"/>
  <c r="X63" i="91"/>
  <c r="R67" i="91"/>
  <c r="R88" i="91"/>
  <c r="N46" i="92"/>
  <c r="N39" i="94"/>
  <c r="X12" i="85"/>
  <c r="F15" i="85"/>
  <c r="F16" i="85"/>
  <c r="R24" i="85"/>
  <c r="R25" i="85"/>
  <c r="R40" i="88"/>
  <c r="R41" i="88"/>
  <c r="R52" i="88"/>
  <c r="R53" i="88"/>
  <c r="R64" i="88"/>
  <c r="R72" i="88"/>
  <c r="R35" i="91"/>
  <c r="R44" i="91"/>
  <c r="N46" i="91"/>
  <c r="R55" i="91"/>
  <c r="R62" i="91"/>
  <c r="R84" i="91"/>
  <c r="Z17" i="92"/>
  <c r="L13" i="88"/>
  <c r="X12" i="91"/>
  <c r="D97" i="91"/>
  <c r="L16" i="91"/>
  <c r="R20" i="91"/>
  <c r="R32" i="91"/>
  <c r="Z44" i="91"/>
  <c r="X46" i="91"/>
  <c r="Z46" i="91" s="1"/>
  <c r="X52" i="91"/>
  <c r="R69" i="91"/>
  <c r="L23" i="92"/>
  <c r="N23" i="92" s="1"/>
  <c r="R50" i="88"/>
  <c r="R51" i="88"/>
  <c r="R58" i="88"/>
  <c r="R70" i="88"/>
  <c r="R71" i="88"/>
  <c r="R29" i="91"/>
  <c r="R43" i="91"/>
  <c r="Z52" i="91"/>
  <c r="R60" i="91"/>
  <c r="Z60" i="92"/>
  <c r="R18" i="85"/>
  <c r="R20" i="85"/>
  <c r="F28" i="85"/>
  <c r="L13" i="87"/>
  <c r="R63" i="88"/>
  <c r="L14" i="91"/>
  <c r="R28" i="91"/>
  <c r="X94" i="91"/>
  <c r="Z94" i="91" s="1"/>
  <c r="P93" i="91"/>
  <c r="X93" i="91" s="1"/>
  <c r="Z93" i="91" s="1"/>
  <c r="R16" i="85"/>
  <c r="P20" i="88"/>
  <c r="R24" i="88"/>
  <c r="R28" i="88"/>
  <c r="R48" i="88"/>
  <c r="R49" i="88"/>
  <c r="R56" i="88"/>
  <c r="R57" i="88"/>
  <c r="R68" i="88"/>
  <c r="R69" i="88"/>
  <c r="R22" i="91"/>
  <c r="R64" i="91"/>
  <c r="R94" i="91"/>
  <c r="V14" i="91"/>
  <c r="V16" i="91"/>
  <c r="V18" i="91"/>
  <c r="F31" i="91"/>
  <c r="F35" i="91"/>
  <c r="F43" i="91"/>
  <c r="V50" i="91"/>
  <c r="F54" i="91"/>
  <c r="F55" i="91"/>
  <c r="F67" i="91"/>
  <c r="V70" i="91"/>
  <c r="F82" i="91"/>
  <c r="F83" i="91"/>
  <c r="F90" i="91"/>
  <c r="F91" i="91"/>
  <c r="P12" i="92"/>
  <c r="Z23" i="92"/>
  <c r="N73" i="92"/>
  <c r="D20" i="93"/>
  <c r="Z45" i="93"/>
  <c r="N50" i="95"/>
  <c r="L50" i="95"/>
  <c r="L94" i="91"/>
  <c r="N94" i="91" s="1"/>
  <c r="N42" i="92"/>
  <c r="X52" i="92"/>
  <c r="Z52" i="92" s="1"/>
  <c r="F53" i="91"/>
  <c r="F61" i="91"/>
  <c r="V64" i="91"/>
  <c r="V68" i="91"/>
  <c r="F72" i="91"/>
  <c r="F73" i="91"/>
  <c r="F77" i="91"/>
  <c r="F81" i="91"/>
  <c r="F89" i="91"/>
  <c r="N54" i="92"/>
  <c r="X78" i="92"/>
  <c r="D12" i="94"/>
  <c r="L13" i="94"/>
  <c r="V55" i="91"/>
  <c r="F60" i="91"/>
  <c r="V63" i="91"/>
  <c r="V67" i="91"/>
  <c r="F76" i="91"/>
  <c r="F80" i="91"/>
  <c r="V83" i="91"/>
  <c r="F88" i="91"/>
  <c r="V91" i="91"/>
  <c r="V93" i="91"/>
  <c r="N33" i="92"/>
  <c r="Z42" i="92"/>
  <c r="X65" i="93"/>
  <c r="V84" i="91"/>
  <c r="V94" i="91"/>
  <c r="Z54" i="92"/>
  <c r="F34" i="93"/>
  <c r="Z65" i="93"/>
  <c r="V21" i="91"/>
  <c r="V25" i="91"/>
  <c r="V53" i="91"/>
  <c r="V61" i="91"/>
  <c r="F69" i="91"/>
  <c r="F70" i="91"/>
  <c r="V73" i="91"/>
  <c r="V77" i="91"/>
  <c r="V81" i="91"/>
  <c r="V89" i="91"/>
  <c r="V95" i="91"/>
  <c r="V97" i="91"/>
  <c r="F101" i="91"/>
  <c r="F104" i="91"/>
  <c r="X33" i="92"/>
  <c r="Z33" i="92" s="1"/>
  <c r="N48" i="92"/>
  <c r="X54" i="92"/>
  <c r="V65" i="93"/>
  <c r="V54" i="91"/>
  <c r="F58" i="91"/>
  <c r="F59" i="91"/>
  <c r="V66" i="91"/>
  <c r="F75" i="91"/>
  <c r="F79" i="91"/>
  <c r="V82" i="91"/>
  <c r="F86" i="91"/>
  <c r="F87" i="91"/>
  <c r="V90" i="91"/>
  <c r="X60" i="92"/>
  <c r="F25" i="93"/>
  <c r="F53" i="93"/>
  <c r="F17" i="93"/>
  <c r="F16" i="93"/>
  <c r="F82" i="93"/>
  <c r="F79" i="93"/>
  <c r="F64" i="93"/>
  <c r="F60" i="93"/>
  <c r="F44" i="93"/>
  <c r="F43" i="93"/>
  <c r="F36" i="93"/>
  <c r="L12" i="93"/>
  <c r="F31" i="93"/>
  <c r="F27" i="93"/>
  <c r="F66" i="93"/>
  <c r="F65" i="93"/>
  <c r="F54" i="93"/>
  <c r="F46" i="93"/>
  <c r="F45" i="93"/>
  <c r="F18" i="93"/>
  <c r="F61" i="93"/>
  <c r="F37" i="93"/>
  <c r="F33" i="93"/>
  <c r="F32" i="93"/>
  <c r="F68" i="93"/>
  <c r="F67" i="93"/>
  <c r="F56" i="93"/>
  <c r="F55" i="93"/>
  <c r="F48" i="93"/>
  <c r="F47" i="93"/>
  <c r="F28" i="93"/>
  <c r="F24" i="93"/>
  <c r="F23" i="93"/>
  <c r="F22" i="93"/>
  <c r="F20" i="93"/>
  <c r="F75" i="93"/>
  <c r="F73" i="93"/>
  <c r="F52" i="93"/>
  <c r="F51" i="93"/>
  <c r="F40" i="93"/>
  <c r="F39" i="93"/>
  <c r="F77" i="93"/>
  <c r="F72" i="93"/>
  <c r="F63" i="93"/>
  <c r="F59" i="93"/>
  <c r="F58" i="93"/>
  <c r="F35" i="93"/>
  <c r="F42" i="93"/>
  <c r="F41" i="93"/>
  <c r="F30" i="93"/>
  <c r="F26" i="93"/>
  <c r="F49" i="93"/>
  <c r="N73" i="93"/>
  <c r="H72" i="93"/>
  <c r="V60" i="91"/>
  <c r="V72" i="91"/>
  <c r="V76" i="91"/>
  <c r="V80" i="91"/>
  <c r="F84" i="91"/>
  <c r="F85" i="91"/>
  <c r="V88" i="91"/>
  <c r="F94" i="91"/>
  <c r="F99" i="91"/>
  <c r="L64" i="92"/>
  <c r="N64" i="92" s="1"/>
  <c r="H12" i="93"/>
  <c r="N51" i="93"/>
  <c r="F70" i="93"/>
  <c r="X14" i="94"/>
  <c r="P12" i="94"/>
  <c r="F22" i="91"/>
  <c r="F26" i="91"/>
  <c r="V29" i="91"/>
  <c r="V33" i="91"/>
  <c r="V41" i="91"/>
  <c r="V49" i="91"/>
  <c r="F62" i="91"/>
  <c r="F74" i="91"/>
  <c r="F78" i="91"/>
  <c r="F95" i="91"/>
  <c r="Z48" i="92"/>
  <c r="Z16" i="93"/>
  <c r="L39" i="93"/>
  <c r="N39" i="93" s="1"/>
  <c r="X45" i="93"/>
  <c r="F62" i="93"/>
  <c r="Z14" i="94"/>
  <c r="T12" i="94"/>
  <c r="Z62" i="94"/>
  <c r="Z75" i="92"/>
  <c r="P12" i="93"/>
  <c r="T20" i="93"/>
  <c r="V20" i="93" s="1"/>
  <c r="V33" i="93"/>
  <c r="V37" i="93"/>
  <c r="Z39" i="93"/>
  <c r="N45" i="93"/>
  <c r="V49" i="93"/>
  <c r="Z51" i="93"/>
  <c r="V61" i="93"/>
  <c r="N65" i="93"/>
  <c r="V69" i="93"/>
  <c r="Z73" i="93"/>
  <c r="Z22" i="94"/>
  <c r="Z45" i="94"/>
  <c r="L72" i="97"/>
  <c r="V18" i="93"/>
  <c r="V22" i="93"/>
  <c r="V46" i="93"/>
  <c r="V54" i="93"/>
  <c r="V66" i="93"/>
  <c r="Z43" i="94"/>
  <c r="J86" i="95"/>
  <c r="J88" i="95"/>
  <c r="J89" i="95"/>
  <c r="J92" i="95"/>
  <c r="J67" i="95"/>
  <c r="J55" i="95"/>
  <c r="J45" i="95"/>
  <c r="J31" i="95"/>
  <c r="J27" i="95"/>
  <c r="J96" i="95"/>
  <c r="J74" i="95"/>
  <c r="J62" i="95"/>
  <c r="J56" i="95"/>
  <c r="J46" i="95"/>
  <c r="J32" i="95"/>
  <c r="J18" i="95"/>
  <c r="J81" i="95"/>
  <c r="J78" i="95"/>
  <c r="J63" i="95"/>
  <c r="J57" i="95"/>
  <c r="J37" i="95"/>
  <c r="J33" i="95"/>
  <c r="J23" i="95"/>
  <c r="J82" i="95"/>
  <c r="J68" i="95"/>
  <c r="J64" i="95"/>
  <c r="J58" i="95"/>
  <c r="J28" i="95"/>
  <c r="J24" i="95"/>
  <c r="J22" i="95"/>
  <c r="J87" i="95"/>
  <c r="J75" i="95"/>
  <c r="J69" i="95"/>
  <c r="J59" i="95"/>
  <c r="J47" i="95"/>
  <c r="H20" i="95"/>
  <c r="J20" i="95" s="1"/>
  <c r="J70" i="95"/>
  <c r="J48" i="95"/>
  <c r="J38" i="95"/>
  <c r="J34" i="95"/>
  <c r="J83" i="95"/>
  <c r="J79" i="95"/>
  <c r="J65" i="95"/>
  <c r="J49" i="95"/>
  <c r="J39" i="95"/>
  <c r="J29" i="95"/>
  <c r="J25" i="95"/>
  <c r="J80" i="95"/>
  <c r="J72" i="95"/>
  <c r="J66" i="95"/>
  <c r="J52" i="95"/>
  <c r="J42" i="95"/>
  <c r="J30" i="95"/>
  <c r="J26" i="95"/>
  <c r="J16" i="95"/>
  <c r="J73" i="95"/>
  <c r="J61" i="95"/>
  <c r="J53" i="95"/>
  <c r="J43" i="95"/>
  <c r="J17" i="95"/>
  <c r="J85" i="95"/>
  <c r="J77" i="95"/>
  <c r="J54" i="95"/>
  <c r="J44" i="95"/>
  <c r="J36" i="95"/>
  <c r="V45" i="95"/>
  <c r="N72" i="97"/>
  <c r="V23" i="93"/>
  <c r="V27" i="93"/>
  <c r="V31" i="93"/>
  <c r="V47" i="93"/>
  <c r="V55" i="93"/>
  <c r="V67" i="93"/>
  <c r="L51" i="94"/>
  <c r="F40" i="95"/>
  <c r="F48" i="95"/>
  <c r="F60" i="95"/>
  <c r="V26" i="93"/>
  <c r="V30" i="93"/>
  <c r="V42" i="93"/>
  <c r="N32" i="94"/>
  <c r="Z53" i="94"/>
  <c r="N14" i="97"/>
  <c r="V43" i="93"/>
  <c r="V59" i="93"/>
  <c r="V63" i="93"/>
  <c r="V77" i="93"/>
  <c r="X56" i="95"/>
  <c r="Z56" i="95" s="1"/>
  <c r="Z54" i="97"/>
  <c r="L13" i="93"/>
  <c r="V16" i="93"/>
  <c r="V40" i="93"/>
  <c r="V52" i="93"/>
  <c r="X39" i="94"/>
  <c r="L60" i="94"/>
  <c r="F85" i="95"/>
  <c r="F84" i="95"/>
  <c r="F87" i="95"/>
  <c r="F86" i="95"/>
  <c r="F79" i="95"/>
  <c r="F77" i="95"/>
  <c r="F44" i="95"/>
  <c r="F43" i="95"/>
  <c r="F36" i="95"/>
  <c r="L12" i="95"/>
  <c r="N12" i="95" s="1"/>
  <c r="F101" i="95"/>
  <c r="F67" i="95"/>
  <c r="F55" i="95"/>
  <c r="F54" i="95"/>
  <c r="F31" i="95"/>
  <c r="F27" i="95"/>
  <c r="F96" i="95"/>
  <c r="F91" i="95"/>
  <c r="F74" i="95"/>
  <c r="F62" i="95"/>
  <c r="F46" i="95"/>
  <c r="F45" i="95"/>
  <c r="F18" i="95"/>
  <c r="F81" i="95"/>
  <c r="F78" i="95"/>
  <c r="F57" i="95"/>
  <c r="F56" i="95"/>
  <c r="F37" i="95"/>
  <c r="F33" i="95"/>
  <c r="F32" i="95"/>
  <c r="F68" i="95"/>
  <c r="F64" i="95"/>
  <c r="F63" i="95"/>
  <c r="F28" i="95"/>
  <c r="F24" i="95"/>
  <c r="F23" i="95"/>
  <c r="F92" i="95"/>
  <c r="F82" i="95"/>
  <c r="F75" i="95"/>
  <c r="F59" i="95"/>
  <c r="F58" i="95"/>
  <c r="F47" i="95"/>
  <c r="F22" i="95"/>
  <c r="F20" i="95"/>
  <c r="F70" i="95"/>
  <c r="F69" i="95"/>
  <c r="F38" i="95"/>
  <c r="F34" i="95"/>
  <c r="F98" i="95"/>
  <c r="F94" i="95"/>
  <c r="F89" i="95"/>
  <c r="F71" i="95"/>
  <c r="F51" i="95"/>
  <c r="F50" i="95"/>
  <c r="F35" i="95"/>
  <c r="F80" i="95"/>
  <c r="F66" i="95"/>
  <c r="F42" i="95"/>
  <c r="F41" i="95"/>
  <c r="F30" i="95"/>
  <c r="F26" i="95"/>
  <c r="F73" i="95"/>
  <c r="F72" i="95"/>
  <c r="F61" i="95"/>
  <c r="F53" i="95"/>
  <c r="F52" i="95"/>
  <c r="F17" i="95"/>
  <c r="F16" i="95"/>
  <c r="D20" i="95"/>
  <c r="N23" i="95"/>
  <c r="L39" i="95"/>
  <c r="R54" i="95"/>
  <c r="V56" i="95"/>
  <c r="N13" i="93"/>
  <c r="V25" i="93"/>
  <c r="V29" i="93"/>
  <c r="V41" i="93"/>
  <c r="V57" i="93"/>
  <c r="T72" i="93"/>
  <c r="X72" i="93" s="1"/>
  <c r="Z39" i="94"/>
  <c r="N14" i="95"/>
  <c r="T98" i="95"/>
  <c r="F39" i="95"/>
  <c r="F49" i="95"/>
  <c r="J51" i="95"/>
  <c r="Z54" i="95"/>
  <c r="V50" i="93"/>
  <c r="V58" i="93"/>
  <c r="V62" i="93"/>
  <c r="V70" i="93"/>
  <c r="V72" i="93"/>
  <c r="Z41" i="94"/>
  <c r="L49" i="94"/>
  <c r="Z32" i="95"/>
  <c r="X32" i="95"/>
  <c r="N39" i="95"/>
  <c r="J41" i="95"/>
  <c r="Z72" i="95"/>
  <c r="V39" i="93"/>
  <c r="V51" i="93"/>
  <c r="V73" i="93"/>
  <c r="H12" i="94"/>
  <c r="N45" i="94"/>
  <c r="N47" i="94"/>
  <c r="V32" i="95"/>
  <c r="J35" i="95"/>
  <c r="F88" i="95"/>
  <c r="Z45" i="98"/>
  <c r="X45" i="98"/>
  <c r="V24" i="93"/>
  <c r="V28" i="93"/>
  <c r="V48" i="93"/>
  <c r="V56" i="93"/>
  <c r="N49" i="94"/>
  <c r="X43" i="95"/>
  <c r="Z43" i="95" s="1"/>
  <c r="R43" i="95"/>
  <c r="X45" i="95"/>
  <c r="Z45" i="95" s="1"/>
  <c r="J71" i="95"/>
  <c r="J84" i="95"/>
  <c r="R20" i="95"/>
  <c r="R22" i="95"/>
  <c r="V28" i="95"/>
  <c r="R33" i="95"/>
  <c r="R37" i="95"/>
  <c r="V48" i="95"/>
  <c r="R57" i="95"/>
  <c r="R58" i="95"/>
  <c r="V64" i="95"/>
  <c r="V68" i="95"/>
  <c r="R78" i="95"/>
  <c r="R81" i="95"/>
  <c r="R82" i="95"/>
  <c r="X13" i="97"/>
  <c r="Z13" i="97" s="1"/>
  <c r="T12" i="97"/>
  <c r="R42" i="97"/>
  <c r="R67" i="97"/>
  <c r="R69" i="97"/>
  <c r="R78" i="97"/>
  <c r="T53" i="98"/>
  <c r="Z20" i="98"/>
  <c r="R92" i="95"/>
  <c r="R89" i="95"/>
  <c r="R96" i="95"/>
  <c r="R18" i="95"/>
  <c r="R23" i="95"/>
  <c r="V33" i="95"/>
  <c r="V37" i="95"/>
  <c r="R46" i="95"/>
  <c r="V57" i="95"/>
  <c r="R62" i="95"/>
  <c r="R63" i="95"/>
  <c r="V69" i="95"/>
  <c r="R74" i="95"/>
  <c r="V78" i="95"/>
  <c r="V81" i="95"/>
  <c r="R86" i="95"/>
  <c r="X16" i="97"/>
  <c r="Z16" i="97" s="1"/>
  <c r="R35" i="97"/>
  <c r="N39" i="97"/>
  <c r="Z69" i="97"/>
  <c r="V80" i="95"/>
  <c r="V96" i="95"/>
  <c r="V82" i="95"/>
  <c r="V18" i="95"/>
  <c r="V20" i="95"/>
  <c r="V22" i="95"/>
  <c r="R27" i="95"/>
  <c r="R31" i="95"/>
  <c r="R32" i="95"/>
  <c r="V46" i="95"/>
  <c r="R55" i="95"/>
  <c r="R56" i="95"/>
  <c r="V58" i="95"/>
  <c r="V62" i="95"/>
  <c r="R67" i="95"/>
  <c r="V74" i="95"/>
  <c r="X82" i="95"/>
  <c r="Z82" i="95" s="1"/>
  <c r="R16" i="97"/>
  <c r="L22" i="98"/>
  <c r="X47" i="100"/>
  <c r="Z47" i="100" s="1"/>
  <c r="R47" i="100"/>
  <c r="V61" i="95"/>
  <c r="R66" i="95"/>
  <c r="V73" i="95"/>
  <c r="N88" i="95"/>
  <c r="V89" i="95"/>
  <c r="R70" i="97"/>
  <c r="R46" i="97"/>
  <c r="R23" i="97"/>
  <c r="R18" i="97"/>
  <c r="R58" i="97"/>
  <c r="R57" i="97"/>
  <c r="R37" i="97"/>
  <c r="R33" i="97"/>
  <c r="R22" i="97"/>
  <c r="R20" i="97"/>
  <c r="R81" i="97"/>
  <c r="R80" i="97"/>
  <c r="R76" i="97"/>
  <c r="R65" i="97"/>
  <c r="R64" i="97"/>
  <c r="R72" i="97"/>
  <c r="R71" i="97"/>
  <c r="R59" i="97"/>
  <c r="R48" i="97"/>
  <c r="R47" i="97"/>
  <c r="R83" i="97"/>
  <c r="R82" i="97"/>
  <c r="R66" i="97"/>
  <c r="R39" i="97"/>
  <c r="R38" i="97"/>
  <c r="R34" i="97"/>
  <c r="R77" i="97"/>
  <c r="R73" i="97"/>
  <c r="R50" i="97"/>
  <c r="R49" i="97"/>
  <c r="R29" i="97"/>
  <c r="R25" i="97"/>
  <c r="R87" i="97"/>
  <c r="R84" i="97"/>
  <c r="R61" i="97"/>
  <c r="R60" i="97"/>
  <c r="R41" i="97"/>
  <c r="R40" i="97"/>
  <c r="R86" i="97"/>
  <c r="R91" i="97"/>
  <c r="R54" i="97"/>
  <c r="R53" i="97"/>
  <c r="R79" i="97"/>
  <c r="R75" i="97"/>
  <c r="R63" i="97"/>
  <c r="R56" i="97"/>
  <c r="R55" i="97"/>
  <c r="R32" i="97"/>
  <c r="R31" i="97"/>
  <c r="R27" i="97"/>
  <c r="R52" i="97"/>
  <c r="R68" i="97"/>
  <c r="N81" i="97"/>
  <c r="N17" i="101"/>
  <c r="L17" i="101"/>
  <c r="Z19" i="102"/>
  <c r="X42" i="103"/>
  <c r="Z42" i="103" s="1"/>
  <c r="R16" i="95"/>
  <c r="V26" i="95"/>
  <c r="V30" i="95"/>
  <c r="R35" i="95"/>
  <c r="V42" i="95"/>
  <c r="R51" i="95"/>
  <c r="R52" i="95"/>
  <c r="V54" i="95"/>
  <c r="V66" i="95"/>
  <c r="R71" i="95"/>
  <c r="R72" i="95"/>
  <c r="R76" i="95"/>
  <c r="V94" i="95"/>
  <c r="X12" i="97"/>
  <c r="P20" i="97"/>
  <c r="Z52" i="97"/>
  <c r="X56" i="97"/>
  <c r="Z56" i="97" s="1"/>
  <c r="R62" i="97"/>
  <c r="Z86" i="97"/>
  <c r="D12" i="98"/>
  <c r="L13" i="98"/>
  <c r="V35" i="95"/>
  <c r="R40" i="95"/>
  <c r="R41" i="95"/>
  <c r="V43" i="95"/>
  <c r="V51" i="95"/>
  <c r="R60" i="95"/>
  <c r="V71" i="95"/>
  <c r="V76" i="95"/>
  <c r="R84" i="95"/>
  <c r="R17" i="97"/>
  <c r="R36" i="97"/>
  <c r="H12" i="98"/>
  <c r="N39" i="98"/>
  <c r="L39" i="98"/>
  <c r="L13" i="95"/>
  <c r="N13" i="95" s="1"/>
  <c r="V16" i="95"/>
  <c r="R25" i="95"/>
  <c r="R29" i="95"/>
  <c r="V40" i="95"/>
  <c r="R49" i="95"/>
  <c r="R50" i="95"/>
  <c r="V52" i="95"/>
  <c r="V60" i="95"/>
  <c r="R65" i="95"/>
  <c r="V72" i="95"/>
  <c r="R79" i="95"/>
  <c r="R83" i="95"/>
  <c r="Z84" i="95"/>
  <c r="R88" i="95"/>
  <c r="D91" i="95"/>
  <c r="Z14" i="97"/>
  <c r="R51" i="98"/>
  <c r="R41" i="98"/>
  <c r="R40" i="98"/>
  <c r="R28" i="98"/>
  <c r="R24" i="98"/>
  <c r="P20" i="98"/>
  <c r="R43" i="98"/>
  <c r="R35" i="98"/>
  <c r="R48" i="98"/>
  <c r="R47" i="98"/>
  <c r="R37" i="98"/>
  <c r="R26" i="98"/>
  <c r="R18" i="98"/>
  <c r="R30" i="98"/>
  <c r="R46" i="98"/>
  <c r="R42" i="98"/>
  <c r="R34" i="98"/>
  <c r="R23" i="98"/>
  <c r="R22" i="98"/>
  <c r="R20" i="98"/>
  <c r="R38" i="98"/>
  <c r="R27" i="98"/>
  <c r="R49" i="98"/>
  <c r="R55" i="98"/>
  <c r="R39" i="98"/>
  <c r="R31" i="98"/>
  <c r="R45" i="98"/>
  <c r="R44" i="98"/>
  <c r="R25" i="98"/>
  <c r="R36" i="98"/>
  <c r="R33" i="98"/>
  <c r="R29" i="98"/>
  <c r="X12" i="98"/>
  <c r="T12" i="101"/>
  <c r="Z15" i="101"/>
  <c r="V25" i="95"/>
  <c r="V29" i="95"/>
  <c r="R34" i="95"/>
  <c r="R38" i="95"/>
  <c r="R39" i="95"/>
  <c r="V41" i="95"/>
  <c r="V49" i="95"/>
  <c r="V65" i="95"/>
  <c r="R70" i="95"/>
  <c r="V79" i="95"/>
  <c r="V83" i="95"/>
  <c r="V84" i="95"/>
  <c r="D12" i="97"/>
  <c r="L13" i="97"/>
  <c r="X32" i="97"/>
  <c r="Z32" i="97" s="1"/>
  <c r="R43" i="97"/>
  <c r="V34" i="95"/>
  <c r="V38" i="95"/>
  <c r="R47" i="95"/>
  <c r="R48" i="95"/>
  <c r="V50" i="95"/>
  <c r="R59" i="95"/>
  <c r="V70" i="95"/>
  <c r="R75" i="95"/>
  <c r="R87" i="95"/>
  <c r="V88" i="95"/>
  <c r="H91" i="95"/>
  <c r="N91" i="95" s="1"/>
  <c r="V92" i="95"/>
  <c r="H12" i="97"/>
  <c r="N13" i="97"/>
  <c r="Z43" i="97"/>
  <c r="R45" i="97"/>
  <c r="R51" i="97"/>
  <c r="N65" i="97"/>
  <c r="P20" i="95"/>
  <c r="R24" i="95"/>
  <c r="R28" i="95"/>
  <c r="V39" i="95"/>
  <c r="V47" i="95"/>
  <c r="V59" i="95"/>
  <c r="R64" i="95"/>
  <c r="R68" i="95"/>
  <c r="R69" i="95"/>
  <c r="V75" i="95"/>
  <c r="V87" i="95"/>
  <c r="X92" i="95"/>
  <c r="N22" i="97"/>
  <c r="Z45" i="97"/>
  <c r="L48" i="97"/>
  <c r="R16" i="98"/>
  <c r="Z48" i="97"/>
  <c r="N54" i="97"/>
  <c r="Z72" i="97"/>
  <c r="Z22" i="98"/>
  <c r="V26" i="98"/>
  <c r="L43" i="98"/>
  <c r="V48" i="98"/>
  <c r="V53" i="99"/>
  <c r="V50" i="99"/>
  <c r="V48" i="99"/>
  <c r="V34" i="99"/>
  <c r="V26" i="99"/>
  <c r="V22" i="99"/>
  <c r="V33" i="99"/>
  <c r="V36" i="99"/>
  <c r="Z12" i="99"/>
  <c r="V35" i="99"/>
  <c r="V27" i="99"/>
  <c r="V23" i="99"/>
  <c r="V37" i="99"/>
  <c r="V29" i="99"/>
  <c r="V40" i="99"/>
  <c r="V28" i="99"/>
  <c r="V24" i="99"/>
  <c r="V20" i="99"/>
  <c r="V43" i="99"/>
  <c r="V41" i="99"/>
  <c r="V25" i="99"/>
  <c r="V21" i="99"/>
  <c r="V32" i="99"/>
  <c r="V31" i="99"/>
  <c r="V30" i="99"/>
  <c r="V64" i="100"/>
  <c r="V52" i="100"/>
  <c r="V40" i="100"/>
  <c r="V32" i="100"/>
  <c r="V63" i="100"/>
  <c r="V59" i="100"/>
  <c r="V51" i="100"/>
  <c r="V43" i="100"/>
  <c r="V27" i="100"/>
  <c r="V72" i="100"/>
  <c r="V54" i="100"/>
  <c r="V42" i="100"/>
  <c r="V18" i="100"/>
  <c r="V53" i="100"/>
  <c r="V45" i="100"/>
  <c r="V33" i="100"/>
  <c r="V29" i="100"/>
  <c r="V60" i="100"/>
  <c r="V56" i="100"/>
  <c r="V44" i="100"/>
  <c r="V28" i="100"/>
  <c r="V65" i="100"/>
  <c r="V55" i="100"/>
  <c r="V47" i="100"/>
  <c r="V35" i="100"/>
  <c r="V19" i="100"/>
  <c r="V46" i="100"/>
  <c r="V34" i="100"/>
  <c r="V30" i="100"/>
  <c r="V39" i="100"/>
  <c r="V31" i="100"/>
  <c r="T22" i="100"/>
  <c r="V62" i="100"/>
  <c r="V58" i="100"/>
  <c r="V50" i="100"/>
  <c r="V38" i="100"/>
  <c r="V26" i="100"/>
  <c r="V41" i="100"/>
  <c r="V20" i="100"/>
  <c r="V37" i="100"/>
  <c r="X19" i="99"/>
  <c r="Z19" i="99" s="1"/>
  <c r="Z25" i="100"/>
  <c r="Z45" i="100"/>
  <c r="Z49" i="100"/>
  <c r="X61" i="101"/>
  <c r="Z61" i="101" s="1"/>
  <c r="V46" i="99"/>
  <c r="F72" i="100"/>
  <c r="F67" i="100"/>
  <c r="F61" i="100"/>
  <c r="F57" i="100"/>
  <c r="F56" i="100"/>
  <c r="F77" i="100"/>
  <c r="F48" i="100"/>
  <c r="F47" i="100"/>
  <c r="F36" i="100"/>
  <c r="F35" i="100"/>
  <c r="F20" i="100"/>
  <c r="F68" i="100"/>
  <c r="F31" i="100"/>
  <c r="F62" i="100"/>
  <c r="F58" i="100"/>
  <c r="F50" i="100"/>
  <c r="F49" i="100"/>
  <c r="F38" i="100"/>
  <c r="F37" i="100"/>
  <c r="F26" i="100"/>
  <c r="F25" i="100"/>
  <c r="F70" i="100"/>
  <c r="F24" i="100"/>
  <c r="F22" i="100"/>
  <c r="F40" i="100"/>
  <c r="F39" i="100"/>
  <c r="F32" i="100"/>
  <c r="D22" i="100"/>
  <c r="F63" i="100"/>
  <c r="F59" i="100"/>
  <c r="F51" i="100"/>
  <c r="F27" i="100"/>
  <c r="F65" i="100"/>
  <c r="F60" i="100"/>
  <c r="F44" i="100"/>
  <c r="F43" i="100"/>
  <c r="F28" i="100"/>
  <c r="F55" i="100"/>
  <c r="F54" i="100"/>
  <c r="F19" i="100"/>
  <c r="F18" i="100"/>
  <c r="F74" i="100"/>
  <c r="F46" i="100"/>
  <c r="F45" i="100"/>
  <c r="F34" i="100"/>
  <c r="F30" i="100"/>
  <c r="F29" i="100"/>
  <c r="V36" i="100"/>
  <c r="F42" i="100"/>
  <c r="F52" i="100"/>
  <c r="L14" i="102"/>
  <c r="D16" i="102"/>
  <c r="V16" i="98"/>
  <c r="V31" i="98"/>
  <c r="V32" i="98"/>
  <c r="V35" i="98"/>
  <c r="V51" i="98"/>
  <c r="X17" i="99"/>
  <c r="P46" i="99"/>
  <c r="V19" i="99"/>
  <c r="J35" i="99"/>
  <c r="N24" i="100"/>
  <c r="F33" i="100"/>
  <c r="N52" i="100"/>
  <c r="L52" i="100"/>
  <c r="N14" i="101"/>
  <c r="H12" i="101"/>
  <c r="N13" i="98"/>
  <c r="V24" i="98"/>
  <c r="V39" i="98"/>
  <c r="Z51" i="98"/>
  <c r="D46" i="99"/>
  <c r="Z38" i="99"/>
  <c r="T67" i="100"/>
  <c r="Z68" i="100"/>
  <c r="X68" i="100"/>
  <c r="F78" i="103"/>
  <c r="F77" i="103"/>
  <c r="F61" i="103"/>
  <c r="F53" i="103"/>
  <c r="F52" i="103"/>
  <c r="F41" i="103"/>
  <c r="F37" i="103"/>
  <c r="F80" i="103"/>
  <c r="F79" i="103"/>
  <c r="F63" i="103"/>
  <c r="F62" i="103"/>
  <c r="F55" i="103"/>
  <c r="F54" i="103"/>
  <c r="F43" i="103"/>
  <c r="F42" i="103"/>
  <c r="F19" i="103"/>
  <c r="F18" i="103"/>
  <c r="F81" i="103"/>
  <c r="F73" i="103"/>
  <c r="F69" i="103"/>
  <c r="F57" i="103"/>
  <c r="F56" i="103"/>
  <c r="F45" i="103"/>
  <c r="F44" i="103"/>
  <c r="F33" i="103"/>
  <c r="F29" i="103"/>
  <c r="F64" i="103"/>
  <c r="F87" i="103"/>
  <c r="F65" i="103"/>
  <c r="F49" i="103"/>
  <c r="F48" i="103"/>
  <c r="F76" i="103"/>
  <c r="F75" i="103"/>
  <c r="F60" i="103"/>
  <c r="F40" i="103"/>
  <c r="F36" i="103"/>
  <c r="F35" i="103"/>
  <c r="F71" i="103"/>
  <c r="F67" i="103"/>
  <c r="F66" i="103"/>
  <c r="F51" i="103"/>
  <c r="F50" i="103"/>
  <c r="F31" i="103"/>
  <c r="F27" i="103"/>
  <c r="F74" i="103"/>
  <c r="F32" i="103"/>
  <c r="F34" i="103"/>
  <c r="F25" i="103"/>
  <c r="F20" i="103"/>
  <c r="F83" i="103"/>
  <c r="F47" i="103"/>
  <c r="F30" i="103"/>
  <c r="F58" i="103"/>
  <c r="F39" i="103"/>
  <c r="F28" i="103"/>
  <c r="L12" i="103"/>
  <c r="F26" i="103"/>
  <c r="F72" i="103"/>
  <c r="F59" i="103"/>
  <c r="F24" i="103"/>
  <c r="F68" i="103"/>
  <c r="F38" i="103"/>
  <c r="F70" i="103"/>
  <c r="D22" i="103"/>
  <c r="F22" i="103" s="1"/>
  <c r="F46" i="103"/>
  <c r="N15" i="103"/>
  <c r="Z16" i="98"/>
  <c r="V49" i="98"/>
  <c r="V38" i="99"/>
  <c r="V48" i="100"/>
  <c r="V61" i="100"/>
  <c r="V68" i="100"/>
  <c r="F58" i="101"/>
  <c r="F69" i="101"/>
  <c r="H12" i="103"/>
  <c r="L13" i="103"/>
  <c r="N13" i="103" s="1"/>
  <c r="V27" i="98"/>
  <c r="V14" i="99"/>
  <c r="J22" i="99"/>
  <c r="Z14" i="100"/>
  <c r="V24" i="100"/>
  <c r="F41" i="100"/>
  <c r="L75" i="101"/>
  <c r="N75" i="101" s="1"/>
  <c r="L84" i="101"/>
  <c r="D83" i="101"/>
  <c r="L83" i="101" s="1"/>
  <c r="V34" i="98"/>
  <c r="J40" i="99"/>
  <c r="J30" i="99"/>
  <c r="J20" i="99"/>
  <c r="J41" i="99"/>
  <c r="J25" i="99"/>
  <c r="J21" i="99"/>
  <c r="J19" i="99"/>
  <c r="J17" i="99"/>
  <c r="J46" i="99"/>
  <c r="J44" i="99"/>
  <c r="H17" i="99"/>
  <c r="J43" i="99"/>
  <c r="J31" i="99"/>
  <c r="J48" i="99"/>
  <c r="J33" i="99"/>
  <c r="J53" i="99"/>
  <c r="J50" i="99"/>
  <c r="J34" i="99"/>
  <c r="N12" i="99"/>
  <c r="J37" i="99"/>
  <c r="J38" i="99"/>
  <c r="J28" i="99"/>
  <c r="J24" i="99"/>
  <c r="J14" i="99"/>
  <c r="J39" i="99"/>
  <c r="J29" i="99"/>
  <c r="J15" i="99"/>
  <c r="Z17" i="99"/>
  <c r="T46" i="99"/>
  <c r="F53" i="100"/>
  <c r="F64" i="100"/>
  <c r="V20" i="98"/>
  <c r="V22" i="98"/>
  <c r="X37" i="98"/>
  <c r="L12" i="99"/>
  <c r="V17" i="99"/>
  <c r="X37" i="100"/>
  <c r="Z37" i="100" s="1"/>
  <c r="L64" i="100"/>
  <c r="N64" i="100" s="1"/>
  <c r="F76" i="101"/>
  <c r="F75" i="101"/>
  <c r="F48" i="101"/>
  <c r="F47" i="101"/>
  <c r="F40" i="101"/>
  <c r="L12" i="101"/>
  <c r="F93" i="101"/>
  <c r="F90" i="101"/>
  <c r="F71" i="101"/>
  <c r="F59" i="101"/>
  <c r="F35" i="101"/>
  <c r="F31" i="101"/>
  <c r="F27" i="101"/>
  <c r="F78" i="101"/>
  <c r="F77" i="101"/>
  <c r="F41" i="101"/>
  <c r="F37" i="101"/>
  <c r="F36" i="101"/>
  <c r="F62" i="101"/>
  <c r="F61" i="101"/>
  <c r="F54" i="101"/>
  <c r="F53" i="101"/>
  <c r="F42" i="101"/>
  <c r="F38" i="101"/>
  <c r="F86" i="101"/>
  <c r="F67" i="101"/>
  <c r="F64" i="101"/>
  <c r="F26" i="101"/>
  <c r="F19" i="101"/>
  <c r="F72" i="101"/>
  <c r="F70" i="101"/>
  <c r="F56" i="101"/>
  <c r="F49" i="101"/>
  <c r="F46" i="101"/>
  <c r="F29" i="101"/>
  <c r="F83" i="101"/>
  <c r="F80" i="101"/>
  <c r="F74" i="101"/>
  <c r="F68" i="101"/>
  <c r="F20" i="101"/>
  <c r="F43" i="101"/>
  <c r="F34" i="101"/>
  <c r="F50" i="101"/>
  <c r="F32" i="101"/>
  <c r="F65" i="101"/>
  <c r="F57" i="101"/>
  <c r="F44" i="101"/>
  <c r="F39" i="101"/>
  <c r="F30" i="101"/>
  <c r="F21" i="101"/>
  <c r="F66" i="101"/>
  <c r="F63" i="101"/>
  <c r="F52" i="101"/>
  <c r="F33" i="101"/>
  <c r="F23" i="101"/>
  <c r="F55" i="101"/>
  <c r="D23" i="101"/>
  <c r="F79" i="101"/>
  <c r="F45" i="101"/>
  <c r="F25" i="101"/>
  <c r="F73" i="101"/>
  <c r="V43" i="98"/>
  <c r="V42" i="98"/>
  <c r="V60" i="98"/>
  <c r="V57" i="98"/>
  <c r="V55" i="98"/>
  <c r="V45" i="98"/>
  <c r="V46" i="98"/>
  <c r="V30" i="98"/>
  <c r="V38" i="98"/>
  <c r="V18" i="98"/>
  <c r="V53" i="98"/>
  <c r="J32" i="99"/>
  <c r="V39" i="99"/>
  <c r="V57" i="100"/>
  <c r="V67" i="100"/>
  <c r="F28" i="99"/>
  <c r="R43" i="99"/>
  <c r="P22" i="100"/>
  <c r="R26" i="100"/>
  <c r="R38" i="100"/>
  <c r="R39" i="100"/>
  <c r="R50" i="100"/>
  <c r="R58" i="100"/>
  <c r="R62" i="100"/>
  <c r="P12" i="101"/>
  <c r="F36" i="99"/>
  <c r="F37" i="99"/>
  <c r="R44" i="99"/>
  <c r="R46" i="99"/>
  <c r="R22" i="100"/>
  <c r="R24" i="100"/>
  <c r="R31" i="100"/>
  <c r="N45" i="101"/>
  <c r="L63" i="101"/>
  <c r="N63" i="101" s="1"/>
  <c r="R58" i="102"/>
  <c r="R55" i="102"/>
  <c r="R42" i="102"/>
  <c r="R41" i="102"/>
  <c r="R34" i="102"/>
  <c r="R33" i="102"/>
  <c r="R25" i="102"/>
  <c r="R21" i="102"/>
  <c r="R44" i="102"/>
  <c r="R43" i="102"/>
  <c r="R36" i="102"/>
  <c r="R35" i="102"/>
  <c r="R46" i="102"/>
  <c r="R45" i="102"/>
  <c r="R38" i="102"/>
  <c r="R37" i="102"/>
  <c r="X12" i="102"/>
  <c r="R53" i="102"/>
  <c r="R32" i="102"/>
  <c r="R31" i="102"/>
  <c r="P16" i="102"/>
  <c r="R28" i="102"/>
  <c r="N62" i="103"/>
  <c r="D12" i="105"/>
  <c r="L13" i="105"/>
  <c r="N13" i="105" s="1"/>
  <c r="R30" i="99"/>
  <c r="R20" i="100"/>
  <c r="R25" i="100"/>
  <c r="R36" i="100"/>
  <c r="R37" i="100"/>
  <c r="R48" i="100"/>
  <c r="R49" i="100"/>
  <c r="X15" i="101"/>
  <c r="X49" i="101"/>
  <c r="Z49" i="101" s="1"/>
  <c r="V58" i="102"/>
  <c r="V41" i="102"/>
  <c r="V33" i="102"/>
  <c r="V25" i="102"/>
  <c r="V21" i="102"/>
  <c r="V44" i="102"/>
  <c r="V36" i="102"/>
  <c r="V43" i="102"/>
  <c r="V35" i="102"/>
  <c r="V46" i="102"/>
  <c r="V38" i="102"/>
  <c r="V26" i="102"/>
  <c r="V22" i="102"/>
  <c r="V45" i="102"/>
  <c r="V28" i="102"/>
  <c r="Z12" i="102"/>
  <c r="V51" i="102"/>
  <c r="V49" i="102"/>
  <c r="V47" i="102"/>
  <c r="V39" i="102"/>
  <c r="V27" i="102"/>
  <c r="V23" i="102"/>
  <c r="V19" i="102"/>
  <c r="V42" i="102"/>
  <c r="V34" i="102"/>
  <c r="R16" i="102"/>
  <c r="R20" i="102"/>
  <c r="Z28" i="102"/>
  <c r="L32" i="102"/>
  <c r="V53" i="102"/>
  <c r="Z16" i="103"/>
  <c r="N42" i="103"/>
  <c r="F32" i="99"/>
  <c r="F33" i="99"/>
  <c r="H12" i="100"/>
  <c r="R19" i="100"/>
  <c r="R55" i="100"/>
  <c r="R56" i="100"/>
  <c r="Z67" i="101"/>
  <c r="Z79" i="101"/>
  <c r="N84" i="101"/>
  <c r="Z30" i="102"/>
  <c r="Z38" i="102"/>
  <c r="X38" i="102"/>
  <c r="R49" i="102"/>
  <c r="F22" i="99"/>
  <c r="F26" i="99"/>
  <c r="F43" i="99"/>
  <c r="F48" i="99"/>
  <c r="R28" i="100"/>
  <c r="R29" i="100"/>
  <c r="R44" i="100"/>
  <c r="R45" i="100"/>
  <c r="R60" i="100"/>
  <c r="L16" i="101"/>
  <c r="Z26" i="101"/>
  <c r="N57" i="101"/>
  <c r="X19" i="102"/>
  <c r="R24" i="102"/>
  <c r="V30" i="102"/>
  <c r="V32" i="102"/>
  <c r="L36" i="102"/>
  <c r="V37" i="102"/>
  <c r="R40" i="102"/>
  <c r="L44" i="102"/>
  <c r="V55" i="102"/>
  <c r="Z25" i="103"/>
  <c r="R42" i="104"/>
  <c r="R41" i="104"/>
  <c r="R25" i="104"/>
  <c r="P21" i="104"/>
  <c r="R49" i="104"/>
  <c r="R48" i="104"/>
  <c r="R44" i="104"/>
  <c r="R43" i="104"/>
  <c r="R32" i="104"/>
  <c r="R31" i="104"/>
  <c r="R50" i="104"/>
  <c r="R26" i="104"/>
  <c r="R52" i="104"/>
  <c r="R45" i="104"/>
  <c r="R34" i="104"/>
  <c r="R33" i="104"/>
  <c r="R17" i="104"/>
  <c r="X12" i="104"/>
  <c r="Z12" i="104" s="1"/>
  <c r="R36" i="104"/>
  <c r="R35" i="104"/>
  <c r="R28" i="104"/>
  <c r="R27" i="104"/>
  <c r="R47" i="104"/>
  <c r="R40" i="104"/>
  <c r="R39" i="104"/>
  <c r="R24" i="104"/>
  <c r="R19" i="104"/>
  <c r="R30" i="104"/>
  <c r="R23" i="104"/>
  <c r="R21" i="104"/>
  <c r="R29" i="104"/>
  <c r="R37" i="104"/>
  <c r="R18" i="104"/>
  <c r="R56" i="104"/>
  <c r="R46" i="104"/>
  <c r="R38" i="104"/>
  <c r="R33" i="100"/>
  <c r="R53" i="100"/>
  <c r="L47" i="101"/>
  <c r="N47" i="101" s="1"/>
  <c r="X84" i="101"/>
  <c r="Z84" i="101" s="1"/>
  <c r="P83" i="101"/>
  <c r="X83" i="101" s="1"/>
  <c r="Z83" i="101" s="1"/>
  <c r="R19" i="102"/>
  <c r="V40" i="102"/>
  <c r="N42" i="102"/>
  <c r="T12" i="103"/>
  <c r="X13" i="103"/>
  <c r="Z13" i="103" s="1"/>
  <c r="R68" i="100"/>
  <c r="R65" i="100"/>
  <c r="R42" i="100"/>
  <c r="R43" i="100"/>
  <c r="R72" i="100"/>
  <c r="R26" i="102"/>
  <c r="R29" i="102"/>
  <c r="N44" i="102"/>
  <c r="R47" i="102"/>
  <c r="F20" i="99"/>
  <c r="F21" i="99"/>
  <c r="F25" i="99"/>
  <c r="R33" i="99"/>
  <c r="R34" i="99"/>
  <c r="F40" i="99"/>
  <c r="F41" i="99"/>
  <c r="R50" i="99"/>
  <c r="R53" i="99"/>
  <c r="R27" i="100"/>
  <c r="R51" i="100"/>
  <c r="R52" i="100"/>
  <c r="R59" i="100"/>
  <c r="R63" i="100"/>
  <c r="R64" i="100"/>
  <c r="R18" i="102"/>
  <c r="V29" i="102"/>
  <c r="R22" i="99"/>
  <c r="R26" i="99"/>
  <c r="F29" i="99"/>
  <c r="F30" i="99"/>
  <c r="X36" i="99"/>
  <c r="Z36" i="99" s="1"/>
  <c r="L44" i="99"/>
  <c r="N44" i="99" s="1"/>
  <c r="R48" i="99"/>
  <c r="X12" i="100"/>
  <c r="Z12" i="100" s="1"/>
  <c r="X18" i="100"/>
  <c r="Z18" i="100" s="1"/>
  <c r="L24" i="100"/>
  <c r="R32" i="100"/>
  <c r="R40" i="100"/>
  <c r="R41" i="100"/>
  <c r="X54" i="100"/>
  <c r="Z54" i="100" s="1"/>
  <c r="L19" i="101"/>
  <c r="N19" i="101" s="1"/>
  <c r="Z51" i="101"/>
  <c r="H83" i="101"/>
  <c r="Z18" i="102"/>
  <c r="R51" i="102"/>
  <c r="L24" i="103"/>
  <c r="N24" i="103" s="1"/>
  <c r="N48" i="103"/>
  <c r="L48" i="103"/>
  <c r="V59" i="105"/>
  <c r="V47" i="105"/>
  <c r="V23" i="105"/>
  <c r="V19" i="105"/>
  <c r="V74" i="105"/>
  <c r="V70" i="105"/>
  <c r="V58" i="105"/>
  <c r="V46" i="105"/>
  <c r="V87" i="105"/>
  <c r="V65" i="105"/>
  <c r="V49" i="105"/>
  <c r="V76" i="105"/>
  <c r="V60" i="105"/>
  <c r="V75" i="105"/>
  <c r="V71" i="105"/>
  <c r="V67" i="105"/>
  <c r="V51" i="105"/>
  <c r="V39" i="105"/>
  <c r="V35" i="105"/>
  <c r="V78" i="105"/>
  <c r="V66" i="105"/>
  <c r="V50" i="105"/>
  <c r="V77" i="105"/>
  <c r="V61" i="105"/>
  <c r="V53" i="105"/>
  <c r="V41" i="105"/>
  <c r="V62" i="105"/>
  <c r="V54" i="105"/>
  <c r="V42" i="105"/>
  <c r="V83" i="105"/>
  <c r="V81" i="105"/>
  <c r="V64" i="105"/>
  <c r="V52" i="105"/>
  <c r="V45" i="105"/>
  <c r="V30" i="105"/>
  <c r="V69" i="105"/>
  <c r="V57" i="105"/>
  <c r="V55" i="105"/>
  <c r="V43" i="105"/>
  <c r="V28" i="105"/>
  <c r="V26" i="105"/>
  <c r="V24" i="105"/>
  <c r="V79" i="105"/>
  <c r="V40" i="105"/>
  <c r="V38" i="105"/>
  <c r="V18" i="105"/>
  <c r="V73" i="105"/>
  <c r="V48" i="105"/>
  <c r="V33" i="105"/>
  <c r="V31" i="105"/>
  <c r="V68" i="105"/>
  <c r="V29" i="105"/>
  <c r="V80" i="105"/>
  <c r="V36" i="105"/>
  <c r="V34" i="105"/>
  <c r="V27" i="105"/>
  <c r="V63" i="105"/>
  <c r="V72" i="105"/>
  <c r="V37" i="105"/>
  <c r="V32" i="105"/>
  <c r="T21" i="105"/>
  <c r="V17" i="105"/>
  <c r="V25" i="105"/>
  <c r="V56" i="105"/>
  <c r="V44" i="105"/>
  <c r="F14" i="99"/>
  <c r="F15" i="99"/>
  <c r="R31" i="99"/>
  <c r="F38" i="99"/>
  <c r="X36" i="101"/>
  <c r="Z36" i="101" s="1"/>
  <c r="X77" i="101"/>
  <c r="Z77" i="101" s="1"/>
  <c r="V18" i="102"/>
  <c r="R23" i="102"/>
  <c r="R39" i="102"/>
  <c r="N44" i="103"/>
  <c r="L46" i="103"/>
  <c r="N46" i="103" s="1"/>
  <c r="J28" i="102"/>
  <c r="X14" i="103"/>
  <c r="Z14" i="103" s="1"/>
  <c r="N34" i="104"/>
  <c r="J35" i="102"/>
  <c r="J43" i="102"/>
  <c r="F55" i="102"/>
  <c r="F58" i="102"/>
  <c r="Z24" i="103"/>
  <c r="J58" i="104"/>
  <c r="J38" i="104"/>
  <c r="J47" i="104"/>
  <c r="J39" i="104"/>
  <c r="J19" i="104"/>
  <c r="J61" i="104"/>
  <c r="J40" i="104"/>
  <c r="J30" i="104"/>
  <c r="J24" i="104"/>
  <c r="J41" i="104"/>
  <c r="J25" i="104"/>
  <c r="J23" i="104"/>
  <c r="J21" i="104"/>
  <c r="J48" i="104"/>
  <c r="J42" i="104"/>
  <c r="H21" i="104"/>
  <c r="J49" i="104"/>
  <c r="J43" i="104"/>
  <c r="J31" i="104"/>
  <c r="J50" i="104"/>
  <c r="J44" i="104"/>
  <c r="J32" i="104"/>
  <c r="J26" i="104"/>
  <c r="J35" i="104"/>
  <c r="J27" i="104"/>
  <c r="J17" i="104"/>
  <c r="J56" i="104"/>
  <c r="J46" i="104"/>
  <c r="J36" i="104"/>
  <c r="J28" i="104"/>
  <c r="J18" i="104"/>
  <c r="J37" i="104"/>
  <c r="J29" i="104"/>
  <c r="R83" i="105"/>
  <c r="R64" i="105"/>
  <c r="R57" i="105"/>
  <c r="R56" i="105"/>
  <c r="R45" i="105"/>
  <c r="R44" i="105"/>
  <c r="R32" i="105"/>
  <c r="R28" i="105"/>
  <c r="R74" i="105"/>
  <c r="R70" i="105"/>
  <c r="R59" i="105"/>
  <c r="R58" i="105"/>
  <c r="R47" i="105"/>
  <c r="R46" i="105"/>
  <c r="R87" i="105"/>
  <c r="R65" i="105"/>
  <c r="R60" i="105"/>
  <c r="R49" i="105"/>
  <c r="R48" i="105"/>
  <c r="R76" i="105"/>
  <c r="R75" i="105"/>
  <c r="R71" i="105"/>
  <c r="R39" i="105"/>
  <c r="R67" i="105"/>
  <c r="R66" i="105"/>
  <c r="R51" i="105"/>
  <c r="R50" i="105"/>
  <c r="R30" i="105"/>
  <c r="R26" i="105"/>
  <c r="R80" i="105"/>
  <c r="R79" i="105"/>
  <c r="R31" i="105"/>
  <c r="R27" i="105"/>
  <c r="R81" i="105"/>
  <c r="R73" i="105"/>
  <c r="R69" i="105"/>
  <c r="R37" i="105"/>
  <c r="R52" i="105"/>
  <c r="P21" i="105"/>
  <c r="R17" i="105"/>
  <c r="R35" i="105"/>
  <c r="R77" i="105"/>
  <c r="R55" i="105"/>
  <c r="R53" i="105"/>
  <c r="R43" i="105"/>
  <c r="R23" i="105"/>
  <c r="R40" i="105"/>
  <c r="R38" i="105"/>
  <c r="R24" i="105"/>
  <c r="R18" i="105"/>
  <c r="R41" i="105"/>
  <c r="R62" i="105"/>
  <c r="R33" i="105"/>
  <c r="R68" i="105"/>
  <c r="R29" i="105"/>
  <c r="R34" i="105"/>
  <c r="R25" i="105"/>
  <c r="R54" i="105"/>
  <c r="R72" i="105"/>
  <c r="R63" i="105"/>
  <c r="R61" i="105"/>
  <c r="R42" i="105"/>
  <c r="X12" i="105"/>
  <c r="Z12" i="105" s="1"/>
  <c r="F21" i="102"/>
  <c r="F25" i="102"/>
  <c r="F32" i="102"/>
  <c r="F33" i="102"/>
  <c r="J34" i="102"/>
  <c r="F41" i="102"/>
  <c r="J42" i="102"/>
  <c r="L18" i="103"/>
  <c r="N18" i="103" s="1"/>
  <c r="L54" i="103"/>
  <c r="X62" i="103"/>
  <c r="Z62" i="103" s="1"/>
  <c r="Z66" i="103"/>
  <c r="Z24" i="104"/>
  <c r="J33" i="104"/>
  <c r="R78" i="105"/>
  <c r="J55" i="102"/>
  <c r="J58" i="102"/>
  <c r="N54" i="103"/>
  <c r="F30" i="102"/>
  <c r="F31" i="102"/>
  <c r="J32" i="102"/>
  <c r="P12" i="103"/>
  <c r="L25" i="103"/>
  <c r="N25" i="103" s="1"/>
  <c r="Z48" i="103"/>
  <c r="H16" i="102"/>
  <c r="J31" i="102"/>
  <c r="X46" i="102"/>
  <c r="Z46" i="102" s="1"/>
  <c r="J53" i="102"/>
  <c r="Z79" i="103"/>
  <c r="N49" i="104"/>
  <c r="J14" i="102"/>
  <c r="J16" i="102"/>
  <c r="J18" i="102"/>
  <c r="J20" i="102"/>
  <c r="J24" i="102"/>
  <c r="J30" i="102"/>
  <c r="J40" i="102"/>
  <c r="J45" i="104"/>
  <c r="J79" i="105"/>
  <c r="J53" i="105"/>
  <c r="J41" i="105"/>
  <c r="J31" i="105"/>
  <c r="J27" i="105"/>
  <c r="J17" i="105"/>
  <c r="J80" i="105"/>
  <c r="J62" i="105"/>
  <c r="J54" i="105"/>
  <c r="J42" i="105"/>
  <c r="J81" i="105"/>
  <c r="J73" i="105"/>
  <c r="J69" i="105"/>
  <c r="J63" i="105"/>
  <c r="J55" i="105"/>
  <c r="J64" i="105"/>
  <c r="J56" i="105"/>
  <c r="J83" i="105"/>
  <c r="J57" i="105"/>
  <c r="J45" i="105"/>
  <c r="J19" i="105"/>
  <c r="J74" i="105"/>
  <c r="J70" i="105"/>
  <c r="J58" i="105"/>
  <c r="J46" i="105"/>
  <c r="J87" i="105"/>
  <c r="J65" i="105"/>
  <c r="J59" i="105"/>
  <c r="J47" i="105"/>
  <c r="J33" i="105"/>
  <c r="J29" i="105"/>
  <c r="J25" i="105"/>
  <c r="J23" i="105"/>
  <c r="J76" i="105"/>
  <c r="J66" i="105"/>
  <c r="J50" i="105"/>
  <c r="J30" i="105"/>
  <c r="J26" i="105"/>
  <c r="J78" i="105"/>
  <c r="J72" i="105"/>
  <c r="J68" i="105"/>
  <c r="J34" i="105"/>
  <c r="J67" i="105"/>
  <c r="J61" i="105"/>
  <c r="J37" i="105"/>
  <c r="J32" i="105"/>
  <c r="J52" i="105"/>
  <c r="H21" i="105"/>
  <c r="J21" i="105" s="1"/>
  <c r="J71" i="105"/>
  <c r="J35" i="105"/>
  <c r="J28" i="105"/>
  <c r="J43" i="105"/>
  <c r="J77" i="105"/>
  <c r="J40" i="105"/>
  <c r="J75" i="105"/>
  <c r="J48" i="105"/>
  <c r="J38" i="105"/>
  <c r="J24" i="105"/>
  <c r="J18" i="105"/>
  <c r="J51" i="105"/>
  <c r="J49" i="105"/>
  <c r="J44" i="105"/>
  <c r="J36" i="105"/>
  <c r="J39" i="105"/>
  <c r="Z34" i="105"/>
  <c r="J19" i="102"/>
  <c r="J29" i="102"/>
  <c r="J49" i="102"/>
  <c r="Z18" i="103"/>
  <c r="Z52" i="103"/>
  <c r="X54" i="103"/>
  <c r="Z54" i="103" s="1"/>
  <c r="L32" i="104"/>
  <c r="L79" i="103"/>
  <c r="X83" i="103"/>
  <c r="D12" i="104"/>
  <c r="N13" i="104"/>
  <c r="V25" i="104"/>
  <c r="X32" i="104"/>
  <c r="Z32" i="104" s="1"/>
  <c r="V41" i="104"/>
  <c r="V49" i="104"/>
  <c r="T21" i="104"/>
  <c r="V30" i="104"/>
  <c r="V42" i="104"/>
  <c r="X34" i="105"/>
  <c r="Z63" i="105"/>
  <c r="D33" i="108"/>
  <c r="L35" i="108"/>
  <c r="N35" i="108" s="1"/>
  <c r="V19" i="104"/>
  <c r="V21" i="104"/>
  <c r="V23" i="104"/>
  <c r="V39" i="104"/>
  <c r="V47" i="104"/>
  <c r="Z15" i="105"/>
  <c r="X80" i="105"/>
  <c r="D37" i="108"/>
  <c r="H33" i="108"/>
  <c r="X49" i="105"/>
  <c r="Z49" i="105" s="1"/>
  <c r="J25" i="106"/>
  <c r="J17" i="106"/>
  <c r="J20" i="106"/>
  <c r="J19" i="106"/>
  <c r="H17" i="106"/>
  <c r="J27" i="106"/>
  <c r="N12" i="106"/>
  <c r="J23" i="106"/>
  <c r="J32" i="106"/>
  <c r="J14" i="106"/>
  <c r="J15" i="106"/>
  <c r="V18" i="104"/>
  <c r="V38" i="104"/>
  <c r="V46" i="104"/>
  <c r="V56" i="104"/>
  <c r="L43" i="105"/>
  <c r="N43" i="105" s="1"/>
  <c r="L12" i="106"/>
  <c r="Z24" i="107"/>
  <c r="V27" i="104"/>
  <c r="V35" i="104"/>
  <c r="X14" i="105"/>
  <c r="Z14" i="105" s="1"/>
  <c r="L23" i="105"/>
  <c r="N23" i="105" s="1"/>
  <c r="J21" i="106"/>
  <c r="V28" i="104"/>
  <c r="V36" i="104"/>
  <c r="Z41" i="105"/>
  <c r="X41" i="105"/>
  <c r="X49" i="107"/>
  <c r="Z49" i="107"/>
  <c r="V17" i="104"/>
  <c r="V33" i="104"/>
  <c r="V45" i="104"/>
  <c r="X57" i="105"/>
  <c r="Z57" i="105" s="1"/>
  <c r="N59" i="105"/>
  <c r="L59" i="105"/>
  <c r="Z14" i="107"/>
  <c r="T12" i="107"/>
  <c r="X43" i="107"/>
  <c r="Z43" i="107" s="1"/>
  <c r="V34" i="104"/>
  <c r="V50" i="104"/>
  <c r="V52" i="104"/>
  <c r="Z43" i="105"/>
  <c r="N47" i="105"/>
  <c r="L47" i="105"/>
  <c r="Z53" i="105"/>
  <c r="X53" i="105"/>
  <c r="Z55" i="105"/>
  <c r="V31" i="104"/>
  <c r="V43" i="104"/>
  <c r="N63" i="105"/>
  <c r="T29" i="106"/>
  <c r="V32" i="104"/>
  <c r="V44" i="104"/>
  <c r="Z17" i="105"/>
  <c r="Z20" i="106"/>
  <c r="X15" i="107"/>
  <c r="Z15" i="107" s="1"/>
  <c r="L23" i="107"/>
  <c r="N23" i="107" s="1"/>
  <c r="N14" i="107"/>
  <c r="P12" i="109"/>
  <c r="X13" i="109"/>
  <c r="Z13" i="109" s="1"/>
  <c r="X64" i="109"/>
  <c r="Z64" i="109"/>
  <c r="F21" i="106"/>
  <c r="D17" i="106"/>
  <c r="F29" i="106"/>
  <c r="L14" i="107"/>
  <c r="N43" i="107"/>
  <c r="X55" i="107"/>
  <c r="Z55" i="107" s="1"/>
  <c r="Z61" i="107"/>
  <c r="N79" i="107"/>
  <c r="N17" i="107"/>
  <c r="P37" i="108"/>
  <c r="N19" i="108"/>
  <c r="R25" i="106"/>
  <c r="R23" i="106"/>
  <c r="R27" i="106"/>
  <c r="F20" i="106"/>
  <c r="F27" i="106"/>
  <c r="Z23" i="107"/>
  <c r="F17" i="106"/>
  <c r="R21" i="106"/>
  <c r="R29" i="106"/>
  <c r="F31" i="108"/>
  <c r="F71" i="109"/>
  <c r="F54" i="109"/>
  <c r="F53" i="109"/>
  <c r="F34" i="109"/>
  <c r="F30" i="109"/>
  <c r="F29" i="109"/>
  <c r="F75" i="109"/>
  <c r="F70" i="109"/>
  <c r="F61" i="109"/>
  <c r="F25" i="109"/>
  <c r="F21" i="109"/>
  <c r="F20" i="109"/>
  <c r="F55" i="109"/>
  <c r="F35" i="109"/>
  <c r="F31" i="109"/>
  <c r="F62" i="109"/>
  <c r="F46" i="109"/>
  <c r="F45" i="109"/>
  <c r="F56" i="109"/>
  <c r="F48" i="109"/>
  <c r="F47" i="109"/>
  <c r="F32" i="109"/>
  <c r="F63" i="109"/>
  <c r="F65" i="109"/>
  <c r="F64" i="109"/>
  <c r="F41" i="109"/>
  <c r="F40" i="109"/>
  <c r="F33" i="109"/>
  <c r="F67" i="109"/>
  <c r="F66" i="109"/>
  <c r="F43" i="109"/>
  <c r="F42" i="109"/>
  <c r="F51" i="109"/>
  <c r="F23" i="109"/>
  <c r="F39" i="109"/>
  <c r="F36" i="109"/>
  <c r="F44" i="109"/>
  <c r="F27" i="109"/>
  <c r="F15" i="109"/>
  <c r="F69" i="109"/>
  <c r="F49" i="109"/>
  <c r="F52" i="109"/>
  <c r="F17" i="109"/>
  <c r="F59" i="109"/>
  <c r="F37" i="109"/>
  <c r="F22" i="109"/>
  <c r="D17" i="109"/>
  <c r="F24" i="109"/>
  <c r="F19" i="109"/>
  <c r="F60" i="109"/>
  <c r="F38" i="109"/>
  <c r="F58" i="109"/>
  <c r="P12" i="107"/>
  <c r="Z65" i="107"/>
  <c r="N69" i="107"/>
  <c r="D12" i="107"/>
  <c r="Z57" i="107"/>
  <c r="N61" i="107"/>
  <c r="X65" i="107"/>
  <c r="Z35" i="108"/>
  <c r="X15" i="109"/>
  <c r="F50" i="109"/>
  <c r="F25" i="106"/>
  <c r="H12" i="107"/>
  <c r="X13" i="107"/>
  <c r="Z13" i="107" s="1"/>
  <c r="L41" i="107"/>
  <c r="N41" i="107" s="1"/>
  <c r="X57" i="107"/>
  <c r="N20" i="109"/>
  <c r="F14" i="106"/>
  <c r="F15" i="106"/>
  <c r="P17" i="106"/>
  <c r="R19" i="106"/>
  <c r="R20" i="106"/>
  <c r="F32" i="106"/>
  <c r="X45" i="107"/>
  <c r="Z45" i="107" s="1"/>
  <c r="L49" i="107"/>
  <c r="Z59" i="107"/>
  <c r="N77" i="107"/>
  <c r="F39" i="108"/>
  <c r="F33" i="108"/>
  <c r="F26" i="108"/>
  <c r="F22" i="108"/>
  <c r="F41" i="108"/>
  <c r="F28" i="108"/>
  <c r="F27" i="108"/>
  <c r="F44" i="108"/>
  <c r="F23" i="108"/>
  <c r="F24" i="108"/>
  <c r="F20" i="108"/>
  <c r="F19" i="108"/>
  <c r="F37" i="108"/>
  <c r="F35" i="108"/>
  <c r="F30" i="108"/>
  <c r="H12" i="109"/>
  <c r="L13" i="109"/>
  <c r="N13" i="109" s="1"/>
  <c r="T17" i="109"/>
  <c r="F26" i="109"/>
  <c r="N70" i="109"/>
  <c r="J21" i="108"/>
  <c r="R22" i="108"/>
  <c r="J25" i="108"/>
  <c r="R26" i="108"/>
  <c r="R27" i="108"/>
  <c r="J33" i="108"/>
  <c r="R41" i="108"/>
  <c r="V44" i="108"/>
  <c r="N51" i="109"/>
  <c r="V59" i="109"/>
  <c r="Z66" i="109"/>
  <c r="H16" i="108"/>
  <c r="V41" i="109"/>
  <c r="R31" i="108"/>
  <c r="R34" i="108"/>
  <c r="V35" i="109"/>
  <c r="V51" i="109"/>
  <c r="X70" i="109"/>
  <c r="P69" i="109"/>
  <c r="X69" i="109" s="1"/>
  <c r="Z69" i="109" s="1"/>
  <c r="R20" i="108"/>
  <c r="J23" i="108"/>
  <c r="R24" i="108"/>
  <c r="V31" i="108"/>
  <c r="V33" i="108"/>
  <c r="R35" i="108"/>
  <c r="R37" i="108"/>
  <c r="V26" i="109"/>
  <c r="V28" i="109"/>
  <c r="V55" i="109"/>
  <c r="V63" i="109"/>
  <c r="Z70" i="109"/>
  <c r="N12" i="108"/>
  <c r="R14" i="108"/>
  <c r="R16" i="108"/>
  <c r="R18" i="108"/>
  <c r="V20" i="108"/>
  <c r="V24" i="108"/>
  <c r="J28" i="108"/>
  <c r="R29" i="108"/>
  <c r="R30" i="108"/>
  <c r="V34" i="108"/>
  <c r="J44" i="108"/>
  <c r="Z38" i="109"/>
  <c r="T16" i="108"/>
  <c r="R19" i="108"/>
  <c r="J27" i="108"/>
  <c r="V29" i="108"/>
  <c r="V35" i="108"/>
  <c r="V37" i="108"/>
  <c r="V57" i="109"/>
  <c r="V49" i="109"/>
  <c r="V37" i="109"/>
  <c r="V64" i="109"/>
  <c r="V56" i="109"/>
  <c r="V48" i="109"/>
  <c r="V40" i="109"/>
  <c r="V32" i="109"/>
  <c r="V66" i="109"/>
  <c r="V58" i="109"/>
  <c r="V50" i="109"/>
  <c r="V42" i="109"/>
  <c r="V71" i="109"/>
  <c r="V65" i="109"/>
  <c r="V53" i="109"/>
  <c r="V70" i="109"/>
  <c r="V60" i="109"/>
  <c r="V52" i="109"/>
  <c r="V69" i="109"/>
  <c r="V67" i="109"/>
  <c r="V43" i="109"/>
  <c r="V19" i="109"/>
  <c r="V15" i="109"/>
  <c r="V44" i="109"/>
  <c r="V36" i="109"/>
  <c r="V62" i="109"/>
  <c r="V46" i="109"/>
  <c r="V38" i="109"/>
  <c r="V22" i="109"/>
  <c r="V24" i="109"/>
  <c r="V30" i="109"/>
  <c r="X40" i="109"/>
  <c r="V14" i="108"/>
  <c r="V16" i="108"/>
  <c r="V18" i="108"/>
  <c r="J22" i="108"/>
  <c r="R23" i="108"/>
  <c r="J26" i="108"/>
  <c r="V30" i="108"/>
  <c r="Z20" i="109"/>
  <c r="Z40" i="109"/>
  <c r="N49" i="109"/>
  <c r="L49" i="109"/>
  <c r="X12" i="108"/>
  <c r="V19" i="108"/>
  <c r="R28" i="108"/>
  <c r="V20" i="109"/>
  <c r="V34" i="109"/>
  <c r="Z45" i="109"/>
  <c r="V61" i="109"/>
  <c r="L64" i="109"/>
  <c r="N64" i="109" s="1"/>
  <c r="L66" i="109"/>
  <c r="N36" i="109"/>
  <c r="Z42" i="109"/>
  <c r="L57" i="109"/>
  <c r="T101" i="91" l="1"/>
  <c r="D305" i="15"/>
  <c r="L170" i="15"/>
  <c r="L18" i="19"/>
  <c r="D27" i="19"/>
  <c r="T27" i="14"/>
  <c r="Z18" i="14"/>
  <c r="D70" i="100"/>
  <c r="H46" i="99"/>
  <c r="N17" i="99"/>
  <c r="P50" i="99"/>
  <c r="X46" i="99"/>
  <c r="F89" i="97"/>
  <c r="F87" i="97"/>
  <c r="F78" i="97"/>
  <c r="F74" i="97"/>
  <c r="F62" i="97"/>
  <c r="F61" i="97"/>
  <c r="F42" i="97"/>
  <c r="F41" i="97"/>
  <c r="F30" i="97"/>
  <c r="F26" i="97"/>
  <c r="F91" i="97"/>
  <c r="F86" i="97"/>
  <c r="F53" i="97"/>
  <c r="F52" i="97"/>
  <c r="F17" i="97"/>
  <c r="F16" i="97"/>
  <c r="F68" i="97"/>
  <c r="F44" i="97"/>
  <c r="F43" i="97"/>
  <c r="F79" i="97"/>
  <c r="F75" i="97"/>
  <c r="F63" i="97"/>
  <c r="F55" i="97"/>
  <c r="F54" i="97"/>
  <c r="F31" i="97"/>
  <c r="F27" i="97"/>
  <c r="F96" i="97"/>
  <c r="F93" i="97"/>
  <c r="F70" i="97"/>
  <c r="F69" i="97"/>
  <c r="F46" i="97"/>
  <c r="F45" i="97"/>
  <c r="F18" i="97"/>
  <c r="F57" i="97"/>
  <c r="F56" i="97"/>
  <c r="F37" i="97"/>
  <c r="F33" i="97"/>
  <c r="F32" i="97"/>
  <c r="F80" i="97"/>
  <c r="F76" i="97"/>
  <c r="F64" i="97"/>
  <c r="F28" i="97"/>
  <c r="F24" i="97"/>
  <c r="F23" i="97"/>
  <c r="F77" i="97"/>
  <c r="F73" i="97"/>
  <c r="F72" i="97"/>
  <c r="F49" i="97"/>
  <c r="F48" i="97"/>
  <c r="F67" i="97"/>
  <c r="F51" i="97"/>
  <c r="F50" i="97"/>
  <c r="F35" i="97"/>
  <c r="F84" i="97"/>
  <c r="F82" i="97"/>
  <c r="F71" i="97"/>
  <c r="F22" i="97"/>
  <c r="F65" i="97"/>
  <c r="F59" i="97"/>
  <c r="F40" i="97"/>
  <c r="F29" i="97"/>
  <c r="F25" i="97"/>
  <c r="F47" i="97"/>
  <c r="F38" i="97"/>
  <c r="F34" i="97"/>
  <c r="F39" i="97"/>
  <c r="F66" i="97"/>
  <c r="F20" i="97"/>
  <c r="L12" i="97"/>
  <c r="F36" i="97"/>
  <c r="D20" i="97"/>
  <c r="F81" i="97"/>
  <c r="F58" i="97"/>
  <c r="F60" i="97"/>
  <c r="F83" i="97"/>
  <c r="J82" i="92"/>
  <c r="J54" i="92"/>
  <c r="J42" i="92"/>
  <c r="J71" i="92"/>
  <c r="J67" i="92"/>
  <c r="J55" i="92"/>
  <c r="J43" i="92"/>
  <c r="J45" i="92"/>
  <c r="J37" i="92"/>
  <c r="J72" i="92"/>
  <c r="J68" i="92"/>
  <c r="J56" i="92"/>
  <c r="J46" i="92"/>
  <c r="J32" i="92"/>
  <c r="J28" i="92"/>
  <c r="J74" i="92"/>
  <c r="J64" i="92"/>
  <c r="J48" i="92"/>
  <c r="J59" i="92"/>
  <c r="J51" i="92"/>
  <c r="J39" i="92"/>
  <c r="J35" i="92"/>
  <c r="J78" i="92"/>
  <c r="J70" i="92"/>
  <c r="J66" i="92"/>
  <c r="J60" i="92"/>
  <c r="J52" i="92"/>
  <c r="J40" i="92"/>
  <c r="J30" i="92"/>
  <c r="J61" i="92"/>
  <c r="J26" i="92"/>
  <c r="J50" i="92"/>
  <c r="J47" i="92"/>
  <c r="J29" i="92"/>
  <c r="J17" i="92"/>
  <c r="J57" i="92"/>
  <c r="J18" i="92"/>
  <c r="J27" i="92"/>
  <c r="J62" i="92"/>
  <c r="J33" i="92"/>
  <c r="J19" i="92"/>
  <c r="J76" i="92"/>
  <c r="J65" i="92"/>
  <c r="J53" i="92"/>
  <c r="J38" i="92"/>
  <c r="J24" i="92"/>
  <c r="J69" i="92"/>
  <c r="J73" i="92"/>
  <c r="J34" i="92"/>
  <c r="J31" i="92"/>
  <c r="J75" i="92"/>
  <c r="J63" i="92"/>
  <c r="J41" i="92"/>
  <c r="J36" i="92"/>
  <c r="J49" i="92"/>
  <c r="J23" i="92"/>
  <c r="J58" i="92"/>
  <c r="J44" i="92"/>
  <c r="J25" i="92"/>
  <c r="H21" i="92"/>
  <c r="P86" i="87"/>
  <c r="X20" i="87"/>
  <c r="F19" i="82"/>
  <c r="F18" i="82"/>
  <c r="F20" i="82"/>
  <c r="D22" i="82"/>
  <c r="F22" i="82" s="1"/>
  <c r="L12" i="82"/>
  <c r="N12" i="82" s="1"/>
  <c r="F28" i="82"/>
  <c r="F32" i="82"/>
  <c r="F25" i="82"/>
  <c r="F26" i="82"/>
  <c r="F24" i="82"/>
  <c r="H37" i="85"/>
  <c r="P82" i="80"/>
  <c r="X20" i="80"/>
  <c r="P80" i="75"/>
  <c r="V87" i="72"/>
  <c r="V83" i="72"/>
  <c r="V75" i="72"/>
  <c r="V71" i="72"/>
  <c r="V63" i="72"/>
  <c r="V55" i="72"/>
  <c r="V35" i="72"/>
  <c r="V31" i="72"/>
  <c r="V70" i="72"/>
  <c r="V46" i="72"/>
  <c r="V65" i="72"/>
  <c r="V57" i="72"/>
  <c r="V45" i="72"/>
  <c r="V41" i="72"/>
  <c r="V76" i="72"/>
  <c r="V72" i="72"/>
  <c r="V64" i="72"/>
  <c r="V48" i="72"/>
  <c r="V36" i="72"/>
  <c r="V32" i="72"/>
  <c r="V59" i="72"/>
  <c r="V47" i="72"/>
  <c r="V23" i="72"/>
  <c r="V78" i="72"/>
  <c r="V66" i="72"/>
  <c r="V58" i="72"/>
  <c r="V50" i="72"/>
  <c r="V42" i="72"/>
  <c r="V77" i="72"/>
  <c r="V73" i="72"/>
  <c r="V61" i="72"/>
  <c r="V49" i="72"/>
  <c r="V37" i="72"/>
  <c r="V33" i="72"/>
  <c r="V74" i="72"/>
  <c r="V62" i="72"/>
  <c r="V54" i="72"/>
  <c r="V38" i="72"/>
  <c r="V34" i="72"/>
  <c r="V30" i="72"/>
  <c r="V69" i="72"/>
  <c r="V53" i="72"/>
  <c r="V29" i="72"/>
  <c r="V25" i="72"/>
  <c r="V44" i="72"/>
  <c r="V39" i="72"/>
  <c r="V24" i="72"/>
  <c r="T27" i="72"/>
  <c r="V51" i="72"/>
  <c r="V81" i="72"/>
  <c r="V56" i="72"/>
  <c r="V79" i="72"/>
  <c r="V67" i="72"/>
  <c r="V43" i="72"/>
  <c r="V80" i="72"/>
  <c r="V68" i="72"/>
  <c r="V40" i="72"/>
  <c r="V60" i="72"/>
  <c r="V52" i="72"/>
  <c r="P62" i="67"/>
  <c r="X16" i="67"/>
  <c r="H119" i="76"/>
  <c r="J55" i="76"/>
  <c r="Z101" i="63"/>
  <c r="Z16" i="59"/>
  <c r="T67" i="59"/>
  <c r="N16" i="57"/>
  <c r="H73" i="57"/>
  <c r="P53" i="61"/>
  <c r="X16" i="61"/>
  <c r="N16" i="56"/>
  <c r="H74" i="56"/>
  <c r="V128" i="42"/>
  <c r="V115" i="42"/>
  <c r="V107" i="42"/>
  <c r="V103" i="42"/>
  <c r="V99" i="42"/>
  <c r="V87" i="42"/>
  <c r="V79" i="42"/>
  <c r="V71" i="42"/>
  <c r="V59" i="42"/>
  <c r="V51" i="42"/>
  <c r="V27" i="42"/>
  <c r="V98" i="42"/>
  <c r="V86" i="42"/>
  <c r="V82" i="42"/>
  <c r="V70" i="42"/>
  <c r="V50" i="42"/>
  <c r="V46" i="42"/>
  <c r="V93" i="42"/>
  <c r="V81" i="42"/>
  <c r="V61" i="42"/>
  <c r="V53" i="42"/>
  <c r="V41" i="42"/>
  <c r="V37" i="42"/>
  <c r="V116" i="42"/>
  <c r="V108" i="42"/>
  <c r="V104" i="42"/>
  <c r="V100" i="42"/>
  <c r="V88" i="42"/>
  <c r="V72" i="42"/>
  <c r="V60" i="42"/>
  <c r="V52" i="42"/>
  <c r="V32" i="42"/>
  <c r="V30" i="42"/>
  <c r="V28" i="42"/>
  <c r="V83" i="42"/>
  <c r="V63" i="42"/>
  <c r="V55" i="42"/>
  <c r="V47" i="42"/>
  <c r="V43" i="42"/>
  <c r="T30" i="42"/>
  <c r="V118" i="42"/>
  <c r="V110" i="42"/>
  <c r="V94" i="42"/>
  <c r="V90" i="42"/>
  <c r="V74" i="42"/>
  <c r="V124" i="42"/>
  <c r="V123" i="42"/>
  <c r="V117" i="42"/>
  <c r="V109" i="42"/>
  <c r="V105" i="42"/>
  <c r="V101" i="42"/>
  <c r="V89" i="42"/>
  <c r="V73" i="42"/>
  <c r="V65" i="42"/>
  <c r="V57" i="42"/>
  <c r="V122" i="42"/>
  <c r="V112" i="42"/>
  <c r="V96" i="42"/>
  <c r="V84" i="42"/>
  <c r="V76" i="42"/>
  <c r="V64" i="42"/>
  <c r="V56" i="42"/>
  <c r="V48" i="42"/>
  <c r="V44" i="42"/>
  <c r="V114" i="42"/>
  <c r="V106" i="42"/>
  <c r="V102" i="42"/>
  <c r="V78" i="42"/>
  <c r="V66" i="42"/>
  <c r="V92" i="42"/>
  <c r="V80" i="42"/>
  <c r="V68" i="42"/>
  <c r="V40" i="42"/>
  <c r="V36" i="42"/>
  <c r="V85" i="42"/>
  <c r="V34" i="42"/>
  <c r="V113" i="42"/>
  <c r="V69" i="42"/>
  <c r="V54" i="42"/>
  <c r="V38" i="42"/>
  <c r="V119" i="42"/>
  <c r="V91" i="42"/>
  <c r="V26" i="42"/>
  <c r="V75" i="42"/>
  <c r="V42" i="42"/>
  <c r="V35" i="42"/>
  <c r="V33" i="42"/>
  <c r="V111" i="42"/>
  <c r="V97" i="42"/>
  <c r="V67" i="42"/>
  <c r="V39" i="42"/>
  <c r="V49" i="42"/>
  <c r="V95" i="42"/>
  <c r="V77" i="42"/>
  <c r="V58" i="42"/>
  <c r="V121" i="42"/>
  <c r="V62" i="42"/>
  <c r="V45" i="42"/>
  <c r="N124" i="36"/>
  <c r="J124" i="42"/>
  <c r="J123" i="42"/>
  <c r="J119" i="42"/>
  <c r="J111" i="42"/>
  <c r="J95" i="42"/>
  <c r="J91" i="42"/>
  <c r="J75" i="42"/>
  <c r="J65" i="42"/>
  <c r="J57" i="42"/>
  <c r="J39" i="42"/>
  <c r="J35" i="42"/>
  <c r="J122" i="42"/>
  <c r="J112" i="42"/>
  <c r="J106" i="42"/>
  <c r="J102" i="42"/>
  <c r="J96" i="42"/>
  <c r="J76" i="42"/>
  <c r="J66" i="42"/>
  <c r="J58" i="42"/>
  <c r="J121" i="42"/>
  <c r="J113" i="42"/>
  <c r="J97" i="42"/>
  <c r="J85" i="42"/>
  <c r="J77" i="42"/>
  <c r="J67" i="42"/>
  <c r="J49" i="42"/>
  <c r="J45" i="42"/>
  <c r="J114" i="42"/>
  <c r="J92" i="42"/>
  <c r="J78" i="42"/>
  <c r="J68" i="42"/>
  <c r="J40" i="42"/>
  <c r="J36" i="42"/>
  <c r="J26" i="42"/>
  <c r="J128" i="42"/>
  <c r="J115" i="42"/>
  <c r="J107" i="42"/>
  <c r="J103" i="42"/>
  <c r="J79" i="42"/>
  <c r="J69" i="42"/>
  <c r="J59" i="42"/>
  <c r="J27" i="42"/>
  <c r="J98" i="42"/>
  <c r="J86" i="42"/>
  <c r="J80" i="42"/>
  <c r="J70" i="42"/>
  <c r="J99" i="42"/>
  <c r="J93" i="42"/>
  <c r="J87" i="42"/>
  <c r="J81" i="42"/>
  <c r="J71" i="42"/>
  <c r="J51" i="42"/>
  <c r="J41" i="42"/>
  <c r="J37" i="42"/>
  <c r="J116" i="42"/>
  <c r="J108" i="42"/>
  <c r="J104" i="42"/>
  <c r="J100" i="42"/>
  <c r="J88" i="42"/>
  <c r="J82" i="42"/>
  <c r="J72" i="42"/>
  <c r="J60" i="42"/>
  <c r="J52" i="42"/>
  <c r="J28" i="42"/>
  <c r="J94" i="42"/>
  <c r="J62" i="42"/>
  <c r="J118" i="42"/>
  <c r="J110" i="42"/>
  <c r="J90" i="42"/>
  <c r="J84" i="42"/>
  <c r="J74" i="42"/>
  <c r="J64" i="42"/>
  <c r="J56" i="42"/>
  <c r="J48" i="42"/>
  <c r="J44" i="42"/>
  <c r="J109" i="42"/>
  <c r="J47" i="42"/>
  <c r="J83" i="42"/>
  <c r="J30" i="42"/>
  <c r="J34" i="42"/>
  <c r="H30" i="42"/>
  <c r="J101" i="42"/>
  <c r="J117" i="42"/>
  <c r="J89" i="42"/>
  <c r="J63" i="42"/>
  <c r="J54" i="42"/>
  <c r="J61" i="42"/>
  <c r="J38" i="42"/>
  <c r="J73" i="42"/>
  <c r="J50" i="42"/>
  <c r="J46" i="42"/>
  <c r="J32" i="42"/>
  <c r="J53" i="42"/>
  <c r="J43" i="42"/>
  <c r="J42" i="42"/>
  <c r="J33" i="42"/>
  <c r="J105" i="42"/>
  <c r="J55" i="42"/>
  <c r="N127" i="27"/>
  <c r="L127" i="27"/>
  <c r="D165" i="30"/>
  <c r="L72" i="30"/>
  <c r="J101" i="21"/>
  <c r="J77" i="21"/>
  <c r="J67" i="21"/>
  <c r="J57" i="21"/>
  <c r="J102" i="21"/>
  <c r="J84" i="21"/>
  <c r="J68" i="21"/>
  <c r="J58" i="21"/>
  <c r="J104" i="21"/>
  <c r="J78" i="21"/>
  <c r="J70" i="21"/>
  <c r="J60" i="21"/>
  <c r="J50" i="21"/>
  <c r="J105" i="21"/>
  <c r="J85" i="21"/>
  <c r="J79" i="21"/>
  <c r="J71" i="21"/>
  <c r="J61" i="21"/>
  <c r="J51" i="21"/>
  <c r="J45" i="21"/>
  <c r="J82" i="21"/>
  <c r="J74" i="21"/>
  <c r="J64" i="21"/>
  <c r="J54" i="21"/>
  <c r="J111" i="21"/>
  <c r="J97" i="21"/>
  <c r="J93" i="21"/>
  <c r="J75" i="21"/>
  <c r="J65" i="21"/>
  <c r="J98" i="21"/>
  <c r="J88" i="21"/>
  <c r="J76" i="21"/>
  <c r="J56" i="21"/>
  <c r="J107" i="21"/>
  <c r="J52" i="21"/>
  <c r="J48" i="21"/>
  <c r="J96" i="21"/>
  <c r="J91" i="21"/>
  <c r="J89" i="21"/>
  <c r="J63" i="21"/>
  <c r="J53" i="21"/>
  <c r="J40" i="21"/>
  <c r="J36" i="21"/>
  <c r="J26" i="21"/>
  <c r="J73" i="21"/>
  <c r="J49" i="21"/>
  <c r="J27" i="21"/>
  <c r="J99" i="21"/>
  <c r="J94" i="21"/>
  <c r="J87" i="21"/>
  <c r="J80" i="21"/>
  <c r="J46" i="21"/>
  <c r="J41" i="21"/>
  <c r="J37" i="21"/>
  <c r="J92" i="21"/>
  <c r="J42" i="21"/>
  <c r="J28" i="21"/>
  <c r="J83" i="21"/>
  <c r="J69" i="21"/>
  <c r="J66" i="21"/>
  <c r="J43" i="21"/>
  <c r="J33" i="21"/>
  <c r="J100" i="21"/>
  <c r="J90" i="21"/>
  <c r="J81" i="21"/>
  <c r="J62" i="21"/>
  <c r="J59" i="21"/>
  <c r="J38" i="21"/>
  <c r="J34" i="21"/>
  <c r="J32" i="21"/>
  <c r="J55" i="21"/>
  <c r="J47" i="21"/>
  <c r="H30" i="21"/>
  <c r="J30" i="21" s="1"/>
  <c r="J44" i="21"/>
  <c r="N12" i="21"/>
  <c r="J103" i="21"/>
  <c r="J72" i="21"/>
  <c r="J86" i="21"/>
  <c r="L12" i="21"/>
  <c r="J35" i="21"/>
  <c r="J95" i="21"/>
  <c r="J39" i="21"/>
  <c r="H305" i="15"/>
  <c r="N170" i="15"/>
  <c r="T27" i="112"/>
  <c r="Z18" i="112"/>
  <c r="T27" i="110"/>
  <c r="Z18" i="110"/>
  <c r="P27" i="110"/>
  <c r="X18" i="110"/>
  <c r="H27" i="53"/>
  <c r="N18" i="53"/>
  <c r="L18" i="53"/>
  <c r="D27" i="53"/>
  <c r="H27" i="26"/>
  <c r="N18" i="26"/>
  <c r="X18" i="23"/>
  <c r="P27" i="23"/>
  <c r="H27" i="19"/>
  <c r="N18" i="19"/>
  <c r="H27" i="22"/>
  <c r="N18" i="22"/>
  <c r="X18" i="4"/>
  <c r="P27" i="4"/>
  <c r="H27" i="5"/>
  <c r="N18" i="5"/>
  <c r="H27" i="4"/>
  <c r="N18" i="4"/>
  <c r="P27" i="7"/>
  <c r="X18" i="7"/>
  <c r="T86" i="83"/>
  <c r="V20" i="83"/>
  <c r="P95" i="45"/>
  <c r="X24" i="45"/>
  <c r="T37" i="108"/>
  <c r="Z16" i="108"/>
  <c r="P25" i="106"/>
  <c r="X17" i="106"/>
  <c r="Z17" i="106" s="1"/>
  <c r="J79" i="103"/>
  <c r="J61" i="103"/>
  <c r="J53" i="103"/>
  <c r="J41" i="103"/>
  <c r="J37" i="103"/>
  <c r="J80" i="103"/>
  <c r="J72" i="103"/>
  <c r="J68" i="103"/>
  <c r="J62" i="103"/>
  <c r="J54" i="103"/>
  <c r="J42" i="103"/>
  <c r="J32" i="103"/>
  <c r="J56" i="103"/>
  <c r="J44" i="103"/>
  <c r="J38" i="103"/>
  <c r="J81" i="103"/>
  <c r="J73" i="103"/>
  <c r="J69" i="103"/>
  <c r="J57" i="103"/>
  <c r="J45" i="103"/>
  <c r="J64" i="103"/>
  <c r="J58" i="103"/>
  <c r="J46" i="103"/>
  <c r="J20" i="103"/>
  <c r="J83" i="103"/>
  <c r="J59" i="103"/>
  <c r="J76" i="103"/>
  <c r="J66" i="103"/>
  <c r="J60" i="103"/>
  <c r="J50" i="103"/>
  <c r="J40" i="103"/>
  <c r="J36" i="103"/>
  <c r="J77" i="103"/>
  <c r="J71" i="103"/>
  <c r="J67" i="103"/>
  <c r="J51" i="103"/>
  <c r="J31" i="103"/>
  <c r="J27" i="103"/>
  <c r="J78" i="103"/>
  <c r="J52" i="103"/>
  <c r="J34" i="103"/>
  <c r="J25" i="103"/>
  <c r="J49" i="103"/>
  <c r="J63" i="103"/>
  <c r="J47" i="103"/>
  <c r="J30" i="103"/>
  <c r="J65" i="103"/>
  <c r="J43" i="103"/>
  <c r="J39" i="103"/>
  <c r="J28" i="103"/>
  <c r="J18" i="103"/>
  <c r="J75" i="103"/>
  <c r="N12" i="103"/>
  <c r="J35" i="103"/>
  <c r="J26" i="103"/>
  <c r="J48" i="103"/>
  <c r="J33" i="103"/>
  <c r="H22" i="103"/>
  <c r="J22" i="103" s="1"/>
  <c r="J74" i="103"/>
  <c r="J87" i="103"/>
  <c r="J29" i="103"/>
  <c r="J24" i="103"/>
  <c r="J19" i="103"/>
  <c r="J70" i="103"/>
  <c r="J55" i="103"/>
  <c r="X67" i="100"/>
  <c r="Z67" i="100" s="1"/>
  <c r="V63" i="101"/>
  <c r="V55" i="101"/>
  <c r="V43" i="101"/>
  <c r="V19" i="101"/>
  <c r="V84" i="101"/>
  <c r="V62" i="101"/>
  <c r="V54" i="101"/>
  <c r="V42" i="101"/>
  <c r="V38" i="101"/>
  <c r="V83" i="101"/>
  <c r="V81" i="101"/>
  <c r="V73" i="101"/>
  <c r="V64" i="101"/>
  <c r="V56" i="101"/>
  <c r="V44" i="101"/>
  <c r="V88" i="101"/>
  <c r="V74" i="101"/>
  <c r="V70" i="101"/>
  <c r="V58" i="101"/>
  <c r="V46" i="101"/>
  <c r="V34" i="101"/>
  <c r="V30" i="101"/>
  <c r="V26" i="101"/>
  <c r="V77" i="101"/>
  <c r="V65" i="101"/>
  <c r="V49" i="101"/>
  <c r="V51" i="101"/>
  <c r="V50" i="101"/>
  <c r="V47" i="101"/>
  <c r="V75" i="101"/>
  <c r="V41" i="101"/>
  <c r="V32" i="101"/>
  <c r="V21" i="101"/>
  <c r="V23" i="101"/>
  <c r="V39" i="101"/>
  <c r="T23" i="101"/>
  <c r="V78" i="101"/>
  <c r="V71" i="101"/>
  <c r="V69" i="101"/>
  <c r="V45" i="101"/>
  <c r="V37" i="101"/>
  <c r="V25" i="101"/>
  <c r="V79" i="101"/>
  <c r="V67" i="101"/>
  <c r="V66" i="101"/>
  <c r="V60" i="101"/>
  <c r="V48" i="101"/>
  <c r="V28" i="101"/>
  <c r="V35" i="101"/>
  <c r="V33" i="101"/>
  <c r="V53" i="101"/>
  <c r="V36" i="101"/>
  <c r="V29" i="101"/>
  <c r="V59" i="101"/>
  <c r="V20" i="101"/>
  <c r="V80" i="101"/>
  <c r="V72" i="101"/>
  <c r="V68" i="101"/>
  <c r="V57" i="101"/>
  <c r="V27" i="101"/>
  <c r="V52" i="101"/>
  <c r="V40" i="101"/>
  <c r="V31" i="101"/>
  <c r="V76" i="101"/>
  <c r="V61" i="101"/>
  <c r="P89" i="97"/>
  <c r="T57" i="98"/>
  <c r="Z53" i="98"/>
  <c r="V71" i="88"/>
  <c r="V63" i="88"/>
  <c r="V51" i="88"/>
  <c r="V39" i="88"/>
  <c r="V70" i="88"/>
  <c r="V58" i="88"/>
  <c r="V50" i="88"/>
  <c r="V38" i="88"/>
  <c r="V34" i="88"/>
  <c r="V53" i="88"/>
  <c r="V41" i="88"/>
  <c r="V29" i="88"/>
  <c r="V25" i="88"/>
  <c r="V72" i="88"/>
  <c r="V64" i="88"/>
  <c r="V60" i="88"/>
  <c r="V52" i="88"/>
  <c r="V40" i="88"/>
  <c r="V16" i="88"/>
  <c r="V59" i="88"/>
  <c r="V43" i="88"/>
  <c r="V35" i="88"/>
  <c r="V54" i="88"/>
  <c r="V42" i="88"/>
  <c r="V30" i="88"/>
  <c r="V26" i="88"/>
  <c r="V75" i="88"/>
  <c r="V73" i="88"/>
  <c r="V65" i="88"/>
  <c r="V61" i="88"/>
  <c r="V45" i="88"/>
  <c r="V17" i="88"/>
  <c r="V66" i="88"/>
  <c r="V62" i="88"/>
  <c r="V46" i="88"/>
  <c r="V22" i="88"/>
  <c r="V18" i="88"/>
  <c r="V79" i="88"/>
  <c r="V69" i="88"/>
  <c r="V57" i="88"/>
  <c r="V49" i="88"/>
  <c r="V37" i="88"/>
  <c r="V33" i="88"/>
  <c r="T20" i="88"/>
  <c r="X20" i="88" s="1"/>
  <c r="V68" i="88"/>
  <c r="V56" i="88"/>
  <c r="V48" i="88"/>
  <c r="V28" i="88"/>
  <c r="V24" i="88"/>
  <c r="Z12" i="88"/>
  <c r="V67" i="88"/>
  <c r="X12" i="88"/>
  <c r="V47" i="88"/>
  <c r="V31" i="88"/>
  <c r="V23" i="88"/>
  <c r="V44" i="88"/>
  <c r="V27" i="88"/>
  <c r="V36" i="88"/>
  <c r="V55" i="88"/>
  <c r="V32" i="88"/>
  <c r="P73" i="78"/>
  <c r="R81" i="70"/>
  <c r="R80" i="70"/>
  <c r="R76" i="70"/>
  <c r="R120" i="70"/>
  <c r="R119" i="70"/>
  <c r="R107" i="70"/>
  <c r="R91" i="70"/>
  <c r="R71" i="70"/>
  <c r="R67" i="70"/>
  <c r="R114" i="70"/>
  <c r="R102" i="70"/>
  <c r="R98" i="70"/>
  <c r="R83" i="70"/>
  <c r="R82" i="70"/>
  <c r="R58" i="70"/>
  <c r="R54" i="70"/>
  <c r="R128" i="70"/>
  <c r="R122" i="70"/>
  <c r="R121" i="70"/>
  <c r="R77" i="70"/>
  <c r="R127" i="70"/>
  <c r="R109" i="70"/>
  <c r="R108" i="70"/>
  <c r="R93" i="70"/>
  <c r="R92" i="70"/>
  <c r="R84" i="70"/>
  <c r="R72" i="70"/>
  <c r="R68" i="70"/>
  <c r="R126" i="70"/>
  <c r="R123" i="70"/>
  <c r="R132" i="70"/>
  <c r="R125" i="70"/>
  <c r="R110" i="70"/>
  <c r="R95" i="70"/>
  <c r="R94" i="70"/>
  <c r="R78" i="70"/>
  <c r="R112" i="70"/>
  <c r="R111" i="70"/>
  <c r="R88" i="70"/>
  <c r="R87" i="70"/>
  <c r="R79" i="70"/>
  <c r="R64" i="70"/>
  <c r="R44" i="70"/>
  <c r="R118" i="70"/>
  <c r="R106" i="70"/>
  <c r="R75" i="70"/>
  <c r="R74" i="70"/>
  <c r="R70" i="70"/>
  <c r="R66" i="70"/>
  <c r="P62" i="70"/>
  <c r="R103" i="70"/>
  <c r="R73" i="70"/>
  <c r="R48" i="70"/>
  <c r="R116" i="70"/>
  <c r="R46" i="70"/>
  <c r="R59" i="70"/>
  <c r="R89" i="70"/>
  <c r="R57" i="70"/>
  <c r="R55" i="70"/>
  <c r="X12" i="70"/>
  <c r="R117" i="70"/>
  <c r="R96" i="70"/>
  <c r="R85" i="70"/>
  <c r="R53" i="70"/>
  <c r="R51" i="70"/>
  <c r="R100" i="70"/>
  <c r="R90" i="70"/>
  <c r="R49" i="70"/>
  <c r="R104" i="70"/>
  <c r="R47" i="70"/>
  <c r="R105" i="70"/>
  <c r="R86" i="70"/>
  <c r="R56" i="70"/>
  <c r="R97" i="70"/>
  <c r="R52" i="70"/>
  <c r="R115" i="70"/>
  <c r="R101" i="70"/>
  <c r="R65" i="70"/>
  <c r="R60" i="70"/>
  <c r="R50" i="70"/>
  <c r="R99" i="70"/>
  <c r="R69" i="70"/>
  <c r="R45" i="70"/>
  <c r="R113" i="70"/>
  <c r="X118" i="74"/>
  <c r="N17" i="63"/>
  <c r="H106" i="63"/>
  <c r="D74" i="58"/>
  <c r="L16" i="58"/>
  <c r="T153" i="68"/>
  <c r="X16" i="58"/>
  <c r="P74" i="58"/>
  <c r="T34" i="55"/>
  <c r="Z16" i="55"/>
  <c r="D78" i="56"/>
  <c r="L74" i="56"/>
  <c r="X42" i="33"/>
  <c r="P102" i="33"/>
  <c r="J159" i="24"/>
  <c r="J151" i="24"/>
  <c r="J143" i="24"/>
  <c r="J135" i="24"/>
  <c r="J131" i="24"/>
  <c r="J127" i="24"/>
  <c r="J123" i="24"/>
  <c r="J119" i="24"/>
  <c r="J113" i="24"/>
  <c r="J103" i="24"/>
  <c r="J79" i="24"/>
  <c r="J75" i="24"/>
  <c r="J71" i="24"/>
  <c r="J67" i="24"/>
  <c r="J63" i="24"/>
  <c r="J59" i="24"/>
  <c r="J162" i="24"/>
  <c r="J114" i="24"/>
  <c r="J104" i="24"/>
  <c r="J98" i="24"/>
  <c r="J161" i="24"/>
  <c r="J115" i="24"/>
  <c r="J105" i="24"/>
  <c r="J93" i="24"/>
  <c r="J89" i="24"/>
  <c r="J166" i="24"/>
  <c r="J152" i="24"/>
  <c r="J144" i="24"/>
  <c r="J136" i="24"/>
  <c r="J132" i="24"/>
  <c r="J128" i="24"/>
  <c r="J124" i="24"/>
  <c r="J120" i="24"/>
  <c r="J116" i="24"/>
  <c r="J106" i="24"/>
  <c r="J80" i="24"/>
  <c r="J76" i="24"/>
  <c r="J72" i="24"/>
  <c r="J68" i="24"/>
  <c r="J64" i="24"/>
  <c r="J60" i="24"/>
  <c r="J145" i="24"/>
  <c r="J107" i="24"/>
  <c r="J99" i="24"/>
  <c r="J146" i="24"/>
  <c r="J94" i="24"/>
  <c r="J90" i="24"/>
  <c r="J153" i="24"/>
  <c r="J137" i="24"/>
  <c r="J133" i="24"/>
  <c r="J129" i="24"/>
  <c r="J125" i="24"/>
  <c r="J121" i="24"/>
  <c r="J117" i="24"/>
  <c r="J81" i="24"/>
  <c r="J77" i="24"/>
  <c r="J73" i="24"/>
  <c r="J69" i="24"/>
  <c r="J65" i="24"/>
  <c r="J61" i="24"/>
  <c r="J154" i="24"/>
  <c r="J138" i="24"/>
  <c r="J108" i="24"/>
  <c r="J100" i="24"/>
  <c r="J86" i="24"/>
  <c r="N12" i="24"/>
  <c r="J155" i="24"/>
  <c r="J147" i="24"/>
  <c r="J139" i="24"/>
  <c r="J109" i="24"/>
  <c r="J95" i="24"/>
  <c r="J91" i="24"/>
  <c r="J87" i="24"/>
  <c r="J85" i="24"/>
  <c r="J57" i="24"/>
  <c r="J156" i="24"/>
  <c r="J148" i="24"/>
  <c r="J140" i="24"/>
  <c r="J134" i="24"/>
  <c r="J130" i="24"/>
  <c r="J126" i="24"/>
  <c r="J122" i="24"/>
  <c r="J118" i="24"/>
  <c r="J110" i="24"/>
  <c r="J96" i="24"/>
  <c r="H83" i="24"/>
  <c r="J78" i="24"/>
  <c r="J74" i="24"/>
  <c r="J70" i="24"/>
  <c r="J66" i="24"/>
  <c r="J62" i="24"/>
  <c r="J58" i="24"/>
  <c r="J149" i="24"/>
  <c r="J101" i="24"/>
  <c r="J157" i="24"/>
  <c r="J142" i="24"/>
  <c r="J92" i="24"/>
  <c r="J150" i="24"/>
  <c r="J102" i="24"/>
  <c r="J158" i="24"/>
  <c r="J112" i="24"/>
  <c r="J97" i="24"/>
  <c r="J88" i="24"/>
  <c r="J111" i="24"/>
  <c r="J141" i="24"/>
  <c r="R327" i="18"/>
  <c r="R312" i="18"/>
  <c r="R296" i="18"/>
  <c r="R285" i="18"/>
  <c r="R284" i="18"/>
  <c r="R228" i="18"/>
  <c r="R220" i="18"/>
  <c r="R209" i="18"/>
  <c r="R208" i="18"/>
  <c r="R204" i="18"/>
  <c r="R200" i="18"/>
  <c r="P196" i="18"/>
  <c r="R326" i="18"/>
  <c r="R320" i="18"/>
  <c r="R319" i="18"/>
  <c r="R307" i="18"/>
  <c r="R303" i="18"/>
  <c r="R291" i="18"/>
  <c r="R191" i="18"/>
  <c r="R187" i="18"/>
  <c r="R183" i="18"/>
  <c r="R179" i="18"/>
  <c r="R175" i="18"/>
  <c r="R171" i="18"/>
  <c r="R167" i="18"/>
  <c r="R163" i="18"/>
  <c r="R159" i="18"/>
  <c r="R155" i="18"/>
  <c r="R151" i="18"/>
  <c r="R147" i="18"/>
  <c r="R143" i="18"/>
  <c r="R139" i="18"/>
  <c r="R325" i="18"/>
  <c r="R286" i="18"/>
  <c r="R278" i="18"/>
  <c r="R274" i="18"/>
  <c r="R270" i="18"/>
  <c r="R266" i="18"/>
  <c r="R262" i="18"/>
  <c r="R258" i="18"/>
  <c r="R254" i="18"/>
  <c r="R250" i="18"/>
  <c r="R246" i="18"/>
  <c r="R239" i="18"/>
  <c r="R238" i="18"/>
  <c r="R214" i="18"/>
  <c r="R210" i="18"/>
  <c r="R135" i="18"/>
  <c r="R324" i="18"/>
  <c r="R321" i="18"/>
  <c r="R314" i="18"/>
  <c r="R313" i="18"/>
  <c r="R297" i="18"/>
  <c r="R230" i="18"/>
  <c r="R229" i="18"/>
  <c r="R222" i="18"/>
  <c r="R221" i="18"/>
  <c r="R205" i="18"/>
  <c r="R201" i="18"/>
  <c r="R335" i="18"/>
  <c r="R323" i="18"/>
  <c r="R308" i="18"/>
  <c r="R304" i="18"/>
  <c r="R292" i="18"/>
  <c r="R241" i="18"/>
  <c r="R240" i="18"/>
  <c r="R192" i="18"/>
  <c r="R188" i="18"/>
  <c r="R18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334" i="18"/>
  <c r="R316" i="18"/>
  <c r="R315" i="18"/>
  <c r="R287" i="18"/>
  <c r="R279" i="18"/>
  <c r="R275" i="18"/>
  <c r="R271" i="18"/>
  <c r="R267" i="18"/>
  <c r="R263" i="18"/>
  <c r="R259" i="18"/>
  <c r="R255" i="18"/>
  <c r="R251" i="18"/>
  <c r="R247" i="18"/>
  <c r="R232" i="18"/>
  <c r="R231" i="18"/>
  <c r="R224" i="18"/>
  <c r="R223" i="18"/>
  <c r="R215" i="18"/>
  <c r="R211" i="18"/>
  <c r="R333" i="18"/>
  <c r="R299" i="18"/>
  <c r="R298" i="18"/>
  <c r="R243" i="18"/>
  <c r="R242" i="18"/>
  <c r="R206" i="18"/>
  <c r="R202" i="18"/>
  <c r="R339" i="18"/>
  <c r="R332" i="18"/>
  <c r="R317" i="18"/>
  <c r="R309" i="18"/>
  <c r="R305" i="18"/>
  <c r="R294" i="18"/>
  <c r="R293" i="18"/>
  <c r="R234" i="18"/>
  <c r="R233" i="18"/>
  <c r="R225" i="18"/>
  <c r="R193" i="18"/>
  <c r="R189" i="18"/>
  <c r="R185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331" i="18"/>
  <c r="R300" i="18"/>
  <c r="R288" i="18"/>
  <c r="R281" i="18"/>
  <c r="R280" i="18"/>
  <c r="R276" i="18"/>
  <c r="R272" i="18"/>
  <c r="R268" i="18"/>
  <c r="R264" i="18"/>
  <c r="R260" i="18"/>
  <c r="R256" i="18"/>
  <c r="R252" i="18"/>
  <c r="R248" i="18"/>
  <c r="R244" i="18"/>
  <c r="R217" i="18"/>
  <c r="R216" i="18"/>
  <c r="R212" i="18"/>
  <c r="X12" i="18"/>
  <c r="R330" i="18"/>
  <c r="R295" i="18"/>
  <c r="R236" i="18"/>
  <c r="R235" i="18"/>
  <c r="R207" i="18"/>
  <c r="R203" i="18"/>
  <c r="R328" i="18"/>
  <c r="R302" i="18"/>
  <c r="R301" i="18"/>
  <c r="R290" i="18"/>
  <c r="R289" i="18"/>
  <c r="R277" i="18"/>
  <c r="R273" i="18"/>
  <c r="R269" i="18"/>
  <c r="R265" i="18"/>
  <c r="R261" i="18"/>
  <c r="R257" i="18"/>
  <c r="R253" i="18"/>
  <c r="R249" i="18"/>
  <c r="R245" i="18"/>
  <c r="R237" i="18"/>
  <c r="R213" i="18"/>
  <c r="R198" i="18"/>
  <c r="R196" i="18"/>
  <c r="R329" i="18"/>
  <c r="R178" i="18"/>
  <c r="R138" i="18"/>
  <c r="R306" i="18"/>
  <c r="R219" i="18"/>
  <c r="R190" i="18"/>
  <c r="R146" i="18"/>
  <c r="R154" i="18"/>
  <c r="R318" i="18"/>
  <c r="R283" i="18"/>
  <c r="R170" i="18"/>
  <c r="R226" i="18"/>
  <c r="R182" i="18"/>
  <c r="R162" i="18"/>
  <c r="R199" i="18"/>
  <c r="R194" i="18"/>
  <c r="R310" i="18"/>
  <c r="R142" i="18"/>
  <c r="R227" i="18"/>
  <c r="R218" i="18"/>
  <c r="R174" i="18"/>
  <c r="R150" i="18"/>
  <c r="R311" i="18"/>
  <c r="R282" i="18"/>
  <c r="R166" i="18"/>
  <c r="R158" i="18"/>
  <c r="R186" i="18"/>
  <c r="Z323" i="18"/>
  <c r="V107" i="21"/>
  <c r="V105" i="21"/>
  <c r="V85" i="21"/>
  <c r="V81" i="21"/>
  <c r="V73" i="21"/>
  <c r="V61" i="21"/>
  <c r="V53" i="21"/>
  <c r="V96" i="21"/>
  <c r="V92" i="21"/>
  <c r="V80" i="21"/>
  <c r="V72" i="21"/>
  <c r="V64" i="21"/>
  <c r="V98" i="21"/>
  <c r="V82" i="21"/>
  <c r="V74" i="21"/>
  <c r="V54" i="21"/>
  <c r="V111" i="21"/>
  <c r="V97" i="21"/>
  <c r="V93" i="21"/>
  <c r="V89" i="21"/>
  <c r="V65" i="21"/>
  <c r="V102" i="21"/>
  <c r="V94" i="21"/>
  <c r="V90" i="21"/>
  <c r="V66" i="21"/>
  <c r="V58" i="21"/>
  <c r="V101" i="21"/>
  <c r="V77" i="21"/>
  <c r="V69" i="21"/>
  <c r="V57" i="21"/>
  <c r="V104" i="21"/>
  <c r="V84" i="21"/>
  <c r="V68" i="21"/>
  <c r="V60" i="21"/>
  <c r="V99" i="21"/>
  <c r="V41" i="21"/>
  <c r="V37" i="21"/>
  <c r="V33" i="21"/>
  <c r="V87" i="21"/>
  <c r="V46" i="21"/>
  <c r="V32" i="21"/>
  <c r="V30" i="21"/>
  <c r="V28" i="21"/>
  <c r="V100" i="21"/>
  <c r="V76" i="21"/>
  <c r="V71" i="21"/>
  <c r="V43" i="21"/>
  <c r="T30" i="21"/>
  <c r="V83" i="21"/>
  <c r="V50" i="21"/>
  <c r="V38" i="21"/>
  <c r="V34" i="21"/>
  <c r="V78" i="21"/>
  <c r="V62" i="21"/>
  <c r="V59" i="21"/>
  <c r="V55" i="21"/>
  <c r="V47" i="21"/>
  <c r="V67" i="21"/>
  <c r="V51" i="21"/>
  <c r="V44" i="21"/>
  <c r="V95" i="21"/>
  <c r="V39" i="21"/>
  <c r="V35" i="21"/>
  <c r="V103" i="21"/>
  <c r="V88" i="21"/>
  <c r="V86" i="21"/>
  <c r="V79" i="21"/>
  <c r="V26" i="21"/>
  <c r="V75" i="21"/>
  <c r="V52" i="21"/>
  <c r="V48" i="21"/>
  <c r="V49" i="21"/>
  <c r="V45" i="21"/>
  <c r="V40" i="21"/>
  <c r="V36" i="21"/>
  <c r="V70" i="21"/>
  <c r="V63" i="21"/>
  <c r="V56" i="21"/>
  <c r="V42" i="21"/>
  <c r="V91" i="21"/>
  <c r="V27" i="21"/>
  <c r="T362" i="3"/>
  <c r="X18" i="112"/>
  <c r="P27" i="112"/>
  <c r="T27" i="47"/>
  <c r="Z18" i="47"/>
  <c r="T27" i="37"/>
  <c r="Z18" i="37"/>
  <c r="X18" i="37"/>
  <c r="P27" i="37"/>
  <c r="D27" i="37"/>
  <c r="L18" i="37"/>
  <c r="L18" i="41"/>
  <c r="D27" i="41"/>
  <c r="X18" i="32"/>
  <c r="P27" i="32"/>
  <c r="X18" i="31"/>
  <c r="P27" i="31"/>
  <c r="X18" i="35"/>
  <c r="P27" i="35"/>
  <c r="T27" i="34"/>
  <c r="Z18" i="34"/>
  <c r="X18" i="29"/>
  <c r="P27" i="29"/>
  <c r="X18" i="22"/>
  <c r="P27" i="22"/>
  <c r="H27" i="20"/>
  <c r="N18" i="20"/>
  <c r="X18" i="14"/>
  <c r="P27" i="14"/>
  <c r="P27" i="17"/>
  <c r="X18" i="17"/>
  <c r="T27" i="8"/>
  <c r="Z18" i="8"/>
  <c r="T73" i="109"/>
  <c r="H78" i="58"/>
  <c r="J130" i="27"/>
  <c r="J124" i="27"/>
  <c r="J110" i="27"/>
  <c r="J94" i="27"/>
  <c r="J86" i="27"/>
  <c r="J74" i="27"/>
  <c r="J70" i="27"/>
  <c r="J129" i="27"/>
  <c r="J125" i="27"/>
  <c r="J117" i="27"/>
  <c r="J111" i="27"/>
  <c r="J105" i="27"/>
  <c r="J101" i="27"/>
  <c r="J95" i="27"/>
  <c r="J61" i="27"/>
  <c r="J57" i="27"/>
  <c r="J53" i="27"/>
  <c r="J49" i="27"/>
  <c r="J134" i="27"/>
  <c r="J128" i="27"/>
  <c r="J112" i="27"/>
  <c r="J96" i="27"/>
  <c r="J80" i="27"/>
  <c r="J127" i="27"/>
  <c r="J97" i="27"/>
  <c r="J87" i="27"/>
  <c r="J75" i="27"/>
  <c r="J71" i="27"/>
  <c r="J118" i="27"/>
  <c r="J106" i="27"/>
  <c r="J102" i="27"/>
  <c r="J98" i="27"/>
  <c r="J88" i="27"/>
  <c r="J62" i="27"/>
  <c r="J58" i="27"/>
  <c r="J54" i="27"/>
  <c r="J50" i="27"/>
  <c r="J119" i="27"/>
  <c r="J113" i="27"/>
  <c r="J107" i="27"/>
  <c r="J89" i="27"/>
  <c r="J81" i="27"/>
  <c r="J67" i="27"/>
  <c r="J120" i="27"/>
  <c r="J114" i="27"/>
  <c r="J108" i="27"/>
  <c r="J90" i="27"/>
  <c r="J76" i="27"/>
  <c r="J72" i="27"/>
  <c r="J68" i="27"/>
  <c r="J66" i="27"/>
  <c r="J64" i="27"/>
  <c r="J46" i="27"/>
  <c r="J115" i="27"/>
  <c r="J103" i="27"/>
  <c r="J99" i="27"/>
  <c r="J91" i="27"/>
  <c r="J77" i="27"/>
  <c r="H64" i="27"/>
  <c r="J59" i="27"/>
  <c r="J55" i="27"/>
  <c r="J51" i="27"/>
  <c r="J47" i="27"/>
  <c r="J92" i="27"/>
  <c r="J82" i="27"/>
  <c r="J78" i="27"/>
  <c r="J121" i="27"/>
  <c r="J109" i="27"/>
  <c r="J93" i="27"/>
  <c r="J83" i="27"/>
  <c r="J73" i="27"/>
  <c r="J69" i="27"/>
  <c r="J123" i="27"/>
  <c r="J85" i="27"/>
  <c r="J79" i="27"/>
  <c r="J84" i="27"/>
  <c r="J60" i="27"/>
  <c r="J52" i="27"/>
  <c r="J122" i="27"/>
  <c r="J100" i="27"/>
  <c r="J56" i="27"/>
  <c r="J48" i="27"/>
  <c r="J104" i="27"/>
  <c r="J116" i="27"/>
  <c r="J75" i="109"/>
  <c r="J69" i="109"/>
  <c r="J61" i="109"/>
  <c r="J25" i="109"/>
  <c r="J21" i="109"/>
  <c r="J19" i="109"/>
  <c r="J15" i="109"/>
  <c r="J44" i="109"/>
  <c r="J62" i="109"/>
  <c r="J46" i="109"/>
  <c r="J36" i="109"/>
  <c r="J26" i="109"/>
  <c r="J22" i="109"/>
  <c r="J47" i="109"/>
  <c r="J56" i="109"/>
  <c r="J48" i="109"/>
  <c r="J63" i="109"/>
  <c r="J57" i="109"/>
  <c r="J49" i="109"/>
  <c r="J39" i="109"/>
  <c r="J27" i="109"/>
  <c r="J23" i="109"/>
  <c r="J64" i="109"/>
  <c r="J58" i="109"/>
  <c r="J66" i="109"/>
  <c r="J60" i="109"/>
  <c r="J52" i="109"/>
  <c r="J42" i="109"/>
  <c r="J28" i="109"/>
  <c r="J24" i="109"/>
  <c r="J70" i="109"/>
  <c r="J54" i="109"/>
  <c r="J34" i="109"/>
  <c r="J30" i="109"/>
  <c r="J41" i="109"/>
  <c r="J29" i="109"/>
  <c r="J71" i="109"/>
  <c r="J59" i="109"/>
  <c r="H17" i="109"/>
  <c r="J17" i="109" s="1"/>
  <c r="J40" i="109"/>
  <c r="J37" i="109"/>
  <c r="J32" i="109"/>
  <c r="J45" i="109"/>
  <c r="J50" i="109"/>
  <c r="J20" i="109"/>
  <c r="J53" i="109"/>
  <c r="J43" i="109"/>
  <c r="J35" i="109"/>
  <c r="J31" i="109"/>
  <c r="J33" i="109"/>
  <c r="J67" i="109"/>
  <c r="J55" i="109"/>
  <c r="J38" i="109"/>
  <c r="J65" i="109"/>
  <c r="J51" i="109"/>
  <c r="T101" i="95"/>
  <c r="T73" i="79"/>
  <c r="F131" i="84"/>
  <c r="F130" i="84"/>
  <c r="F111" i="84"/>
  <c r="F110" i="84"/>
  <c r="F91" i="84"/>
  <c r="F90" i="84"/>
  <c r="F118" i="84"/>
  <c r="F120" i="84"/>
  <c r="F119" i="84"/>
  <c r="F135" i="84"/>
  <c r="F134" i="84"/>
  <c r="F83" i="84"/>
  <c r="F82" i="84"/>
  <c r="F129" i="84"/>
  <c r="F128" i="84"/>
  <c r="F117" i="84"/>
  <c r="F109" i="84"/>
  <c r="F108" i="84"/>
  <c r="F89" i="84"/>
  <c r="F88" i="84"/>
  <c r="F77" i="84"/>
  <c r="F76" i="84"/>
  <c r="F146" i="84"/>
  <c r="F143" i="84"/>
  <c r="F124" i="84"/>
  <c r="F104" i="84"/>
  <c r="F100" i="84"/>
  <c r="F96" i="84"/>
  <c r="F126" i="84"/>
  <c r="F69" i="84"/>
  <c r="F65" i="84"/>
  <c r="F105" i="84"/>
  <c r="F103" i="84"/>
  <c r="F101" i="84"/>
  <c r="F78" i="84"/>
  <c r="F74" i="84"/>
  <c r="F56" i="84"/>
  <c r="F52" i="84"/>
  <c r="F48" i="84"/>
  <c r="F44" i="84"/>
  <c r="F40" i="84"/>
  <c r="F137" i="84"/>
  <c r="F122" i="84"/>
  <c r="F107" i="84"/>
  <c r="F99" i="84"/>
  <c r="F97" i="84"/>
  <c r="F86" i="84"/>
  <c r="F71" i="84"/>
  <c r="F70" i="84"/>
  <c r="F115" i="84"/>
  <c r="F113" i="84"/>
  <c r="F95" i="84"/>
  <c r="F93" i="84"/>
  <c r="F79" i="84"/>
  <c r="F66" i="84"/>
  <c r="F62" i="84"/>
  <c r="F61" i="84"/>
  <c r="F141" i="84"/>
  <c r="F132" i="84"/>
  <c r="F60" i="84"/>
  <c r="F58" i="84"/>
  <c r="F53" i="84"/>
  <c r="F49" i="84"/>
  <c r="F45" i="84"/>
  <c r="F41" i="84"/>
  <c r="F87" i="84"/>
  <c r="F80" i="84"/>
  <c r="F75" i="84"/>
  <c r="F72" i="84"/>
  <c r="D58" i="84"/>
  <c r="L12" i="84"/>
  <c r="N12" i="84" s="1"/>
  <c r="F127" i="84"/>
  <c r="F125" i="84"/>
  <c r="F123" i="84"/>
  <c r="F102" i="84"/>
  <c r="F67" i="84"/>
  <c r="F63" i="84"/>
  <c r="F116" i="84"/>
  <c r="F114" i="84"/>
  <c r="F73" i="84"/>
  <c r="F68" i="84"/>
  <c r="F64" i="84"/>
  <c r="F55" i="84"/>
  <c r="F51" i="84"/>
  <c r="F47" i="84"/>
  <c r="F43" i="84"/>
  <c r="F39" i="84"/>
  <c r="F38" i="84"/>
  <c r="F121" i="84"/>
  <c r="F112" i="84"/>
  <c r="F92" i="84"/>
  <c r="F85" i="84"/>
  <c r="F133" i="84"/>
  <c r="F81" i="84"/>
  <c r="F42" i="84"/>
  <c r="F98" i="84"/>
  <c r="F50" i="84"/>
  <c r="F139" i="84"/>
  <c r="F106" i="84"/>
  <c r="F84" i="84"/>
  <c r="F54" i="84"/>
  <c r="F94" i="84"/>
  <c r="F46" i="84"/>
  <c r="V59" i="78"/>
  <c r="V51" i="78"/>
  <c r="V43" i="78"/>
  <c r="V39" i="78"/>
  <c r="V58" i="78"/>
  <c r="V38" i="78"/>
  <c r="V34" i="78"/>
  <c r="V30" i="78"/>
  <c r="V53" i="78"/>
  <c r="V29" i="78"/>
  <c r="V25" i="78"/>
  <c r="V21" i="78"/>
  <c r="V60" i="78"/>
  <c r="V52" i="78"/>
  <c r="V44" i="78"/>
  <c r="V40" i="78"/>
  <c r="T27" i="78"/>
  <c r="X27" i="78" s="1"/>
  <c r="Z12" i="78"/>
  <c r="V55" i="78"/>
  <c r="V35" i="78"/>
  <c r="V31" i="78"/>
  <c r="V54" i="78"/>
  <c r="V46" i="78"/>
  <c r="V22" i="78"/>
  <c r="V71" i="78"/>
  <c r="V61" i="78"/>
  <c r="V45" i="78"/>
  <c r="V41" i="78"/>
  <c r="V68" i="78"/>
  <c r="V62" i="78"/>
  <c r="V50" i="78"/>
  <c r="V42" i="78"/>
  <c r="V75" i="78"/>
  <c r="V67" i="78"/>
  <c r="V57" i="78"/>
  <c r="V49" i="78"/>
  <c r="V37" i="78"/>
  <c r="V33" i="78"/>
  <c r="V66" i="78"/>
  <c r="V64" i="78"/>
  <c r="V24" i="78"/>
  <c r="V20" i="78"/>
  <c r="V47" i="78"/>
  <c r="V69" i="78"/>
  <c r="V48" i="78"/>
  <c r="V70" i="78"/>
  <c r="V56" i="78"/>
  <c r="V36" i="78"/>
  <c r="V32" i="78"/>
  <c r="V63" i="78"/>
  <c r="V23" i="78"/>
  <c r="J116" i="74"/>
  <c r="J108" i="74"/>
  <c r="J96" i="74"/>
  <c r="J76" i="74"/>
  <c r="J64" i="74"/>
  <c r="J60" i="74"/>
  <c r="J119" i="74"/>
  <c r="J103" i="74"/>
  <c r="J77" i="74"/>
  <c r="J65" i="74"/>
  <c r="J51" i="74"/>
  <c r="J47" i="74"/>
  <c r="J43" i="74"/>
  <c r="J39" i="74"/>
  <c r="J118" i="74"/>
  <c r="J104" i="74"/>
  <c r="J90" i="74"/>
  <c r="J86" i="74"/>
  <c r="J78" i="74"/>
  <c r="J70" i="74"/>
  <c r="J66" i="74"/>
  <c r="J56" i="74"/>
  <c r="J123" i="74"/>
  <c r="J109" i="74"/>
  <c r="J105" i="74"/>
  <c r="J97" i="74"/>
  <c r="J79" i="74"/>
  <c r="J61" i="74"/>
  <c r="J57" i="74"/>
  <c r="J55" i="74"/>
  <c r="J35" i="74"/>
  <c r="J110" i="74"/>
  <c r="J98" i="74"/>
  <c r="J80" i="74"/>
  <c r="H53" i="74"/>
  <c r="J48" i="74"/>
  <c r="J44" i="74"/>
  <c r="J40" i="74"/>
  <c r="J36" i="74"/>
  <c r="J111" i="74"/>
  <c r="J99" i="74"/>
  <c r="J91" i="74"/>
  <c r="J87" i="74"/>
  <c r="J112" i="74"/>
  <c r="J106" i="74"/>
  <c r="J92" i="74"/>
  <c r="J72" i="74"/>
  <c r="J62" i="74"/>
  <c r="J58" i="74"/>
  <c r="J115" i="74"/>
  <c r="J107" i="74"/>
  <c r="J101" i="74"/>
  <c r="J95" i="74"/>
  <c r="J83" i="74"/>
  <c r="J75" i="74"/>
  <c r="J63" i="74"/>
  <c r="J59" i="74"/>
  <c r="J89" i="74"/>
  <c r="J85" i="74"/>
  <c r="J69" i="74"/>
  <c r="J74" i="74"/>
  <c r="J45" i="74"/>
  <c r="J49" i="74"/>
  <c r="J81" i="74"/>
  <c r="J68" i="74"/>
  <c r="J84" i="74"/>
  <c r="J38" i="74"/>
  <c r="J113" i="74"/>
  <c r="J93" i="74"/>
  <c r="J42" i="74"/>
  <c r="J82" i="74"/>
  <c r="J46" i="74"/>
  <c r="J102" i="74"/>
  <c r="J73" i="74"/>
  <c r="J67" i="74"/>
  <c r="J37" i="74"/>
  <c r="J94" i="74"/>
  <c r="J41" i="74"/>
  <c r="J114" i="74"/>
  <c r="J100" i="74"/>
  <c r="J71" i="74"/>
  <c r="J50" i="74"/>
  <c r="J88" i="74"/>
  <c r="J81" i="72"/>
  <c r="J79" i="72"/>
  <c r="J67" i="72"/>
  <c r="J61" i="72"/>
  <c r="J51" i="72"/>
  <c r="J43" i="72"/>
  <c r="J80" i="72"/>
  <c r="J74" i="72"/>
  <c r="J68" i="72"/>
  <c r="J62" i="72"/>
  <c r="J52" i="72"/>
  <c r="J38" i="72"/>
  <c r="J34" i="72"/>
  <c r="J69" i="72"/>
  <c r="J53" i="72"/>
  <c r="J39" i="72"/>
  <c r="J25" i="72"/>
  <c r="J54" i="72"/>
  <c r="J44" i="72"/>
  <c r="J40" i="72"/>
  <c r="J30" i="72"/>
  <c r="J75" i="72"/>
  <c r="J63" i="72"/>
  <c r="J55" i="72"/>
  <c r="J35" i="72"/>
  <c r="J31" i="72"/>
  <c r="J29" i="72"/>
  <c r="J27" i="72"/>
  <c r="J83" i="72"/>
  <c r="J70" i="72"/>
  <c r="J56" i="72"/>
  <c r="H27" i="72"/>
  <c r="J71" i="72"/>
  <c r="J57" i="72"/>
  <c r="J45" i="72"/>
  <c r="J41" i="72"/>
  <c r="J66" i="72"/>
  <c r="J58" i="72"/>
  <c r="J48" i="72"/>
  <c r="J42" i="72"/>
  <c r="J77" i="72"/>
  <c r="J73" i="72"/>
  <c r="J59" i="72"/>
  <c r="J49" i="72"/>
  <c r="J37" i="72"/>
  <c r="J33" i="72"/>
  <c r="J23" i="72"/>
  <c r="J78" i="72"/>
  <c r="J72" i="72"/>
  <c r="J60" i="72"/>
  <c r="J76" i="72"/>
  <c r="J46" i="72"/>
  <c r="J65" i="72"/>
  <c r="J24" i="72"/>
  <c r="J32" i="72"/>
  <c r="J47" i="72"/>
  <c r="J36" i="72"/>
  <c r="J50" i="72"/>
  <c r="J87" i="72"/>
  <c r="J64" i="72"/>
  <c r="L101" i="63"/>
  <c r="D106" i="63"/>
  <c r="H54" i="60"/>
  <c r="P81" i="56"/>
  <c r="F126" i="39"/>
  <c r="F102" i="39"/>
  <c r="F50" i="39"/>
  <c r="F46" i="39"/>
  <c r="F129" i="39"/>
  <c r="F128" i="39"/>
  <c r="F124" i="39"/>
  <c r="F117" i="39"/>
  <c r="F113" i="39"/>
  <c r="F89" i="39"/>
  <c r="F88" i="39"/>
  <c r="F69" i="39"/>
  <c r="F61" i="39"/>
  <c r="F60" i="39"/>
  <c r="F37" i="39"/>
  <c r="F125" i="39"/>
  <c r="F108" i="39"/>
  <c r="F96" i="39"/>
  <c r="F80" i="39"/>
  <c r="F56" i="39"/>
  <c r="L12" i="39"/>
  <c r="N12" i="39" s="1"/>
  <c r="F103" i="39"/>
  <c r="F91" i="39"/>
  <c r="F90" i="39"/>
  <c r="F71" i="39"/>
  <c r="F70" i="39"/>
  <c r="F63" i="39"/>
  <c r="F62" i="39"/>
  <c r="F51" i="39"/>
  <c r="F47" i="39"/>
  <c r="F43" i="39"/>
  <c r="F42" i="39"/>
  <c r="F118" i="39"/>
  <c r="F114" i="39"/>
  <c r="F110" i="39"/>
  <c r="F109" i="39"/>
  <c r="F98" i="39"/>
  <c r="F97" i="39"/>
  <c r="F82" i="39"/>
  <c r="F81" i="39"/>
  <c r="F41" i="39"/>
  <c r="F39" i="39"/>
  <c r="F93" i="39"/>
  <c r="F92" i="39"/>
  <c r="F73" i="39"/>
  <c r="F72" i="39"/>
  <c r="F65" i="39"/>
  <c r="F64" i="39"/>
  <c r="F57" i="39"/>
  <c r="F53" i="39"/>
  <c r="F52" i="39"/>
  <c r="D39" i="39"/>
  <c r="F131" i="39"/>
  <c r="F104" i="39"/>
  <c r="F48" i="39"/>
  <c r="F44" i="39"/>
  <c r="F121" i="39"/>
  <c r="F120" i="39"/>
  <c r="F105" i="39"/>
  <c r="F101" i="39"/>
  <c r="F100" i="39"/>
  <c r="F85" i="39"/>
  <c r="F84" i="39"/>
  <c r="F77" i="39"/>
  <c r="F76" i="39"/>
  <c r="F49" i="39"/>
  <c r="F45" i="39"/>
  <c r="F138" i="39"/>
  <c r="F123" i="39"/>
  <c r="F122" i="39"/>
  <c r="F107" i="39"/>
  <c r="F106" i="39"/>
  <c r="F95" i="39"/>
  <c r="F87" i="39"/>
  <c r="F86" i="39"/>
  <c r="F79" i="39"/>
  <c r="F78" i="39"/>
  <c r="F59" i="39"/>
  <c r="F55" i="39"/>
  <c r="F133" i="39"/>
  <c r="F66" i="39"/>
  <c r="F112" i="39"/>
  <c r="F74" i="39"/>
  <c r="F58" i="39"/>
  <c r="F119" i="39"/>
  <c r="F68" i="39"/>
  <c r="F127" i="39"/>
  <c r="F94" i="39"/>
  <c r="F35" i="39"/>
  <c r="F134" i="39"/>
  <c r="F116" i="39"/>
  <c r="F67" i="39"/>
  <c r="F132" i="39"/>
  <c r="F111" i="39"/>
  <c r="F75" i="39"/>
  <c r="F99" i="39"/>
  <c r="F54" i="39"/>
  <c r="F36" i="39"/>
  <c r="F83" i="39"/>
  <c r="F115" i="39"/>
  <c r="H102" i="33"/>
  <c r="H165" i="30"/>
  <c r="N72" i="30"/>
  <c r="R88" i="27"/>
  <c r="R87" i="27"/>
  <c r="R75" i="27"/>
  <c r="R71" i="27"/>
  <c r="R119" i="27"/>
  <c r="R118" i="27"/>
  <c r="R107" i="27"/>
  <c r="R106" i="27"/>
  <c r="R102" i="27"/>
  <c r="R98" i="27"/>
  <c r="R67" i="27"/>
  <c r="R62" i="27"/>
  <c r="R58" i="27"/>
  <c r="R54" i="27"/>
  <c r="R50" i="27"/>
  <c r="R114" i="27"/>
  <c r="R113" i="27"/>
  <c r="R90" i="27"/>
  <c r="R89" i="27"/>
  <c r="R81" i="27"/>
  <c r="R66" i="27"/>
  <c r="R46" i="27"/>
  <c r="R120" i="27"/>
  <c r="R108" i="27"/>
  <c r="R77" i="27"/>
  <c r="R76" i="27"/>
  <c r="R72" i="27"/>
  <c r="R68" i="27"/>
  <c r="P64" i="27"/>
  <c r="R64" i="27" s="1"/>
  <c r="R115" i="27"/>
  <c r="R103" i="27"/>
  <c r="R99" i="27"/>
  <c r="R92" i="27"/>
  <c r="R91" i="27"/>
  <c r="R59" i="27"/>
  <c r="R55" i="27"/>
  <c r="R51" i="27"/>
  <c r="R47" i="27"/>
  <c r="R83" i="27"/>
  <c r="R82" i="27"/>
  <c r="R78" i="27"/>
  <c r="R122" i="27"/>
  <c r="R121" i="27"/>
  <c r="R109" i="27"/>
  <c r="R93" i="27"/>
  <c r="R73" i="27"/>
  <c r="R69" i="27"/>
  <c r="R116" i="27"/>
  <c r="R104" i="27"/>
  <c r="R100" i="27"/>
  <c r="R85" i="27"/>
  <c r="R84" i="27"/>
  <c r="R60" i="27"/>
  <c r="R56" i="27"/>
  <c r="R52" i="27"/>
  <c r="R48" i="27"/>
  <c r="R130" i="27"/>
  <c r="R124" i="27"/>
  <c r="R123" i="27"/>
  <c r="R79" i="27"/>
  <c r="R129" i="27"/>
  <c r="R111" i="27"/>
  <c r="R110" i="27"/>
  <c r="R95" i="27"/>
  <c r="R94" i="27"/>
  <c r="R86" i="27"/>
  <c r="R74" i="27"/>
  <c r="R70" i="27"/>
  <c r="R134" i="27"/>
  <c r="R127" i="27"/>
  <c r="R112" i="27"/>
  <c r="R97" i="27"/>
  <c r="R96" i="27"/>
  <c r="R80" i="27"/>
  <c r="X12" i="27"/>
  <c r="Z12" i="27" s="1"/>
  <c r="R57" i="27"/>
  <c r="R49" i="27"/>
  <c r="R128" i="27"/>
  <c r="R117" i="27"/>
  <c r="R105" i="27"/>
  <c r="R61" i="27"/>
  <c r="R53" i="27"/>
  <c r="R101" i="27"/>
  <c r="R125" i="27"/>
  <c r="R79" i="21"/>
  <c r="R78" i="21"/>
  <c r="R71" i="21"/>
  <c r="R70" i="21"/>
  <c r="R51" i="21"/>
  <c r="R50" i="21"/>
  <c r="R105" i="21"/>
  <c r="R86" i="21"/>
  <c r="R85" i="21"/>
  <c r="R62" i="21"/>
  <c r="R61" i="21"/>
  <c r="R87" i="21"/>
  <c r="R64" i="21"/>
  <c r="R63" i="21"/>
  <c r="R82" i="21"/>
  <c r="R75" i="21"/>
  <c r="R74" i="21"/>
  <c r="R55" i="21"/>
  <c r="R54" i="21"/>
  <c r="R46" i="21"/>
  <c r="R100" i="21"/>
  <c r="R99" i="21"/>
  <c r="R83" i="21"/>
  <c r="R94" i="21"/>
  <c r="R90" i="21"/>
  <c r="R67" i="21"/>
  <c r="R66" i="21"/>
  <c r="R102" i="21"/>
  <c r="R101" i="21"/>
  <c r="R77" i="21"/>
  <c r="R58" i="21"/>
  <c r="R57" i="21"/>
  <c r="R56" i="21"/>
  <c r="R80" i="21"/>
  <c r="R42" i="21"/>
  <c r="R41" i="21"/>
  <c r="R37" i="21"/>
  <c r="R92" i="21"/>
  <c r="R33" i="21"/>
  <c r="R28" i="21"/>
  <c r="R76" i="21"/>
  <c r="R43" i="21"/>
  <c r="R32" i="21"/>
  <c r="R97" i="21"/>
  <c r="R81" i="21"/>
  <c r="R69" i="21"/>
  <c r="R38" i="21"/>
  <c r="R34" i="21"/>
  <c r="P30" i="21"/>
  <c r="R30" i="21" s="1"/>
  <c r="R59" i="21"/>
  <c r="R47" i="21"/>
  <c r="R60" i="21"/>
  <c r="R44" i="21"/>
  <c r="X12" i="21"/>
  <c r="Z12" i="21" s="1"/>
  <c r="R95" i="21"/>
  <c r="R39" i="21"/>
  <c r="R35" i="21"/>
  <c r="R103" i="21"/>
  <c r="R98" i="21"/>
  <c r="R93" i="21"/>
  <c r="R88" i="21"/>
  <c r="R72" i="21"/>
  <c r="R107" i="21"/>
  <c r="R84" i="21"/>
  <c r="R52" i="21"/>
  <c r="R48" i="21"/>
  <c r="R26" i="21"/>
  <c r="R91" i="21"/>
  <c r="R89" i="21"/>
  <c r="R73" i="21"/>
  <c r="R68" i="21"/>
  <c r="R49" i="21"/>
  <c r="R27" i="21"/>
  <c r="R104" i="21"/>
  <c r="R45" i="21"/>
  <c r="R40" i="21"/>
  <c r="R53" i="21"/>
  <c r="R96" i="21"/>
  <c r="R36" i="21"/>
  <c r="R111" i="21"/>
  <c r="R65" i="21"/>
  <c r="T305" i="15"/>
  <c r="L323" i="18"/>
  <c r="N323" i="18" s="1"/>
  <c r="F323" i="18"/>
  <c r="D109" i="21"/>
  <c r="L30" i="21"/>
  <c r="P27" i="111"/>
  <c r="X18" i="111"/>
  <c r="T27" i="53"/>
  <c r="Z18" i="53"/>
  <c r="X18" i="52"/>
  <c r="P27" i="52"/>
  <c r="L18" i="46"/>
  <c r="D27" i="46"/>
  <c r="T27" i="49"/>
  <c r="Z18" i="49"/>
  <c r="P27" i="49"/>
  <c r="X18" i="49"/>
  <c r="P27" i="40"/>
  <c r="X18" i="40"/>
  <c r="N18" i="40"/>
  <c r="H27" i="40"/>
  <c r="P27" i="41"/>
  <c r="X18" i="41"/>
  <c r="H27" i="35"/>
  <c r="N18" i="35"/>
  <c r="H27" i="34"/>
  <c r="N18" i="34"/>
  <c r="T27" i="26"/>
  <c r="Z18" i="26"/>
  <c r="L18" i="14"/>
  <c r="D27" i="14"/>
  <c r="X18" i="8"/>
  <c r="P27" i="8"/>
  <c r="T27" i="7"/>
  <c r="Z18" i="7"/>
  <c r="L18" i="50"/>
  <c r="D27" i="50"/>
  <c r="R80" i="101"/>
  <c r="R72" i="101"/>
  <c r="R68" i="101"/>
  <c r="R61" i="101"/>
  <c r="R60" i="101"/>
  <c r="R53" i="101"/>
  <c r="R52" i="101"/>
  <c r="R32" i="101"/>
  <c r="R28" i="101"/>
  <c r="R84" i="101"/>
  <c r="R81" i="101"/>
  <c r="R73" i="101"/>
  <c r="R69" i="101"/>
  <c r="R33" i="101"/>
  <c r="R29" i="101"/>
  <c r="R39" i="101"/>
  <c r="R88" i="101"/>
  <c r="R75" i="101"/>
  <c r="R74" i="101"/>
  <c r="R70" i="101"/>
  <c r="R58" i="101"/>
  <c r="R47" i="101"/>
  <c r="R46" i="101"/>
  <c r="R34" i="101"/>
  <c r="R27" i="101"/>
  <c r="R65" i="101"/>
  <c r="R57" i="101"/>
  <c r="R50" i="101"/>
  <c r="R62" i="101"/>
  <c r="R51" i="101"/>
  <c r="R41" i="101"/>
  <c r="R30" i="101"/>
  <c r="R21" i="101"/>
  <c r="R54" i="101"/>
  <c r="R44" i="101"/>
  <c r="R23" i="101"/>
  <c r="R78" i="101"/>
  <c r="R71" i="101"/>
  <c r="R63" i="101"/>
  <c r="R37" i="101"/>
  <c r="P23" i="101"/>
  <c r="R66" i="101"/>
  <c r="R55" i="101"/>
  <c r="R48" i="101"/>
  <c r="R45" i="101"/>
  <c r="R26" i="101"/>
  <c r="R25" i="101"/>
  <c r="R31" i="101"/>
  <c r="X12" i="101"/>
  <c r="Z12" i="101" s="1"/>
  <c r="R83" i="101"/>
  <c r="R56" i="101"/>
  <c r="R38" i="101"/>
  <c r="R77" i="101"/>
  <c r="R59" i="101"/>
  <c r="R43" i="101"/>
  <c r="R36" i="101"/>
  <c r="R20" i="101"/>
  <c r="R67" i="101"/>
  <c r="R35" i="101"/>
  <c r="R19" i="101"/>
  <c r="R79" i="101"/>
  <c r="R40" i="101"/>
  <c r="R49" i="101"/>
  <c r="R64" i="101"/>
  <c r="R42" i="101"/>
  <c r="R76" i="101"/>
  <c r="L17" i="106"/>
  <c r="D25" i="106"/>
  <c r="P54" i="104"/>
  <c r="X21" i="104"/>
  <c r="J77" i="101"/>
  <c r="J71" i="101"/>
  <c r="J59" i="101"/>
  <c r="J49" i="101"/>
  <c r="J35" i="101"/>
  <c r="J31" i="101"/>
  <c r="J27" i="101"/>
  <c r="J25" i="101"/>
  <c r="J23" i="101"/>
  <c r="J78" i="101"/>
  <c r="J66" i="101"/>
  <c r="J50" i="101"/>
  <c r="J36" i="101"/>
  <c r="J79" i="101"/>
  <c r="J80" i="101"/>
  <c r="J72" i="101"/>
  <c r="J68" i="101"/>
  <c r="J60" i="101"/>
  <c r="J52" i="101"/>
  <c r="J32" i="101"/>
  <c r="J28" i="101"/>
  <c r="J62" i="101"/>
  <c r="J54" i="101"/>
  <c r="J42" i="101"/>
  <c r="J38" i="101"/>
  <c r="J81" i="101"/>
  <c r="J73" i="101"/>
  <c r="J69" i="101"/>
  <c r="J63" i="101"/>
  <c r="J55" i="101"/>
  <c r="J43" i="101"/>
  <c r="J33" i="101"/>
  <c r="J83" i="101"/>
  <c r="J70" i="101"/>
  <c r="J56" i="101"/>
  <c r="J46" i="101"/>
  <c r="J29" i="101"/>
  <c r="N12" i="101"/>
  <c r="J74" i="101"/>
  <c r="J53" i="101"/>
  <c r="J20" i="101"/>
  <c r="J34" i="101"/>
  <c r="J65" i="101"/>
  <c r="J57" i="101"/>
  <c r="J41" i="101"/>
  <c r="J84" i="101"/>
  <c r="J51" i="101"/>
  <c r="J47" i="101"/>
  <c r="J44" i="101"/>
  <c r="J39" i="101"/>
  <c r="J30" i="101"/>
  <c r="J21" i="101"/>
  <c r="J88" i="101"/>
  <c r="J75" i="101"/>
  <c r="J48" i="101"/>
  <c r="J45" i="101"/>
  <c r="J67" i="101"/>
  <c r="J26" i="101"/>
  <c r="J19" i="101"/>
  <c r="J76" i="101"/>
  <c r="J64" i="101"/>
  <c r="J61" i="101"/>
  <c r="J40" i="101"/>
  <c r="J58" i="101"/>
  <c r="H23" i="101"/>
  <c r="J37" i="101"/>
  <c r="J91" i="97"/>
  <c r="J53" i="97"/>
  <c r="J43" i="97"/>
  <c r="J17" i="97"/>
  <c r="J68" i="97"/>
  <c r="J54" i="97"/>
  <c r="J44" i="97"/>
  <c r="J36" i="97"/>
  <c r="N12" i="97"/>
  <c r="J79" i="97"/>
  <c r="J75" i="97"/>
  <c r="J69" i="97"/>
  <c r="J63" i="97"/>
  <c r="J55" i="97"/>
  <c r="J45" i="97"/>
  <c r="J70" i="97"/>
  <c r="J56" i="97"/>
  <c r="J46" i="97"/>
  <c r="J32" i="97"/>
  <c r="J18" i="97"/>
  <c r="J57" i="97"/>
  <c r="J37" i="97"/>
  <c r="J33" i="97"/>
  <c r="J23" i="97"/>
  <c r="J80" i="97"/>
  <c r="J76" i="97"/>
  <c r="J64" i="97"/>
  <c r="J58" i="97"/>
  <c r="J28" i="97"/>
  <c r="J24" i="97"/>
  <c r="J22" i="97"/>
  <c r="J20" i="97"/>
  <c r="J81" i="97"/>
  <c r="J71" i="97"/>
  <c r="J65" i="97"/>
  <c r="J59" i="97"/>
  <c r="J47" i="97"/>
  <c r="J82" i="97"/>
  <c r="J84" i="97"/>
  <c r="J60" i="97"/>
  <c r="J50" i="97"/>
  <c r="J86" i="97"/>
  <c r="J78" i="97"/>
  <c r="J74" i="97"/>
  <c r="J62" i="97"/>
  <c r="J52" i="97"/>
  <c r="J42" i="97"/>
  <c r="J30" i="97"/>
  <c r="J26" i="97"/>
  <c r="J16" i="97"/>
  <c r="J87" i="97"/>
  <c r="J61" i="97"/>
  <c r="J35" i="97"/>
  <c r="J73" i="97"/>
  <c r="J67" i="97"/>
  <c r="J40" i="97"/>
  <c r="J29" i="97"/>
  <c r="J31" i="97"/>
  <c r="J25" i="97"/>
  <c r="J51" i="97"/>
  <c r="J27" i="97"/>
  <c r="J83" i="97"/>
  <c r="J77" i="97"/>
  <c r="J38" i="97"/>
  <c r="J34" i="97"/>
  <c r="J72" i="97"/>
  <c r="J66" i="97"/>
  <c r="J49" i="97"/>
  <c r="H20" i="97"/>
  <c r="J39" i="97"/>
  <c r="J48" i="97"/>
  <c r="J41" i="97"/>
  <c r="J68" i="94"/>
  <c r="J64" i="94"/>
  <c r="J44" i="94"/>
  <c r="J36" i="94"/>
  <c r="N12" i="94"/>
  <c r="J84" i="94"/>
  <c r="J81" i="94"/>
  <c r="J55" i="94"/>
  <c r="J45" i="94"/>
  <c r="J31" i="94"/>
  <c r="J27" i="94"/>
  <c r="J56" i="94"/>
  <c r="J46" i="94"/>
  <c r="J69" i="94"/>
  <c r="J65" i="94"/>
  <c r="J57" i="94"/>
  <c r="J47" i="94"/>
  <c r="J37" i="94"/>
  <c r="J33" i="94"/>
  <c r="J23" i="94"/>
  <c r="J70" i="94"/>
  <c r="J58" i="94"/>
  <c r="J48" i="94"/>
  <c r="J28" i="94"/>
  <c r="J24" i="94"/>
  <c r="J22" i="94"/>
  <c r="J20" i="94"/>
  <c r="J71" i="94"/>
  <c r="J59" i="94"/>
  <c r="J49" i="94"/>
  <c r="J77" i="94"/>
  <c r="J75" i="94"/>
  <c r="J67" i="94"/>
  <c r="J63" i="94"/>
  <c r="J53" i="94"/>
  <c r="J41" i="94"/>
  <c r="J35" i="94"/>
  <c r="J54" i="94"/>
  <c r="J79" i="94"/>
  <c r="J43" i="94"/>
  <c r="J72" i="94"/>
  <c r="J26" i="94"/>
  <c r="J66" i="94"/>
  <c r="J60" i="94"/>
  <c r="J40" i="94"/>
  <c r="H20" i="94"/>
  <c r="J38" i="94"/>
  <c r="J34" i="94"/>
  <c r="J29" i="94"/>
  <c r="J16" i="94"/>
  <c r="J73" i="94"/>
  <c r="J52" i="94"/>
  <c r="J32" i="94"/>
  <c r="J25" i="94"/>
  <c r="J61" i="94"/>
  <c r="J50" i="94"/>
  <c r="J39" i="94"/>
  <c r="J17" i="94"/>
  <c r="J51" i="94"/>
  <c r="J30" i="94"/>
  <c r="J18" i="94"/>
  <c r="J62" i="94"/>
  <c r="J42" i="94"/>
  <c r="L20" i="95"/>
  <c r="D94" i="95"/>
  <c r="J77" i="88"/>
  <c r="J75" i="88"/>
  <c r="J55" i="88"/>
  <c r="J45" i="88"/>
  <c r="J31" i="88"/>
  <c r="J27" i="88"/>
  <c r="J66" i="88"/>
  <c r="J62" i="88"/>
  <c r="J46" i="88"/>
  <c r="J32" i="88"/>
  <c r="J18" i="88"/>
  <c r="J79" i="88"/>
  <c r="J67" i="88"/>
  <c r="J47" i="88"/>
  <c r="J37" i="88"/>
  <c r="J33" i="88"/>
  <c r="J23" i="88"/>
  <c r="J68" i="88"/>
  <c r="J56" i="88"/>
  <c r="J48" i="88"/>
  <c r="J28" i="88"/>
  <c r="J24" i="88"/>
  <c r="J22" i="88"/>
  <c r="J20" i="88"/>
  <c r="J84" i="88"/>
  <c r="J81" i="88"/>
  <c r="J69" i="88"/>
  <c r="J63" i="88"/>
  <c r="J57" i="88"/>
  <c r="J49" i="88"/>
  <c r="H20" i="88"/>
  <c r="J70" i="88"/>
  <c r="J58" i="88"/>
  <c r="J50" i="88"/>
  <c r="J38" i="88"/>
  <c r="J34" i="88"/>
  <c r="J71" i="88"/>
  <c r="J51" i="88"/>
  <c r="J39" i="88"/>
  <c r="J29" i="88"/>
  <c r="J25" i="88"/>
  <c r="J60" i="88"/>
  <c r="J54" i="88"/>
  <c r="J42" i="88"/>
  <c r="J30" i="88"/>
  <c r="J26" i="88"/>
  <c r="J16" i="88"/>
  <c r="J73" i="88"/>
  <c r="J65" i="88"/>
  <c r="J61" i="88"/>
  <c r="J43" i="88"/>
  <c r="J17" i="88"/>
  <c r="J44" i="88"/>
  <c r="J36" i="88"/>
  <c r="N12" i="88"/>
  <c r="J72" i="88"/>
  <c r="J40" i="88"/>
  <c r="J59" i="88"/>
  <c r="J52" i="88"/>
  <c r="J41" i="88"/>
  <c r="J64" i="88"/>
  <c r="J35" i="88"/>
  <c r="J53" i="88"/>
  <c r="V20" i="79"/>
  <c r="H73" i="78"/>
  <c r="J27" i="78"/>
  <c r="P139" i="84"/>
  <c r="X58" i="84"/>
  <c r="F69" i="73"/>
  <c r="F96" i="73"/>
  <c r="F95" i="73"/>
  <c r="F88" i="73"/>
  <c r="F84" i="73"/>
  <c r="F80" i="73"/>
  <c r="F79" i="73"/>
  <c r="F64" i="73"/>
  <c r="F60" i="73"/>
  <c r="F56" i="73"/>
  <c r="F55" i="73"/>
  <c r="F71" i="73"/>
  <c r="F70" i="73"/>
  <c r="F54" i="73"/>
  <c r="F52" i="73"/>
  <c r="F47" i="73"/>
  <c r="F43" i="73"/>
  <c r="F39" i="73"/>
  <c r="F98" i="73"/>
  <c r="F97" i="73"/>
  <c r="F90" i="73"/>
  <c r="F89" i="73"/>
  <c r="F66" i="73"/>
  <c r="F65" i="73"/>
  <c r="F85" i="73"/>
  <c r="F81" i="73"/>
  <c r="F73" i="73"/>
  <c r="F72" i="73"/>
  <c r="F61" i="73"/>
  <c r="F57" i="73"/>
  <c r="F67" i="73"/>
  <c r="F106" i="73"/>
  <c r="F76" i="73"/>
  <c r="F75" i="73"/>
  <c r="F68" i="73"/>
  <c r="F94" i="73"/>
  <c r="F78" i="73"/>
  <c r="F77" i="73"/>
  <c r="F50" i="73"/>
  <c r="F46" i="73"/>
  <c r="F42" i="73"/>
  <c r="F38" i="73"/>
  <c r="F35" i="73"/>
  <c r="F102" i="73"/>
  <c r="F87" i="73"/>
  <c r="F92" i="73"/>
  <c r="F59" i="73"/>
  <c r="D52" i="73"/>
  <c r="F41" i="73"/>
  <c r="F36" i="73"/>
  <c r="F99" i="73"/>
  <c r="F82" i="73"/>
  <c r="F63" i="73"/>
  <c r="F49" i="73"/>
  <c r="F44" i="73"/>
  <c r="F86" i="73"/>
  <c r="F74" i="73"/>
  <c r="F58" i="73"/>
  <c r="F37" i="73"/>
  <c r="L12" i="73"/>
  <c r="F62" i="73"/>
  <c r="F45" i="73"/>
  <c r="F40" i="73"/>
  <c r="F91" i="73"/>
  <c r="F83" i="73"/>
  <c r="F48" i="73"/>
  <c r="F100" i="73"/>
  <c r="F93" i="73"/>
  <c r="L12" i="72"/>
  <c r="N12" i="72" s="1"/>
  <c r="J96" i="73"/>
  <c r="J88" i="73"/>
  <c r="J84" i="73"/>
  <c r="J80" i="73"/>
  <c r="J70" i="73"/>
  <c r="J64" i="73"/>
  <c r="J60" i="73"/>
  <c r="J56" i="73"/>
  <c r="J54" i="73"/>
  <c r="J52" i="73"/>
  <c r="J97" i="73"/>
  <c r="J89" i="73"/>
  <c r="J71" i="73"/>
  <c r="J65" i="73"/>
  <c r="J98" i="73"/>
  <c r="J90" i="73"/>
  <c r="J72" i="73"/>
  <c r="J66" i="73"/>
  <c r="J99" i="73"/>
  <c r="J91" i="73"/>
  <c r="J85" i="73"/>
  <c r="J81" i="73"/>
  <c r="J73" i="73"/>
  <c r="J61" i="73"/>
  <c r="J57" i="73"/>
  <c r="J100" i="73"/>
  <c r="J92" i="73"/>
  <c r="J48" i="73"/>
  <c r="J44" i="73"/>
  <c r="J40" i="73"/>
  <c r="J36" i="73"/>
  <c r="J102" i="73"/>
  <c r="J86" i="73"/>
  <c r="J82" i="73"/>
  <c r="J74" i="73"/>
  <c r="J62" i="73"/>
  <c r="J58" i="73"/>
  <c r="J87" i="73"/>
  <c r="J83" i="73"/>
  <c r="J77" i="73"/>
  <c r="J63" i="73"/>
  <c r="J59" i="73"/>
  <c r="J95" i="73"/>
  <c r="J79" i="73"/>
  <c r="J69" i="73"/>
  <c r="J55" i="73"/>
  <c r="J94" i="73"/>
  <c r="H52" i="73"/>
  <c r="J46" i="73"/>
  <c r="J41" i="73"/>
  <c r="J78" i="73"/>
  <c r="J67" i="73"/>
  <c r="J106" i="73"/>
  <c r="J49" i="73"/>
  <c r="J39" i="73"/>
  <c r="J76" i="73"/>
  <c r="J47" i="73"/>
  <c r="J37" i="73"/>
  <c r="N12" i="73"/>
  <c r="J42" i="73"/>
  <c r="J75" i="73"/>
  <c r="J38" i="73"/>
  <c r="J35" i="73"/>
  <c r="J68" i="73"/>
  <c r="J43" i="73"/>
  <c r="J50" i="73"/>
  <c r="J45" i="73"/>
  <c r="J93" i="73"/>
  <c r="J140" i="68"/>
  <c r="J124" i="68"/>
  <c r="J120" i="68"/>
  <c r="J116" i="68"/>
  <c r="J112" i="68"/>
  <c r="J108" i="68"/>
  <c r="J104" i="68"/>
  <c r="J96" i="68"/>
  <c r="J84" i="68"/>
  <c r="J80" i="68"/>
  <c r="J78" i="68"/>
  <c r="J141" i="68"/>
  <c r="J125" i="68"/>
  <c r="J97" i="68"/>
  <c r="H76" i="68"/>
  <c r="J76" i="68" s="1"/>
  <c r="J71" i="68"/>
  <c r="J67" i="68"/>
  <c r="J63" i="68"/>
  <c r="J59" i="68"/>
  <c r="J55" i="68"/>
  <c r="J142" i="68"/>
  <c r="J134" i="68"/>
  <c r="J126" i="68"/>
  <c r="J98" i="68"/>
  <c r="J90" i="68"/>
  <c r="J143" i="68"/>
  <c r="J135" i="68"/>
  <c r="J127" i="68"/>
  <c r="J121" i="68"/>
  <c r="J117" i="68"/>
  <c r="J113" i="68"/>
  <c r="J109" i="68"/>
  <c r="J105" i="68"/>
  <c r="J85" i="68"/>
  <c r="J81" i="68"/>
  <c r="J144" i="68"/>
  <c r="J136" i="68"/>
  <c r="J147" i="68"/>
  <c r="J129" i="68"/>
  <c r="J99" i="68"/>
  <c r="J91" i="68"/>
  <c r="J146" i="68"/>
  <c r="J130" i="68"/>
  <c r="J122" i="68"/>
  <c r="J118" i="68"/>
  <c r="J114" i="68"/>
  <c r="J110" i="68"/>
  <c r="J106" i="68"/>
  <c r="J100" i="68"/>
  <c r="J86" i="68"/>
  <c r="J82" i="68"/>
  <c r="J131" i="68"/>
  <c r="J123" i="68"/>
  <c r="J119" i="68"/>
  <c r="J115" i="68"/>
  <c r="J111" i="68"/>
  <c r="J107" i="68"/>
  <c r="J103" i="68"/>
  <c r="J93" i="68"/>
  <c r="J87" i="68"/>
  <c r="J83" i="68"/>
  <c r="J53" i="68"/>
  <c r="J138" i="68"/>
  <c r="J132" i="68"/>
  <c r="J94" i="68"/>
  <c r="J88" i="68"/>
  <c r="J74" i="68"/>
  <c r="J70" i="68"/>
  <c r="J66" i="68"/>
  <c r="J62" i="68"/>
  <c r="J58" i="68"/>
  <c r="J54" i="68"/>
  <c r="J151" i="68"/>
  <c r="J139" i="68"/>
  <c r="J101" i="68"/>
  <c r="J92" i="68"/>
  <c r="J73" i="68"/>
  <c r="J128" i="68"/>
  <c r="J95" i="68"/>
  <c r="J69" i="68"/>
  <c r="J65" i="68"/>
  <c r="J137" i="68"/>
  <c r="J61" i="68"/>
  <c r="J102" i="68"/>
  <c r="J57" i="68"/>
  <c r="J133" i="68"/>
  <c r="J89" i="68"/>
  <c r="J64" i="68"/>
  <c r="J60" i="68"/>
  <c r="J56" i="68"/>
  <c r="J68" i="68"/>
  <c r="J79" i="68"/>
  <c r="J72" i="68"/>
  <c r="Z69" i="48"/>
  <c r="Z24" i="45"/>
  <c r="T95" i="45"/>
  <c r="V131" i="39"/>
  <c r="V129" i="39"/>
  <c r="V125" i="39"/>
  <c r="V134" i="39"/>
  <c r="V132" i="39"/>
  <c r="V93" i="39"/>
  <c r="V73" i="39"/>
  <c r="V65" i="39"/>
  <c r="V57" i="39"/>
  <c r="V53" i="39"/>
  <c r="V133" i="39"/>
  <c r="V120" i="39"/>
  <c r="V104" i="39"/>
  <c r="V100" i="39"/>
  <c r="V84" i="39"/>
  <c r="V76" i="39"/>
  <c r="V48" i="39"/>
  <c r="V44" i="39"/>
  <c r="V126" i="39"/>
  <c r="V119" i="39"/>
  <c r="V115" i="39"/>
  <c r="V111" i="39"/>
  <c r="V99" i="39"/>
  <c r="V83" i="39"/>
  <c r="V75" i="39"/>
  <c r="V67" i="39"/>
  <c r="V35" i="39"/>
  <c r="V122" i="39"/>
  <c r="V106" i="39"/>
  <c r="V94" i="39"/>
  <c r="V86" i="39"/>
  <c r="V78" i="39"/>
  <c r="V58" i="39"/>
  <c r="V54" i="39"/>
  <c r="V121" i="39"/>
  <c r="V105" i="39"/>
  <c r="V101" i="39"/>
  <c r="V85" i="39"/>
  <c r="V77" i="39"/>
  <c r="V49" i="39"/>
  <c r="V45" i="39"/>
  <c r="V128" i="39"/>
  <c r="V124" i="39"/>
  <c r="V116" i="39"/>
  <c r="V112" i="39"/>
  <c r="V88" i="39"/>
  <c r="V68" i="39"/>
  <c r="V60" i="39"/>
  <c r="V36" i="39"/>
  <c r="V138" i="39"/>
  <c r="V127" i="39"/>
  <c r="V123" i="39"/>
  <c r="V107" i="39"/>
  <c r="V95" i="39"/>
  <c r="V87" i="39"/>
  <c r="V79" i="39"/>
  <c r="V59" i="39"/>
  <c r="V55" i="39"/>
  <c r="V108" i="39"/>
  <c r="V96" i="39"/>
  <c r="V92" i="39"/>
  <c r="V80" i="39"/>
  <c r="V72" i="39"/>
  <c r="V64" i="39"/>
  <c r="V56" i="39"/>
  <c r="V52" i="39"/>
  <c r="T39" i="39"/>
  <c r="V39" i="39" s="1"/>
  <c r="Z12" i="39"/>
  <c r="V118" i="39"/>
  <c r="V114" i="39"/>
  <c r="V110" i="39"/>
  <c r="V98" i="39"/>
  <c r="V82" i="39"/>
  <c r="V74" i="39"/>
  <c r="V66" i="39"/>
  <c r="V103" i="39"/>
  <c r="V109" i="39"/>
  <c r="V51" i="39"/>
  <c r="V37" i="39"/>
  <c r="V61" i="39"/>
  <c r="V46" i="39"/>
  <c r="V63" i="39"/>
  <c r="V41" i="39"/>
  <c r="V113" i="39"/>
  <c r="V81" i="39"/>
  <c r="V43" i="39"/>
  <c r="V102" i="39"/>
  <c r="V97" i="39"/>
  <c r="V69" i="39"/>
  <c r="V71" i="39"/>
  <c r="V62" i="39"/>
  <c r="V50" i="39"/>
  <c r="V91" i="39"/>
  <c r="V89" i="39"/>
  <c r="V42" i="39"/>
  <c r="V47" i="39"/>
  <c r="V90" i="39"/>
  <c r="V117" i="39"/>
  <c r="V70" i="39"/>
  <c r="T129" i="36"/>
  <c r="X18" i="50"/>
  <c r="P27" i="50"/>
  <c r="D27" i="52"/>
  <c r="L18" i="52"/>
  <c r="H27" i="46"/>
  <c r="N18" i="46"/>
  <c r="H27" i="31"/>
  <c r="N18" i="31"/>
  <c r="T27" i="32"/>
  <c r="Z18" i="32"/>
  <c r="L18" i="22"/>
  <c r="D27" i="22"/>
  <c r="X18" i="13"/>
  <c r="P27" i="13"/>
  <c r="L18" i="11"/>
  <c r="D27" i="11"/>
  <c r="D27" i="5"/>
  <c r="L18" i="5"/>
  <c r="J80" i="80"/>
  <c r="J60" i="80"/>
  <c r="J50" i="80"/>
  <c r="J38" i="80"/>
  <c r="J28" i="80"/>
  <c r="J24" i="80"/>
  <c r="J22" i="80"/>
  <c r="J71" i="80"/>
  <c r="J67" i="80"/>
  <c r="J51" i="80"/>
  <c r="J39" i="80"/>
  <c r="J61" i="80"/>
  <c r="J53" i="80"/>
  <c r="J72" i="80"/>
  <c r="J68" i="80"/>
  <c r="J54" i="80"/>
  <c r="J74" i="80"/>
  <c r="J62" i="80"/>
  <c r="J56" i="80"/>
  <c r="J44" i="80"/>
  <c r="J30" i="80"/>
  <c r="J26" i="80"/>
  <c r="J77" i="80"/>
  <c r="J65" i="80"/>
  <c r="J78" i="80"/>
  <c r="J70" i="80"/>
  <c r="J66" i="80"/>
  <c r="J58" i="80"/>
  <c r="J48" i="80"/>
  <c r="J32" i="80"/>
  <c r="J49" i="80"/>
  <c r="J76" i="80"/>
  <c r="J34" i="80"/>
  <c r="J37" i="80"/>
  <c r="H20" i="80"/>
  <c r="J55" i="80"/>
  <c r="J47" i="80"/>
  <c r="J41" i="80"/>
  <c r="J31" i="80"/>
  <c r="J23" i="80"/>
  <c r="J73" i="80"/>
  <c r="J69" i="80"/>
  <c r="J64" i="80"/>
  <c r="J75" i="80"/>
  <c r="J29" i="80"/>
  <c r="J45" i="80"/>
  <c r="J35" i="80"/>
  <c r="J42" i="80"/>
  <c r="J16" i="80"/>
  <c r="J84" i="80"/>
  <c r="J36" i="80"/>
  <c r="J63" i="80"/>
  <c r="J59" i="80"/>
  <c r="J52" i="80"/>
  <c r="J46" i="80"/>
  <c r="J40" i="80"/>
  <c r="J33" i="80"/>
  <c r="J25" i="80"/>
  <c r="J57" i="80"/>
  <c r="J43" i="80"/>
  <c r="J18" i="80"/>
  <c r="J27" i="80"/>
  <c r="J17" i="80"/>
  <c r="P129" i="36"/>
  <c r="X31" i="36"/>
  <c r="Z31" i="36" s="1"/>
  <c r="T27" i="17"/>
  <c r="Z18" i="17"/>
  <c r="F72" i="105"/>
  <c r="F68" i="105"/>
  <c r="F67" i="105"/>
  <c r="F52" i="105"/>
  <c r="F51" i="105"/>
  <c r="F40" i="105"/>
  <c r="F36" i="105"/>
  <c r="L12" i="105"/>
  <c r="N12" i="105" s="1"/>
  <c r="F79" i="105"/>
  <c r="F78" i="105"/>
  <c r="F62" i="105"/>
  <c r="F54" i="105"/>
  <c r="F53" i="105"/>
  <c r="F81" i="105"/>
  <c r="F80" i="105"/>
  <c r="F73" i="105"/>
  <c r="F69" i="105"/>
  <c r="F64" i="105"/>
  <c r="F63" i="105"/>
  <c r="F56" i="105"/>
  <c r="F55" i="105"/>
  <c r="F44" i="105"/>
  <c r="F43" i="105"/>
  <c r="F32" i="105"/>
  <c r="F28" i="105"/>
  <c r="F83" i="105"/>
  <c r="F74" i="105"/>
  <c r="F70" i="105"/>
  <c r="F58" i="105"/>
  <c r="F57" i="105"/>
  <c r="F46" i="105"/>
  <c r="F45" i="105"/>
  <c r="F38" i="105"/>
  <c r="F75" i="105"/>
  <c r="F71" i="105"/>
  <c r="F39" i="105"/>
  <c r="F35" i="105"/>
  <c r="F34" i="105"/>
  <c r="F77" i="105"/>
  <c r="F76" i="105"/>
  <c r="F49" i="105"/>
  <c r="F65" i="105"/>
  <c r="F42" i="105"/>
  <c r="F61" i="105"/>
  <c r="F47" i="105"/>
  <c r="F37" i="105"/>
  <c r="F30" i="105"/>
  <c r="F59" i="105"/>
  <c r="F87" i="105"/>
  <c r="F50" i="105"/>
  <c r="F26" i="105"/>
  <c r="D21" i="105"/>
  <c r="F21" i="105" s="1"/>
  <c r="F17" i="105"/>
  <c r="F23" i="105"/>
  <c r="F60" i="105"/>
  <c r="F24" i="105"/>
  <c r="F66" i="105"/>
  <c r="F41" i="105"/>
  <c r="F29" i="105"/>
  <c r="F27" i="105"/>
  <c r="F25" i="105"/>
  <c r="F19" i="105"/>
  <c r="F31" i="105"/>
  <c r="F33" i="105"/>
  <c r="F18" i="105"/>
  <c r="F48" i="105"/>
  <c r="D85" i="103"/>
  <c r="L22" i="103"/>
  <c r="D75" i="93"/>
  <c r="D73" i="109"/>
  <c r="L17" i="109"/>
  <c r="F37" i="104"/>
  <c r="F36" i="104"/>
  <c r="F29" i="104"/>
  <c r="F28" i="104"/>
  <c r="F58" i="104"/>
  <c r="F47" i="104"/>
  <c r="F39" i="104"/>
  <c r="F38" i="104"/>
  <c r="F19" i="104"/>
  <c r="F30" i="104"/>
  <c r="F61" i="104"/>
  <c r="F41" i="104"/>
  <c r="F40" i="104"/>
  <c r="F25" i="104"/>
  <c r="F24" i="104"/>
  <c r="F48" i="104"/>
  <c r="F23" i="104"/>
  <c r="F21" i="104"/>
  <c r="F43" i="104"/>
  <c r="F42" i="104"/>
  <c r="F31" i="104"/>
  <c r="D21" i="104"/>
  <c r="L12" i="104"/>
  <c r="F54" i="104"/>
  <c r="F52" i="104"/>
  <c r="F35" i="104"/>
  <c r="F34" i="104"/>
  <c r="F27" i="104"/>
  <c r="F56" i="104"/>
  <c r="F46" i="104"/>
  <c r="F18" i="104"/>
  <c r="F17" i="104"/>
  <c r="F45" i="104"/>
  <c r="F49" i="104"/>
  <c r="F33" i="104"/>
  <c r="F32" i="104"/>
  <c r="F44" i="104"/>
  <c r="F26" i="104"/>
  <c r="F50" i="104"/>
  <c r="P85" i="105"/>
  <c r="X21" i="105"/>
  <c r="H54" i="104"/>
  <c r="J68" i="100"/>
  <c r="J67" i="100"/>
  <c r="J48" i="100"/>
  <c r="J36" i="100"/>
  <c r="J20" i="100"/>
  <c r="J49" i="100"/>
  <c r="J37" i="100"/>
  <c r="J31" i="100"/>
  <c r="J25" i="100"/>
  <c r="J70" i="100"/>
  <c r="J62" i="100"/>
  <c r="J58" i="100"/>
  <c r="J50" i="100"/>
  <c r="J38" i="100"/>
  <c r="J26" i="100"/>
  <c r="J24" i="100"/>
  <c r="J22" i="100"/>
  <c r="J39" i="100"/>
  <c r="H22" i="100"/>
  <c r="L22" i="100" s="1"/>
  <c r="J40" i="100"/>
  <c r="J32" i="100"/>
  <c r="N12" i="100"/>
  <c r="J63" i="100"/>
  <c r="J59" i="100"/>
  <c r="J51" i="100"/>
  <c r="J41" i="100"/>
  <c r="J27" i="100"/>
  <c r="J72" i="100"/>
  <c r="J64" i="100"/>
  <c r="J52" i="100"/>
  <c r="J42" i="100"/>
  <c r="J74" i="100"/>
  <c r="J55" i="100"/>
  <c r="J45" i="100"/>
  <c r="J29" i="100"/>
  <c r="J19" i="100"/>
  <c r="J56" i="100"/>
  <c r="J46" i="100"/>
  <c r="J34" i="100"/>
  <c r="J30" i="100"/>
  <c r="J77" i="100"/>
  <c r="J61" i="100"/>
  <c r="J57" i="100"/>
  <c r="J47" i="100"/>
  <c r="J35" i="100"/>
  <c r="J60" i="100"/>
  <c r="J53" i="100"/>
  <c r="J33" i="100"/>
  <c r="J54" i="100"/>
  <c r="J44" i="100"/>
  <c r="J65" i="100"/>
  <c r="J28" i="100"/>
  <c r="J43" i="100"/>
  <c r="J18" i="100"/>
  <c r="L46" i="99"/>
  <c r="D50" i="99"/>
  <c r="Z22" i="100"/>
  <c r="T70" i="100"/>
  <c r="V22" i="100"/>
  <c r="D101" i="91"/>
  <c r="D80" i="92"/>
  <c r="L21" i="92"/>
  <c r="X12" i="78"/>
  <c r="R85" i="76"/>
  <c r="R74" i="76"/>
  <c r="R73" i="76"/>
  <c r="R69" i="76"/>
  <c r="R38" i="76"/>
  <c r="R105" i="76"/>
  <c r="R104" i="76"/>
  <c r="R96" i="76"/>
  <c r="R92" i="76"/>
  <c r="R64" i="76"/>
  <c r="R60" i="76"/>
  <c r="R107" i="76"/>
  <c r="R106" i="76"/>
  <c r="R87" i="76"/>
  <c r="R86" i="76"/>
  <c r="R70" i="76"/>
  <c r="R109" i="76"/>
  <c r="R108" i="76"/>
  <c r="R89" i="76"/>
  <c r="R88" i="76"/>
  <c r="R52" i="76"/>
  <c r="R48" i="76"/>
  <c r="R44" i="76"/>
  <c r="R40" i="76"/>
  <c r="R100" i="76"/>
  <c r="R99" i="76"/>
  <c r="R80" i="76"/>
  <c r="R79" i="76"/>
  <c r="R71" i="76"/>
  <c r="R115" i="76"/>
  <c r="R72" i="76"/>
  <c r="R57" i="76"/>
  <c r="R55" i="76"/>
  <c r="R121" i="76"/>
  <c r="R114" i="76"/>
  <c r="R111" i="76"/>
  <c r="R103" i="76"/>
  <c r="R95" i="76"/>
  <c r="R91" i="76"/>
  <c r="R84" i="76"/>
  <c r="R83" i="76"/>
  <c r="R68" i="76"/>
  <c r="R67" i="76"/>
  <c r="R63" i="76"/>
  <c r="R59" i="76"/>
  <c r="P55" i="76"/>
  <c r="R113" i="76"/>
  <c r="R50" i="76"/>
  <c r="R46" i="76"/>
  <c r="R42" i="76"/>
  <c r="R81" i="76"/>
  <c r="R66" i="76"/>
  <c r="R116" i="76"/>
  <c r="R82" i="76"/>
  <c r="R77" i="76"/>
  <c r="R53" i="76"/>
  <c r="R39" i="76"/>
  <c r="R101" i="76"/>
  <c r="R93" i="76"/>
  <c r="R61" i="76"/>
  <c r="R51" i="76"/>
  <c r="R41" i="76"/>
  <c r="X12" i="76"/>
  <c r="R65" i="76"/>
  <c r="R49" i="76"/>
  <c r="R45" i="76"/>
  <c r="R43" i="76"/>
  <c r="R97" i="76"/>
  <c r="R75" i="76"/>
  <c r="R47" i="76"/>
  <c r="R102" i="76"/>
  <c r="R90" i="76"/>
  <c r="R76" i="76"/>
  <c r="R94" i="76"/>
  <c r="R62" i="76"/>
  <c r="R78" i="76"/>
  <c r="R58" i="76"/>
  <c r="R110" i="76"/>
  <c r="R98" i="76"/>
  <c r="R117" i="76"/>
  <c r="L66" i="78"/>
  <c r="N66" i="78" s="1"/>
  <c r="T121" i="74"/>
  <c r="V102" i="73"/>
  <c r="V100" i="73"/>
  <c r="V92" i="73"/>
  <c r="V48" i="73"/>
  <c r="V75" i="73"/>
  <c r="V67" i="73"/>
  <c r="V86" i="73"/>
  <c r="V82" i="73"/>
  <c r="V74" i="73"/>
  <c r="V62" i="73"/>
  <c r="V58" i="73"/>
  <c r="V93" i="73"/>
  <c r="V77" i="73"/>
  <c r="V106" i="73"/>
  <c r="V76" i="73"/>
  <c r="V68" i="73"/>
  <c r="V94" i="73"/>
  <c r="V78" i="73"/>
  <c r="V70" i="73"/>
  <c r="V54" i="73"/>
  <c r="V99" i="73"/>
  <c r="V91" i="73"/>
  <c r="V71" i="73"/>
  <c r="V47" i="73"/>
  <c r="V43" i="73"/>
  <c r="V39" i="73"/>
  <c r="V85" i="73"/>
  <c r="V81" i="73"/>
  <c r="V73" i="73"/>
  <c r="V61" i="73"/>
  <c r="V57" i="73"/>
  <c r="V69" i="73"/>
  <c r="V49" i="73"/>
  <c r="V97" i="73"/>
  <c r="V95" i="73"/>
  <c r="V84" i="73"/>
  <c r="V72" i="73"/>
  <c r="V63" i="73"/>
  <c r="V56" i="73"/>
  <c r="V44" i="73"/>
  <c r="V79" i="73"/>
  <c r="V42" i="73"/>
  <c r="V37" i="73"/>
  <c r="V90" i="73"/>
  <c r="V88" i="73"/>
  <c r="V50" i="73"/>
  <c r="V60" i="73"/>
  <c r="V55" i="73"/>
  <c r="V45" i="73"/>
  <c r="V66" i="73"/>
  <c r="V40" i="73"/>
  <c r="V38" i="73"/>
  <c r="V35" i="73"/>
  <c r="V96" i="73"/>
  <c r="V52" i="73"/>
  <c r="V46" i="73"/>
  <c r="V87" i="73"/>
  <c r="V80" i="73"/>
  <c r="V65" i="73"/>
  <c r="T52" i="73"/>
  <c r="V41" i="73"/>
  <c r="V36" i="73"/>
  <c r="V98" i="73"/>
  <c r="V89" i="73"/>
  <c r="V83" i="73"/>
  <c r="V64" i="73"/>
  <c r="V59" i="73"/>
  <c r="R85" i="73"/>
  <c r="R81" i="73"/>
  <c r="R73" i="73"/>
  <c r="R61" i="73"/>
  <c r="R57" i="73"/>
  <c r="R100" i="73"/>
  <c r="R92" i="73"/>
  <c r="R102" i="73"/>
  <c r="R67" i="73"/>
  <c r="R86" i="73"/>
  <c r="R82" i="73"/>
  <c r="R75" i="73"/>
  <c r="R74" i="73"/>
  <c r="R62" i="73"/>
  <c r="R58" i="73"/>
  <c r="R93" i="73"/>
  <c r="R49" i="73"/>
  <c r="R45" i="73"/>
  <c r="R41" i="73"/>
  <c r="R37" i="73"/>
  <c r="R87" i="73"/>
  <c r="R83" i="73"/>
  <c r="R63" i="73"/>
  <c r="R59" i="73"/>
  <c r="R97" i="73"/>
  <c r="R96" i="73"/>
  <c r="R89" i="73"/>
  <c r="R88" i="73"/>
  <c r="R84" i="73"/>
  <c r="R80" i="73"/>
  <c r="R65" i="73"/>
  <c r="R64" i="73"/>
  <c r="R60" i="73"/>
  <c r="R56" i="73"/>
  <c r="P52" i="73"/>
  <c r="R52" i="73" s="1"/>
  <c r="R99" i="73"/>
  <c r="R98" i="73"/>
  <c r="R91" i="73"/>
  <c r="R90" i="73"/>
  <c r="R66" i="73"/>
  <c r="R35" i="73"/>
  <c r="R106" i="73"/>
  <c r="R76" i="73"/>
  <c r="R69" i="73"/>
  <c r="R39" i="73"/>
  <c r="R47" i="73"/>
  <c r="R44" i="73"/>
  <c r="X12" i="73"/>
  <c r="Z12" i="73" s="1"/>
  <c r="R95" i="73"/>
  <c r="R72" i="73"/>
  <c r="R54" i="73"/>
  <c r="R42" i="73"/>
  <c r="R79" i="73"/>
  <c r="R70" i="73"/>
  <c r="R77" i="73"/>
  <c r="R68" i="73"/>
  <c r="R50" i="73"/>
  <c r="R94" i="73"/>
  <c r="R71" i="73"/>
  <c r="R46" i="73"/>
  <c r="R43" i="73"/>
  <c r="R38" i="73"/>
  <c r="R48" i="73"/>
  <c r="R55" i="73"/>
  <c r="R40" i="73"/>
  <c r="R36" i="73"/>
  <c r="R78" i="73"/>
  <c r="H74" i="69"/>
  <c r="X16" i="62"/>
  <c r="P22" i="62"/>
  <c r="L16" i="67"/>
  <c r="D62" i="67"/>
  <c r="H62" i="67"/>
  <c r="N16" i="67"/>
  <c r="T57" i="61"/>
  <c r="H57" i="61"/>
  <c r="D67" i="59"/>
  <c r="L16" i="59"/>
  <c r="N16" i="54"/>
  <c r="H22" i="54"/>
  <c r="X121" i="42"/>
  <c r="F68" i="45"/>
  <c r="F67" i="45"/>
  <c r="F56" i="45"/>
  <c r="F55" i="45"/>
  <c r="F44" i="45"/>
  <c r="F40" i="45"/>
  <c r="F69" i="45"/>
  <c r="F41" i="45"/>
  <c r="F93" i="45"/>
  <c r="F84" i="45"/>
  <c r="F80" i="45"/>
  <c r="F76" i="45"/>
  <c r="F75" i="45"/>
  <c r="F60" i="45"/>
  <c r="F59" i="45"/>
  <c r="F48" i="45"/>
  <c r="F47" i="45"/>
  <c r="F36" i="45"/>
  <c r="F97" i="45"/>
  <c r="F86" i="45"/>
  <c r="F85" i="45"/>
  <c r="F70" i="45"/>
  <c r="F62" i="45"/>
  <c r="F61" i="45"/>
  <c r="F50" i="45"/>
  <c r="F49" i="45"/>
  <c r="F42" i="45"/>
  <c r="F38" i="45"/>
  <c r="F37" i="45"/>
  <c r="F81" i="45"/>
  <c r="F77" i="45"/>
  <c r="F33" i="45"/>
  <c r="F29" i="45"/>
  <c r="F73" i="45"/>
  <c r="F90" i="45"/>
  <c r="F54" i="45"/>
  <c r="F51" i="45"/>
  <c r="F32" i="45"/>
  <c r="F28" i="45"/>
  <c r="F79" i="45"/>
  <c r="F63" i="45"/>
  <c r="F57" i="45"/>
  <c r="F30" i="45"/>
  <c r="F22" i="45"/>
  <c r="F66" i="45"/>
  <c r="F43" i="45"/>
  <c r="F34" i="45"/>
  <c r="F88" i="45"/>
  <c r="F83" i="45"/>
  <c r="F52" i="45"/>
  <c r="F46" i="45"/>
  <c r="F71" i="45"/>
  <c r="F39" i="45"/>
  <c r="L12" i="45"/>
  <c r="N12" i="45" s="1"/>
  <c r="F64" i="45"/>
  <c r="F58" i="45"/>
  <c r="F91" i="45"/>
  <c r="F78" i="45"/>
  <c r="D24" i="45"/>
  <c r="F31" i="45"/>
  <c r="F20" i="45"/>
  <c r="F72" i="45"/>
  <c r="F27" i="45"/>
  <c r="F21" i="45"/>
  <c r="F45" i="45"/>
  <c r="F53" i="45"/>
  <c r="F65" i="45"/>
  <c r="F87" i="45"/>
  <c r="F82" i="45"/>
  <c r="F89" i="45"/>
  <c r="F74" i="45"/>
  <c r="F26" i="45"/>
  <c r="F35" i="45"/>
  <c r="J42" i="33"/>
  <c r="V107" i="24"/>
  <c r="V99" i="24"/>
  <c r="V154" i="24"/>
  <c r="V146" i="24"/>
  <c r="V138" i="24"/>
  <c r="V94" i="24"/>
  <c r="V90" i="24"/>
  <c r="V86" i="24"/>
  <c r="V153" i="24"/>
  <c r="V137" i="24"/>
  <c r="V133" i="24"/>
  <c r="V129" i="24"/>
  <c r="V125" i="24"/>
  <c r="V121" i="24"/>
  <c r="V117" i="24"/>
  <c r="V109" i="24"/>
  <c r="V85" i="24"/>
  <c r="V81" i="24"/>
  <c r="V77" i="24"/>
  <c r="V73" i="24"/>
  <c r="V69" i="24"/>
  <c r="V65" i="24"/>
  <c r="V61" i="24"/>
  <c r="V57" i="24"/>
  <c r="V156" i="24"/>
  <c r="V148" i="24"/>
  <c r="V140" i="24"/>
  <c r="V108" i="24"/>
  <c r="V100" i="24"/>
  <c r="V96" i="24"/>
  <c r="T83" i="24"/>
  <c r="V83" i="24" s="1"/>
  <c r="Z12" i="24"/>
  <c r="V155" i="24"/>
  <c r="V147" i="24"/>
  <c r="V139" i="24"/>
  <c r="V111" i="24"/>
  <c r="V95" i="24"/>
  <c r="V91" i="24"/>
  <c r="V87" i="24"/>
  <c r="V158" i="24"/>
  <c r="V150" i="24"/>
  <c r="V142" i="24"/>
  <c r="V134" i="24"/>
  <c r="V130" i="24"/>
  <c r="V126" i="24"/>
  <c r="V122" i="24"/>
  <c r="V118" i="24"/>
  <c r="V110" i="24"/>
  <c r="V102" i="24"/>
  <c r="V78" i="24"/>
  <c r="V74" i="24"/>
  <c r="V70" i="24"/>
  <c r="V66" i="24"/>
  <c r="V62" i="24"/>
  <c r="V58" i="24"/>
  <c r="V157" i="24"/>
  <c r="V149" i="24"/>
  <c r="V141" i="24"/>
  <c r="V113" i="24"/>
  <c r="V101" i="24"/>
  <c r="V97" i="24"/>
  <c r="V162" i="24"/>
  <c r="V112" i="24"/>
  <c r="V104" i="24"/>
  <c r="V92" i="24"/>
  <c r="V88" i="24"/>
  <c r="V161" i="24"/>
  <c r="V159" i="24"/>
  <c r="V151" i="24"/>
  <c r="V143" i="24"/>
  <c r="V135" i="24"/>
  <c r="V131" i="24"/>
  <c r="V127" i="24"/>
  <c r="V123" i="24"/>
  <c r="V119" i="24"/>
  <c r="V115" i="24"/>
  <c r="V103" i="24"/>
  <c r="V79" i="24"/>
  <c r="V75" i="24"/>
  <c r="V71" i="24"/>
  <c r="V67" i="24"/>
  <c r="V63" i="24"/>
  <c r="V59" i="24"/>
  <c r="V114" i="24"/>
  <c r="V106" i="24"/>
  <c r="V98" i="24"/>
  <c r="V144" i="24"/>
  <c r="V72" i="24"/>
  <c r="V64" i="24"/>
  <c r="V152" i="24"/>
  <c r="V124" i="24"/>
  <c r="V116" i="24"/>
  <c r="V89" i="24"/>
  <c r="V132" i="24"/>
  <c r="V145" i="24"/>
  <c r="V93" i="24"/>
  <c r="V76" i="24"/>
  <c r="V60" i="24"/>
  <c r="V166" i="24"/>
  <c r="V120" i="24"/>
  <c r="V68" i="24"/>
  <c r="V136" i="24"/>
  <c r="V128" i="24"/>
  <c r="V80" i="24"/>
  <c r="V105" i="24"/>
  <c r="D22" i="6"/>
  <c r="L16" i="6"/>
  <c r="Z16" i="6"/>
  <c r="T22" i="6"/>
  <c r="P305" i="15"/>
  <c r="X170" i="15"/>
  <c r="Z170" i="15" s="1"/>
  <c r="X22" i="6"/>
  <c r="P26" i="6"/>
  <c r="H26" i="6"/>
  <c r="N22" i="6"/>
  <c r="L211" i="3"/>
  <c r="D362" i="3"/>
  <c r="H27" i="49"/>
  <c r="N18" i="49"/>
  <c r="D27" i="43"/>
  <c r="L18" i="43"/>
  <c r="D27" i="47"/>
  <c r="L18" i="47"/>
  <c r="H27" i="50"/>
  <c r="N18" i="50"/>
  <c r="L18" i="34"/>
  <c r="D27" i="34"/>
  <c r="L18" i="31"/>
  <c r="D27" i="31"/>
  <c r="H27" i="29"/>
  <c r="N18" i="29"/>
  <c r="H27" i="28"/>
  <c r="N18" i="28"/>
  <c r="H27" i="23"/>
  <c r="N18" i="23"/>
  <c r="L18" i="20"/>
  <c r="D27" i="20"/>
  <c r="H27" i="16"/>
  <c r="N18" i="16"/>
  <c r="L18" i="16"/>
  <c r="D27" i="16"/>
  <c r="T27" i="4"/>
  <c r="Z18" i="4"/>
  <c r="T106" i="63"/>
  <c r="R115" i="51"/>
  <c r="R72" i="51"/>
  <c r="R57" i="51"/>
  <c r="R55" i="51"/>
  <c r="X12" i="51"/>
  <c r="R121" i="51"/>
  <c r="R114" i="51"/>
  <c r="R111" i="51"/>
  <c r="R103" i="51"/>
  <c r="R95" i="51"/>
  <c r="R91" i="51"/>
  <c r="R84" i="51"/>
  <c r="R83" i="51"/>
  <c r="R68" i="51"/>
  <c r="R67" i="51"/>
  <c r="R63" i="51"/>
  <c r="R59" i="51"/>
  <c r="P55" i="51"/>
  <c r="R113" i="51"/>
  <c r="R50" i="51"/>
  <c r="R46" i="51"/>
  <c r="R42" i="51"/>
  <c r="R85" i="51"/>
  <c r="R74" i="51"/>
  <c r="R73" i="51"/>
  <c r="R69" i="51"/>
  <c r="R38" i="51"/>
  <c r="R105" i="51"/>
  <c r="R104" i="51"/>
  <c r="R96" i="51"/>
  <c r="R92" i="51"/>
  <c r="R64" i="51"/>
  <c r="R60" i="51"/>
  <c r="R76" i="51"/>
  <c r="R75" i="51"/>
  <c r="R51" i="51"/>
  <c r="R107" i="51"/>
  <c r="R106" i="51"/>
  <c r="R87" i="51"/>
  <c r="R86" i="51"/>
  <c r="R70" i="51"/>
  <c r="R98" i="51"/>
  <c r="R97" i="51"/>
  <c r="R93" i="51"/>
  <c r="R78" i="51"/>
  <c r="R77" i="51"/>
  <c r="R65" i="51"/>
  <c r="R61" i="51"/>
  <c r="R109" i="51"/>
  <c r="R108" i="51"/>
  <c r="R89" i="51"/>
  <c r="R88" i="51"/>
  <c r="R52" i="51"/>
  <c r="R48" i="51"/>
  <c r="R44" i="51"/>
  <c r="R40" i="51"/>
  <c r="R116" i="51"/>
  <c r="R102" i="51"/>
  <c r="R101" i="51"/>
  <c r="R82" i="51"/>
  <c r="R81" i="51"/>
  <c r="R58" i="51"/>
  <c r="R53" i="51"/>
  <c r="R49" i="51"/>
  <c r="R45" i="51"/>
  <c r="R41" i="51"/>
  <c r="R71" i="51"/>
  <c r="R62" i="51"/>
  <c r="R79" i="51"/>
  <c r="R99" i="51"/>
  <c r="R90" i="51"/>
  <c r="R39" i="51"/>
  <c r="R66" i="51"/>
  <c r="R117" i="51"/>
  <c r="R80" i="51"/>
  <c r="R43" i="51"/>
  <c r="R94" i="51"/>
  <c r="R110" i="51"/>
  <c r="R100" i="51"/>
  <c r="R47" i="51"/>
  <c r="Z121" i="42"/>
  <c r="P27" i="43"/>
  <c r="X18" i="43"/>
  <c r="X18" i="19"/>
  <c r="P27" i="19"/>
  <c r="L12" i="109"/>
  <c r="N12" i="109" s="1"/>
  <c r="T32" i="106"/>
  <c r="L33" i="108"/>
  <c r="N33" i="108" s="1"/>
  <c r="R38" i="103"/>
  <c r="R81" i="103"/>
  <c r="R73" i="103"/>
  <c r="R69" i="103"/>
  <c r="R58" i="103"/>
  <c r="R57" i="103"/>
  <c r="R46" i="103"/>
  <c r="R45" i="103"/>
  <c r="R33" i="103"/>
  <c r="R83" i="103"/>
  <c r="R59" i="103"/>
  <c r="R48" i="103"/>
  <c r="R47" i="103"/>
  <c r="R39" i="103"/>
  <c r="R24" i="103"/>
  <c r="R22" i="103"/>
  <c r="R75" i="103"/>
  <c r="R74" i="103"/>
  <c r="R70" i="103"/>
  <c r="R87" i="103"/>
  <c r="R66" i="103"/>
  <c r="R65" i="103"/>
  <c r="R50" i="103"/>
  <c r="R49" i="103"/>
  <c r="R77" i="103"/>
  <c r="R76" i="103"/>
  <c r="R60" i="103"/>
  <c r="R62" i="103"/>
  <c r="R61" i="103"/>
  <c r="R54" i="103"/>
  <c r="R53" i="103"/>
  <c r="R42" i="103"/>
  <c r="R41" i="103"/>
  <c r="R37" i="103"/>
  <c r="R80" i="103"/>
  <c r="R72" i="103"/>
  <c r="R68" i="103"/>
  <c r="R32" i="103"/>
  <c r="R28" i="103"/>
  <c r="R63" i="103"/>
  <c r="R56" i="103"/>
  <c r="R55" i="103"/>
  <c r="R44" i="103"/>
  <c r="R43" i="103"/>
  <c r="R19" i="103"/>
  <c r="R67" i="103"/>
  <c r="R20" i="103"/>
  <c r="R52" i="103"/>
  <c r="R35" i="103"/>
  <c r="R18" i="103"/>
  <c r="X12" i="103"/>
  <c r="R79" i="103"/>
  <c r="R71" i="103"/>
  <c r="R26" i="103"/>
  <c r="P22" i="103"/>
  <c r="R31" i="103"/>
  <c r="R36" i="103"/>
  <c r="R29" i="103"/>
  <c r="R30" i="103"/>
  <c r="R64" i="103"/>
  <c r="R40" i="103"/>
  <c r="R51" i="103"/>
  <c r="R25" i="103"/>
  <c r="R78" i="103"/>
  <c r="R27" i="103"/>
  <c r="R34" i="103"/>
  <c r="T50" i="99"/>
  <c r="Z46" i="99"/>
  <c r="L17" i="99"/>
  <c r="Z72" i="93"/>
  <c r="R70" i="94"/>
  <c r="R69" i="94"/>
  <c r="R65" i="94"/>
  <c r="R58" i="94"/>
  <c r="R57" i="94"/>
  <c r="R37" i="94"/>
  <c r="R33" i="94"/>
  <c r="R22" i="94"/>
  <c r="R49" i="94"/>
  <c r="R48" i="94"/>
  <c r="R28" i="94"/>
  <c r="R24" i="94"/>
  <c r="P20" i="94"/>
  <c r="R72" i="94"/>
  <c r="R71" i="94"/>
  <c r="R60" i="94"/>
  <c r="R59" i="94"/>
  <c r="R66" i="94"/>
  <c r="R51" i="94"/>
  <c r="R50" i="94"/>
  <c r="R39" i="94"/>
  <c r="R38" i="94"/>
  <c r="R34" i="94"/>
  <c r="R73" i="94"/>
  <c r="R62" i="94"/>
  <c r="R61" i="94"/>
  <c r="R29" i="94"/>
  <c r="R25" i="94"/>
  <c r="R75" i="94"/>
  <c r="R53" i="94"/>
  <c r="R52" i="94"/>
  <c r="R41" i="94"/>
  <c r="R40" i="94"/>
  <c r="R68" i="94"/>
  <c r="R64" i="94"/>
  <c r="R45" i="94"/>
  <c r="R44" i="94"/>
  <c r="R36" i="94"/>
  <c r="R56" i="94"/>
  <c r="R55" i="94"/>
  <c r="R47" i="94"/>
  <c r="R46" i="94"/>
  <c r="R27" i="94"/>
  <c r="R54" i="94"/>
  <c r="R79" i="94"/>
  <c r="R63" i="94"/>
  <c r="R32" i="94"/>
  <c r="R17" i="94"/>
  <c r="R67" i="94"/>
  <c r="R35" i="94"/>
  <c r="R23" i="94"/>
  <c r="R26" i="94"/>
  <c r="X12" i="94"/>
  <c r="R43" i="94"/>
  <c r="R31" i="94"/>
  <c r="R16" i="94"/>
  <c r="R42" i="94"/>
  <c r="R30" i="94"/>
  <c r="R18" i="94"/>
  <c r="R46" i="92"/>
  <c r="R45" i="92"/>
  <c r="R73" i="92"/>
  <c r="R72" i="92"/>
  <c r="R68" i="92"/>
  <c r="R56" i="92"/>
  <c r="R75" i="92"/>
  <c r="R74" i="92"/>
  <c r="R38" i="92"/>
  <c r="R34" i="92"/>
  <c r="R69" i="92"/>
  <c r="R65" i="92"/>
  <c r="R58" i="92"/>
  <c r="R57" i="92"/>
  <c r="R50" i="92"/>
  <c r="R49" i="92"/>
  <c r="R29" i="92"/>
  <c r="R25" i="92"/>
  <c r="R78" i="92"/>
  <c r="R60" i="92"/>
  <c r="R59" i="92"/>
  <c r="R52" i="92"/>
  <c r="R51" i="92"/>
  <c r="R82" i="92"/>
  <c r="R36" i="92"/>
  <c r="R71" i="92"/>
  <c r="R67" i="92"/>
  <c r="R55" i="92"/>
  <c r="R44" i="92"/>
  <c r="R43" i="92"/>
  <c r="R31" i="92"/>
  <c r="R27" i="92"/>
  <c r="R62" i="92"/>
  <c r="R40" i="92"/>
  <c r="R37" i="92"/>
  <c r="R32" i="92"/>
  <c r="R48" i="92"/>
  <c r="R70" i="92"/>
  <c r="R35" i="92"/>
  <c r="R19" i="92"/>
  <c r="R76" i="92"/>
  <c r="R33" i="92"/>
  <c r="R30" i="92"/>
  <c r="R24" i="92"/>
  <c r="R23" i="92"/>
  <c r="R53" i="92"/>
  <c r="P21" i="92"/>
  <c r="R41" i="92"/>
  <c r="R54" i="92"/>
  <c r="R28" i="92"/>
  <c r="R26" i="92"/>
  <c r="R17" i="92"/>
  <c r="X12" i="92"/>
  <c r="R61" i="92"/>
  <c r="R47" i="92"/>
  <c r="R39" i="92"/>
  <c r="R66" i="92"/>
  <c r="R64" i="92"/>
  <c r="R18" i="92"/>
  <c r="R63" i="92"/>
  <c r="R42" i="92"/>
  <c r="L12" i="92"/>
  <c r="N12" i="92" s="1"/>
  <c r="P37" i="85"/>
  <c r="L20" i="83"/>
  <c r="D86" i="83"/>
  <c r="R27" i="78"/>
  <c r="H139" i="84"/>
  <c r="H30" i="82"/>
  <c r="Z66" i="78"/>
  <c r="V77" i="75"/>
  <c r="V75" i="75"/>
  <c r="V51" i="75"/>
  <c r="V39" i="75"/>
  <c r="V35" i="75"/>
  <c r="V62" i="75"/>
  <c r="V54" i="75"/>
  <c r="V69" i="75"/>
  <c r="V53" i="75"/>
  <c r="V45" i="75"/>
  <c r="V64" i="75"/>
  <c r="V56" i="75"/>
  <c r="V40" i="75"/>
  <c r="V36" i="75"/>
  <c r="V82" i="75"/>
  <c r="V63" i="75"/>
  <c r="V55" i="75"/>
  <c r="V70" i="75"/>
  <c r="V66" i="75"/>
  <c r="V46" i="75"/>
  <c r="V65" i="75"/>
  <c r="V57" i="75"/>
  <c r="V41" i="75"/>
  <c r="V37" i="75"/>
  <c r="V58" i="75"/>
  <c r="V50" i="75"/>
  <c r="V42" i="75"/>
  <c r="V38" i="75"/>
  <c r="V34" i="75"/>
  <c r="V73" i="75"/>
  <c r="V68" i="75"/>
  <c r="V60" i="75"/>
  <c r="V52" i="75"/>
  <c r="V44" i="75"/>
  <c r="T31" i="75"/>
  <c r="Z12" i="75"/>
  <c r="V48" i="75"/>
  <c r="V72" i="75"/>
  <c r="V29" i="75"/>
  <c r="V59" i="75"/>
  <c r="V43" i="75"/>
  <c r="V67" i="75"/>
  <c r="V61" i="75"/>
  <c r="V74" i="75"/>
  <c r="V33" i="75"/>
  <c r="V47" i="75"/>
  <c r="V71" i="75"/>
  <c r="V49" i="75"/>
  <c r="V78" i="75"/>
  <c r="F89" i="74"/>
  <c r="F85" i="74"/>
  <c r="F84" i="74"/>
  <c r="F69" i="74"/>
  <c r="F116" i="74"/>
  <c r="F108" i="74"/>
  <c r="F96" i="74"/>
  <c r="F76" i="74"/>
  <c r="F64" i="74"/>
  <c r="F60" i="74"/>
  <c r="F103" i="74"/>
  <c r="F51" i="74"/>
  <c r="F47" i="74"/>
  <c r="F43" i="74"/>
  <c r="F39" i="74"/>
  <c r="F119" i="74"/>
  <c r="F90" i="74"/>
  <c r="F86" i="74"/>
  <c r="F78" i="74"/>
  <c r="F77" i="74"/>
  <c r="F70" i="74"/>
  <c r="F66" i="74"/>
  <c r="F65" i="74"/>
  <c r="F123" i="74"/>
  <c r="F118" i="74"/>
  <c r="F109" i="74"/>
  <c r="F105" i="74"/>
  <c r="F104" i="74"/>
  <c r="F97" i="74"/>
  <c r="F61" i="74"/>
  <c r="F57" i="74"/>
  <c r="F56" i="74"/>
  <c r="F111" i="74"/>
  <c r="F110" i="74"/>
  <c r="F99" i="74"/>
  <c r="F98" i="74"/>
  <c r="F91" i="74"/>
  <c r="F87" i="74"/>
  <c r="F71" i="74"/>
  <c r="F67" i="74"/>
  <c r="D53" i="74"/>
  <c r="F100" i="74"/>
  <c r="F88" i="74"/>
  <c r="F68" i="74"/>
  <c r="L12" i="74"/>
  <c r="N12" i="74" s="1"/>
  <c r="F102" i="74"/>
  <c r="F101" i="74"/>
  <c r="F50" i="74"/>
  <c r="F46" i="74"/>
  <c r="F42" i="74"/>
  <c r="F38" i="74"/>
  <c r="F112" i="74"/>
  <c r="F92" i="74"/>
  <c r="F41" i="74"/>
  <c r="F83" i="74"/>
  <c r="F62" i="74"/>
  <c r="F45" i="74"/>
  <c r="F74" i="74"/>
  <c r="F49" i="74"/>
  <c r="F115" i="74"/>
  <c r="F95" i="74"/>
  <c r="F107" i="74"/>
  <c r="F81" i="74"/>
  <c r="F55" i="74"/>
  <c r="F36" i="74"/>
  <c r="F72" i="74"/>
  <c r="F59" i="74"/>
  <c r="F40" i="74"/>
  <c r="F113" i="74"/>
  <c r="F93" i="74"/>
  <c r="F79" i="74"/>
  <c r="F44" i="74"/>
  <c r="F106" i="74"/>
  <c r="F80" i="74"/>
  <c r="F63" i="74"/>
  <c r="F58" i="74"/>
  <c r="F53" i="74"/>
  <c r="F114" i="74"/>
  <c r="F94" i="74"/>
  <c r="F73" i="74"/>
  <c r="F82" i="74"/>
  <c r="F35" i="74"/>
  <c r="F75" i="74"/>
  <c r="F48" i="74"/>
  <c r="F37" i="74"/>
  <c r="F74" i="69"/>
  <c r="F72" i="69"/>
  <c r="F76" i="69"/>
  <c r="F68" i="69"/>
  <c r="F64" i="69"/>
  <c r="F28" i="69"/>
  <c r="F24" i="69"/>
  <c r="F23" i="69"/>
  <c r="F51" i="69"/>
  <c r="F50" i="69"/>
  <c r="F39" i="69"/>
  <c r="F38" i="69"/>
  <c r="F22" i="69"/>
  <c r="F20" i="69"/>
  <c r="F69" i="69"/>
  <c r="F58" i="69"/>
  <c r="F34" i="69"/>
  <c r="D20" i="69"/>
  <c r="F70" i="69"/>
  <c r="F65" i="69"/>
  <c r="F53" i="69"/>
  <c r="F52" i="69"/>
  <c r="F41" i="69"/>
  <c r="F40" i="69"/>
  <c r="F29" i="69"/>
  <c r="F25" i="69"/>
  <c r="F60" i="69"/>
  <c r="F59" i="69"/>
  <c r="F78" i="69"/>
  <c r="F43" i="69"/>
  <c r="F42" i="69"/>
  <c r="F35" i="69"/>
  <c r="F66" i="69"/>
  <c r="F62" i="69"/>
  <c r="F61" i="69"/>
  <c r="F54" i="69"/>
  <c r="F30" i="69"/>
  <c r="F26" i="69"/>
  <c r="F67" i="69"/>
  <c r="F63" i="69"/>
  <c r="F47" i="69"/>
  <c r="F46" i="69"/>
  <c r="F31" i="69"/>
  <c r="F27" i="69"/>
  <c r="F18" i="69"/>
  <c r="F55" i="69"/>
  <c r="F49" i="69"/>
  <c r="L12" i="69"/>
  <c r="N12" i="69" s="1"/>
  <c r="F81" i="69"/>
  <c r="F17" i="69"/>
  <c r="F36" i="69"/>
  <c r="F32" i="69"/>
  <c r="F45" i="69"/>
  <c r="F56" i="69"/>
  <c r="F33" i="69"/>
  <c r="F37" i="69"/>
  <c r="F57" i="69"/>
  <c r="F48" i="69"/>
  <c r="F44" i="69"/>
  <c r="F16" i="69"/>
  <c r="N101" i="63"/>
  <c r="L17" i="63"/>
  <c r="X34" i="55"/>
  <c r="P38" i="55"/>
  <c r="F84" i="42"/>
  <c r="F64" i="42"/>
  <c r="F63" i="42"/>
  <c r="F56" i="42"/>
  <c r="F55" i="42"/>
  <c r="F48" i="42"/>
  <c r="F44" i="42"/>
  <c r="F43" i="42"/>
  <c r="D30" i="42"/>
  <c r="L12" i="42"/>
  <c r="N12" i="42" s="1"/>
  <c r="F119" i="42"/>
  <c r="F118" i="42"/>
  <c r="F111" i="42"/>
  <c r="F110" i="42"/>
  <c r="F95" i="42"/>
  <c r="F91" i="42"/>
  <c r="F90" i="42"/>
  <c r="F75" i="42"/>
  <c r="F74" i="42"/>
  <c r="F39" i="42"/>
  <c r="F35" i="42"/>
  <c r="F124" i="42"/>
  <c r="F123" i="42"/>
  <c r="F106" i="42"/>
  <c r="F102" i="42"/>
  <c r="F66" i="42"/>
  <c r="F65" i="42"/>
  <c r="F58" i="42"/>
  <c r="F57" i="42"/>
  <c r="F126" i="42"/>
  <c r="F122" i="42"/>
  <c r="F113" i="42"/>
  <c r="F112" i="42"/>
  <c r="F97" i="42"/>
  <c r="F96" i="42"/>
  <c r="F85" i="42"/>
  <c r="F77" i="42"/>
  <c r="F76" i="42"/>
  <c r="F49" i="42"/>
  <c r="F45" i="42"/>
  <c r="F121" i="42"/>
  <c r="F92" i="42"/>
  <c r="F68" i="42"/>
  <c r="F67" i="42"/>
  <c r="F40" i="42"/>
  <c r="F36" i="42"/>
  <c r="F128" i="42"/>
  <c r="F115" i="42"/>
  <c r="F114" i="42"/>
  <c r="F107" i="42"/>
  <c r="F103" i="42"/>
  <c r="F79" i="42"/>
  <c r="F78" i="42"/>
  <c r="F98" i="42"/>
  <c r="F86" i="42"/>
  <c r="F70" i="42"/>
  <c r="F69" i="42"/>
  <c r="F50" i="42"/>
  <c r="F46" i="42"/>
  <c r="F93" i="42"/>
  <c r="F81" i="42"/>
  <c r="F80" i="42"/>
  <c r="F41" i="42"/>
  <c r="F37" i="42"/>
  <c r="F133" i="42"/>
  <c r="F83" i="42"/>
  <c r="F82" i="42"/>
  <c r="F117" i="42"/>
  <c r="F109" i="42"/>
  <c r="F105" i="42"/>
  <c r="F101" i="42"/>
  <c r="F89" i="42"/>
  <c r="F73" i="42"/>
  <c r="F32" i="42"/>
  <c r="F30" i="42"/>
  <c r="F104" i="42"/>
  <c r="F51" i="42"/>
  <c r="F27" i="42"/>
  <c r="F62" i="42"/>
  <c r="F60" i="42"/>
  <c r="F47" i="42"/>
  <c r="F99" i="42"/>
  <c r="F87" i="42"/>
  <c r="F34" i="42"/>
  <c r="F108" i="42"/>
  <c r="F94" i="42"/>
  <c r="F54" i="42"/>
  <c r="F52" i="42"/>
  <c r="F71" i="42"/>
  <c r="F38" i="42"/>
  <c r="F28" i="42"/>
  <c r="F116" i="42"/>
  <c r="F88" i="42"/>
  <c r="F72" i="42"/>
  <c r="F53" i="42"/>
  <c r="F59" i="42"/>
  <c r="F42" i="42"/>
  <c r="F61" i="42"/>
  <c r="F26" i="42"/>
  <c r="F100" i="42"/>
  <c r="F33" i="42"/>
  <c r="F130" i="42"/>
  <c r="R24" i="45"/>
  <c r="P126" i="42"/>
  <c r="X30" i="42"/>
  <c r="X12" i="42"/>
  <c r="Z12" i="42" s="1"/>
  <c r="X161" i="24"/>
  <c r="R161" i="24"/>
  <c r="H337" i="18"/>
  <c r="L12" i="27"/>
  <c r="N12" i="27" s="1"/>
  <c r="N294" i="15"/>
  <c r="Z303" i="12"/>
  <c r="F30" i="21"/>
  <c r="R308" i="12"/>
  <c r="R265" i="12"/>
  <c r="R257" i="12"/>
  <c r="R253" i="12"/>
  <c r="R249" i="12"/>
  <c r="R245" i="12"/>
  <c r="R241" i="12"/>
  <c r="R237" i="12"/>
  <c r="R233" i="12"/>
  <c r="R229" i="12"/>
  <c r="R225" i="12"/>
  <c r="R206" i="12"/>
  <c r="R205" i="12"/>
  <c r="R198" i="12"/>
  <c r="R197" i="12"/>
  <c r="R178" i="12"/>
  <c r="R307" i="12"/>
  <c r="R292" i="12"/>
  <c r="R276" i="12"/>
  <c r="R216" i="12"/>
  <c r="R192" i="12"/>
  <c r="R177" i="12"/>
  <c r="R175" i="12"/>
  <c r="R306" i="12"/>
  <c r="R300" i="12"/>
  <c r="R299" i="12"/>
  <c r="R287" i="12"/>
  <c r="R283" i="12"/>
  <c r="R272" i="12"/>
  <c r="R271" i="12"/>
  <c r="R207" i="12"/>
  <c r="R199" i="12"/>
  <c r="R305" i="12"/>
  <c r="R266" i="12"/>
  <c r="R259" i="12"/>
  <c r="R258" i="12"/>
  <c r="R254" i="12"/>
  <c r="R250" i="12"/>
  <c r="R246" i="12"/>
  <c r="R242" i="12"/>
  <c r="R238" i="12"/>
  <c r="R234" i="12"/>
  <c r="R230" i="12"/>
  <c r="R226" i="12"/>
  <c r="R170" i="12"/>
  <c r="R166" i="12"/>
  <c r="R162" i="12"/>
  <c r="R158" i="12"/>
  <c r="R154" i="12"/>
  <c r="R150" i="12"/>
  <c r="R146" i="12"/>
  <c r="R142" i="12"/>
  <c r="R138" i="12"/>
  <c r="R134" i="12"/>
  <c r="R130" i="12"/>
  <c r="R126" i="12"/>
  <c r="R122" i="12"/>
  <c r="R304" i="12"/>
  <c r="R301" i="12"/>
  <c r="R294" i="12"/>
  <c r="R293" i="12"/>
  <c r="R278" i="12"/>
  <c r="R277" i="12"/>
  <c r="R273" i="12"/>
  <c r="R218" i="12"/>
  <c r="R217" i="12"/>
  <c r="R193" i="12"/>
  <c r="R189" i="12"/>
  <c r="R303" i="12"/>
  <c r="R288" i="12"/>
  <c r="R284" i="12"/>
  <c r="R261" i="12"/>
  <c r="R260" i="12"/>
  <c r="R209" i="12"/>
  <c r="R208" i="12"/>
  <c r="R274" i="12"/>
  <c r="R263" i="12"/>
  <c r="R262" i="12"/>
  <c r="R211" i="12"/>
  <c r="R210" i="12"/>
  <c r="R203" i="12"/>
  <c r="R202" i="12"/>
  <c r="R194" i="12"/>
  <c r="R190" i="12"/>
  <c r="R312" i="12"/>
  <c r="R297" i="12"/>
  <c r="R289" i="12"/>
  <c r="R285" i="12"/>
  <c r="R269" i="12"/>
  <c r="R222" i="12"/>
  <c r="R221" i="12"/>
  <c r="R185" i="12"/>
  <c r="R181" i="12"/>
  <c r="R311" i="12"/>
  <c r="R281" i="12"/>
  <c r="R280" i="12"/>
  <c r="R264" i="12"/>
  <c r="R256" i="12"/>
  <c r="R252" i="12"/>
  <c r="R248" i="12"/>
  <c r="R244" i="12"/>
  <c r="R240" i="12"/>
  <c r="R236" i="12"/>
  <c r="R232" i="12"/>
  <c r="R228" i="12"/>
  <c r="R213" i="12"/>
  <c r="R212" i="12"/>
  <c r="R204" i="12"/>
  <c r="R172" i="12"/>
  <c r="R168" i="12"/>
  <c r="R164" i="12"/>
  <c r="R160" i="12"/>
  <c r="R156" i="12"/>
  <c r="R152" i="12"/>
  <c r="R148" i="12"/>
  <c r="R144" i="12"/>
  <c r="R140" i="12"/>
  <c r="R136" i="12"/>
  <c r="R132" i="12"/>
  <c r="R128" i="12"/>
  <c r="R124" i="12"/>
  <c r="R316" i="12"/>
  <c r="R309" i="12"/>
  <c r="R298" i="12"/>
  <c r="R291" i="12"/>
  <c r="R290" i="12"/>
  <c r="R286" i="12"/>
  <c r="R282" i="12"/>
  <c r="R270" i="12"/>
  <c r="R295" i="12"/>
  <c r="R220" i="12"/>
  <c r="R200" i="12"/>
  <c r="R188" i="12"/>
  <c r="R159" i="12"/>
  <c r="R157" i="12"/>
  <c r="R120" i="12"/>
  <c r="R224" i="12"/>
  <c r="P175" i="12"/>
  <c r="R155" i="12"/>
  <c r="R179" i="12"/>
  <c r="R153" i="12"/>
  <c r="R151" i="12"/>
  <c r="R267" i="12"/>
  <c r="R215" i="12"/>
  <c r="R255" i="12"/>
  <c r="R247" i="12"/>
  <c r="R239" i="12"/>
  <c r="R231" i="12"/>
  <c r="R201" i="12"/>
  <c r="R149" i="12"/>
  <c r="R147" i="12"/>
  <c r="R145" i="12"/>
  <c r="R143" i="12"/>
  <c r="R141" i="12"/>
  <c r="R139" i="12"/>
  <c r="R296" i="12"/>
  <c r="R191" i="12"/>
  <c r="R186" i="12"/>
  <c r="R184" i="12"/>
  <c r="R137" i="12"/>
  <c r="R135" i="12"/>
  <c r="R133" i="12"/>
  <c r="R131" i="12"/>
  <c r="R129" i="12"/>
  <c r="R310" i="12"/>
  <c r="R275" i="12"/>
  <c r="R195" i="12"/>
  <c r="R127" i="12"/>
  <c r="R125" i="12"/>
  <c r="R123" i="12"/>
  <c r="R121" i="12"/>
  <c r="R223" i="12"/>
  <c r="R219" i="12"/>
  <c r="R173" i="12"/>
  <c r="R171" i="12"/>
  <c r="X12" i="12"/>
  <c r="Z12" i="12" s="1"/>
  <c r="R268" i="12"/>
  <c r="R182" i="12"/>
  <c r="R180" i="12"/>
  <c r="R187" i="12"/>
  <c r="R169" i="12"/>
  <c r="R167" i="12"/>
  <c r="R165" i="12"/>
  <c r="R163" i="12"/>
  <c r="R214" i="12"/>
  <c r="R196" i="12"/>
  <c r="R183" i="12"/>
  <c r="R161" i="12"/>
  <c r="R251" i="12"/>
  <c r="R235" i="12"/>
  <c r="R227" i="12"/>
  <c r="R279" i="12"/>
  <c r="R243" i="12"/>
  <c r="F297" i="12"/>
  <c r="F296" i="12"/>
  <c r="F289" i="12"/>
  <c r="F285" i="12"/>
  <c r="F269" i="12"/>
  <c r="F268" i="12"/>
  <c r="F221" i="12"/>
  <c r="F220" i="12"/>
  <c r="F185" i="12"/>
  <c r="F181" i="12"/>
  <c r="F280" i="12"/>
  <c r="F264" i="12"/>
  <c r="F263" i="12"/>
  <c r="F256" i="12"/>
  <c r="F252" i="12"/>
  <c r="F248" i="12"/>
  <c r="F244" i="12"/>
  <c r="F240" i="12"/>
  <c r="F236" i="12"/>
  <c r="F232" i="12"/>
  <c r="F228" i="12"/>
  <c r="F212" i="12"/>
  <c r="F211" i="12"/>
  <c r="F204" i="12"/>
  <c r="F203" i="12"/>
  <c r="F172" i="12"/>
  <c r="F168" i="12"/>
  <c r="F164" i="12"/>
  <c r="F160" i="12"/>
  <c r="F156" i="12"/>
  <c r="F152" i="12"/>
  <c r="F148" i="12"/>
  <c r="F144" i="12"/>
  <c r="F140" i="12"/>
  <c r="F136" i="12"/>
  <c r="F132" i="12"/>
  <c r="F128" i="12"/>
  <c r="F124" i="12"/>
  <c r="F312" i="12"/>
  <c r="F275" i="12"/>
  <c r="F223" i="12"/>
  <c r="F222" i="12"/>
  <c r="F316" i="12"/>
  <c r="F311" i="12"/>
  <c r="F298" i="12"/>
  <c r="F290" i="12"/>
  <c r="F286" i="12"/>
  <c r="F282" i="12"/>
  <c r="F281" i="12"/>
  <c r="F270" i="12"/>
  <c r="F214" i="12"/>
  <c r="F213" i="12"/>
  <c r="F186" i="12"/>
  <c r="F182" i="12"/>
  <c r="F310" i="12"/>
  <c r="F265" i="12"/>
  <c r="F257" i="12"/>
  <c r="F253" i="12"/>
  <c r="F249" i="12"/>
  <c r="F245" i="12"/>
  <c r="F241" i="12"/>
  <c r="F237" i="12"/>
  <c r="F233" i="12"/>
  <c r="F229" i="12"/>
  <c r="F225" i="12"/>
  <c r="F224" i="12"/>
  <c r="F205" i="12"/>
  <c r="F197" i="12"/>
  <c r="F196" i="12"/>
  <c r="F173" i="12"/>
  <c r="F169" i="12"/>
  <c r="F165" i="12"/>
  <c r="F161" i="12"/>
  <c r="F157" i="12"/>
  <c r="F153" i="12"/>
  <c r="F149" i="12"/>
  <c r="F145" i="12"/>
  <c r="F141" i="12"/>
  <c r="F137" i="12"/>
  <c r="F133" i="12"/>
  <c r="F129" i="12"/>
  <c r="F125" i="12"/>
  <c r="F121" i="12"/>
  <c r="F120" i="12"/>
  <c r="F309" i="12"/>
  <c r="F292" i="12"/>
  <c r="F291" i="12"/>
  <c r="F276" i="12"/>
  <c r="F216" i="12"/>
  <c r="F215" i="12"/>
  <c r="F308" i="12"/>
  <c r="F307" i="12"/>
  <c r="F266" i="12"/>
  <c r="F258" i="12"/>
  <c r="F254" i="12"/>
  <c r="F250" i="12"/>
  <c r="F246" i="12"/>
  <c r="F242" i="12"/>
  <c r="F238" i="12"/>
  <c r="F234" i="12"/>
  <c r="F230" i="12"/>
  <c r="F226" i="12"/>
  <c r="F177" i="12"/>
  <c r="F170" i="12"/>
  <c r="F166" i="12"/>
  <c r="F162" i="12"/>
  <c r="F158" i="12"/>
  <c r="F154" i="12"/>
  <c r="F150" i="12"/>
  <c r="F146" i="12"/>
  <c r="F142" i="12"/>
  <c r="F138" i="12"/>
  <c r="F134" i="12"/>
  <c r="F130" i="12"/>
  <c r="F126" i="12"/>
  <c r="F122" i="12"/>
  <c r="F306" i="12"/>
  <c r="F301" i="12"/>
  <c r="F300" i="12"/>
  <c r="F293" i="12"/>
  <c r="F277" i="12"/>
  <c r="F273" i="12"/>
  <c r="F272" i="12"/>
  <c r="F217" i="12"/>
  <c r="F193" i="12"/>
  <c r="F189" i="12"/>
  <c r="F188" i="12"/>
  <c r="F305" i="12"/>
  <c r="F288" i="12"/>
  <c r="F284" i="12"/>
  <c r="F260" i="12"/>
  <c r="F259" i="12"/>
  <c r="F208" i="12"/>
  <c r="F200" i="12"/>
  <c r="F184" i="12"/>
  <c r="F180" i="12"/>
  <c r="F303" i="12"/>
  <c r="F274" i="12"/>
  <c r="F262" i="12"/>
  <c r="F261" i="12"/>
  <c r="F279" i="12"/>
  <c r="F251" i="12"/>
  <c r="F243" i="12"/>
  <c r="F235" i="12"/>
  <c r="F227" i="12"/>
  <c r="F187" i="12"/>
  <c r="F178" i="12"/>
  <c r="F163" i="12"/>
  <c r="F206" i="12"/>
  <c r="F202" i="12"/>
  <c r="F295" i="12"/>
  <c r="F283" i="12"/>
  <c r="F198" i="12"/>
  <c r="F192" i="12"/>
  <c r="F159" i="12"/>
  <c r="F218" i="12"/>
  <c r="F210" i="12"/>
  <c r="F190" i="12"/>
  <c r="F183" i="12"/>
  <c r="F155" i="12"/>
  <c r="F194" i="12"/>
  <c r="D175" i="12"/>
  <c r="F175" i="12" s="1"/>
  <c r="F299" i="12"/>
  <c r="F287" i="12"/>
  <c r="F267" i="12"/>
  <c r="F179" i="12"/>
  <c r="F151" i="12"/>
  <c r="F278" i="12"/>
  <c r="F255" i="12"/>
  <c r="F247" i="12"/>
  <c r="F239" i="12"/>
  <c r="F231" i="12"/>
  <c r="F147" i="12"/>
  <c r="F143" i="12"/>
  <c r="F271" i="12"/>
  <c r="F207" i="12"/>
  <c r="F201" i="12"/>
  <c r="F139" i="12"/>
  <c r="F135" i="12"/>
  <c r="F131" i="12"/>
  <c r="F294" i="12"/>
  <c r="F209" i="12"/>
  <c r="F199" i="12"/>
  <c r="F191" i="12"/>
  <c r="F127" i="12"/>
  <c r="F123" i="12"/>
  <c r="F219" i="12"/>
  <c r="F195" i="12"/>
  <c r="L12" i="12"/>
  <c r="N12" i="12" s="1"/>
  <c r="F167" i="12"/>
  <c r="F171" i="12"/>
  <c r="F304" i="12"/>
  <c r="R347" i="3"/>
  <c r="H27" i="110"/>
  <c r="N18" i="110"/>
  <c r="L18" i="110"/>
  <c r="D27" i="110"/>
  <c r="H27" i="112"/>
  <c r="N18" i="112"/>
  <c r="D27" i="49"/>
  <c r="L18" i="49"/>
  <c r="H27" i="37"/>
  <c r="N18" i="37"/>
  <c r="L18" i="40"/>
  <c r="D27" i="40"/>
  <c r="T27" i="31"/>
  <c r="Z18" i="31"/>
  <c r="T27" i="28"/>
  <c r="Z18" i="28"/>
  <c r="T27" i="13"/>
  <c r="Z18" i="13"/>
  <c r="X18" i="5"/>
  <c r="P27" i="5"/>
  <c r="L18" i="10"/>
  <c r="D27" i="10"/>
  <c r="N18" i="11"/>
  <c r="H27" i="11"/>
  <c r="J47" i="98"/>
  <c r="J37" i="98"/>
  <c r="J31" i="98"/>
  <c r="J27" i="98"/>
  <c r="J48" i="98"/>
  <c r="J38" i="98"/>
  <c r="J49" i="98"/>
  <c r="J42" i="98"/>
  <c r="J34" i="98"/>
  <c r="J55" i="98"/>
  <c r="J46" i="98"/>
  <c r="J44" i="98"/>
  <c r="J40" i="98"/>
  <c r="J25" i="98"/>
  <c r="J16" i="98"/>
  <c r="J45" i="98"/>
  <c r="J17" i="98"/>
  <c r="J57" i="98"/>
  <c r="J41" i="98"/>
  <c r="J36" i="98"/>
  <c r="J33" i="98"/>
  <c r="J29" i="98"/>
  <c r="N12" i="98"/>
  <c r="J53" i="98"/>
  <c r="J26" i="98"/>
  <c r="J18" i="98"/>
  <c r="J30" i="98"/>
  <c r="J23" i="98"/>
  <c r="J20" i="98"/>
  <c r="J22" i="98"/>
  <c r="H20" i="98"/>
  <c r="J60" i="98"/>
  <c r="J39" i="98"/>
  <c r="J35" i="98"/>
  <c r="J51" i="98"/>
  <c r="J32" i="98"/>
  <c r="J28" i="98"/>
  <c r="J43" i="98"/>
  <c r="J24" i="98"/>
  <c r="L53" i="61"/>
  <c r="N53" i="61" s="1"/>
  <c r="D57" i="61"/>
  <c r="X18" i="26"/>
  <c r="P27" i="26"/>
  <c r="H51" i="102"/>
  <c r="N16" i="102"/>
  <c r="P77" i="88"/>
  <c r="F83" i="107"/>
  <c r="F75" i="107"/>
  <c r="F71" i="107"/>
  <c r="F19" i="107"/>
  <c r="F66" i="107"/>
  <c r="F65" i="107"/>
  <c r="F58" i="107"/>
  <c r="F57" i="107"/>
  <c r="F46" i="107"/>
  <c r="F45" i="107"/>
  <c r="F38" i="107"/>
  <c r="F85" i="107"/>
  <c r="F76" i="107"/>
  <c r="F72" i="107"/>
  <c r="F60" i="107"/>
  <c r="F59" i="107"/>
  <c r="F48" i="107"/>
  <c r="F47" i="107"/>
  <c r="F23" i="107"/>
  <c r="F78" i="107"/>
  <c r="F77" i="107"/>
  <c r="F62" i="107"/>
  <c r="F61" i="107"/>
  <c r="F50" i="107"/>
  <c r="F49" i="107"/>
  <c r="F30" i="107"/>
  <c r="F26" i="107"/>
  <c r="F63" i="107"/>
  <c r="F52" i="107"/>
  <c r="F43" i="107"/>
  <c r="F27" i="107"/>
  <c r="F24" i="107"/>
  <c r="L12" i="107"/>
  <c r="F80" i="107"/>
  <c r="F55" i="107"/>
  <c r="F32" i="107"/>
  <c r="F73" i="107"/>
  <c r="F36" i="107"/>
  <c r="F25" i="107"/>
  <c r="F69" i="107"/>
  <c r="F41" i="107"/>
  <c r="F33" i="107"/>
  <c r="F53" i="107"/>
  <c r="F44" i="107"/>
  <c r="F39" i="107"/>
  <c r="F81" i="107"/>
  <c r="F67" i="107"/>
  <c r="F56" i="107"/>
  <c r="F28" i="107"/>
  <c r="F74" i="107"/>
  <c r="F54" i="107"/>
  <c r="F51" i="107"/>
  <c r="F29" i="107"/>
  <c r="F82" i="107"/>
  <c r="F79" i="107"/>
  <c r="F18" i="107"/>
  <c r="F68" i="107"/>
  <c r="F40" i="107"/>
  <c r="F89" i="107"/>
  <c r="F70" i="107"/>
  <c r="F31" i="107"/>
  <c r="F35" i="107"/>
  <c r="D21" i="107"/>
  <c r="F21" i="107" s="1"/>
  <c r="F17" i="107"/>
  <c r="F64" i="107"/>
  <c r="F42" i="107"/>
  <c r="F34" i="107"/>
  <c r="F37" i="107"/>
  <c r="X37" i="108"/>
  <c r="P41" i="108"/>
  <c r="D41" i="108"/>
  <c r="L37" i="108"/>
  <c r="R21" i="105"/>
  <c r="N83" i="101"/>
  <c r="V83" i="103"/>
  <c r="V81" i="103"/>
  <c r="V73" i="103"/>
  <c r="V69" i="103"/>
  <c r="V57" i="103"/>
  <c r="V45" i="103"/>
  <c r="V33" i="103"/>
  <c r="V29" i="103"/>
  <c r="V25" i="103"/>
  <c r="V64" i="103"/>
  <c r="V48" i="103"/>
  <c r="V75" i="103"/>
  <c r="V74" i="103"/>
  <c r="V70" i="103"/>
  <c r="V66" i="103"/>
  <c r="V50" i="103"/>
  <c r="V34" i="103"/>
  <c r="V30" i="103"/>
  <c r="V26" i="103"/>
  <c r="V87" i="103"/>
  <c r="V77" i="103"/>
  <c r="V65" i="103"/>
  <c r="V49" i="103"/>
  <c r="V76" i="103"/>
  <c r="V60" i="103"/>
  <c r="V52" i="103"/>
  <c r="V40" i="103"/>
  <c r="V36" i="103"/>
  <c r="Z12" i="103"/>
  <c r="V79" i="103"/>
  <c r="V71" i="103"/>
  <c r="V67" i="103"/>
  <c r="V80" i="103"/>
  <c r="V72" i="103"/>
  <c r="V68" i="103"/>
  <c r="V56" i="103"/>
  <c r="V44" i="103"/>
  <c r="V32" i="103"/>
  <c r="V28" i="103"/>
  <c r="V63" i="103"/>
  <c r="V55" i="103"/>
  <c r="V43" i="103"/>
  <c r="V58" i="103"/>
  <c r="V46" i="103"/>
  <c r="V38" i="103"/>
  <c r="V39" i="103"/>
  <c r="V54" i="103"/>
  <c r="V37" i="103"/>
  <c r="V41" i="103"/>
  <c r="T22" i="103"/>
  <c r="V62" i="103"/>
  <c r="V31" i="103"/>
  <c r="V24" i="103"/>
  <c r="V42" i="103"/>
  <c r="V19" i="103"/>
  <c r="V61" i="103"/>
  <c r="V47" i="103"/>
  <c r="V35" i="103"/>
  <c r="V20" i="103"/>
  <c r="V18" i="103"/>
  <c r="V51" i="103"/>
  <c r="V78" i="103"/>
  <c r="V27" i="103"/>
  <c r="V59" i="103"/>
  <c r="V53" i="103"/>
  <c r="L16" i="102"/>
  <c r="D51" i="102"/>
  <c r="L91" i="95"/>
  <c r="V81" i="97"/>
  <c r="V65" i="97"/>
  <c r="V57" i="97"/>
  <c r="V37" i="97"/>
  <c r="V33" i="97"/>
  <c r="T20" i="97"/>
  <c r="V80" i="97"/>
  <c r="V76" i="97"/>
  <c r="V72" i="97"/>
  <c r="V64" i="97"/>
  <c r="V48" i="97"/>
  <c r="V28" i="97"/>
  <c r="V24" i="97"/>
  <c r="V83" i="97"/>
  <c r="V71" i="97"/>
  <c r="V59" i="97"/>
  <c r="V47" i="97"/>
  <c r="V82" i="97"/>
  <c r="V66" i="97"/>
  <c r="V50" i="97"/>
  <c r="V38" i="97"/>
  <c r="V34" i="97"/>
  <c r="V87" i="97"/>
  <c r="V77" i="97"/>
  <c r="V73" i="97"/>
  <c r="V61" i="97"/>
  <c r="V49" i="97"/>
  <c r="V41" i="97"/>
  <c r="V29" i="97"/>
  <c r="V25" i="97"/>
  <c r="V86" i="97"/>
  <c r="V84" i="97"/>
  <c r="V60" i="97"/>
  <c r="V52" i="97"/>
  <c r="V40" i="97"/>
  <c r="V16" i="97"/>
  <c r="V67" i="97"/>
  <c r="V51" i="97"/>
  <c r="V43" i="97"/>
  <c r="V35" i="97"/>
  <c r="V68" i="97"/>
  <c r="V56" i="97"/>
  <c r="V70" i="97"/>
  <c r="V58" i="97"/>
  <c r="V46" i="97"/>
  <c r="V22" i="97"/>
  <c r="V20" i="97"/>
  <c r="V18" i="97"/>
  <c r="V31" i="97"/>
  <c r="V75" i="97"/>
  <c r="V53" i="97"/>
  <c r="V27" i="97"/>
  <c r="V23" i="97"/>
  <c r="V55" i="97"/>
  <c r="V36" i="97"/>
  <c r="V32" i="97"/>
  <c r="V17" i="97"/>
  <c r="V91" i="97"/>
  <c r="V62" i="97"/>
  <c r="Z12" i="97"/>
  <c r="V79" i="97"/>
  <c r="V39" i="97"/>
  <c r="V74" i="97"/>
  <c r="V54" i="97"/>
  <c r="V30" i="97"/>
  <c r="V69" i="97"/>
  <c r="V78" i="97"/>
  <c r="V42" i="97"/>
  <c r="V63" i="97"/>
  <c r="V45" i="97"/>
  <c r="V26" i="97"/>
  <c r="V44" i="97"/>
  <c r="J91" i="95"/>
  <c r="H97" i="91"/>
  <c r="L97" i="91" s="1"/>
  <c r="N16" i="91"/>
  <c r="V23" i="85"/>
  <c r="T18" i="85"/>
  <c r="V22" i="85"/>
  <c r="V24" i="85"/>
  <c r="Z12" i="85"/>
  <c r="V32" i="85"/>
  <c r="V21" i="85"/>
  <c r="V20" i="85"/>
  <c r="V18" i="85"/>
  <c r="V16" i="85"/>
  <c r="V15" i="85"/>
  <c r="V26" i="85"/>
  <c r="V28" i="85"/>
  <c r="V25" i="85"/>
  <c r="L20" i="88"/>
  <c r="D77" i="88"/>
  <c r="L12" i="88"/>
  <c r="R20" i="87"/>
  <c r="D82" i="80"/>
  <c r="L20" i="80"/>
  <c r="F56" i="78"/>
  <c r="F55" i="78"/>
  <c r="F36" i="78"/>
  <c r="F32" i="78"/>
  <c r="F47" i="78"/>
  <c r="F46" i="78"/>
  <c r="F23" i="78"/>
  <c r="F71" i="78"/>
  <c r="F62" i="78"/>
  <c r="F42" i="78"/>
  <c r="F75" i="78"/>
  <c r="F70" i="78"/>
  <c r="F57" i="78"/>
  <c r="F49" i="78"/>
  <c r="F48" i="78"/>
  <c r="F37" i="78"/>
  <c r="F33" i="78"/>
  <c r="F69" i="78"/>
  <c r="F64" i="78"/>
  <c r="F63" i="78"/>
  <c r="F24" i="78"/>
  <c r="F68" i="78"/>
  <c r="F51" i="78"/>
  <c r="F50" i="78"/>
  <c r="F43" i="78"/>
  <c r="F67" i="78"/>
  <c r="F58" i="78"/>
  <c r="F38" i="78"/>
  <c r="F34" i="78"/>
  <c r="F35" i="78"/>
  <c r="F31" i="78"/>
  <c r="F30" i="78"/>
  <c r="F54" i="78"/>
  <c r="F53" i="78"/>
  <c r="F29" i="78"/>
  <c r="F27" i="78"/>
  <c r="F22" i="78"/>
  <c r="F61" i="78"/>
  <c r="F45" i="78"/>
  <c r="F41" i="78"/>
  <c r="D27" i="78"/>
  <c r="F25" i="78"/>
  <c r="F20" i="78"/>
  <c r="F66" i="78"/>
  <c r="F60" i="78"/>
  <c r="F40" i="78"/>
  <c r="F39" i="78"/>
  <c r="F59" i="78"/>
  <c r="F52" i="78"/>
  <c r="F44" i="78"/>
  <c r="L12" i="78"/>
  <c r="N12" i="78" s="1"/>
  <c r="F21" i="78"/>
  <c r="R20" i="80"/>
  <c r="D80" i="75"/>
  <c r="P73" i="79"/>
  <c r="X20" i="79"/>
  <c r="Z20" i="79" s="1"/>
  <c r="L27" i="72"/>
  <c r="D85" i="72"/>
  <c r="R31" i="75"/>
  <c r="V55" i="69"/>
  <c r="V43" i="69"/>
  <c r="V35" i="69"/>
  <c r="V72" i="69"/>
  <c r="V66" i="69"/>
  <c r="V62" i="69"/>
  <c r="V54" i="69"/>
  <c r="V46" i="69"/>
  <c r="V30" i="69"/>
  <c r="V26" i="69"/>
  <c r="V45" i="69"/>
  <c r="V17" i="69"/>
  <c r="V56" i="69"/>
  <c r="V48" i="69"/>
  <c r="V36" i="69"/>
  <c r="V32" i="69"/>
  <c r="Z12" i="69"/>
  <c r="V67" i="69"/>
  <c r="V63" i="69"/>
  <c r="V47" i="69"/>
  <c r="V31" i="69"/>
  <c r="V27" i="69"/>
  <c r="V23" i="69"/>
  <c r="X12" i="69"/>
  <c r="V50" i="69"/>
  <c r="V38" i="69"/>
  <c r="V22" i="69"/>
  <c r="V18" i="69"/>
  <c r="V69" i="69"/>
  <c r="V57" i="69"/>
  <c r="V49" i="69"/>
  <c r="V37" i="69"/>
  <c r="V33" i="69"/>
  <c r="T20" i="69"/>
  <c r="V20" i="69" s="1"/>
  <c r="V58" i="69"/>
  <c r="V42" i="69"/>
  <c r="V34" i="69"/>
  <c r="V65" i="69"/>
  <c r="V61" i="69"/>
  <c r="V53" i="69"/>
  <c r="V41" i="69"/>
  <c r="V29" i="69"/>
  <c r="V25" i="69"/>
  <c r="V52" i="69"/>
  <c r="V60" i="69"/>
  <c r="V70" i="69"/>
  <c r="V68" i="69"/>
  <c r="V64" i="69"/>
  <c r="V39" i="69"/>
  <c r="V16" i="69"/>
  <c r="V76" i="69"/>
  <c r="V59" i="69"/>
  <c r="V44" i="69"/>
  <c r="V40" i="69"/>
  <c r="V28" i="69"/>
  <c r="V24" i="69"/>
  <c r="V51" i="69"/>
  <c r="R121" i="68"/>
  <c r="R117" i="68"/>
  <c r="R113" i="68"/>
  <c r="R109" i="68"/>
  <c r="R105" i="68"/>
  <c r="R85" i="68"/>
  <c r="R81" i="68"/>
  <c r="R147" i="68"/>
  <c r="R144" i="68"/>
  <c r="R136" i="68"/>
  <c r="R129" i="68"/>
  <c r="R128" i="68"/>
  <c r="R72" i="68"/>
  <c r="R68" i="68"/>
  <c r="R64" i="68"/>
  <c r="R60" i="68"/>
  <c r="R56" i="68"/>
  <c r="R146" i="68"/>
  <c r="R100" i="68"/>
  <c r="R99" i="68"/>
  <c r="R91" i="68"/>
  <c r="R130" i="68"/>
  <c r="R122" i="68"/>
  <c r="R118" i="68"/>
  <c r="R114" i="68"/>
  <c r="R110" i="68"/>
  <c r="R106" i="68"/>
  <c r="R86" i="68"/>
  <c r="R82" i="68"/>
  <c r="R151" i="68"/>
  <c r="R137" i="68"/>
  <c r="R93" i="68"/>
  <c r="R92" i="68"/>
  <c r="R132" i="68"/>
  <c r="R131" i="68"/>
  <c r="R123" i="68"/>
  <c r="R119" i="68"/>
  <c r="R115" i="68"/>
  <c r="R111" i="68"/>
  <c r="R107" i="68"/>
  <c r="R103" i="68"/>
  <c r="R88" i="68"/>
  <c r="R87" i="68"/>
  <c r="R83" i="68"/>
  <c r="R141" i="68"/>
  <c r="R140" i="68"/>
  <c r="R125" i="68"/>
  <c r="R124" i="68"/>
  <c r="R120" i="68"/>
  <c r="R116" i="68"/>
  <c r="R112" i="68"/>
  <c r="R108" i="68"/>
  <c r="R104" i="68"/>
  <c r="R97" i="68"/>
  <c r="R96" i="68"/>
  <c r="R84" i="68"/>
  <c r="R80" i="68"/>
  <c r="P76" i="68"/>
  <c r="R71" i="68"/>
  <c r="R67" i="68"/>
  <c r="R63" i="68"/>
  <c r="R59" i="68"/>
  <c r="R55" i="68"/>
  <c r="R95" i="68"/>
  <c r="R65" i="68"/>
  <c r="X12" i="68"/>
  <c r="Z12" i="68" s="1"/>
  <c r="R61" i="68"/>
  <c r="R135" i="68"/>
  <c r="R126" i="68"/>
  <c r="R102" i="68"/>
  <c r="R57" i="68"/>
  <c r="R53" i="68"/>
  <c r="R133" i="68"/>
  <c r="R74" i="68"/>
  <c r="R89" i="68"/>
  <c r="R78" i="68"/>
  <c r="R70" i="68"/>
  <c r="R142" i="68"/>
  <c r="R66" i="68"/>
  <c r="R138" i="68"/>
  <c r="R127" i="68"/>
  <c r="R98" i="68"/>
  <c r="R62" i="68"/>
  <c r="R134" i="68"/>
  <c r="R79" i="68"/>
  <c r="R54" i="68"/>
  <c r="R139" i="68"/>
  <c r="R101" i="68"/>
  <c r="R90" i="68"/>
  <c r="R73" i="68"/>
  <c r="R69" i="68"/>
  <c r="R58" i="68"/>
  <c r="R94" i="68"/>
  <c r="R143" i="68"/>
  <c r="D50" i="60"/>
  <c r="L16" i="60"/>
  <c r="T74" i="56"/>
  <c r="Z16" i="56"/>
  <c r="L73" i="57"/>
  <c r="D77" i="57"/>
  <c r="F108" i="51"/>
  <c r="F107" i="51"/>
  <c r="F88" i="51"/>
  <c r="F87" i="51"/>
  <c r="F52" i="51"/>
  <c r="F48" i="51"/>
  <c r="F44" i="51"/>
  <c r="F40" i="51"/>
  <c r="F99" i="51"/>
  <c r="F98" i="51"/>
  <c r="F79" i="51"/>
  <c r="F78" i="51"/>
  <c r="F71" i="51"/>
  <c r="F110" i="51"/>
  <c r="F109" i="51"/>
  <c r="F94" i="51"/>
  <c r="F90" i="51"/>
  <c r="F89" i="51"/>
  <c r="F66" i="51"/>
  <c r="F62" i="51"/>
  <c r="F101" i="51"/>
  <c r="F100" i="51"/>
  <c r="F81" i="51"/>
  <c r="F80" i="51"/>
  <c r="F53" i="51"/>
  <c r="F49" i="51"/>
  <c r="F45" i="51"/>
  <c r="F41" i="51"/>
  <c r="F117" i="51"/>
  <c r="F72" i="51"/>
  <c r="L12" i="51"/>
  <c r="F121" i="51"/>
  <c r="F116" i="51"/>
  <c r="F111" i="51"/>
  <c r="F103" i="51"/>
  <c r="F102" i="51"/>
  <c r="F95" i="51"/>
  <c r="F91" i="51"/>
  <c r="F83" i="51"/>
  <c r="F82" i="51"/>
  <c r="F67" i="51"/>
  <c r="F63" i="51"/>
  <c r="F59" i="51"/>
  <c r="F58" i="51"/>
  <c r="F115" i="51"/>
  <c r="F57" i="51"/>
  <c r="F50" i="51"/>
  <c r="F46" i="51"/>
  <c r="F42" i="51"/>
  <c r="F114" i="51"/>
  <c r="F85" i="51"/>
  <c r="F84" i="51"/>
  <c r="F73" i="51"/>
  <c r="F69" i="51"/>
  <c r="F68" i="51"/>
  <c r="D55" i="51"/>
  <c r="F113" i="51"/>
  <c r="F104" i="51"/>
  <c r="F96" i="51"/>
  <c r="F92" i="51"/>
  <c r="F64" i="51"/>
  <c r="F60" i="51"/>
  <c r="F97" i="51"/>
  <c r="F93" i="51"/>
  <c r="F77" i="51"/>
  <c r="F76" i="51"/>
  <c r="F65" i="51"/>
  <c r="F61" i="51"/>
  <c r="F106" i="51"/>
  <c r="F38" i="51"/>
  <c r="F86" i="51"/>
  <c r="F75" i="51"/>
  <c r="F105" i="51"/>
  <c r="F39" i="51"/>
  <c r="F74" i="51"/>
  <c r="F51" i="51"/>
  <c r="F47" i="51"/>
  <c r="F43" i="51"/>
  <c r="F70" i="51"/>
  <c r="L16" i="54"/>
  <c r="D22" i="54"/>
  <c r="V121" i="51"/>
  <c r="V113" i="51"/>
  <c r="V111" i="51"/>
  <c r="V103" i="51"/>
  <c r="V95" i="51"/>
  <c r="V91" i="51"/>
  <c r="V83" i="51"/>
  <c r="V67" i="51"/>
  <c r="V63" i="51"/>
  <c r="V59" i="51"/>
  <c r="V74" i="51"/>
  <c r="V105" i="51"/>
  <c r="V85" i="51"/>
  <c r="V73" i="51"/>
  <c r="V69" i="51"/>
  <c r="V104" i="51"/>
  <c r="V96" i="51"/>
  <c r="V92" i="51"/>
  <c r="V76" i="51"/>
  <c r="V64" i="51"/>
  <c r="V60" i="51"/>
  <c r="V107" i="51"/>
  <c r="V87" i="51"/>
  <c r="V75" i="51"/>
  <c r="V51" i="51"/>
  <c r="V47" i="51"/>
  <c r="V43" i="51"/>
  <c r="V39" i="51"/>
  <c r="V106" i="51"/>
  <c r="V98" i="51"/>
  <c r="V86" i="51"/>
  <c r="V78" i="51"/>
  <c r="V70" i="51"/>
  <c r="V109" i="51"/>
  <c r="V97" i="51"/>
  <c r="V93" i="51"/>
  <c r="V89" i="51"/>
  <c r="V77" i="51"/>
  <c r="V65" i="51"/>
  <c r="V61" i="51"/>
  <c r="V108" i="51"/>
  <c r="V100" i="51"/>
  <c r="V88" i="51"/>
  <c r="V80" i="51"/>
  <c r="V52" i="51"/>
  <c r="V48" i="51"/>
  <c r="V44" i="51"/>
  <c r="V40" i="51"/>
  <c r="V117" i="51"/>
  <c r="V99" i="51"/>
  <c r="V79" i="51"/>
  <c r="V71" i="51"/>
  <c r="V114" i="51"/>
  <c r="V84" i="51"/>
  <c r="V72" i="51"/>
  <c r="V68" i="51"/>
  <c r="T55" i="51"/>
  <c r="V116" i="51"/>
  <c r="V81" i="51"/>
  <c r="V62" i="51"/>
  <c r="V42" i="51"/>
  <c r="V90" i="51"/>
  <c r="V82" i="51"/>
  <c r="V57" i="51"/>
  <c r="V50" i="51"/>
  <c r="V46" i="51"/>
  <c r="V101" i="51"/>
  <c r="V66" i="51"/>
  <c r="V94" i="51"/>
  <c r="V58" i="51"/>
  <c r="V102" i="51"/>
  <c r="V41" i="51"/>
  <c r="V53" i="51"/>
  <c r="V110" i="51"/>
  <c r="V38" i="51"/>
  <c r="Z12" i="51"/>
  <c r="V115" i="51"/>
  <c r="V55" i="51"/>
  <c r="V45" i="51"/>
  <c r="V49" i="51"/>
  <c r="H136" i="39"/>
  <c r="L94" i="33"/>
  <c r="H129" i="36"/>
  <c r="P164" i="24"/>
  <c r="J72" i="30"/>
  <c r="T132" i="27"/>
  <c r="X303" i="12"/>
  <c r="F294" i="15"/>
  <c r="N211" i="3"/>
  <c r="H362" i="3"/>
  <c r="L18" i="111"/>
  <c r="D27" i="111"/>
  <c r="T27" i="52"/>
  <c r="Z18" i="52"/>
  <c r="H27" i="47"/>
  <c r="N18" i="47"/>
  <c r="P27" i="47"/>
  <c r="X18" i="47"/>
  <c r="H27" i="38"/>
  <c r="N18" i="38"/>
  <c r="X18" i="28"/>
  <c r="P27" i="28"/>
  <c r="L18" i="26"/>
  <c r="D27" i="26"/>
  <c r="H27" i="17"/>
  <c r="N18" i="17"/>
  <c r="T27" i="19"/>
  <c r="Z18" i="19"/>
  <c r="X18" i="44"/>
  <c r="P27" i="44"/>
  <c r="X16" i="108"/>
  <c r="H85" i="105"/>
  <c r="T85" i="105"/>
  <c r="Z21" i="105"/>
  <c r="X16" i="102"/>
  <c r="P51" i="102"/>
  <c r="L12" i="100"/>
  <c r="P53" i="98"/>
  <c r="X20" i="98"/>
  <c r="F79" i="94"/>
  <c r="F17" i="94"/>
  <c r="F16" i="94"/>
  <c r="F68" i="94"/>
  <c r="F64" i="94"/>
  <c r="F44" i="94"/>
  <c r="F43" i="94"/>
  <c r="F36" i="94"/>
  <c r="L12" i="94"/>
  <c r="F55" i="94"/>
  <c r="F84" i="94"/>
  <c r="F81" i="94"/>
  <c r="F46" i="94"/>
  <c r="F45" i="94"/>
  <c r="F18" i="94"/>
  <c r="F69" i="94"/>
  <c r="F65" i="94"/>
  <c r="F57" i="94"/>
  <c r="F56" i="94"/>
  <c r="F37" i="94"/>
  <c r="F33" i="94"/>
  <c r="F32" i="94"/>
  <c r="F48" i="94"/>
  <c r="F47" i="94"/>
  <c r="F28" i="94"/>
  <c r="F24" i="94"/>
  <c r="F23" i="94"/>
  <c r="F52" i="94"/>
  <c r="F51" i="94"/>
  <c r="F40" i="94"/>
  <c r="F39" i="94"/>
  <c r="F67" i="94"/>
  <c r="F63" i="94"/>
  <c r="F62" i="94"/>
  <c r="F77" i="94"/>
  <c r="F75" i="94"/>
  <c r="F54" i="94"/>
  <c r="F53" i="94"/>
  <c r="F42" i="94"/>
  <c r="F41" i="94"/>
  <c r="F49" i="94"/>
  <c r="F26" i="94"/>
  <c r="F72" i="94"/>
  <c r="F70" i="94"/>
  <c r="F66" i="94"/>
  <c r="F31" i="94"/>
  <c r="F20" i="94"/>
  <c r="F60" i="94"/>
  <c r="F58" i="94"/>
  <c r="D20" i="94"/>
  <c r="F38" i="94"/>
  <c r="F34" i="94"/>
  <c r="F29" i="94"/>
  <c r="F27" i="94"/>
  <c r="F73" i="94"/>
  <c r="F25" i="94"/>
  <c r="F22" i="94"/>
  <c r="F59" i="94"/>
  <c r="F30" i="94"/>
  <c r="F35" i="94"/>
  <c r="F61" i="94"/>
  <c r="F71" i="94"/>
  <c r="F50" i="94"/>
  <c r="V72" i="92"/>
  <c r="V68" i="92"/>
  <c r="V64" i="92"/>
  <c r="V56" i="92"/>
  <c r="V48" i="92"/>
  <c r="V75" i="92"/>
  <c r="V63" i="92"/>
  <c r="V47" i="92"/>
  <c r="V74" i="92"/>
  <c r="V69" i="92"/>
  <c r="V65" i="92"/>
  <c r="V57" i="92"/>
  <c r="V49" i="92"/>
  <c r="V78" i="92"/>
  <c r="V76" i="92"/>
  <c r="V60" i="92"/>
  <c r="V52" i="92"/>
  <c r="V40" i="92"/>
  <c r="V70" i="92"/>
  <c r="V66" i="92"/>
  <c r="V54" i="92"/>
  <c r="V42" i="92"/>
  <c r="V71" i="92"/>
  <c r="V67" i="92"/>
  <c r="V55" i="92"/>
  <c r="V43" i="92"/>
  <c r="V62" i="92"/>
  <c r="V46" i="92"/>
  <c r="V73" i="92"/>
  <c r="V45" i="92"/>
  <c r="V35" i="92"/>
  <c r="V33" i="92"/>
  <c r="V27" i="92"/>
  <c r="V24" i="92"/>
  <c r="V23" i="92"/>
  <c r="V21" i="92"/>
  <c r="V19" i="92"/>
  <c r="V58" i="92"/>
  <c r="V30" i="92"/>
  <c r="T21" i="92"/>
  <c r="V82" i="92"/>
  <c r="V53" i="92"/>
  <c r="V44" i="92"/>
  <c r="V41" i="92"/>
  <c r="V38" i="92"/>
  <c r="V51" i="92"/>
  <c r="V28" i="92"/>
  <c r="V25" i="92"/>
  <c r="V36" i="92"/>
  <c r="V61" i="92"/>
  <c r="V50" i="92"/>
  <c r="V39" i="92"/>
  <c r="V59" i="92"/>
  <c r="V29" i="92"/>
  <c r="V18" i="92"/>
  <c r="V37" i="92"/>
  <c r="V32" i="92"/>
  <c r="Z12" i="92"/>
  <c r="V17" i="92"/>
  <c r="V31" i="92"/>
  <c r="V26" i="92"/>
  <c r="V34" i="92"/>
  <c r="D30" i="85"/>
  <c r="L18" i="85"/>
  <c r="N18" i="85" s="1"/>
  <c r="L12" i="80"/>
  <c r="N12" i="80" s="1"/>
  <c r="J22" i="82"/>
  <c r="F31" i="75"/>
  <c r="H130" i="70"/>
  <c r="P73" i="57"/>
  <c r="X16" i="57"/>
  <c r="L16" i="57"/>
  <c r="P73" i="48"/>
  <c r="X17" i="48"/>
  <c r="Z17" i="48" s="1"/>
  <c r="H95" i="45"/>
  <c r="R121" i="42"/>
  <c r="T165" i="30"/>
  <c r="Z72" i="30"/>
  <c r="N16" i="9"/>
  <c r="H93" i="9"/>
  <c r="F170" i="15"/>
  <c r="T93" i="9"/>
  <c r="Z16" i="9"/>
  <c r="V303" i="12"/>
  <c r="P362" i="3"/>
  <c r="X211" i="3"/>
  <c r="Z211" i="3" s="1"/>
  <c r="L18" i="112"/>
  <c r="D27" i="112"/>
  <c r="T27" i="50"/>
  <c r="Z18" i="50"/>
  <c r="T27" i="44"/>
  <c r="Z18" i="44"/>
  <c r="T27" i="40"/>
  <c r="Z18" i="40"/>
  <c r="Z18" i="41"/>
  <c r="T27" i="41"/>
  <c r="L18" i="35"/>
  <c r="D27" i="35"/>
  <c r="T27" i="29"/>
  <c r="Z18" i="29"/>
  <c r="L18" i="17"/>
  <c r="D27" i="17"/>
  <c r="T27" i="23"/>
  <c r="Z18" i="23"/>
  <c r="H27" i="10"/>
  <c r="N18" i="10"/>
  <c r="D27" i="4"/>
  <c r="L18" i="4"/>
  <c r="T30" i="82"/>
  <c r="D86" i="87"/>
  <c r="Z20" i="80"/>
  <c r="T82" i="80"/>
  <c r="V20" i="80"/>
  <c r="Z113" i="76"/>
  <c r="F63" i="79"/>
  <c r="F59" i="79"/>
  <c r="F35" i="79"/>
  <c r="F80" i="79"/>
  <c r="F77" i="79"/>
  <c r="F54" i="79"/>
  <c r="F53" i="79"/>
  <c r="F46" i="79"/>
  <c r="F45" i="79"/>
  <c r="F30" i="79"/>
  <c r="F26" i="79"/>
  <c r="F65" i="79"/>
  <c r="F64" i="79"/>
  <c r="F17" i="79"/>
  <c r="F16" i="79"/>
  <c r="F60" i="79"/>
  <c r="F48" i="79"/>
  <c r="F47" i="79"/>
  <c r="F36" i="79"/>
  <c r="F32" i="79"/>
  <c r="F31" i="79"/>
  <c r="L12" i="79"/>
  <c r="N12" i="79" s="1"/>
  <c r="F67" i="79"/>
  <c r="F66" i="79"/>
  <c r="F55" i="79"/>
  <c r="F27" i="79"/>
  <c r="F38" i="79"/>
  <c r="F37" i="79"/>
  <c r="F18" i="79"/>
  <c r="F69" i="79"/>
  <c r="F68" i="79"/>
  <c r="F61" i="79"/>
  <c r="F49" i="79"/>
  <c r="F33" i="79"/>
  <c r="F56" i="79"/>
  <c r="F40" i="79"/>
  <c r="F39" i="79"/>
  <c r="F28" i="79"/>
  <c r="F73" i="79"/>
  <c r="F71" i="79"/>
  <c r="F62" i="79"/>
  <c r="F58" i="79"/>
  <c r="F57" i="79"/>
  <c r="F50" i="79"/>
  <c r="F42" i="79"/>
  <c r="F41" i="79"/>
  <c r="F34" i="79"/>
  <c r="D20" i="79"/>
  <c r="F75" i="79"/>
  <c r="F29" i="79"/>
  <c r="F25" i="79"/>
  <c r="F52" i="79"/>
  <c r="F51" i="79"/>
  <c r="F44" i="79"/>
  <c r="F43" i="79"/>
  <c r="F20" i="79"/>
  <c r="F23" i="79"/>
  <c r="F22" i="79"/>
  <c r="F24" i="79"/>
  <c r="J64" i="79"/>
  <c r="J54" i="79"/>
  <c r="J46" i="79"/>
  <c r="J30" i="79"/>
  <c r="J26" i="79"/>
  <c r="J16" i="79"/>
  <c r="J65" i="79"/>
  <c r="J47" i="79"/>
  <c r="J31" i="79"/>
  <c r="J17" i="79"/>
  <c r="J66" i="79"/>
  <c r="J60" i="79"/>
  <c r="J48" i="79"/>
  <c r="J36" i="79"/>
  <c r="J32" i="79"/>
  <c r="J67" i="79"/>
  <c r="J55" i="79"/>
  <c r="J37" i="79"/>
  <c r="J27" i="79"/>
  <c r="J68" i="79"/>
  <c r="J38" i="79"/>
  <c r="J18" i="79"/>
  <c r="J69" i="79"/>
  <c r="J61" i="79"/>
  <c r="J49" i="79"/>
  <c r="J39" i="79"/>
  <c r="J33" i="79"/>
  <c r="J23" i="79"/>
  <c r="J56" i="79"/>
  <c r="J40" i="79"/>
  <c r="J28" i="79"/>
  <c r="J24" i="79"/>
  <c r="J22" i="79"/>
  <c r="J20" i="79"/>
  <c r="J71" i="79"/>
  <c r="J57" i="79"/>
  <c r="J41" i="79"/>
  <c r="J75" i="79"/>
  <c r="J51" i="79"/>
  <c r="J43" i="79"/>
  <c r="J29" i="79"/>
  <c r="J25" i="79"/>
  <c r="J52" i="79"/>
  <c r="J44" i="79"/>
  <c r="J63" i="79"/>
  <c r="J59" i="79"/>
  <c r="J53" i="79"/>
  <c r="J45" i="79"/>
  <c r="J35" i="79"/>
  <c r="J42" i="79"/>
  <c r="H20" i="79"/>
  <c r="J50" i="79"/>
  <c r="J62" i="79"/>
  <c r="J34" i="79"/>
  <c r="J58" i="79"/>
  <c r="V104" i="76"/>
  <c r="V96" i="76"/>
  <c r="V92" i="76"/>
  <c r="V76" i="76"/>
  <c r="V64" i="76"/>
  <c r="V60" i="76"/>
  <c r="V107" i="76"/>
  <c r="V87" i="76"/>
  <c r="V75" i="76"/>
  <c r="V51" i="76"/>
  <c r="V47" i="76"/>
  <c r="V43" i="76"/>
  <c r="V39" i="76"/>
  <c r="V106" i="76"/>
  <c r="V98" i="76"/>
  <c r="V109" i="76"/>
  <c r="V97" i="76"/>
  <c r="V93" i="76"/>
  <c r="V89" i="76"/>
  <c r="V77" i="76"/>
  <c r="V65" i="76"/>
  <c r="V61" i="76"/>
  <c r="V117" i="76"/>
  <c r="V99" i="76"/>
  <c r="V79" i="76"/>
  <c r="V71" i="76"/>
  <c r="V116" i="76"/>
  <c r="V110" i="76"/>
  <c r="V102" i="76"/>
  <c r="V94" i="76"/>
  <c r="V90" i="76"/>
  <c r="V82" i="76"/>
  <c r="V66" i="76"/>
  <c r="V62" i="76"/>
  <c r="V58" i="76"/>
  <c r="V121" i="76"/>
  <c r="V113" i="76"/>
  <c r="V111" i="76"/>
  <c r="V103" i="76"/>
  <c r="V95" i="76"/>
  <c r="V91" i="76"/>
  <c r="V83" i="76"/>
  <c r="V67" i="76"/>
  <c r="V63" i="76"/>
  <c r="V59" i="76"/>
  <c r="V74" i="76"/>
  <c r="V50" i="76"/>
  <c r="V46" i="76"/>
  <c r="V42" i="76"/>
  <c r="V38" i="76"/>
  <c r="V105" i="76"/>
  <c r="V85" i="76"/>
  <c r="V73" i="76"/>
  <c r="V69" i="76"/>
  <c r="V72" i="76"/>
  <c r="V53" i="76"/>
  <c r="V114" i="76"/>
  <c r="V101" i="76"/>
  <c r="V41" i="76"/>
  <c r="Z12" i="76"/>
  <c r="V57" i="76"/>
  <c r="V49" i="76"/>
  <c r="V45" i="76"/>
  <c r="V80" i="76"/>
  <c r="V78" i="76"/>
  <c r="V108" i="76"/>
  <c r="V70" i="76"/>
  <c r="V55" i="76"/>
  <c r="V52" i="76"/>
  <c r="V40" i="76"/>
  <c r="V86" i="76"/>
  <c r="V84" i="76"/>
  <c r="V81" i="76"/>
  <c r="V48" i="76"/>
  <c r="V44" i="76"/>
  <c r="T55" i="76"/>
  <c r="V68" i="76"/>
  <c r="V88" i="76"/>
  <c r="V100" i="76"/>
  <c r="V115" i="76"/>
  <c r="R81" i="72"/>
  <c r="R44" i="72"/>
  <c r="R40" i="72"/>
  <c r="R29" i="72"/>
  <c r="X12" i="72"/>
  <c r="Z12" i="72" s="1"/>
  <c r="R75" i="72"/>
  <c r="R63" i="72"/>
  <c r="R56" i="72"/>
  <c r="R55" i="72"/>
  <c r="R35" i="72"/>
  <c r="R31" i="72"/>
  <c r="P27" i="72"/>
  <c r="R27" i="72" s="1"/>
  <c r="R83" i="72"/>
  <c r="R71" i="72"/>
  <c r="R70" i="72"/>
  <c r="R57" i="72"/>
  <c r="R46" i="72"/>
  <c r="R45" i="72"/>
  <c r="R41" i="72"/>
  <c r="R76" i="72"/>
  <c r="R72" i="72"/>
  <c r="R65" i="72"/>
  <c r="R64" i="72"/>
  <c r="R36" i="72"/>
  <c r="R32" i="72"/>
  <c r="R48" i="72"/>
  <c r="R47" i="72"/>
  <c r="R66" i="72"/>
  <c r="R59" i="72"/>
  <c r="R58" i="72"/>
  <c r="R42" i="72"/>
  <c r="R23" i="72"/>
  <c r="R80" i="72"/>
  <c r="R79" i="72"/>
  <c r="R68" i="72"/>
  <c r="R67" i="72"/>
  <c r="R52" i="72"/>
  <c r="R51" i="72"/>
  <c r="R43" i="72"/>
  <c r="R74" i="72"/>
  <c r="R62" i="72"/>
  <c r="R39" i="72"/>
  <c r="R38" i="72"/>
  <c r="R34" i="72"/>
  <c r="R61" i="72"/>
  <c r="R37" i="72"/>
  <c r="R24" i="72"/>
  <c r="R73" i="72"/>
  <c r="R53" i="72"/>
  <c r="R49" i="72"/>
  <c r="R30" i="72"/>
  <c r="R87" i="72"/>
  <c r="R77" i="72"/>
  <c r="R69" i="72"/>
  <c r="R60" i="72"/>
  <c r="R78" i="72"/>
  <c r="R33" i="72"/>
  <c r="R25" i="72"/>
  <c r="R50" i="72"/>
  <c r="R54" i="72"/>
  <c r="F133" i="68"/>
  <c r="F132" i="68"/>
  <c r="F89" i="68"/>
  <c r="F88" i="68"/>
  <c r="F140" i="68"/>
  <c r="F139" i="68"/>
  <c r="F124" i="68"/>
  <c r="F120" i="68"/>
  <c r="F116" i="68"/>
  <c r="F112" i="68"/>
  <c r="F108" i="68"/>
  <c r="F104" i="68"/>
  <c r="F96" i="68"/>
  <c r="F95" i="68"/>
  <c r="F84" i="68"/>
  <c r="F80" i="68"/>
  <c r="F79" i="68"/>
  <c r="F78" i="68"/>
  <c r="F76" i="68"/>
  <c r="F71" i="68"/>
  <c r="F67" i="68"/>
  <c r="F63" i="68"/>
  <c r="F59" i="68"/>
  <c r="F55" i="68"/>
  <c r="F142" i="68"/>
  <c r="F141" i="68"/>
  <c r="F134" i="68"/>
  <c r="F126" i="68"/>
  <c r="F125" i="68"/>
  <c r="F98" i="68"/>
  <c r="F97" i="68"/>
  <c r="F90" i="68"/>
  <c r="D76" i="68"/>
  <c r="F144" i="68"/>
  <c r="F143" i="68"/>
  <c r="F136" i="68"/>
  <c r="F135" i="68"/>
  <c r="F128" i="68"/>
  <c r="F127" i="68"/>
  <c r="F72" i="68"/>
  <c r="F99" i="68"/>
  <c r="F91" i="68"/>
  <c r="F92" i="68"/>
  <c r="L12" i="68"/>
  <c r="N12" i="68" s="1"/>
  <c r="F131" i="68"/>
  <c r="F123" i="68"/>
  <c r="F119" i="68"/>
  <c r="F115" i="68"/>
  <c r="F111" i="68"/>
  <c r="F107" i="68"/>
  <c r="F103" i="68"/>
  <c r="F102" i="68"/>
  <c r="F87" i="68"/>
  <c r="F83" i="68"/>
  <c r="F110" i="68"/>
  <c r="F86" i="68"/>
  <c r="F56" i="68"/>
  <c r="F54" i="68"/>
  <c r="F151" i="68"/>
  <c r="F122" i="68"/>
  <c r="F81" i="68"/>
  <c r="F105" i="68"/>
  <c r="F101" i="68"/>
  <c r="F73" i="68"/>
  <c r="F149" i="68"/>
  <c r="F146" i="68"/>
  <c r="F117" i="68"/>
  <c r="F69" i="68"/>
  <c r="F65" i="68"/>
  <c r="F156" i="68"/>
  <c r="F137" i="68"/>
  <c r="F114" i="68"/>
  <c r="F109" i="68"/>
  <c r="F85" i="68"/>
  <c r="F61" i="68"/>
  <c r="F121" i="68"/>
  <c r="F93" i="68"/>
  <c r="F57" i="68"/>
  <c r="F129" i="68"/>
  <c r="F106" i="68"/>
  <c r="F74" i="68"/>
  <c r="F100" i="68"/>
  <c r="F68" i="68"/>
  <c r="F66" i="68"/>
  <c r="F147" i="68"/>
  <c r="F138" i="68"/>
  <c r="F118" i="68"/>
  <c r="F113" i="68"/>
  <c r="F64" i="68"/>
  <c r="F62" i="68"/>
  <c r="F94" i="68"/>
  <c r="F153" i="68"/>
  <c r="F60" i="68"/>
  <c r="F58" i="68"/>
  <c r="F53" i="68"/>
  <c r="F130" i="68"/>
  <c r="F70" i="68"/>
  <c r="F82" i="68"/>
  <c r="T55" i="102"/>
  <c r="Z16" i="60"/>
  <c r="T50" i="60"/>
  <c r="Z16" i="58"/>
  <c r="T74" i="58"/>
  <c r="P67" i="59"/>
  <c r="X16" i="59"/>
  <c r="Z16" i="57"/>
  <c r="T73" i="57"/>
  <c r="T66" i="67"/>
  <c r="Z113" i="51"/>
  <c r="P54" i="60"/>
  <c r="T77" i="48"/>
  <c r="F104" i="33"/>
  <c r="F99" i="33"/>
  <c r="F90" i="33"/>
  <c r="F89" i="33"/>
  <c r="F70" i="33"/>
  <c r="F69" i="33"/>
  <c r="F50" i="33"/>
  <c r="F46" i="33"/>
  <c r="F45" i="33"/>
  <c r="F98" i="33"/>
  <c r="F85" i="33"/>
  <c r="F77" i="33"/>
  <c r="F44" i="33"/>
  <c r="F37" i="33"/>
  <c r="F97" i="33"/>
  <c r="F92" i="33"/>
  <c r="F91" i="33"/>
  <c r="F60" i="33"/>
  <c r="F56" i="33"/>
  <c r="D42" i="33"/>
  <c r="F42" i="33" s="1"/>
  <c r="L12" i="33"/>
  <c r="N12" i="33" s="1"/>
  <c r="F96" i="33"/>
  <c r="F79" i="33"/>
  <c r="F78" i="33"/>
  <c r="F71" i="33"/>
  <c r="F51" i="33"/>
  <c r="F47" i="33"/>
  <c r="F95" i="33"/>
  <c r="F86" i="33"/>
  <c r="F62" i="33"/>
  <c r="F61" i="33"/>
  <c r="F38" i="33"/>
  <c r="F94" i="33"/>
  <c r="F73" i="33"/>
  <c r="F72" i="33"/>
  <c r="F57" i="33"/>
  <c r="F80" i="33"/>
  <c r="F64" i="33"/>
  <c r="F63" i="33"/>
  <c r="F52" i="33"/>
  <c r="F48" i="33"/>
  <c r="F87" i="33"/>
  <c r="F75" i="33"/>
  <c r="F74" i="33"/>
  <c r="F39" i="33"/>
  <c r="F82" i="33"/>
  <c r="F81" i="33"/>
  <c r="F66" i="33"/>
  <c r="F65" i="33"/>
  <c r="F58" i="33"/>
  <c r="F53" i="33"/>
  <c r="F49" i="33"/>
  <c r="F100" i="33"/>
  <c r="F59" i="33"/>
  <c r="F55" i="33"/>
  <c r="F54" i="33"/>
  <c r="F76" i="33"/>
  <c r="F40" i="33"/>
  <c r="F84" i="33"/>
  <c r="F68" i="33"/>
  <c r="F88" i="33"/>
  <c r="F36" i="33"/>
  <c r="F83" i="33"/>
  <c r="F35" i="33"/>
  <c r="F67" i="33"/>
  <c r="D132" i="27"/>
  <c r="L64" i="27"/>
  <c r="V325" i="18"/>
  <c r="V319" i="18"/>
  <c r="V307" i="18"/>
  <c r="V303" i="18"/>
  <c r="V291" i="18"/>
  <c r="V239" i="18"/>
  <c r="V191" i="18"/>
  <c r="V187" i="18"/>
  <c r="V183" i="18"/>
  <c r="V179" i="18"/>
  <c r="V175" i="18"/>
  <c r="V171" i="18"/>
  <c r="V167" i="18"/>
  <c r="V163" i="18"/>
  <c r="V159" i="18"/>
  <c r="V155" i="18"/>
  <c r="V151" i="18"/>
  <c r="V147" i="18"/>
  <c r="V143" i="18"/>
  <c r="V139" i="18"/>
  <c r="V135" i="18"/>
  <c r="V324" i="18"/>
  <c r="V314" i="18"/>
  <c r="V286" i="18"/>
  <c r="V278" i="18"/>
  <c r="V274" i="18"/>
  <c r="V270" i="18"/>
  <c r="V266" i="18"/>
  <c r="V262" i="18"/>
  <c r="V258" i="18"/>
  <c r="V254" i="18"/>
  <c r="V250" i="18"/>
  <c r="V246" i="18"/>
  <c r="V238" i="18"/>
  <c r="V230" i="18"/>
  <c r="V222" i="18"/>
  <c r="V214" i="18"/>
  <c r="V210" i="18"/>
  <c r="V335" i="18"/>
  <c r="V323" i="18"/>
  <c r="V321" i="18"/>
  <c r="V313" i="18"/>
  <c r="V297" i="18"/>
  <c r="V241" i="18"/>
  <c r="V229" i="18"/>
  <c r="V221" i="18"/>
  <c r="V205" i="18"/>
  <c r="V201" i="18"/>
  <c r="V334" i="18"/>
  <c r="V316" i="18"/>
  <c r="V308" i="18"/>
  <c r="V304" i="18"/>
  <c r="V292" i="18"/>
  <c r="V240" i="18"/>
  <c r="V232" i="18"/>
  <c r="V224" i="18"/>
  <c r="V192" i="18"/>
  <c r="V188" i="18"/>
  <c r="V184" i="18"/>
  <c r="V180" i="18"/>
  <c r="V176" i="18"/>
  <c r="V172" i="18"/>
  <c r="V168" i="18"/>
  <c r="V164" i="18"/>
  <c r="V160" i="18"/>
  <c r="V156" i="18"/>
  <c r="V152" i="18"/>
  <c r="V148" i="18"/>
  <c r="V144" i="18"/>
  <c r="V140" i="18"/>
  <c r="V136" i="18"/>
  <c r="V333" i="18"/>
  <c r="V315" i="18"/>
  <c r="V299" i="18"/>
  <c r="V287" i="18"/>
  <c r="V279" i="18"/>
  <c r="V275" i="18"/>
  <c r="V271" i="18"/>
  <c r="V267" i="18"/>
  <c r="V263" i="18"/>
  <c r="V259" i="18"/>
  <c r="V255" i="18"/>
  <c r="V251" i="18"/>
  <c r="V247" i="18"/>
  <c r="V243" i="18"/>
  <c r="V231" i="18"/>
  <c r="V223" i="18"/>
  <c r="V215" i="18"/>
  <c r="V211" i="18"/>
  <c r="V332" i="18"/>
  <c r="V298" i="18"/>
  <c r="V294" i="18"/>
  <c r="V242" i="18"/>
  <c r="V234" i="18"/>
  <c r="V206" i="18"/>
  <c r="V202" i="18"/>
  <c r="V339" i="18"/>
  <c r="V331" i="18"/>
  <c r="V317" i="18"/>
  <c r="V309" i="18"/>
  <c r="V305" i="18"/>
  <c r="V293" i="18"/>
  <c r="V281" i="18"/>
  <c r="V233" i="18"/>
  <c r="V225" i="18"/>
  <c r="V217" i="18"/>
  <c r="V193" i="18"/>
  <c r="V189" i="18"/>
  <c r="V185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330" i="18"/>
  <c r="V300" i="18"/>
  <c r="V288" i="18"/>
  <c r="V280" i="18"/>
  <c r="V276" i="18"/>
  <c r="V272" i="18"/>
  <c r="V268" i="18"/>
  <c r="V264" i="18"/>
  <c r="V260" i="18"/>
  <c r="V256" i="18"/>
  <c r="V252" i="18"/>
  <c r="V248" i="18"/>
  <c r="V244" i="18"/>
  <c r="V236" i="18"/>
  <c r="V216" i="18"/>
  <c r="V212" i="18"/>
  <c r="Z12" i="18"/>
  <c r="V329" i="18"/>
  <c r="V311" i="18"/>
  <c r="V295" i="18"/>
  <c r="V283" i="18"/>
  <c r="V235" i="18"/>
  <c r="V227" i="18"/>
  <c r="V219" i="18"/>
  <c r="V207" i="18"/>
  <c r="V203" i="18"/>
  <c r="V199" i="18"/>
  <c r="V328" i="18"/>
  <c r="V318" i="18"/>
  <c r="V310" i="18"/>
  <c r="V306" i="18"/>
  <c r="V302" i="18"/>
  <c r="V290" i="18"/>
  <c r="V282" i="18"/>
  <c r="V226" i="18"/>
  <c r="V218" i="18"/>
  <c r="V198" i="18"/>
  <c r="V194" i="18"/>
  <c r="V190" i="18"/>
  <c r="V186" i="18"/>
  <c r="V182" i="18"/>
  <c r="V178" i="18"/>
  <c r="V174" i="18"/>
  <c r="V170" i="18"/>
  <c r="V166" i="18"/>
  <c r="V162" i="18"/>
  <c r="V158" i="18"/>
  <c r="V154" i="18"/>
  <c r="V150" i="18"/>
  <c r="V146" i="18"/>
  <c r="V142" i="18"/>
  <c r="V138" i="18"/>
  <c r="V326" i="18"/>
  <c r="V320" i="18"/>
  <c r="V312" i="18"/>
  <c r="V296" i="18"/>
  <c r="V284" i="18"/>
  <c r="V228" i="18"/>
  <c r="V220" i="18"/>
  <c r="V208" i="18"/>
  <c r="V204" i="18"/>
  <c r="V200" i="18"/>
  <c r="V289" i="18"/>
  <c r="V273" i="18"/>
  <c r="V253" i="18"/>
  <c r="V301" i="18"/>
  <c r="V269" i="18"/>
  <c r="V249" i="18"/>
  <c r="V285" i="18"/>
  <c r="V265" i="18"/>
  <c r="T196" i="18"/>
  <c r="V196" i="18" s="1"/>
  <c r="V261" i="18"/>
  <c r="V245" i="18"/>
  <c r="V213" i="18"/>
  <c r="V209" i="18"/>
  <c r="V277" i="18"/>
  <c r="V257" i="18"/>
  <c r="V327" i="18"/>
  <c r="V237" i="18"/>
  <c r="T314" i="12"/>
  <c r="H27" i="52"/>
  <c r="N18" i="52"/>
  <c r="T27" i="46"/>
  <c r="Z18" i="46"/>
  <c r="L18" i="32"/>
  <c r="D27" i="32"/>
  <c r="T27" i="35"/>
  <c r="Z18" i="35"/>
  <c r="P27" i="34"/>
  <c r="X18" i="34"/>
  <c r="X18" i="25"/>
  <c r="P27" i="25"/>
  <c r="L18" i="25"/>
  <c r="D27" i="25"/>
  <c r="X18" i="20"/>
  <c r="P27" i="20"/>
  <c r="T27" i="10"/>
  <c r="Z18" i="10"/>
  <c r="L18" i="13"/>
  <c r="D27" i="13"/>
  <c r="L18" i="8"/>
  <c r="D27" i="8"/>
  <c r="T27" i="11"/>
  <c r="Z18" i="11"/>
  <c r="T27" i="38"/>
  <c r="Z18" i="38"/>
  <c r="V17" i="109"/>
  <c r="T75" i="93"/>
  <c r="N16" i="108"/>
  <c r="H37" i="108"/>
  <c r="L16" i="108"/>
  <c r="J66" i="107"/>
  <c r="J58" i="107"/>
  <c r="J46" i="107"/>
  <c r="J38" i="107"/>
  <c r="J24" i="107"/>
  <c r="J85" i="107"/>
  <c r="J59" i="107"/>
  <c r="J47" i="107"/>
  <c r="J33" i="107"/>
  <c r="J29" i="107"/>
  <c r="J25" i="107"/>
  <c r="J76" i="107"/>
  <c r="J72" i="107"/>
  <c r="J60" i="107"/>
  <c r="J48" i="107"/>
  <c r="J89" i="107"/>
  <c r="J77" i="107"/>
  <c r="J67" i="107"/>
  <c r="J61" i="107"/>
  <c r="J49" i="107"/>
  <c r="J39" i="107"/>
  <c r="J35" i="107"/>
  <c r="J79" i="107"/>
  <c r="J73" i="107"/>
  <c r="J51" i="107"/>
  <c r="J82" i="107"/>
  <c r="J74" i="107"/>
  <c r="J70" i="107"/>
  <c r="J54" i="107"/>
  <c r="J42" i="107"/>
  <c r="J80" i="107"/>
  <c r="J32" i="107"/>
  <c r="J71" i="107"/>
  <c r="J63" i="107"/>
  <c r="J36" i="107"/>
  <c r="J30" i="107"/>
  <c r="J75" i="107"/>
  <c r="J69" i="107"/>
  <c r="J41" i="107"/>
  <c r="J19" i="107"/>
  <c r="J83" i="107"/>
  <c r="J53" i="107"/>
  <c r="J81" i="107"/>
  <c r="J50" i="107"/>
  <c r="J44" i="107"/>
  <c r="J78" i="107"/>
  <c r="J56" i="107"/>
  <c r="J34" i="107"/>
  <c r="J28" i="107"/>
  <c r="J17" i="107"/>
  <c r="J64" i="107"/>
  <c r="J45" i="107"/>
  <c r="J37" i="107"/>
  <c r="J31" i="107"/>
  <c r="J26" i="107"/>
  <c r="J23" i="107"/>
  <c r="J18" i="107"/>
  <c r="J68" i="107"/>
  <c r="J43" i="107"/>
  <c r="J40" i="107"/>
  <c r="J55" i="107"/>
  <c r="J52" i="107"/>
  <c r="J27" i="107"/>
  <c r="N12" i="107"/>
  <c r="J65" i="107"/>
  <c r="H21" i="107"/>
  <c r="J21" i="107" s="1"/>
  <c r="J62" i="107"/>
  <c r="J57" i="107"/>
  <c r="V78" i="107"/>
  <c r="V62" i="107"/>
  <c r="V50" i="107"/>
  <c r="V30" i="107"/>
  <c r="V26" i="107"/>
  <c r="V81" i="107"/>
  <c r="V73" i="107"/>
  <c r="V69" i="107"/>
  <c r="V53" i="107"/>
  <c r="V41" i="107"/>
  <c r="V80" i="107"/>
  <c r="V68" i="107"/>
  <c r="V52" i="107"/>
  <c r="V40" i="107"/>
  <c r="V63" i="107"/>
  <c r="V55" i="107"/>
  <c r="V43" i="107"/>
  <c r="V31" i="107"/>
  <c r="V27" i="107"/>
  <c r="V65" i="107"/>
  <c r="V57" i="107"/>
  <c r="V45" i="107"/>
  <c r="V37" i="107"/>
  <c r="V66" i="107"/>
  <c r="V58" i="107"/>
  <c r="V46" i="107"/>
  <c r="V83" i="107"/>
  <c r="V44" i="107"/>
  <c r="V34" i="107"/>
  <c r="V33" i="107"/>
  <c r="V56" i="107"/>
  <c r="V28" i="107"/>
  <c r="V17" i="107"/>
  <c r="V64" i="107"/>
  <c r="T21" i="107"/>
  <c r="V67" i="107"/>
  <c r="V39" i="107"/>
  <c r="V85" i="107"/>
  <c r="V76" i="107"/>
  <c r="V51" i="107"/>
  <c r="V48" i="107"/>
  <c r="V23" i="107"/>
  <c r="V89" i="107"/>
  <c r="V79" i="107"/>
  <c r="V72" i="107"/>
  <c r="V70" i="107"/>
  <c r="V42" i="107"/>
  <c r="V29" i="107"/>
  <c r="V24" i="107"/>
  <c r="V74" i="107"/>
  <c r="V60" i="107"/>
  <c r="V54" i="107"/>
  <c r="V35" i="107"/>
  <c r="V18" i="107"/>
  <c r="V38" i="107"/>
  <c r="Z12" i="107"/>
  <c r="V71" i="107"/>
  <c r="V61" i="107"/>
  <c r="V47" i="107"/>
  <c r="V36" i="107"/>
  <c r="V25" i="107"/>
  <c r="V19" i="107"/>
  <c r="V75" i="107"/>
  <c r="V59" i="107"/>
  <c r="V82" i="107"/>
  <c r="V77" i="107"/>
  <c r="V49" i="107"/>
  <c r="V32" i="107"/>
  <c r="N17" i="106"/>
  <c r="H25" i="106"/>
  <c r="V21" i="105"/>
  <c r="P70" i="100"/>
  <c r="X22" i="100"/>
  <c r="D86" i="101"/>
  <c r="L23" i="101"/>
  <c r="X20" i="95"/>
  <c r="Z20" i="95" s="1"/>
  <c r="P94" i="95"/>
  <c r="V98" i="95"/>
  <c r="N20" i="95"/>
  <c r="H94" i="95"/>
  <c r="R61" i="93"/>
  <c r="R37" i="93"/>
  <c r="R33" i="93"/>
  <c r="R22" i="93"/>
  <c r="R69" i="93"/>
  <c r="R68" i="93"/>
  <c r="R56" i="93"/>
  <c r="R49" i="93"/>
  <c r="R48" i="93"/>
  <c r="R28" i="93"/>
  <c r="R24" i="93"/>
  <c r="P20" i="93"/>
  <c r="R20" i="93" s="1"/>
  <c r="R73" i="93"/>
  <c r="R70" i="93"/>
  <c r="R62" i="93"/>
  <c r="R51" i="93"/>
  <c r="R50" i="93"/>
  <c r="R39" i="93"/>
  <c r="R38" i="93"/>
  <c r="R34" i="93"/>
  <c r="R72" i="93"/>
  <c r="R58" i="93"/>
  <c r="R57" i="93"/>
  <c r="R29" i="93"/>
  <c r="R25" i="93"/>
  <c r="R52" i="93"/>
  <c r="R41" i="93"/>
  <c r="R40" i="93"/>
  <c r="R77" i="93"/>
  <c r="R63" i="93"/>
  <c r="R59" i="93"/>
  <c r="R35" i="93"/>
  <c r="R16" i="93"/>
  <c r="R65" i="93"/>
  <c r="R64" i="93"/>
  <c r="R60" i="93"/>
  <c r="R45" i="93"/>
  <c r="R44" i="93"/>
  <c r="R36" i="93"/>
  <c r="X12" i="93"/>
  <c r="Z12" i="93" s="1"/>
  <c r="R32" i="93"/>
  <c r="R31" i="93"/>
  <c r="R27" i="93"/>
  <c r="R67" i="93"/>
  <c r="R66" i="93"/>
  <c r="R55" i="93"/>
  <c r="R54" i="93"/>
  <c r="R47" i="93"/>
  <c r="R46" i="93"/>
  <c r="R23" i="93"/>
  <c r="R18" i="93"/>
  <c r="R53" i="93"/>
  <c r="R42" i="93"/>
  <c r="R43" i="93"/>
  <c r="R30" i="93"/>
  <c r="R17" i="93"/>
  <c r="R26" i="93"/>
  <c r="J64" i="93"/>
  <c r="J60" i="93"/>
  <c r="J44" i="93"/>
  <c r="J36" i="93"/>
  <c r="N12" i="93"/>
  <c r="J65" i="93"/>
  <c r="J45" i="93"/>
  <c r="J31" i="93"/>
  <c r="J27" i="93"/>
  <c r="J66" i="93"/>
  <c r="J54" i="93"/>
  <c r="J46" i="93"/>
  <c r="J32" i="93"/>
  <c r="J18" i="93"/>
  <c r="J67" i="93"/>
  <c r="J61" i="93"/>
  <c r="J55" i="93"/>
  <c r="J47" i="93"/>
  <c r="J37" i="93"/>
  <c r="J33" i="93"/>
  <c r="J23" i="93"/>
  <c r="J68" i="93"/>
  <c r="J56" i="93"/>
  <c r="J48" i="93"/>
  <c r="J28" i="93"/>
  <c r="J24" i="93"/>
  <c r="J22" i="93"/>
  <c r="J20" i="93"/>
  <c r="J69" i="93"/>
  <c r="J49" i="93"/>
  <c r="H20" i="93"/>
  <c r="J70" i="93"/>
  <c r="J62" i="93"/>
  <c r="J50" i="93"/>
  <c r="J38" i="93"/>
  <c r="J34" i="93"/>
  <c r="J77" i="93"/>
  <c r="J63" i="93"/>
  <c r="J59" i="93"/>
  <c r="J41" i="93"/>
  <c r="J35" i="93"/>
  <c r="J42" i="93"/>
  <c r="J30" i="93"/>
  <c r="J26" i="93"/>
  <c r="J16" i="93"/>
  <c r="J82" i="93"/>
  <c r="J79" i="93"/>
  <c r="J53" i="93"/>
  <c r="J43" i="93"/>
  <c r="J17" i="93"/>
  <c r="J51" i="93"/>
  <c r="J73" i="93"/>
  <c r="J57" i="93"/>
  <c r="J25" i="93"/>
  <c r="J40" i="93"/>
  <c r="J29" i="93"/>
  <c r="J75" i="93"/>
  <c r="J39" i="93"/>
  <c r="J72" i="93"/>
  <c r="J58" i="93"/>
  <c r="J52" i="93"/>
  <c r="P97" i="91"/>
  <c r="X16" i="91"/>
  <c r="R20" i="88"/>
  <c r="N20" i="83"/>
  <c r="H86" i="83"/>
  <c r="J58" i="84"/>
  <c r="L55" i="76"/>
  <c r="N55" i="76" s="1"/>
  <c r="D119" i="76"/>
  <c r="Z118" i="74"/>
  <c r="V118" i="74"/>
  <c r="V119" i="70"/>
  <c r="V107" i="70"/>
  <c r="V91" i="70"/>
  <c r="V83" i="70"/>
  <c r="V71" i="70"/>
  <c r="V67" i="70"/>
  <c r="V128" i="70"/>
  <c r="V122" i="70"/>
  <c r="V114" i="70"/>
  <c r="V102" i="70"/>
  <c r="V98" i="70"/>
  <c r="V82" i="70"/>
  <c r="V58" i="70"/>
  <c r="V127" i="70"/>
  <c r="V121" i="70"/>
  <c r="V109" i="70"/>
  <c r="V93" i="70"/>
  <c r="V77" i="70"/>
  <c r="V126" i="70"/>
  <c r="V108" i="70"/>
  <c r="V92" i="70"/>
  <c r="V84" i="70"/>
  <c r="V72" i="70"/>
  <c r="V68" i="70"/>
  <c r="V125" i="70"/>
  <c r="V123" i="70"/>
  <c r="V115" i="70"/>
  <c r="V103" i="70"/>
  <c r="V99" i="70"/>
  <c r="V95" i="70"/>
  <c r="V59" i="70"/>
  <c r="V55" i="70"/>
  <c r="V51" i="70"/>
  <c r="V47" i="70"/>
  <c r="V132" i="70"/>
  <c r="V117" i="70"/>
  <c r="V105" i="70"/>
  <c r="V85" i="70"/>
  <c r="V73" i="70"/>
  <c r="V69" i="70"/>
  <c r="V65" i="70"/>
  <c r="V118" i="70"/>
  <c r="V106" i="70"/>
  <c r="V90" i="70"/>
  <c r="V74" i="70"/>
  <c r="V70" i="70"/>
  <c r="V66" i="70"/>
  <c r="V113" i="70"/>
  <c r="V101" i="70"/>
  <c r="V97" i="70"/>
  <c r="V89" i="70"/>
  <c r="V81" i="70"/>
  <c r="V57" i="70"/>
  <c r="V53" i="70"/>
  <c r="V49" i="70"/>
  <c r="V116" i="70"/>
  <c r="V80" i="70"/>
  <c r="V75" i="70"/>
  <c r="V46" i="70"/>
  <c r="V112" i="70"/>
  <c r="T62" i="70"/>
  <c r="V62" i="70" s="1"/>
  <c r="V44" i="70"/>
  <c r="Z12" i="70"/>
  <c r="V110" i="70"/>
  <c r="V96" i="70"/>
  <c r="V94" i="70"/>
  <c r="V100" i="70"/>
  <c r="V87" i="70"/>
  <c r="V104" i="70"/>
  <c r="V79" i="70"/>
  <c r="V64" i="70"/>
  <c r="V60" i="70"/>
  <c r="V52" i="70"/>
  <c r="V111" i="70"/>
  <c r="V78" i="70"/>
  <c r="V54" i="70"/>
  <c r="V50" i="70"/>
  <c r="V86" i="70"/>
  <c r="V88" i="70"/>
  <c r="V76" i="70"/>
  <c r="V56" i="70"/>
  <c r="V48" i="70"/>
  <c r="V45" i="70"/>
  <c r="V120" i="70"/>
  <c r="F125" i="70"/>
  <c r="F116" i="70"/>
  <c r="F104" i="70"/>
  <c r="F100" i="70"/>
  <c r="F96" i="70"/>
  <c r="F95" i="70"/>
  <c r="F60" i="70"/>
  <c r="F56" i="70"/>
  <c r="F52" i="70"/>
  <c r="F48" i="70"/>
  <c r="F111" i="70"/>
  <c r="F87" i="70"/>
  <c r="F86" i="70"/>
  <c r="F79" i="70"/>
  <c r="F118" i="70"/>
  <c r="F117" i="70"/>
  <c r="F106" i="70"/>
  <c r="F105" i="70"/>
  <c r="F74" i="70"/>
  <c r="F70" i="70"/>
  <c r="F66" i="70"/>
  <c r="F65" i="70"/>
  <c r="F113" i="70"/>
  <c r="F112" i="70"/>
  <c r="F101" i="70"/>
  <c r="F97" i="70"/>
  <c r="F89" i="70"/>
  <c r="F88" i="70"/>
  <c r="F64" i="70"/>
  <c r="F57" i="70"/>
  <c r="F53" i="70"/>
  <c r="F49" i="70"/>
  <c r="F45" i="70"/>
  <c r="F44" i="70"/>
  <c r="F80" i="70"/>
  <c r="F76" i="70"/>
  <c r="F75" i="70"/>
  <c r="D62" i="70"/>
  <c r="F62" i="70" s="1"/>
  <c r="F119" i="70"/>
  <c r="F114" i="70"/>
  <c r="F102" i="70"/>
  <c r="F98" i="70"/>
  <c r="F82" i="70"/>
  <c r="F81" i="70"/>
  <c r="F58" i="70"/>
  <c r="F54" i="70"/>
  <c r="F50" i="70"/>
  <c r="F46" i="70"/>
  <c r="F128" i="70"/>
  <c r="F123" i="70"/>
  <c r="F122" i="70"/>
  <c r="F115" i="70"/>
  <c r="F103" i="70"/>
  <c r="F99" i="70"/>
  <c r="F59" i="70"/>
  <c r="F55" i="70"/>
  <c r="F51" i="70"/>
  <c r="F47" i="70"/>
  <c r="F132" i="70"/>
  <c r="F127" i="70"/>
  <c r="F110" i="70"/>
  <c r="F109" i="70"/>
  <c r="F94" i="70"/>
  <c r="F93" i="70"/>
  <c r="F78" i="70"/>
  <c r="F107" i="70"/>
  <c r="F91" i="70"/>
  <c r="F84" i="70"/>
  <c r="F69" i="70"/>
  <c r="F67" i="70"/>
  <c r="F120" i="70"/>
  <c r="F73" i="70"/>
  <c r="F71" i="70"/>
  <c r="F77" i="70"/>
  <c r="L12" i="70"/>
  <c r="N12" i="70" s="1"/>
  <c r="F121" i="70"/>
  <c r="F83" i="70"/>
  <c r="F68" i="70"/>
  <c r="F90" i="70"/>
  <c r="F72" i="70"/>
  <c r="F108" i="70"/>
  <c r="F92" i="70"/>
  <c r="F126" i="70"/>
  <c r="F85" i="70"/>
  <c r="P106" i="63"/>
  <c r="X17" i="63"/>
  <c r="Z17" i="63" s="1"/>
  <c r="H22" i="62"/>
  <c r="N16" i="62"/>
  <c r="X16" i="60"/>
  <c r="J65" i="48"/>
  <c r="J59" i="48"/>
  <c r="J51" i="48"/>
  <c r="J70" i="48"/>
  <c r="J64" i="48"/>
  <c r="J60" i="48"/>
  <c r="J45" i="48"/>
  <c r="J35" i="48"/>
  <c r="J31" i="48"/>
  <c r="J71" i="48"/>
  <c r="J46" i="48"/>
  <c r="J36" i="48"/>
  <c r="J26" i="48"/>
  <c r="J22" i="48"/>
  <c r="J61" i="48"/>
  <c r="J53" i="48"/>
  <c r="J38" i="48"/>
  <c r="J32" i="48"/>
  <c r="J66" i="48"/>
  <c r="J57" i="48"/>
  <c r="J48" i="48"/>
  <c r="J39" i="48"/>
  <c r="J27" i="48"/>
  <c r="J23" i="48"/>
  <c r="J40" i="48"/>
  <c r="J54" i="48"/>
  <c r="J49" i="48"/>
  <c r="J41" i="48"/>
  <c r="J33" i="48"/>
  <c r="J67" i="48"/>
  <c r="J58" i="48"/>
  <c r="J42" i="48"/>
  <c r="J28" i="48"/>
  <c r="J24" i="48"/>
  <c r="J75" i="48"/>
  <c r="J69" i="48"/>
  <c r="J63" i="48"/>
  <c r="J44" i="48"/>
  <c r="H17" i="48"/>
  <c r="J43" i="48"/>
  <c r="J62" i="48"/>
  <c r="J37" i="48"/>
  <c r="J20" i="48"/>
  <c r="J56" i="48"/>
  <c r="J50" i="48"/>
  <c r="J30" i="48"/>
  <c r="J52" i="48"/>
  <c r="J17" i="48"/>
  <c r="J47" i="48"/>
  <c r="J34" i="48"/>
  <c r="J29" i="48"/>
  <c r="J19" i="48"/>
  <c r="J15" i="48"/>
  <c r="J21" i="48"/>
  <c r="J55" i="48"/>
  <c r="J25" i="48"/>
  <c r="F58" i="48"/>
  <c r="F57" i="48"/>
  <c r="F50" i="48"/>
  <c r="F49" i="48"/>
  <c r="F62" i="48"/>
  <c r="F75" i="48"/>
  <c r="F63" i="48"/>
  <c r="F44" i="48"/>
  <c r="F19" i="48"/>
  <c r="F15" i="48"/>
  <c r="F69" i="48"/>
  <c r="F60" i="48"/>
  <c r="F51" i="48"/>
  <c r="F35" i="48"/>
  <c r="F31" i="48"/>
  <c r="D17" i="48"/>
  <c r="F17" i="48" s="1"/>
  <c r="F70" i="48"/>
  <c r="F65" i="48"/>
  <c r="F64" i="48"/>
  <c r="F71" i="48"/>
  <c r="F56" i="48"/>
  <c r="F52" i="48"/>
  <c r="F37" i="48"/>
  <c r="F36" i="48"/>
  <c r="F61" i="48"/>
  <c r="F47" i="48"/>
  <c r="F32" i="48"/>
  <c r="L12" i="48"/>
  <c r="N12" i="48" s="1"/>
  <c r="F53" i="48"/>
  <c r="F48" i="48"/>
  <c r="F39" i="48"/>
  <c r="F38" i="48"/>
  <c r="F27" i="48"/>
  <c r="F23" i="48"/>
  <c r="F66" i="48"/>
  <c r="F54" i="48"/>
  <c r="F41" i="48"/>
  <c r="F40" i="48"/>
  <c r="F33" i="48"/>
  <c r="F59" i="48"/>
  <c r="F55" i="48"/>
  <c r="F25" i="48"/>
  <c r="F21" i="48"/>
  <c r="F20" i="48"/>
  <c r="F43" i="48"/>
  <c r="F24" i="48"/>
  <c r="F22" i="48"/>
  <c r="F46" i="48"/>
  <c r="F30" i="48"/>
  <c r="F28" i="48"/>
  <c r="F26" i="48"/>
  <c r="F67" i="48"/>
  <c r="F42" i="48"/>
  <c r="F45" i="48"/>
  <c r="F29" i="48"/>
  <c r="F34" i="48"/>
  <c r="P136" i="39"/>
  <c r="R39" i="39"/>
  <c r="X39" i="39"/>
  <c r="N94" i="33"/>
  <c r="J31" i="36"/>
  <c r="N161" i="24"/>
  <c r="L161" i="24"/>
  <c r="R42" i="33"/>
  <c r="P165" i="30"/>
  <c r="X72" i="30"/>
  <c r="L196" i="18"/>
  <c r="N196" i="18" s="1"/>
  <c r="D337" i="18"/>
  <c r="F112" i="24"/>
  <c r="F111" i="24"/>
  <c r="F92" i="24"/>
  <c r="F88" i="24"/>
  <c r="F159" i="24"/>
  <c r="F158" i="24"/>
  <c r="F151" i="24"/>
  <c r="F150" i="24"/>
  <c r="F143" i="24"/>
  <c r="F142" i="24"/>
  <c r="F135" i="24"/>
  <c r="F131" i="24"/>
  <c r="F127" i="24"/>
  <c r="F123" i="24"/>
  <c r="F119" i="24"/>
  <c r="F103" i="24"/>
  <c r="F102" i="24"/>
  <c r="F79" i="24"/>
  <c r="F75" i="24"/>
  <c r="F71" i="24"/>
  <c r="F67" i="24"/>
  <c r="F63" i="24"/>
  <c r="F59" i="24"/>
  <c r="F114" i="24"/>
  <c r="F113" i="24"/>
  <c r="F98" i="24"/>
  <c r="F162" i="24"/>
  <c r="F105" i="24"/>
  <c r="F104" i="24"/>
  <c r="F93" i="24"/>
  <c r="F89" i="24"/>
  <c r="F166" i="24"/>
  <c r="F161" i="24"/>
  <c r="F152" i="24"/>
  <c r="F144" i="24"/>
  <c r="F136" i="24"/>
  <c r="F132" i="24"/>
  <c r="F128" i="24"/>
  <c r="F124" i="24"/>
  <c r="F120" i="24"/>
  <c r="F116" i="24"/>
  <c r="F115" i="24"/>
  <c r="F80" i="24"/>
  <c r="F76" i="24"/>
  <c r="F72" i="24"/>
  <c r="F68" i="24"/>
  <c r="F64" i="24"/>
  <c r="F60" i="24"/>
  <c r="F107" i="24"/>
  <c r="F106" i="24"/>
  <c r="F99" i="24"/>
  <c r="F146" i="24"/>
  <c r="F145" i="24"/>
  <c r="F94" i="24"/>
  <c r="F90" i="24"/>
  <c r="F153" i="24"/>
  <c r="F137" i="24"/>
  <c r="F133" i="24"/>
  <c r="F129" i="24"/>
  <c r="F125" i="24"/>
  <c r="F121" i="24"/>
  <c r="F117" i="24"/>
  <c r="F81" i="24"/>
  <c r="F77" i="24"/>
  <c r="F73" i="24"/>
  <c r="F69" i="24"/>
  <c r="F65" i="24"/>
  <c r="F61" i="24"/>
  <c r="F108" i="24"/>
  <c r="F100" i="24"/>
  <c r="L12" i="24"/>
  <c r="F155" i="24"/>
  <c r="F154" i="24"/>
  <c r="F147" i="24"/>
  <c r="F139" i="24"/>
  <c r="F138" i="24"/>
  <c r="F95" i="24"/>
  <c r="F91" i="24"/>
  <c r="F87" i="24"/>
  <c r="F86" i="24"/>
  <c r="F149" i="24"/>
  <c r="F109" i="24"/>
  <c r="F101" i="24"/>
  <c r="F57" i="24"/>
  <c r="F62" i="24"/>
  <c r="F157" i="24"/>
  <c r="F122" i="24"/>
  <c r="F85" i="24"/>
  <c r="F70" i="24"/>
  <c r="F96" i="24"/>
  <c r="F140" i="24"/>
  <c r="F130" i="24"/>
  <c r="F148" i="24"/>
  <c r="F110" i="24"/>
  <c r="D83" i="24"/>
  <c r="F83" i="24" s="1"/>
  <c r="F74" i="24"/>
  <c r="F58" i="24"/>
  <c r="F156" i="24"/>
  <c r="F118" i="24"/>
  <c r="F66" i="24"/>
  <c r="F141" i="24"/>
  <c r="F78" i="24"/>
  <c r="F97" i="24"/>
  <c r="F126" i="24"/>
  <c r="F134" i="24"/>
  <c r="L16" i="9"/>
  <c r="D93" i="9"/>
  <c r="P93" i="9"/>
  <c r="X16" i="9"/>
  <c r="H314" i="12"/>
  <c r="T27" i="111"/>
  <c r="Z18" i="111"/>
  <c r="X18" i="53"/>
  <c r="P27" i="53"/>
  <c r="H27" i="43"/>
  <c r="N18" i="43"/>
  <c r="D27" i="44"/>
  <c r="L18" i="44"/>
  <c r="X18" i="38"/>
  <c r="P27" i="38"/>
  <c r="L18" i="38"/>
  <c r="D27" i="38"/>
  <c r="H27" i="32"/>
  <c r="N18" i="32"/>
  <c r="T27" i="25"/>
  <c r="Z18" i="25"/>
  <c r="L18" i="29"/>
  <c r="D27" i="29"/>
  <c r="H27" i="25"/>
  <c r="N18" i="25"/>
  <c r="L18" i="23"/>
  <c r="D27" i="23"/>
  <c r="T27" i="22"/>
  <c r="Z18" i="22"/>
  <c r="T27" i="20"/>
  <c r="Z18" i="20"/>
  <c r="X18" i="11"/>
  <c r="P27" i="11"/>
  <c r="H27" i="8"/>
  <c r="N18" i="8"/>
  <c r="X18" i="10"/>
  <c r="P27" i="10"/>
  <c r="T27" i="5"/>
  <c r="Z18" i="5"/>
  <c r="V72" i="94"/>
  <c r="V60" i="94"/>
  <c r="V48" i="94"/>
  <c r="V28" i="94"/>
  <c r="V24" i="94"/>
  <c r="V71" i="94"/>
  <c r="V59" i="94"/>
  <c r="V51" i="94"/>
  <c r="V39" i="94"/>
  <c r="V66" i="94"/>
  <c r="V62" i="94"/>
  <c r="V50" i="94"/>
  <c r="V75" i="94"/>
  <c r="V73" i="94"/>
  <c r="V61" i="94"/>
  <c r="V53" i="94"/>
  <c r="V41" i="94"/>
  <c r="V29" i="94"/>
  <c r="V25" i="94"/>
  <c r="V52" i="94"/>
  <c r="V40" i="94"/>
  <c r="V67" i="94"/>
  <c r="V63" i="94"/>
  <c r="V43" i="94"/>
  <c r="V35" i="94"/>
  <c r="V55" i="94"/>
  <c r="V47" i="94"/>
  <c r="V31" i="94"/>
  <c r="V27" i="94"/>
  <c r="V70" i="94"/>
  <c r="V58" i="94"/>
  <c r="V46" i="94"/>
  <c r="V69" i="94"/>
  <c r="V65" i="94"/>
  <c r="V57" i="94"/>
  <c r="V49" i="94"/>
  <c r="V56" i="94"/>
  <c r="V38" i="94"/>
  <c r="V36" i="94"/>
  <c r="V34" i="94"/>
  <c r="V54" i="94"/>
  <c r="V32" i="94"/>
  <c r="V22" i="94"/>
  <c r="V79" i="94"/>
  <c r="V17" i="94"/>
  <c r="V23" i="94"/>
  <c r="V44" i="94"/>
  <c r="V30" i="94"/>
  <c r="V18" i="94"/>
  <c r="V16" i="94"/>
  <c r="Z12" i="94"/>
  <c r="V64" i="94"/>
  <c r="V45" i="94"/>
  <c r="V68" i="94"/>
  <c r="T20" i="94"/>
  <c r="V20" i="94" s="1"/>
  <c r="V42" i="94"/>
  <c r="V37" i="94"/>
  <c r="V26" i="94"/>
  <c r="V33" i="94"/>
  <c r="X18" i="46"/>
  <c r="P27" i="46"/>
  <c r="L18" i="28"/>
  <c r="D27" i="28"/>
  <c r="P27" i="16"/>
  <c r="X18" i="16"/>
  <c r="R62" i="109"/>
  <c r="R47" i="109"/>
  <c r="R46" i="109"/>
  <c r="R26" i="109"/>
  <c r="R22" i="109"/>
  <c r="R38" i="109"/>
  <c r="R37" i="109"/>
  <c r="R64" i="109"/>
  <c r="R63" i="109"/>
  <c r="R40" i="109"/>
  <c r="R39" i="109"/>
  <c r="R27" i="109"/>
  <c r="R23" i="109"/>
  <c r="R59" i="109"/>
  <c r="R58" i="109"/>
  <c r="R51" i="109"/>
  <c r="R50" i="109"/>
  <c r="R66" i="109"/>
  <c r="R65" i="109"/>
  <c r="R42" i="109"/>
  <c r="R41" i="109"/>
  <c r="R71" i="109"/>
  <c r="R60" i="109"/>
  <c r="R53" i="109"/>
  <c r="R52" i="109"/>
  <c r="R29" i="109"/>
  <c r="R28" i="109"/>
  <c r="R24" i="109"/>
  <c r="R70" i="109"/>
  <c r="R67" i="109"/>
  <c r="R75" i="109"/>
  <c r="R61" i="109"/>
  <c r="R25" i="109"/>
  <c r="R21" i="109"/>
  <c r="R55" i="109"/>
  <c r="R36" i="109"/>
  <c r="R35" i="109"/>
  <c r="R31" i="109"/>
  <c r="R69" i="109"/>
  <c r="R49" i="109"/>
  <c r="R54" i="109"/>
  <c r="R19" i="109"/>
  <c r="R45" i="109"/>
  <c r="R34" i="109"/>
  <c r="R32" i="109"/>
  <c r="X12" i="109"/>
  <c r="Z12" i="109" s="1"/>
  <c r="R20" i="109"/>
  <c r="R57" i="109"/>
  <c r="R30" i="109"/>
  <c r="R43" i="109"/>
  <c r="R15" i="109"/>
  <c r="R56" i="109"/>
  <c r="R44" i="109"/>
  <c r="R48" i="109"/>
  <c r="P17" i="109"/>
  <c r="R33" i="109"/>
  <c r="F36" i="98"/>
  <c r="L12" i="98"/>
  <c r="F47" i="98"/>
  <c r="F53" i="98"/>
  <c r="F51" i="98"/>
  <c r="F44" i="98"/>
  <c r="F40" i="98"/>
  <c r="F32" i="98"/>
  <c r="F25" i="98"/>
  <c r="F17" i="98"/>
  <c r="F16" i="98"/>
  <c r="F57" i="98"/>
  <c r="F45" i="98"/>
  <c r="F33" i="98"/>
  <c r="F29" i="98"/>
  <c r="F48" i="98"/>
  <c r="F41" i="98"/>
  <c r="F26" i="98"/>
  <c r="F37" i="98"/>
  <c r="F18" i="98"/>
  <c r="F46" i="98"/>
  <c r="F42" i="98"/>
  <c r="F34" i="98"/>
  <c r="F30" i="98"/>
  <c r="F38" i="98"/>
  <c r="F27" i="98"/>
  <c r="F24" i="98"/>
  <c r="F22" i="98"/>
  <c r="D20" i="98"/>
  <c r="F39" i="98"/>
  <c r="F28" i="98"/>
  <c r="F49" i="98"/>
  <c r="F55" i="98"/>
  <c r="F43" i="98"/>
  <c r="F23" i="98"/>
  <c r="F35" i="98"/>
  <c r="F31" i="98"/>
  <c r="F20" i="98"/>
  <c r="F60" i="98"/>
  <c r="R89" i="107"/>
  <c r="R67" i="107"/>
  <c r="R39" i="107"/>
  <c r="R35" i="107"/>
  <c r="R79" i="107"/>
  <c r="R78" i="107"/>
  <c r="R62" i="107"/>
  <c r="R51" i="107"/>
  <c r="R50" i="107"/>
  <c r="R30" i="107"/>
  <c r="R26" i="107"/>
  <c r="R73" i="107"/>
  <c r="R81" i="107"/>
  <c r="R80" i="107"/>
  <c r="R69" i="107"/>
  <c r="R68" i="107"/>
  <c r="R53" i="107"/>
  <c r="R52" i="107"/>
  <c r="R41" i="107"/>
  <c r="R40" i="107"/>
  <c r="R36" i="107"/>
  <c r="R17" i="107"/>
  <c r="X12" i="107"/>
  <c r="R82" i="107"/>
  <c r="R74" i="107"/>
  <c r="R70" i="107"/>
  <c r="R55" i="107"/>
  <c r="R54" i="107"/>
  <c r="R43" i="107"/>
  <c r="R42" i="107"/>
  <c r="R18" i="107"/>
  <c r="R83" i="107"/>
  <c r="R75" i="107"/>
  <c r="R71" i="107"/>
  <c r="R61" i="107"/>
  <c r="R47" i="107"/>
  <c r="R59" i="107"/>
  <c r="R44" i="107"/>
  <c r="R33" i="107"/>
  <c r="R56" i="107"/>
  <c r="R45" i="107"/>
  <c r="R34" i="107"/>
  <c r="R28" i="107"/>
  <c r="R64" i="107"/>
  <c r="R57" i="107"/>
  <c r="R37" i="107"/>
  <c r="R21" i="107"/>
  <c r="R65" i="107"/>
  <c r="R31" i="107"/>
  <c r="P21" i="107"/>
  <c r="R76" i="107"/>
  <c r="R48" i="107"/>
  <c r="R85" i="107"/>
  <c r="R72" i="107"/>
  <c r="R29" i="107"/>
  <c r="R23" i="107"/>
  <c r="R58" i="107"/>
  <c r="R49" i="107"/>
  <c r="R32" i="107"/>
  <c r="R27" i="107"/>
  <c r="R77" i="107"/>
  <c r="R66" i="107"/>
  <c r="R38" i="107"/>
  <c r="R63" i="107"/>
  <c r="R25" i="107"/>
  <c r="R19" i="107"/>
  <c r="R60" i="107"/>
  <c r="R24" i="107"/>
  <c r="R46" i="107"/>
  <c r="T54" i="104"/>
  <c r="Z21" i="104"/>
  <c r="N72" i="93"/>
  <c r="L72" i="93"/>
  <c r="J75" i="87"/>
  <c r="J65" i="87"/>
  <c r="J57" i="87"/>
  <c r="J47" i="87"/>
  <c r="J37" i="87"/>
  <c r="J33" i="87"/>
  <c r="J23" i="87"/>
  <c r="J76" i="87"/>
  <c r="J58" i="87"/>
  <c r="J48" i="87"/>
  <c r="J38" i="87"/>
  <c r="J28" i="87"/>
  <c r="J24" i="87"/>
  <c r="J22" i="87"/>
  <c r="J20" i="87"/>
  <c r="J77" i="87"/>
  <c r="J71" i="87"/>
  <c r="J59" i="87"/>
  <c r="J49" i="87"/>
  <c r="J39" i="87"/>
  <c r="H20" i="87"/>
  <c r="J78" i="87"/>
  <c r="J66" i="87"/>
  <c r="J60" i="87"/>
  <c r="J50" i="87"/>
  <c r="J40" i="87"/>
  <c r="J34" i="87"/>
  <c r="J79" i="87"/>
  <c r="J67" i="87"/>
  <c r="J61" i="87"/>
  <c r="J51" i="87"/>
  <c r="J41" i="87"/>
  <c r="J29" i="87"/>
  <c r="J25" i="87"/>
  <c r="J80" i="87"/>
  <c r="J72" i="87"/>
  <c r="J68" i="87"/>
  <c r="J52" i="87"/>
  <c r="J81" i="87"/>
  <c r="J53" i="87"/>
  <c r="J43" i="87"/>
  <c r="J35" i="87"/>
  <c r="J84" i="87"/>
  <c r="J56" i="87"/>
  <c r="J36" i="87"/>
  <c r="N12" i="87"/>
  <c r="J63" i="87"/>
  <c r="J31" i="87"/>
  <c r="J27" i="87"/>
  <c r="J88" i="87"/>
  <c r="J74" i="87"/>
  <c r="J70" i="87"/>
  <c r="J64" i="87"/>
  <c r="J46" i="87"/>
  <c r="J32" i="87"/>
  <c r="J18" i="87"/>
  <c r="J82" i="87"/>
  <c r="J69" i="87"/>
  <c r="J45" i="87"/>
  <c r="J30" i="87"/>
  <c r="J17" i="87"/>
  <c r="J62" i="87"/>
  <c r="J55" i="87"/>
  <c r="J73" i="87"/>
  <c r="J42" i="87"/>
  <c r="J54" i="87"/>
  <c r="J26" i="87"/>
  <c r="J44" i="87"/>
  <c r="J16" i="87"/>
  <c r="T86" i="87"/>
  <c r="Z20" i="87"/>
  <c r="V20" i="87"/>
  <c r="P86" i="83"/>
  <c r="X20" i="83"/>
  <c r="Z20" i="83" s="1"/>
  <c r="V22" i="82"/>
  <c r="P30" i="82"/>
  <c r="X22" i="82"/>
  <c r="Z22" i="82" s="1"/>
  <c r="V126" i="84"/>
  <c r="V122" i="84"/>
  <c r="V114" i="84"/>
  <c r="V106" i="84"/>
  <c r="V102" i="84"/>
  <c r="V98" i="84"/>
  <c r="V94" i="84"/>
  <c r="V86" i="84"/>
  <c r="V121" i="84"/>
  <c r="V85" i="84"/>
  <c r="V141" i="84"/>
  <c r="V127" i="84"/>
  <c r="V123" i="84"/>
  <c r="V107" i="84"/>
  <c r="V103" i="84"/>
  <c r="V130" i="84"/>
  <c r="V110" i="84"/>
  <c r="V90" i="84"/>
  <c r="V78" i="84"/>
  <c r="V133" i="84"/>
  <c r="V125" i="84"/>
  <c r="V113" i="84"/>
  <c r="V105" i="84"/>
  <c r="V120" i="84"/>
  <c r="V84" i="84"/>
  <c r="V137" i="84"/>
  <c r="V135" i="84"/>
  <c r="V115" i="84"/>
  <c r="V129" i="84"/>
  <c r="V93" i="84"/>
  <c r="V108" i="84"/>
  <c r="V87" i="84"/>
  <c r="V83" i="84"/>
  <c r="V75" i="84"/>
  <c r="V72" i="84"/>
  <c r="V67" i="84"/>
  <c r="V63" i="84"/>
  <c r="V76" i="84"/>
  <c r="V54" i="84"/>
  <c r="V50" i="84"/>
  <c r="V46" i="84"/>
  <c r="V42" i="84"/>
  <c r="V38" i="84"/>
  <c r="V88" i="84"/>
  <c r="V111" i="84"/>
  <c r="V104" i="84"/>
  <c r="V100" i="84"/>
  <c r="V91" i="84"/>
  <c r="V81" i="84"/>
  <c r="V68" i="84"/>
  <c r="V64" i="84"/>
  <c r="V128" i="84"/>
  <c r="V118" i="84"/>
  <c r="V96" i="84"/>
  <c r="V73" i="84"/>
  <c r="V55" i="84"/>
  <c r="V51" i="84"/>
  <c r="V47" i="84"/>
  <c r="V43" i="84"/>
  <c r="V39" i="84"/>
  <c r="V116" i="84"/>
  <c r="V112" i="84"/>
  <c r="V92" i="84"/>
  <c r="V77" i="84"/>
  <c r="V70" i="84"/>
  <c r="V134" i="84"/>
  <c r="V131" i="84"/>
  <c r="V124" i="84"/>
  <c r="V119" i="84"/>
  <c r="V89" i="84"/>
  <c r="V71" i="84"/>
  <c r="T58" i="84"/>
  <c r="V101" i="84"/>
  <c r="V99" i="84"/>
  <c r="V80" i="84"/>
  <c r="V79" i="84"/>
  <c r="V66" i="84"/>
  <c r="V62" i="84"/>
  <c r="V132" i="84"/>
  <c r="V117" i="84"/>
  <c r="V97" i="84"/>
  <c r="V95" i="84"/>
  <c r="V53" i="84"/>
  <c r="V49" i="84"/>
  <c r="V45" i="84"/>
  <c r="V41" i="84"/>
  <c r="V65" i="84"/>
  <c r="V109" i="84"/>
  <c r="V74" i="84"/>
  <c r="V60" i="84"/>
  <c r="V82" i="84"/>
  <c r="V69" i="84"/>
  <c r="V44" i="84"/>
  <c r="V52" i="84"/>
  <c r="V61" i="84"/>
  <c r="V58" i="84"/>
  <c r="V56" i="84"/>
  <c r="V48" i="84"/>
  <c r="V40" i="84"/>
  <c r="X12" i="84"/>
  <c r="Z12" i="84" s="1"/>
  <c r="J82" i="75"/>
  <c r="J78" i="75"/>
  <c r="J71" i="75"/>
  <c r="J67" i="75"/>
  <c r="J47" i="75"/>
  <c r="J72" i="75"/>
  <c r="J58" i="75"/>
  <c r="J48" i="75"/>
  <c r="J42" i="75"/>
  <c r="J38" i="75"/>
  <c r="J73" i="75"/>
  <c r="J59" i="75"/>
  <c r="J49" i="75"/>
  <c r="J43" i="75"/>
  <c r="J68" i="75"/>
  <c r="J60" i="75"/>
  <c r="J50" i="75"/>
  <c r="J44" i="75"/>
  <c r="J34" i="75"/>
  <c r="N12" i="75"/>
  <c r="J74" i="75"/>
  <c r="J61" i="75"/>
  <c r="J51" i="75"/>
  <c r="J39" i="75"/>
  <c r="J35" i="75"/>
  <c r="J33" i="75"/>
  <c r="J29" i="75"/>
  <c r="J62" i="75"/>
  <c r="J52" i="75"/>
  <c r="H31" i="75"/>
  <c r="L31" i="75" s="1"/>
  <c r="J75" i="75"/>
  <c r="J69" i="75"/>
  <c r="J53" i="75"/>
  <c r="J45" i="75"/>
  <c r="J70" i="75"/>
  <c r="J64" i="75"/>
  <c r="J56" i="75"/>
  <c r="J46" i="75"/>
  <c r="J77" i="75"/>
  <c r="J66" i="75"/>
  <c r="J36" i="75"/>
  <c r="J40" i="75"/>
  <c r="J54" i="75"/>
  <c r="J63" i="75"/>
  <c r="J57" i="75"/>
  <c r="J65" i="75"/>
  <c r="J37" i="75"/>
  <c r="J41" i="75"/>
  <c r="J55" i="75"/>
  <c r="P78" i="69"/>
  <c r="P121" i="74"/>
  <c r="X53" i="74"/>
  <c r="Z53" i="74" s="1"/>
  <c r="L16" i="62"/>
  <c r="D22" i="62"/>
  <c r="H74" i="59"/>
  <c r="P22" i="54"/>
  <c r="X16" i="54"/>
  <c r="H34" i="55"/>
  <c r="N16" i="55"/>
  <c r="D38" i="55"/>
  <c r="J109" i="51"/>
  <c r="J99" i="51"/>
  <c r="J89" i="51"/>
  <c r="J79" i="51"/>
  <c r="J71" i="51"/>
  <c r="J110" i="51"/>
  <c r="J100" i="51"/>
  <c r="J94" i="51"/>
  <c r="J90" i="51"/>
  <c r="J80" i="51"/>
  <c r="J66" i="51"/>
  <c r="J62" i="51"/>
  <c r="J117" i="51"/>
  <c r="J101" i="51"/>
  <c r="J81" i="51"/>
  <c r="J53" i="51"/>
  <c r="J49" i="51"/>
  <c r="J45" i="51"/>
  <c r="J41" i="51"/>
  <c r="J116" i="51"/>
  <c r="J102" i="51"/>
  <c r="J82" i="51"/>
  <c r="J72" i="51"/>
  <c r="J58" i="51"/>
  <c r="N12" i="51"/>
  <c r="J121" i="51"/>
  <c r="J115" i="51"/>
  <c r="J111" i="51"/>
  <c r="J103" i="51"/>
  <c r="J95" i="51"/>
  <c r="J91" i="51"/>
  <c r="J83" i="51"/>
  <c r="J67" i="51"/>
  <c r="J63" i="51"/>
  <c r="J59" i="51"/>
  <c r="J57" i="51"/>
  <c r="J55" i="51"/>
  <c r="J114" i="51"/>
  <c r="J84" i="51"/>
  <c r="J68" i="51"/>
  <c r="H55" i="51"/>
  <c r="J113" i="51"/>
  <c r="J85" i="51"/>
  <c r="J73" i="51"/>
  <c r="J69" i="51"/>
  <c r="J104" i="51"/>
  <c r="J96" i="51"/>
  <c r="J92" i="51"/>
  <c r="J74" i="51"/>
  <c r="J64" i="51"/>
  <c r="J60" i="51"/>
  <c r="J38" i="51"/>
  <c r="J105" i="51"/>
  <c r="J75" i="51"/>
  <c r="J51" i="51"/>
  <c r="J47" i="51"/>
  <c r="J43" i="51"/>
  <c r="J39" i="51"/>
  <c r="J108" i="51"/>
  <c r="J98" i="51"/>
  <c r="J88" i="51"/>
  <c r="J78" i="51"/>
  <c r="J52" i="51"/>
  <c r="J48" i="51"/>
  <c r="J44" i="51"/>
  <c r="J40" i="51"/>
  <c r="J106" i="51"/>
  <c r="J93" i="51"/>
  <c r="J107" i="51"/>
  <c r="J42" i="51"/>
  <c r="J86" i="51"/>
  <c r="J77" i="51"/>
  <c r="J97" i="51"/>
  <c r="J50" i="51"/>
  <c r="J46" i="51"/>
  <c r="J61" i="51"/>
  <c r="J76" i="51"/>
  <c r="J65" i="51"/>
  <c r="J70" i="51"/>
  <c r="J87" i="51"/>
  <c r="Z42" i="33"/>
  <c r="T102" i="33"/>
  <c r="F120" i="36"/>
  <c r="F112" i="36"/>
  <c r="F108" i="36"/>
  <c r="F104" i="36"/>
  <c r="F92" i="36"/>
  <c r="F76" i="36"/>
  <c r="F75" i="36"/>
  <c r="F40" i="36"/>
  <c r="F36" i="36"/>
  <c r="F87" i="36"/>
  <c r="F67" i="36"/>
  <c r="F66" i="36"/>
  <c r="F59" i="36"/>
  <c r="F58" i="36"/>
  <c r="F127" i="36"/>
  <c r="F122" i="36"/>
  <c r="F121" i="36"/>
  <c r="F114" i="36"/>
  <c r="F113" i="36"/>
  <c r="F98" i="36"/>
  <c r="F94" i="36"/>
  <c r="F93" i="36"/>
  <c r="F78" i="36"/>
  <c r="F77" i="36"/>
  <c r="F50" i="36"/>
  <c r="F46" i="36"/>
  <c r="F131" i="36"/>
  <c r="F126" i="36"/>
  <c r="F109" i="36"/>
  <c r="F105" i="36"/>
  <c r="F125" i="36"/>
  <c r="F116" i="36"/>
  <c r="F115" i="36"/>
  <c r="F100" i="36"/>
  <c r="F99" i="36"/>
  <c r="F88" i="36"/>
  <c r="F80" i="36"/>
  <c r="F79" i="36"/>
  <c r="F60" i="36"/>
  <c r="F28" i="36"/>
  <c r="F124" i="36"/>
  <c r="F95" i="36"/>
  <c r="F118" i="36"/>
  <c r="F117" i="36"/>
  <c r="F110" i="36"/>
  <c r="F106" i="36"/>
  <c r="F82" i="36"/>
  <c r="F81" i="36"/>
  <c r="F119" i="36"/>
  <c r="F111" i="36"/>
  <c r="F107" i="36"/>
  <c r="F103" i="36"/>
  <c r="F102" i="36"/>
  <c r="F91" i="36"/>
  <c r="F90" i="36"/>
  <c r="F63" i="36"/>
  <c r="F62" i="36"/>
  <c r="F55" i="36"/>
  <c r="F54" i="36"/>
  <c r="F43" i="36"/>
  <c r="F39" i="36"/>
  <c r="F35" i="36"/>
  <c r="F34" i="36"/>
  <c r="F97" i="36"/>
  <c r="F65" i="36"/>
  <c r="F64" i="36"/>
  <c r="F57" i="36"/>
  <c r="F56" i="36"/>
  <c r="F49" i="36"/>
  <c r="F45" i="36"/>
  <c r="F44" i="36"/>
  <c r="F70" i="36"/>
  <c r="F41" i="36"/>
  <c r="F29" i="36"/>
  <c r="F84" i="36"/>
  <c r="F51" i="36"/>
  <c r="F68" i="36"/>
  <c r="F37" i="36"/>
  <c r="F73" i="36"/>
  <c r="F71" i="36"/>
  <c r="F47" i="36"/>
  <c r="F85" i="36"/>
  <c r="F61" i="36"/>
  <c r="F96" i="36"/>
  <c r="F52" i="36"/>
  <c r="F42" i="36"/>
  <c r="F31" i="36"/>
  <c r="F89" i="36"/>
  <c r="F69" i="36"/>
  <c r="D31" i="36"/>
  <c r="F27" i="36"/>
  <c r="F83" i="36"/>
  <c r="F38" i="36"/>
  <c r="F53" i="36"/>
  <c r="F33" i="36"/>
  <c r="L12" i="36"/>
  <c r="N12" i="36" s="1"/>
  <c r="F86" i="36"/>
  <c r="F101" i="36"/>
  <c r="F72" i="36"/>
  <c r="F74" i="36"/>
  <c r="F48" i="36"/>
  <c r="J94" i="33"/>
  <c r="F72" i="30"/>
  <c r="H27" i="111"/>
  <c r="N18" i="111"/>
  <c r="H27" i="41"/>
  <c r="N18" i="41"/>
  <c r="T27" i="43"/>
  <c r="Z18" i="43"/>
  <c r="H27" i="44"/>
  <c r="N18" i="44"/>
  <c r="H27" i="14"/>
  <c r="N18" i="14"/>
  <c r="H27" i="13"/>
  <c r="N18" i="13"/>
  <c r="T27" i="16"/>
  <c r="Z18" i="16"/>
  <c r="H27" i="7"/>
  <c r="N18" i="7"/>
  <c r="L18" i="7"/>
  <c r="D27" i="7"/>
  <c r="H31" i="111" l="1"/>
  <c r="N27" i="111"/>
  <c r="L27" i="28"/>
  <c r="D31" i="28"/>
  <c r="N27" i="13"/>
  <c r="H31" i="13"/>
  <c r="D129" i="36"/>
  <c r="L31" i="36"/>
  <c r="N31" i="36" s="1"/>
  <c r="H86" i="87"/>
  <c r="X27" i="46"/>
  <c r="P31" i="46"/>
  <c r="H31" i="8"/>
  <c r="N27" i="8"/>
  <c r="H31" i="43"/>
  <c r="N27" i="43"/>
  <c r="D341" i="18"/>
  <c r="L337" i="18"/>
  <c r="N337" i="18" s="1"/>
  <c r="F337" i="18"/>
  <c r="H75" i="93"/>
  <c r="T79" i="93"/>
  <c r="V75" i="93"/>
  <c r="X27" i="20"/>
  <c r="P31" i="20"/>
  <c r="T77" i="57"/>
  <c r="T119" i="76"/>
  <c r="T34" i="82"/>
  <c r="V30" i="82"/>
  <c r="P366" i="3"/>
  <c r="X362" i="3"/>
  <c r="R362" i="3"/>
  <c r="D77" i="94"/>
  <c r="L20" i="94"/>
  <c r="N27" i="38"/>
  <c r="H31" i="38"/>
  <c r="X73" i="79"/>
  <c r="P77" i="79"/>
  <c r="R73" i="79"/>
  <c r="P44" i="108"/>
  <c r="T31" i="28"/>
  <c r="Z27" i="28"/>
  <c r="D31" i="20"/>
  <c r="L27" i="20"/>
  <c r="P31" i="6"/>
  <c r="X55" i="76"/>
  <c r="Z55" i="76" s="1"/>
  <c r="P119" i="76"/>
  <c r="D84" i="92"/>
  <c r="X23" i="101"/>
  <c r="Z23" i="101" s="1"/>
  <c r="P86" i="101"/>
  <c r="T31" i="7"/>
  <c r="Z27" i="7"/>
  <c r="X27" i="41"/>
  <c r="P31" i="41"/>
  <c r="X27" i="17"/>
  <c r="P31" i="17"/>
  <c r="T31" i="37"/>
  <c r="Z27" i="37"/>
  <c r="J37" i="85"/>
  <c r="H38" i="55"/>
  <c r="Z27" i="46"/>
  <c r="T31" i="46"/>
  <c r="X73" i="48"/>
  <c r="Z73" i="48" s="1"/>
  <c r="P77" i="48"/>
  <c r="R73" i="48"/>
  <c r="L53" i="74"/>
  <c r="D121" i="74"/>
  <c r="D81" i="56"/>
  <c r="X30" i="82"/>
  <c r="Z30" i="82" s="1"/>
  <c r="P34" i="82"/>
  <c r="R30" i="82"/>
  <c r="T58" i="104"/>
  <c r="V54" i="104"/>
  <c r="T31" i="25"/>
  <c r="Z27" i="25"/>
  <c r="H26" i="62"/>
  <c r="N22" i="62"/>
  <c r="D90" i="101"/>
  <c r="L27" i="25"/>
  <c r="D31" i="25"/>
  <c r="T337" i="18"/>
  <c r="D31" i="4"/>
  <c r="L27" i="4"/>
  <c r="P31" i="47"/>
  <c r="X27" i="47"/>
  <c r="T136" i="27"/>
  <c r="V132" i="27"/>
  <c r="Z74" i="56"/>
  <c r="T78" i="56"/>
  <c r="X74" i="56"/>
  <c r="D86" i="80"/>
  <c r="T89" i="97"/>
  <c r="X89" i="97" s="1"/>
  <c r="T85" i="103"/>
  <c r="T31" i="31"/>
  <c r="Z27" i="31"/>
  <c r="N27" i="110"/>
  <c r="H31" i="110"/>
  <c r="D79" i="93"/>
  <c r="L75" i="93"/>
  <c r="P143" i="84"/>
  <c r="R139" i="84"/>
  <c r="T31" i="53"/>
  <c r="Z27" i="53"/>
  <c r="H132" i="27"/>
  <c r="N64" i="27"/>
  <c r="T31" i="47"/>
  <c r="Z27" i="47"/>
  <c r="Z57" i="98"/>
  <c r="T60" i="98"/>
  <c r="Z60" i="98" s="1"/>
  <c r="P29" i="106"/>
  <c r="X25" i="106"/>
  <c r="Z25" i="106" s="1"/>
  <c r="L27" i="53"/>
  <c r="D31" i="53"/>
  <c r="N73" i="57"/>
  <c r="H77" i="57"/>
  <c r="T85" i="72"/>
  <c r="P31" i="53"/>
  <c r="X27" i="53"/>
  <c r="X27" i="44"/>
  <c r="P31" i="44"/>
  <c r="D84" i="75"/>
  <c r="F80" i="75"/>
  <c r="P77" i="94"/>
  <c r="X20" i="94"/>
  <c r="D95" i="45"/>
  <c r="L24" i="45"/>
  <c r="N24" i="45" s="1"/>
  <c r="L21" i="104"/>
  <c r="N21" i="104" s="1"/>
  <c r="D54" i="104"/>
  <c r="N27" i="40"/>
  <c r="H31" i="40"/>
  <c r="N27" i="26"/>
  <c r="H31" i="26"/>
  <c r="D74" i="100"/>
  <c r="P26" i="54"/>
  <c r="X22" i="54"/>
  <c r="P125" i="74"/>
  <c r="X121" i="74"/>
  <c r="R121" i="74"/>
  <c r="D53" i="98"/>
  <c r="L20" i="98"/>
  <c r="P169" i="30"/>
  <c r="X165" i="30"/>
  <c r="R165" i="30"/>
  <c r="T31" i="38"/>
  <c r="Z27" i="38"/>
  <c r="N27" i="52"/>
  <c r="H31" i="52"/>
  <c r="P71" i="59"/>
  <c r="X67" i="59"/>
  <c r="T97" i="9"/>
  <c r="D34" i="85"/>
  <c r="L30" i="85"/>
  <c r="N30" i="85" s="1"/>
  <c r="T80" i="92"/>
  <c r="D73" i="78"/>
  <c r="L27" i="78"/>
  <c r="N27" i="78" s="1"/>
  <c r="P81" i="88"/>
  <c r="R77" i="88"/>
  <c r="H31" i="11"/>
  <c r="N27" i="11"/>
  <c r="D31" i="40"/>
  <c r="L27" i="40"/>
  <c r="P314" i="12"/>
  <c r="X175" i="12"/>
  <c r="Z175" i="12" s="1"/>
  <c r="H34" i="82"/>
  <c r="J30" i="82"/>
  <c r="R37" i="85"/>
  <c r="T110" i="63"/>
  <c r="N27" i="23"/>
  <c r="H31" i="23"/>
  <c r="L27" i="47"/>
  <c r="D31" i="47"/>
  <c r="X305" i="15"/>
  <c r="P309" i="15"/>
  <c r="R305" i="15"/>
  <c r="L20" i="93"/>
  <c r="N20" i="93" s="1"/>
  <c r="N27" i="31"/>
  <c r="H31" i="31"/>
  <c r="H77" i="88"/>
  <c r="N20" i="88"/>
  <c r="L27" i="14"/>
  <c r="D31" i="14"/>
  <c r="V27" i="78"/>
  <c r="P31" i="32"/>
  <c r="X27" i="32"/>
  <c r="X27" i="112"/>
  <c r="P31" i="112"/>
  <c r="Z34" i="55"/>
  <c r="T38" i="55"/>
  <c r="X20" i="97"/>
  <c r="Z20" i="97" s="1"/>
  <c r="H31" i="5"/>
  <c r="N27" i="5"/>
  <c r="H126" i="42"/>
  <c r="Z27" i="14"/>
  <c r="T31" i="14"/>
  <c r="L55" i="51"/>
  <c r="N55" i="51" s="1"/>
  <c r="D119" i="51"/>
  <c r="Z27" i="32"/>
  <c r="T31" i="32"/>
  <c r="Z20" i="88"/>
  <c r="T77" i="88"/>
  <c r="P57" i="61"/>
  <c r="X53" i="61"/>
  <c r="Z53" i="61" s="1"/>
  <c r="N27" i="14"/>
  <c r="H31" i="14"/>
  <c r="H31" i="44"/>
  <c r="N27" i="44"/>
  <c r="H119" i="51"/>
  <c r="Z27" i="20"/>
  <c r="T31" i="20"/>
  <c r="N27" i="32"/>
  <c r="H31" i="32"/>
  <c r="Z27" i="111"/>
  <c r="T31" i="111"/>
  <c r="X70" i="100"/>
  <c r="P74" i="100"/>
  <c r="R70" i="100"/>
  <c r="P31" i="25"/>
  <c r="X27" i="25"/>
  <c r="H31" i="10"/>
  <c r="N27" i="10"/>
  <c r="Z27" i="40"/>
  <c r="T31" i="40"/>
  <c r="P77" i="57"/>
  <c r="X73" i="57"/>
  <c r="Z73" i="57" s="1"/>
  <c r="P57" i="98"/>
  <c r="X53" i="98"/>
  <c r="R53" i="98"/>
  <c r="Z27" i="19"/>
  <c r="T31" i="19"/>
  <c r="N27" i="47"/>
  <c r="H31" i="47"/>
  <c r="P168" i="24"/>
  <c r="R164" i="24"/>
  <c r="D54" i="60"/>
  <c r="L50" i="60"/>
  <c r="N50" i="60" s="1"/>
  <c r="V22" i="103"/>
  <c r="H341" i="18"/>
  <c r="J337" i="18"/>
  <c r="Z22" i="6"/>
  <c r="T26" i="6"/>
  <c r="F24" i="45"/>
  <c r="N22" i="54"/>
  <c r="H26" i="54"/>
  <c r="D66" i="67"/>
  <c r="L62" i="67"/>
  <c r="N62" i="67" s="1"/>
  <c r="T104" i="73"/>
  <c r="D104" i="91"/>
  <c r="H58" i="104"/>
  <c r="P31" i="40"/>
  <c r="X27" i="40"/>
  <c r="X27" i="111"/>
  <c r="P31" i="111"/>
  <c r="N27" i="72"/>
  <c r="H85" i="72"/>
  <c r="H31" i="20"/>
  <c r="N27" i="20"/>
  <c r="H164" i="24"/>
  <c r="J83" i="24"/>
  <c r="P78" i="58"/>
  <c r="X74" i="58"/>
  <c r="P93" i="97"/>
  <c r="R89" i="97"/>
  <c r="Z37" i="108"/>
  <c r="T41" i="108"/>
  <c r="X41" i="108" s="1"/>
  <c r="X27" i="4"/>
  <c r="P31" i="4"/>
  <c r="Z30" i="42"/>
  <c r="T126" i="42"/>
  <c r="T71" i="59"/>
  <c r="Z67" i="59"/>
  <c r="L27" i="19"/>
  <c r="D31" i="19"/>
  <c r="H80" i="75"/>
  <c r="N31" i="75"/>
  <c r="T31" i="41"/>
  <c r="Z27" i="41"/>
  <c r="H101" i="91"/>
  <c r="L101" i="91" s="1"/>
  <c r="N97" i="91"/>
  <c r="P31" i="43"/>
  <c r="X27" i="43"/>
  <c r="T164" i="24"/>
  <c r="H66" i="67"/>
  <c r="D77" i="109"/>
  <c r="F73" i="109"/>
  <c r="P31" i="31"/>
  <c r="X27" i="31"/>
  <c r="P130" i="70"/>
  <c r="X62" i="70"/>
  <c r="N27" i="4"/>
  <c r="H31" i="4"/>
  <c r="L27" i="7"/>
  <c r="D31" i="7"/>
  <c r="P81" i="69"/>
  <c r="R78" i="69"/>
  <c r="J31" i="75"/>
  <c r="P90" i="83"/>
  <c r="X86" i="83"/>
  <c r="R86" i="83"/>
  <c r="L27" i="38"/>
  <c r="D31" i="38"/>
  <c r="L17" i="48"/>
  <c r="D73" i="48"/>
  <c r="H73" i="48"/>
  <c r="N17" i="48"/>
  <c r="X97" i="91"/>
  <c r="Z97" i="91" s="1"/>
  <c r="P101" i="91"/>
  <c r="T31" i="11"/>
  <c r="Z27" i="11"/>
  <c r="T318" i="12"/>
  <c r="V314" i="12"/>
  <c r="T80" i="48"/>
  <c r="V77" i="48"/>
  <c r="T78" i="58"/>
  <c r="Z74" i="58"/>
  <c r="L20" i="79"/>
  <c r="N20" i="79" s="1"/>
  <c r="D73" i="79"/>
  <c r="H97" i="9"/>
  <c r="X83" i="24"/>
  <c r="Z83" i="24" s="1"/>
  <c r="L77" i="88"/>
  <c r="D81" i="88"/>
  <c r="H55" i="102"/>
  <c r="L27" i="10"/>
  <c r="D31" i="10"/>
  <c r="H143" i="84"/>
  <c r="J139" i="84"/>
  <c r="N27" i="28"/>
  <c r="H31" i="28"/>
  <c r="D31" i="43"/>
  <c r="L27" i="43"/>
  <c r="D89" i="103"/>
  <c r="F85" i="103"/>
  <c r="T31" i="17"/>
  <c r="Z27" i="17"/>
  <c r="L27" i="5"/>
  <c r="D31" i="5"/>
  <c r="N27" i="46"/>
  <c r="H31" i="46"/>
  <c r="H77" i="78"/>
  <c r="J73" i="78"/>
  <c r="H77" i="94"/>
  <c r="N20" i="94"/>
  <c r="H169" i="30"/>
  <c r="J165" i="30"/>
  <c r="X27" i="22"/>
  <c r="P31" i="22"/>
  <c r="L27" i="41"/>
  <c r="D31" i="41"/>
  <c r="T366" i="3"/>
  <c r="Z362" i="3"/>
  <c r="V362" i="3"/>
  <c r="T109" i="21"/>
  <c r="P77" i="78"/>
  <c r="R73" i="78"/>
  <c r="N27" i="53"/>
  <c r="H31" i="53"/>
  <c r="X86" i="87"/>
  <c r="P90" i="87"/>
  <c r="R86" i="87"/>
  <c r="P31" i="11"/>
  <c r="X27" i="11"/>
  <c r="T80" i="75"/>
  <c r="Z31" i="75"/>
  <c r="N27" i="50"/>
  <c r="H31" i="50"/>
  <c r="H82" i="80"/>
  <c r="N20" i="80"/>
  <c r="P31" i="8"/>
  <c r="X27" i="8"/>
  <c r="P31" i="14"/>
  <c r="X27" i="14"/>
  <c r="H309" i="15"/>
  <c r="J305" i="15"/>
  <c r="X62" i="67"/>
  <c r="Z62" i="67" s="1"/>
  <c r="P66" i="67"/>
  <c r="Z27" i="43"/>
  <c r="T31" i="43"/>
  <c r="D26" i="62"/>
  <c r="L22" i="62"/>
  <c r="Z27" i="22"/>
  <c r="T31" i="22"/>
  <c r="H318" i="12"/>
  <c r="J314" i="12"/>
  <c r="D123" i="76"/>
  <c r="L119" i="76"/>
  <c r="F119" i="76"/>
  <c r="H29" i="106"/>
  <c r="L27" i="8"/>
  <c r="D31" i="8"/>
  <c r="P85" i="72"/>
  <c r="X27" i="72"/>
  <c r="Z27" i="72" s="1"/>
  <c r="Z27" i="23"/>
  <c r="T31" i="23"/>
  <c r="Z27" i="44"/>
  <c r="T31" i="44"/>
  <c r="P55" i="102"/>
  <c r="X51" i="102"/>
  <c r="Z51" i="102" s="1"/>
  <c r="N27" i="17"/>
  <c r="H31" i="17"/>
  <c r="T31" i="52"/>
  <c r="Z27" i="52"/>
  <c r="P149" i="68"/>
  <c r="X76" i="68"/>
  <c r="Z76" i="68" s="1"/>
  <c r="P31" i="26"/>
  <c r="X27" i="26"/>
  <c r="N27" i="37"/>
  <c r="H31" i="37"/>
  <c r="P41" i="55"/>
  <c r="X38" i="55"/>
  <c r="R20" i="94"/>
  <c r="X22" i="62"/>
  <c r="P26" i="62"/>
  <c r="T74" i="100"/>
  <c r="Z70" i="100"/>
  <c r="V70" i="100"/>
  <c r="D31" i="11"/>
  <c r="L27" i="11"/>
  <c r="X54" i="104"/>
  <c r="Z54" i="104" s="1"/>
  <c r="P58" i="104"/>
  <c r="R54" i="104"/>
  <c r="L27" i="50"/>
  <c r="D31" i="50"/>
  <c r="T31" i="26"/>
  <c r="Z27" i="26"/>
  <c r="X27" i="49"/>
  <c r="P31" i="49"/>
  <c r="D113" i="21"/>
  <c r="F109" i="21"/>
  <c r="H106" i="33"/>
  <c r="J102" i="33"/>
  <c r="H57" i="60"/>
  <c r="N53" i="74"/>
  <c r="H121" i="74"/>
  <c r="H81" i="58"/>
  <c r="P99" i="45"/>
  <c r="X95" i="45"/>
  <c r="R95" i="45"/>
  <c r="D169" i="30"/>
  <c r="L165" i="30"/>
  <c r="N165" i="30" s="1"/>
  <c r="F165" i="30"/>
  <c r="X31" i="75"/>
  <c r="X27" i="34"/>
  <c r="P31" i="34"/>
  <c r="P57" i="60"/>
  <c r="X54" i="60"/>
  <c r="T86" i="80"/>
  <c r="V82" i="80"/>
  <c r="H134" i="70"/>
  <c r="J130" i="70"/>
  <c r="L27" i="26"/>
  <c r="D31" i="26"/>
  <c r="D31" i="111"/>
  <c r="L27" i="111"/>
  <c r="H133" i="36"/>
  <c r="J129" i="36"/>
  <c r="T74" i="69"/>
  <c r="X20" i="69"/>
  <c r="Z20" i="69" s="1"/>
  <c r="L21" i="107"/>
  <c r="D87" i="107"/>
  <c r="X27" i="5"/>
  <c r="P31" i="5"/>
  <c r="Z27" i="4"/>
  <c r="T31" i="4"/>
  <c r="N27" i="29"/>
  <c r="H31" i="29"/>
  <c r="H31" i="49"/>
  <c r="N27" i="49"/>
  <c r="D26" i="6"/>
  <c r="L22" i="6"/>
  <c r="L67" i="59"/>
  <c r="N67" i="59" s="1"/>
  <c r="D71" i="59"/>
  <c r="P104" i="73"/>
  <c r="X52" i="73"/>
  <c r="Z52" i="73" s="1"/>
  <c r="P89" i="105"/>
  <c r="X85" i="105"/>
  <c r="Z85" i="105" s="1"/>
  <c r="R85" i="105"/>
  <c r="P133" i="36"/>
  <c r="X129" i="36"/>
  <c r="R129" i="36"/>
  <c r="J20" i="80"/>
  <c r="L27" i="52"/>
  <c r="D31" i="52"/>
  <c r="T99" i="45"/>
  <c r="Z95" i="45"/>
  <c r="V95" i="45"/>
  <c r="L25" i="106"/>
  <c r="N25" i="106" s="1"/>
  <c r="D29" i="106"/>
  <c r="H73" i="109"/>
  <c r="N17" i="109"/>
  <c r="P31" i="29"/>
  <c r="X27" i="29"/>
  <c r="T156" i="68"/>
  <c r="V153" i="68"/>
  <c r="H31" i="22"/>
  <c r="N27" i="22"/>
  <c r="X27" i="110"/>
  <c r="P31" i="110"/>
  <c r="V27" i="72"/>
  <c r="P84" i="75"/>
  <c r="X80" i="75"/>
  <c r="R80" i="75"/>
  <c r="D89" i="97"/>
  <c r="L20" i="97"/>
  <c r="N20" i="97" s="1"/>
  <c r="P53" i="99"/>
  <c r="X53" i="99" s="1"/>
  <c r="X50" i="99"/>
  <c r="D309" i="15"/>
  <c r="L305" i="15"/>
  <c r="N305" i="15" s="1"/>
  <c r="F305" i="15"/>
  <c r="P31" i="38"/>
  <c r="X27" i="38"/>
  <c r="D136" i="27"/>
  <c r="L132" i="27"/>
  <c r="F132" i="27"/>
  <c r="T54" i="60"/>
  <c r="L27" i="17"/>
  <c r="D31" i="17"/>
  <c r="N27" i="7"/>
  <c r="H31" i="7"/>
  <c r="Z27" i="5"/>
  <c r="T31" i="5"/>
  <c r="X93" i="9"/>
  <c r="Z93" i="9" s="1"/>
  <c r="P97" i="9"/>
  <c r="H98" i="95"/>
  <c r="J94" i="95"/>
  <c r="T87" i="107"/>
  <c r="L27" i="13"/>
  <c r="D31" i="13"/>
  <c r="D102" i="33"/>
  <c r="L42" i="33"/>
  <c r="N42" i="33" s="1"/>
  <c r="X50" i="60"/>
  <c r="Z50" i="60" s="1"/>
  <c r="Z27" i="50"/>
  <c r="T31" i="50"/>
  <c r="Z165" i="30"/>
  <c r="T169" i="30"/>
  <c r="V165" i="30"/>
  <c r="L57" i="61"/>
  <c r="N57" i="61" s="1"/>
  <c r="D60" i="61"/>
  <c r="H53" i="98"/>
  <c r="N20" i="98"/>
  <c r="L27" i="49"/>
  <c r="D31" i="49"/>
  <c r="T53" i="99"/>
  <c r="Z50" i="99"/>
  <c r="X22" i="103"/>
  <c r="Z22" i="103" s="1"/>
  <c r="P85" i="103"/>
  <c r="P119" i="51"/>
  <c r="X55" i="51"/>
  <c r="L27" i="16"/>
  <c r="D31" i="16"/>
  <c r="L27" i="31"/>
  <c r="D31" i="31"/>
  <c r="L362" i="3"/>
  <c r="N362" i="3" s="1"/>
  <c r="D366" i="3"/>
  <c r="F362" i="3"/>
  <c r="D53" i="99"/>
  <c r="L21" i="105"/>
  <c r="N21" i="105" s="1"/>
  <c r="D85" i="105"/>
  <c r="P31" i="13"/>
  <c r="X27" i="13"/>
  <c r="P31" i="50"/>
  <c r="X27" i="50"/>
  <c r="H149" i="68"/>
  <c r="N27" i="34"/>
  <c r="H31" i="34"/>
  <c r="T31" i="49"/>
  <c r="Z27" i="49"/>
  <c r="P109" i="21"/>
  <c r="X30" i="21"/>
  <c r="Z30" i="21" s="1"/>
  <c r="P132" i="27"/>
  <c r="X64" i="27"/>
  <c r="Z64" i="27" s="1"/>
  <c r="Z27" i="78"/>
  <c r="T73" i="78"/>
  <c r="T77" i="109"/>
  <c r="V73" i="109"/>
  <c r="L27" i="37"/>
  <c r="D31" i="37"/>
  <c r="T90" i="83"/>
  <c r="Z86" i="83"/>
  <c r="V86" i="83"/>
  <c r="X106" i="63"/>
  <c r="Z106" i="63" s="1"/>
  <c r="P110" i="63"/>
  <c r="L62" i="70"/>
  <c r="N62" i="70" s="1"/>
  <c r="D130" i="70"/>
  <c r="L76" i="68"/>
  <c r="N76" i="68" s="1"/>
  <c r="D149" i="68"/>
  <c r="N27" i="41"/>
  <c r="H31" i="41"/>
  <c r="T106" i="33"/>
  <c r="V102" i="33"/>
  <c r="T139" i="84"/>
  <c r="Z58" i="84"/>
  <c r="P73" i="109"/>
  <c r="X17" i="109"/>
  <c r="Z17" i="109" s="1"/>
  <c r="P31" i="16"/>
  <c r="X27" i="16"/>
  <c r="T77" i="94"/>
  <c r="Z20" i="94"/>
  <c r="P31" i="10"/>
  <c r="X27" i="10"/>
  <c r="D97" i="9"/>
  <c r="L93" i="9"/>
  <c r="N93" i="9" s="1"/>
  <c r="D164" i="24"/>
  <c r="L83" i="24"/>
  <c r="N83" i="24" s="1"/>
  <c r="H90" i="83"/>
  <c r="J86" i="83"/>
  <c r="H41" i="108"/>
  <c r="N37" i="108"/>
  <c r="Z27" i="35"/>
  <c r="T31" i="35"/>
  <c r="L20" i="87"/>
  <c r="N20" i="87" s="1"/>
  <c r="D31" i="112"/>
  <c r="L27" i="112"/>
  <c r="T89" i="105"/>
  <c r="V85" i="105"/>
  <c r="P31" i="28"/>
  <c r="X27" i="28"/>
  <c r="H366" i="3"/>
  <c r="J362" i="3"/>
  <c r="D89" i="72"/>
  <c r="L85" i="72"/>
  <c r="F85" i="72"/>
  <c r="L51" i="102"/>
  <c r="N51" i="102" s="1"/>
  <c r="D55" i="102"/>
  <c r="D126" i="42"/>
  <c r="L30" i="42"/>
  <c r="N30" i="42" s="1"/>
  <c r="D74" i="69"/>
  <c r="L20" i="69"/>
  <c r="N20" i="69" s="1"/>
  <c r="X21" i="92"/>
  <c r="Z21" i="92" s="1"/>
  <c r="P80" i="92"/>
  <c r="H60" i="61"/>
  <c r="H78" i="69"/>
  <c r="J74" i="69"/>
  <c r="T125" i="74"/>
  <c r="Z121" i="74"/>
  <c r="V121" i="74"/>
  <c r="N22" i="100"/>
  <c r="H70" i="100"/>
  <c r="L70" i="100" s="1"/>
  <c r="H89" i="97"/>
  <c r="N23" i="101"/>
  <c r="H86" i="101"/>
  <c r="L86" i="101" s="1"/>
  <c r="L27" i="46"/>
  <c r="D31" i="46"/>
  <c r="L39" i="39"/>
  <c r="N39" i="39" s="1"/>
  <c r="D136" i="39"/>
  <c r="L106" i="63"/>
  <c r="D110" i="63"/>
  <c r="P31" i="37"/>
  <c r="X27" i="37"/>
  <c r="P337" i="18"/>
  <c r="X196" i="18"/>
  <c r="Z196" i="18" s="1"/>
  <c r="D78" i="58"/>
  <c r="L74" i="58"/>
  <c r="N74" i="58" s="1"/>
  <c r="R62" i="70"/>
  <c r="H31" i="19"/>
  <c r="N27" i="19"/>
  <c r="Z27" i="110"/>
  <c r="T31" i="110"/>
  <c r="N46" i="99"/>
  <c r="H50" i="99"/>
  <c r="L50" i="99" s="1"/>
  <c r="Z86" i="87"/>
  <c r="T90" i="87"/>
  <c r="V86" i="87"/>
  <c r="N27" i="25"/>
  <c r="H31" i="25"/>
  <c r="H87" i="107"/>
  <c r="N21" i="107"/>
  <c r="L27" i="32"/>
  <c r="D31" i="32"/>
  <c r="T69" i="67"/>
  <c r="T58" i="102"/>
  <c r="D90" i="87"/>
  <c r="L86" i="87"/>
  <c r="Z27" i="29"/>
  <c r="T31" i="29"/>
  <c r="H89" i="105"/>
  <c r="J85" i="105"/>
  <c r="H140" i="39"/>
  <c r="J136" i="39"/>
  <c r="Z55" i="51"/>
  <c r="T119" i="51"/>
  <c r="D26" i="54"/>
  <c r="L22" i="54"/>
  <c r="T30" i="85"/>
  <c r="X18" i="85"/>
  <c r="Z18" i="85" s="1"/>
  <c r="T31" i="13"/>
  <c r="Z27" i="13"/>
  <c r="H31" i="112"/>
  <c r="N27" i="112"/>
  <c r="D314" i="12"/>
  <c r="L175" i="12"/>
  <c r="N175" i="12" s="1"/>
  <c r="X126" i="42"/>
  <c r="P130" i="42"/>
  <c r="R126" i="42"/>
  <c r="L86" i="83"/>
  <c r="N86" i="83" s="1"/>
  <c r="D90" i="83"/>
  <c r="X27" i="19"/>
  <c r="P31" i="19"/>
  <c r="L27" i="34"/>
  <c r="D31" i="34"/>
  <c r="L27" i="22"/>
  <c r="D31" i="22"/>
  <c r="Z129" i="36"/>
  <c r="T133" i="36"/>
  <c r="V129" i="36"/>
  <c r="T136" i="39"/>
  <c r="Z39" i="39"/>
  <c r="H104" i="73"/>
  <c r="L94" i="95"/>
  <c r="N94" i="95" s="1"/>
  <c r="D98" i="95"/>
  <c r="H31" i="35"/>
  <c r="N27" i="35"/>
  <c r="Z305" i="15"/>
  <c r="T309" i="15"/>
  <c r="V305" i="15"/>
  <c r="T77" i="79"/>
  <c r="Z73" i="79"/>
  <c r="V73" i="79"/>
  <c r="Z27" i="8"/>
  <c r="T31" i="8"/>
  <c r="Z27" i="34"/>
  <c r="T31" i="34"/>
  <c r="X102" i="33"/>
  <c r="Z102" i="33" s="1"/>
  <c r="P106" i="33"/>
  <c r="R102" i="33"/>
  <c r="N106" i="63"/>
  <c r="H110" i="63"/>
  <c r="X27" i="23"/>
  <c r="P31" i="23"/>
  <c r="H78" i="56"/>
  <c r="L78" i="56" s="1"/>
  <c r="N74" i="56"/>
  <c r="L22" i="82"/>
  <c r="N22" i="82" s="1"/>
  <c r="D30" i="82"/>
  <c r="H80" i="92"/>
  <c r="L80" i="92" s="1"/>
  <c r="N21" i="92"/>
  <c r="T104" i="91"/>
  <c r="D31" i="23"/>
  <c r="L27" i="23"/>
  <c r="P75" i="93"/>
  <c r="X20" i="93"/>
  <c r="Z20" i="93" s="1"/>
  <c r="Z27" i="16"/>
  <c r="T31" i="16"/>
  <c r="D41" i="55"/>
  <c r="D31" i="44"/>
  <c r="L27" i="44"/>
  <c r="L34" i="55"/>
  <c r="N34" i="55" s="1"/>
  <c r="P87" i="107"/>
  <c r="X21" i="107"/>
  <c r="Z21" i="107" s="1"/>
  <c r="R17" i="109"/>
  <c r="L27" i="29"/>
  <c r="D31" i="29"/>
  <c r="P140" i="39"/>
  <c r="R136" i="39"/>
  <c r="T130" i="70"/>
  <c r="Z62" i="70"/>
  <c r="P98" i="95"/>
  <c r="X94" i="95"/>
  <c r="Z94" i="95" s="1"/>
  <c r="R94" i="95"/>
  <c r="V21" i="107"/>
  <c r="T31" i="10"/>
  <c r="Z27" i="10"/>
  <c r="H73" i="79"/>
  <c r="L27" i="35"/>
  <c r="D31" i="35"/>
  <c r="H99" i="45"/>
  <c r="J95" i="45"/>
  <c r="F55" i="51"/>
  <c r="L77" i="57"/>
  <c r="D80" i="57"/>
  <c r="R76" i="68"/>
  <c r="L41" i="108"/>
  <c r="D44" i="108"/>
  <c r="L27" i="110"/>
  <c r="D31" i="110"/>
  <c r="V31" i="75"/>
  <c r="R21" i="92"/>
  <c r="N27" i="16"/>
  <c r="H31" i="16"/>
  <c r="H31" i="6"/>
  <c r="N26" i="6"/>
  <c r="T60" i="61"/>
  <c r="D104" i="73"/>
  <c r="L52" i="73"/>
  <c r="N52" i="73" s="1"/>
  <c r="X27" i="52"/>
  <c r="P31" i="52"/>
  <c r="J53" i="74"/>
  <c r="L58" i="84"/>
  <c r="N58" i="84" s="1"/>
  <c r="D139" i="84"/>
  <c r="V101" i="95"/>
  <c r="X27" i="35"/>
  <c r="P31" i="35"/>
  <c r="V20" i="88"/>
  <c r="T86" i="101"/>
  <c r="N22" i="103"/>
  <c r="H85" i="103"/>
  <c r="L85" i="103" s="1"/>
  <c r="X27" i="7"/>
  <c r="P31" i="7"/>
  <c r="Z27" i="112"/>
  <c r="T31" i="112"/>
  <c r="H109" i="21"/>
  <c r="N30" i="21"/>
  <c r="N119" i="76"/>
  <c r="H123" i="76"/>
  <c r="J119" i="76"/>
  <c r="P86" i="80"/>
  <c r="X82" i="80"/>
  <c r="Z82" i="80" s="1"/>
  <c r="R82" i="80"/>
  <c r="J21" i="92"/>
  <c r="L60" i="61" l="1"/>
  <c r="D140" i="39"/>
  <c r="L136" i="39"/>
  <c r="N136" i="39" s="1"/>
  <c r="F136" i="39"/>
  <c r="D116" i="21"/>
  <c r="F113" i="21"/>
  <c r="X57" i="98"/>
  <c r="P60" i="98"/>
  <c r="R57" i="98"/>
  <c r="P84" i="88"/>
  <c r="R81" i="88"/>
  <c r="X86" i="101"/>
  <c r="P90" i="101"/>
  <c r="R86" i="101"/>
  <c r="T80" i="79"/>
  <c r="V77" i="79"/>
  <c r="H321" i="12"/>
  <c r="J318" i="12"/>
  <c r="Z31" i="14"/>
  <c r="T36" i="14"/>
  <c r="Z36" i="14" s="1"/>
  <c r="T36" i="47"/>
  <c r="Z36" i="47" s="1"/>
  <c r="Z31" i="47"/>
  <c r="H41" i="55"/>
  <c r="T128" i="74"/>
  <c r="V125" i="74"/>
  <c r="P36" i="50"/>
  <c r="X31" i="50"/>
  <c r="D69" i="67"/>
  <c r="L66" i="67"/>
  <c r="P36" i="32"/>
  <c r="X31" i="32"/>
  <c r="Z31" i="112"/>
  <c r="T36" i="112"/>
  <c r="Z36" i="112" s="1"/>
  <c r="N31" i="16"/>
  <c r="H36" i="16"/>
  <c r="N36" i="16" s="1"/>
  <c r="P91" i="107"/>
  <c r="X87" i="107"/>
  <c r="R87" i="107"/>
  <c r="H113" i="63"/>
  <c r="T136" i="36"/>
  <c r="V133" i="36"/>
  <c r="P133" i="42"/>
  <c r="R130" i="42"/>
  <c r="H36" i="19"/>
  <c r="N36" i="19" s="1"/>
  <c r="N31" i="19"/>
  <c r="L31" i="46"/>
  <c r="D36" i="46"/>
  <c r="L55" i="102"/>
  <c r="D58" i="102"/>
  <c r="T92" i="105"/>
  <c r="V89" i="105"/>
  <c r="X73" i="109"/>
  <c r="Z73" i="109" s="1"/>
  <c r="P77" i="109"/>
  <c r="R73" i="109"/>
  <c r="D134" i="70"/>
  <c r="L130" i="70"/>
  <c r="N130" i="70" s="1"/>
  <c r="F130" i="70"/>
  <c r="P113" i="21"/>
  <c r="X109" i="21"/>
  <c r="R109" i="21"/>
  <c r="P36" i="13"/>
  <c r="X31" i="13"/>
  <c r="D93" i="97"/>
  <c r="L89" i="97"/>
  <c r="H136" i="36"/>
  <c r="J133" i="36"/>
  <c r="T77" i="100"/>
  <c r="V74" i="100"/>
  <c r="Z31" i="22"/>
  <c r="T36" i="22"/>
  <c r="Z36" i="22" s="1"/>
  <c r="H312" i="15"/>
  <c r="J309" i="15"/>
  <c r="T84" i="75"/>
  <c r="Z80" i="75"/>
  <c r="V80" i="75"/>
  <c r="Z109" i="21"/>
  <c r="T113" i="21"/>
  <c r="V109" i="21"/>
  <c r="H81" i="94"/>
  <c r="D92" i="103"/>
  <c r="F89" i="103"/>
  <c r="D36" i="10"/>
  <c r="L31" i="10"/>
  <c r="T81" i="58"/>
  <c r="H77" i="48"/>
  <c r="J73" i="48"/>
  <c r="L31" i="7"/>
  <c r="D36" i="7"/>
  <c r="H84" i="75"/>
  <c r="J80" i="75"/>
  <c r="P96" i="97"/>
  <c r="R93" i="97"/>
  <c r="X31" i="111"/>
  <c r="P36" i="111"/>
  <c r="N26" i="54"/>
  <c r="H31" i="54"/>
  <c r="L54" i="60"/>
  <c r="N54" i="60" s="1"/>
  <c r="D57" i="60"/>
  <c r="L57" i="60" s="1"/>
  <c r="X77" i="57"/>
  <c r="P80" i="57"/>
  <c r="N31" i="32"/>
  <c r="H36" i="32"/>
  <c r="N36" i="32" s="1"/>
  <c r="H36" i="44"/>
  <c r="N36" i="44" s="1"/>
  <c r="N31" i="44"/>
  <c r="L73" i="78"/>
  <c r="N73" i="78" s="1"/>
  <c r="D77" i="78"/>
  <c r="F73" i="78"/>
  <c r="T36" i="38"/>
  <c r="Z36" i="38" s="1"/>
  <c r="Z31" i="38"/>
  <c r="T36" i="31"/>
  <c r="Z36" i="31" s="1"/>
  <c r="Z31" i="31"/>
  <c r="D93" i="101"/>
  <c r="X31" i="20"/>
  <c r="P36" i="20"/>
  <c r="H92" i="105"/>
  <c r="J89" i="105"/>
  <c r="D32" i="106"/>
  <c r="L29" i="106"/>
  <c r="L126" i="42"/>
  <c r="D130" i="42"/>
  <c r="D344" i="18"/>
  <c r="L341" i="18"/>
  <c r="F341" i="18"/>
  <c r="D143" i="84"/>
  <c r="L139" i="84"/>
  <c r="N139" i="84" s="1"/>
  <c r="T312" i="15"/>
  <c r="Z309" i="15"/>
  <c r="V309" i="15"/>
  <c r="T34" i="85"/>
  <c r="X30" i="85"/>
  <c r="Z30" i="85" s="1"/>
  <c r="V30" i="85"/>
  <c r="H91" i="107"/>
  <c r="J87" i="107"/>
  <c r="H81" i="69"/>
  <c r="J78" i="69"/>
  <c r="T93" i="83"/>
  <c r="V90" i="83"/>
  <c r="L85" i="105"/>
  <c r="N85" i="105" s="1"/>
  <c r="D89" i="105"/>
  <c r="F85" i="105"/>
  <c r="P123" i="51"/>
  <c r="X119" i="51"/>
  <c r="R119" i="51"/>
  <c r="T172" i="30"/>
  <c r="V169" i="30"/>
  <c r="H101" i="95"/>
  <c r="J98" i="95"/>
  <c r="X104" i="73"/>
  <c r="P108" i="73"/>
  <c r="R104" i="73"/>
  <c r="X31" i="34"/>
  <c r="P36" i="34"/>
  <c r="H125" i="74"/>
  <c r="J121" i="74"/>
  <c r="X26" i="62"/>
  <c r="P29" i="62"/>
  <c r="X29" i="62" s="1"/>
  <c r="T36" i="52"/>
  <c r="Z36" i="52" s="1"/>
  <c r="Z31" i="52"/>
  <c r="X85" i="72"/>
  <c r="P89" i="72"/>
  <c r="R85" i="72"/>
  <c r="L73" i="48"/>
  <c r="N73" i="48" s="1"/>
  <c r="D77" i="48"/>
  <c r="F73" i="48"/>
  <c r="T168" i="24"/>
  <c r="X168" i="24" s="1"/>
  <c r="Z164" i="24"/>
  <c r="V164" i="24"/>
  <c r="L31" i="19"/>
  <c r="D36" i="19"/>
  <c r="Z31" i="40"/>
  <c r="T36" i="40"/>
  <c r="Z36" i="40" s="1"/>
  <c r="N31" i="14"/>
  <c r="H36" i="14"/>
  <c r="N36" i="14" s="1"/>
  <c r="L31" i="14"/>
  <c r="D36" i="14"/>
  <c r="X309" i="15"/>
  <c r="P312" i="15"/>
  <c r="R309" i="15"/>
  <c r="H37" i="82"/>
  <c r="J34" i="82"/>
  <c r="Z85" i="72"/>
  <c r="T89" i="72"/>
  <c r="V85" i="72"/>
  <c r="H136" i="27"/>
  <c r="N132" i="27"/>
  <c r="J132" i="27"/>
  <c r="T139" i="27"/>
  <c r="V136" i="27"/>
  <c r="D81" i="94"/>
  <c r="L77" i="94"/>
  <c r="N77" i="94" s="1"/>
  <c r="N31" i="43"/>
  <c r="H36" i="43"/>
  <c r="N36" i="43" s="1"/>
  <c r="L129" i="36"/>
  <c r="N129" i="36" s="1"/>
  <c r="D133" i="36"/>
  <c r="F129" i="36"/>
  <c r="T140" i="39"/>
  <c r="V136" i="39"/>
  <c r="P136" i="27"/>
  <c r="X132" i="27"/>
  <c r="Z132" i="27" s="1"/>
  <c r="R132" i="27"/>
  <c r="H146" i="84"/>
  <c r="J143" i="84"/>
  <c r="D36" i="23"/>
  <c r="L31" i="23"/>
  <c r="X89" i="105"/>
  <c r="Z89" i="105" s="1"/>
  <c r="P92" i="105"/>
  <c r="R89" i="105"/>
  <c r="P153" i="68"/>
  <c r="X149" i="68"/>
  <c r="Z149" i="68" s="1"/>
  <c r="R149" i="68"/>
  <c r="R81" i="69"/>
  <c r="T80" i="57"/>
  <c r="Z77" i="57"/>
  <c r="X31" i="7"/>
  <c r="P36" i="7"/>
  <c r="X98" i="95"/>
  <c r="Z98" i="95" s="1"/>
  <c r="P101" i="95"/>
  <c r="R98" i="95"/>
  <c r="D36" i="22"/>
  <c r="L31" i="22"/>
  <c r="Z31" i="29"/>
  <c r="T36" i="29"/>
  <c r="Z36" i="29" s="1"/>
  <c r="N31" i="25"/>
  <c r="H36" i="25"/>
  <c r="N36" i="25" s="1"/>
  <c r="H90" i="101"/>
  <c r="N86" i="101"/>
  <c r="J86" i="101"/>
  <c r="N60" i="61"/>
  <c r="L164" i="24"/>
  <c r="D168" i="24"/>
  <c r="F164" i="24"/>
  <c r="T143" i="84"/>
  <c r="V139" i="84"/>
  <c r="X110" i="63"/>
  <c r="P113" i="63"/>
  <c r="L31" i="37"/>
  <c r="D36" i="37"/>
  <c r="T36" i="49"/>
  <c r="Z36" i="49" s="1"/>
  <c r="Z31" i="49"/>
  <c r="X85" i="103"/>
  <c r="Z85" i="103" s="1"/>
  <c r="P89" i="103"/>
  <c r="R85" i="103"/>
  <c r="V156" i="68"/>
  <c r="T102" i="45"/>
  <c r="V99" i="45"/>
  <c r="L71" i="59"/>
  <c r="N71" i="59" s="1"/>
  <c r="D74" i="59"/>
  <c r="L74" i="59" s="1"/>
  <c r="N74" i="59" s="1"/>
  <c r="D36" i="111"/>
  <c r="L31" i="111"/>
  <c r="T36" i="26"/>
  <c r="Z36" i="26" s="1"/>
  <c r="Z31" i="26"/>
  <c r="N31" i="17"/>
  <c r="H36" i="17"/>
  <c r="N36" i="17" s="1"/>
  <c r="L31" i="8"/>
  <c r="D36" i="8"/>
  <c r="P36" i="14"/>
  <c r="X31" i="14"/>
  <c r="P36" i="11"/>
  <c r="X31" i="11"/>
  <c r="D36" i="43"/>
  <c r="L31" i="43"/>
  <c r="N31" i="4"/>
  <c r="H36" i="4"/>
  <c r="N36" i="4" s="1"/>
  <c r="X164" i="24"/>
  <c r="Z31" i="20"/>
  <c r="T36" i="20"/>
  <c r="Z36" i="20" s="1"/>
  <c r="H130" i="42"/>
  <c r="N126" i="42"/>
  <c r="J126" i="42"/>
  <c r="T84" i="92"/>
  <c r="V80" i="92"/>
  <c r="P128" i="74"/>
  <c r="X125" i="74"/>
  <c r="Z125" i="74" s="1"/>
  <c r="R125" i="74"/>
  <c r="L95" i="45"/>
  <c r="N95" i="45" s="1"/>
  <c r="D99" i="45"/>
  <c r="F95" i="45"/>
  <c r="N77" i="57"/>
  <c r="H80" i="57"/>
  <c r="T89" i="103"/>
  <c r="V85" i="103"/>
  <c r="H29" i="62"/>
  <c r="N29" i="62" s="1"/>
  <c r="N26" i="62"/>
  <c r="D87" i="92"/>
  <c r="N31" i="13"/>
  <c r="H36" i="13"/>
  <c r="N36" i="13" s="1"/>
  <c r="H69" i="67"/>
  <c r="N66" i="67"/>
  <c r="X97" i="9"/>
  <c r="P100" i="9"/>
  <c r="L136" i="27"/>
  <c r="D139" i="27"/>
  <c r="F136" i="27"/>
  <c r="X31" i="5"/>
  <c r="P36" i="5"/>
  <c r="L31" i="26"/>
  <c r="D36" i="26"/>
  <c r="N57" i="60"/>
  <c r="D36" i="50"/>
  <c r="L31" i="50"/>
  <c r="T371" i="3"/>
  <c r="V366" i="3"/>
  <c r="H80" i="78"/>
  <c r="J77" i="78"/>
  <c r="N31" i="28"/>
  <c r="H36" i="28"/>
  <c r="N36" i="28" s="1"/>
  <c r="N55" i="102"/>
  <c r="H58" i="102"/>
  <c r="V80" i="48"/>
  <c r="L31" i="38"/>
  <c r="D36" i="38"/>
  <c r="P81" i="58"/>
  <c r="X81" i="58" s="1"/>
  <c r="X78" i="58"/>
  <c r="Z78" i="58" s="1"/>
  <c r="P36" i="40"/>
  <c r="X31" i="40"/>
  <c r="Z26" i="6"/>
  <c r="T31" i="6"/>
  <c r="P171" i="24"/>
  <c r="R168" i="24"/>
  <c r="L31" i="47"/>
  <c r="D36" i="47"/>
  <c r="P318" i="12"/>
  <c r="X314" i="12"/>
  <c r="Z314" i="12" s="1"/>
  <c r="R314" i="12"/>
  <c r="T36" i="53"/>
  <c r="Z36" i="53" s="1"/>
  <c r="Z31" i="53"/>
  <c r="L121" i="74"/>
  <c r="N121" i="74" s="1"/>
  <c r="D125" i="74"/>
  <c r="F121" i="74"/>
  <c r="T36" i="37"/>
  <c r="Z36" i="37" s="1"/>
  <c r="Z31" i="37"/>
  <c r="H36" i="8"/>
  <c r="N36" i="8" s="1"/>
  <c r="N31" i="8"/>
  <c r="D80" i="109"/>
  <c r="F77" i="109"/>
  <c r="T81" i="56"/>
  <c r="X78" i="56"/>
  <c r="Z78" i="56" s="1"/>
  <c r="L53" i="98"/>
  <c r="D57" i="98"/>
  <c r="D318" i="12"/>
  <c r="L314" i="12"/>
  <c r="N314" i="12" s="1"/>
  <c r="F314" i="12"/>
  <c r="L78" i="58"/>
  <c r="N78" i="58" s="1"/>
  <c r="D81" i="58"/>
  <c r="L81" i="58" s="1"/>
  <c r="N81" i="58" s="1"/>
  <c r="N31" i="34"/>
  <c r="H36" i="34"/>
  <c r="N36" i="34" s="1"/>
  <c r="L31" i="52"/>
  <c r="D36" i="52"/>
  <c r="N85" i="103"/>
  <c r="H89" i="103"/>
  <c r="J85" i="103"/>
  <c r="X31" i="52"/>
  <c r="P36" i="52"/>
  <c r="L31" i="110"/>
  <c r="D36" i="110"/>
  <c r="T134" i="70"/>
  <c r="V130" i="70"/>
  <c r="L41" i="55"/>
  <c r="H36" i="35"/>
  <c r="N36" i="35" s="1"/>
  <c r="N31" i="35"/>
  <c r="L31" i="34"/>
  <c r="D36" i="34"/>
  <c r="T123" i="51"/>
  <c r="Z119" i="51"/>
  <c r="V119" i="51"/>
  <c r="H93" i="97"/>
  <c r="N89" i="97"/>
  <c r="J89" i="97"/>
  <c r="X80" i="92"/>
  <c r="Z80" i="92" s="1"/>
  <c r="P84" i="92"/>
  <c r="R80" i="92"/>
  <c r="D92" i="72"/>
  <c r="F89" i="72"/>
  <c r="D36" i="112"/>
  <c r="L31" i="112"/>
  <c r="D100" i="9"/>
  <c r="L97" i="9"/>
  <c r="N29" i="106"/>
  <c r="H32" i="106"/>
  <c r="X31" i="8"/>
  <c r="P36" i="8"/>
  <c r="X90" i="87"/>
  <c r="Z90" i="87" s="1"/>
  <c r="P93" i="87"/>
  <c r="R90" i="87"/>
  <c r="L31" i="41"/>
  <c r="D36" i="41"/>
  <c r="N31" i="46"/>
  <c r="H36" i="46"/>
  <c r="N36" i="46" s="1"/>
  <c r="D84" i="88"/>
  <c r="P36" i="43"/>
  <c r="X31" i="43"/>
  <c r="T74" i="59"/>
  <c r="N31" i="47"/>
  <c r="H36" i="47"/>
  <c r="N36" i="47" s="1"/>
  <c r="H36" i="10"/>
  <c r="N36" i="10" s="1"/>
  <c r="N31" i="10"/>
  <c r="P60" i="61"/>
  <c r="X60" i="61" s="1"/>
  <c r="X57" i="61"/>
  <c r="Z57" i="61" s="1"/>
  <c r="H36" i="5"/>
  <c r="N36" i="5" s="1"/>
  <c r="N31" i="5"/>
  <c r="L34" i="85"/>
  <c r="N34" i="85" s="1"/>
  <c r="D37" i="85"/>
  <c r="L37" i="85" s="1"/>
  <c r="N37" i="85" s="1"/>
  <c r="X26" i="54"/>
  <c r="P31" i="54"/>
  <c r="X31" i="54" s="1"/>
  <c r="Z31" i="54" s="1"/>
  <c r="X77" i="94"/>
  <c r="P81" i="94"/>
  <c r="R77" i="94"/>
  <c r="L31" i="53"/>
  <c r="D36" i="53"/>
  <c r="Z89" i="97"/>
  <c r="T93" i="97"/>
  <c r="X93" i="97" s="1"/>
  <c r="V89" i="97"/>
  <c r="P36" i="47"/>
  <c r="X31" i="47"/>
  <c r="T36" i="25"/>
  <c r="Z36" i="25" s="1"/>
  <c r="Z31" i="25"/>
  <c r="X31" i="17"/>
  <c r="P36" i="17"/>
  <c r="P123" i="76"/>
  <c r="X119" i="76"/>
  <c r="R119" i="76"/>
  <c r="T36" i="28"/>
  <c r="Z36" i="28" s="1"/>
  <c r="Z31" i="28"/>
  <c r="X366" i="3"/>
  <c r="Z366" i="3" s="1"/>
  <c r="P371" i="3"/>
  <c r="R366" i="3"/>
  <c r="T82" i="93"/>
  <c r="V79" i="93"/>
  <c r="X31" i="46"/>
  <c r="P36" i="46"/>
  <c r="L31" i="28"/>
  <c r="D36" i="28"/>
  <c r="X31" i="23"/>
  <c r="P36" i="23"/>
  <c r="P36" i="16"/>
  <c r="X31" i="16"/>
  <c r="Z31" i="4"/>
  <c r="T36" i="4"/>
  <c r="Z36" i="4" s="1"/>
  <c r="P80" i="78"/>
  <c r="R77" i="78"/>
  <c r="N31" i="38"/>
  <c r="H36" i="38"/>
  <c r="N36" i="38" s="1"/>
  <c r="X31" i="49"/>
  <c r="P36" i="49"/>
  <c r="X106" i="33"/>
  <c r="Z106" i="33" s="1"/>
  <c r="P109" i="33"/>
  <c r="R106" i="33"/>
  <c r="L31" i="35"/>
  <c r="D36" i="35"/>
  <c r="L38" i="55"/>
  <c r="N38" i="55" s="1"/>
  <c r="H84" i="92"/>
  <c r="L84" i="92" s="1"/>
  <c r="N80" i="92"/>
  <c r="J80" i="92"/>
  <c r="Z31" i="34"/>
  <c r="T36" i="34"/>
  <c r="Z36" i="34" s="1"/>
  <c r="D101" i="95"/>
  <c r="L101" i="95" s="1"/>
  <c r="L98" i="95"/>
  <c r="N98" i="95" s="1"/>
  <c r="H36" i="112"/>
  <c r="N36" i="112" s="1"/>
  <c r="N31" i="112"/>
  <c r="D93" i="87"/>
  <c r="T93" i="87"/>
  <c r="V90" i="87"/>
  <c r="X337" i="18"/>
  <c r="P341" i="18"/>
  <c r="R337" i="18"/>
  <c r="T80" i="109"/>
  <c r="V77" i="109"/>
  <c r="Z53" i="99"/>
  <c r="Z31" i="5"/>
  <c r="T36" i="5"/>
  <c r="Z36" i="5" s="1"/>
  <c r="P36" i="38"/>
  <c r="X31" i="38"/>
  <c r="P87" i="75"/>
  <c r="X84" i="75"/>
  <c r="R84" i="75"/>
  <c r="P36" i="29"/>
  <c r="X31" i="29"/>
  <c r="L26" i="6"/>
  <c r="D31" i="6"/>
  <c r="L31" i="6" s="1"/>
  <c r="N31" i="6" s="1"/>
  <c r="L87" i="107"/>
  <c r="N87" i="107" s="1"/>
  <c r="D91" i="107"/>
  <c r="F87" i="107"/>
  <c r="P58" i="102"/>
  <c r="X58" i="102" s="1"/>
  <c r="Z58" i="102" s="1"/>
  <c r="X55" i="102"/>
  <c r="Z55" i="102" s="1"/>
  <c r="D29" i="62"/>
  <c r="L29" i="62" s="1"/>
  <c r="L26" i="62"/>
  <c r="T321" i="12"/>
  <c r="V318" i="12"/>
  <c r="X130" i="70"/>
  <c r="Z130" i="70" s="1"/>
  <c r="P134" i="70"/>
  <c r="R130" i="70"/>
  <c r="T130" i="42"/>
  <c r="Z126" i="42"/>
  <c r="V126" i="42"/>
  <c r="H61" i="104"/>
  <c r="T81" i="88"/>
  <c r="X81" i="88" s="1"/>
  <c r="V77" i="88"/>
  <c r="N31" i="23"/>
  <c r="H36" i="23"/>
  <c r="N36" i="23" s="1"/>
  <c r="L31" i="40"/>
  <c r="D36" i="40"/>
  <c r="P146" i="84"/>
  <c r="X143" i="84"/>
  <c r="R143" i="84"/>
  <c r="H79" i="93"/>
  <c r="N75" i="93"/>
  <c r="H113" i="21"/>
  <c r="J109" i="21"/>
  <c r="P36" i="53"/>
  <c r="X31" i="53"/>
  <c r="D36" i="44"/>
  <c r="L31" i="44"/>
  <c r="T36" i="50"/>
  <c r="Z36" i="50" s="1"/>
  <c r="Z31" i="50"/>
  <c r="P89" i="80"/>
  <c r="X86" i="80"/>
  <c r="R86" i="80"/>
  <c r="X136" i="39"/>
  <c r="Z136" i="39" s="1"/>
  <c r="Z31" i="16"/>
  <c r="T36" i="16"/>
  <c r="Z36" i="16" s="1"/>
  <c r="D34" i="82"/>
  <c r="L30" i="82"/>
  <c r="N30" i="82" s="1"/>
  <c r="F30" i="82"/>
  <c r="X31" i="19"/>
  <c r="P36" i="19"/>
  <c r="N70" i="100"/>
  <c r="H74" i="100"/>
  <c r="H371" i="3"/>
  <c r="N366" i="3"/>
  <c r="J366" i="3"/>
  <c r="Z31" i="35"/>
  <c r="T36" i="35"/>
  <c r="Z36" i="35" s="1"/>
  <c r="P36" i="10"/>
  <c r="X31" i="10"/>
  <c r="T109" i="33"/>
  <c r="V106" i="33"/>
  <c r="L366" i="3"/>
  <c r="D371" i="3"/>
  <c r="F366" i="3"/>
  <c r="L31" i="49"/>
  <c r="D36" i="49"/>
  <c r="P61" i="104"/>
  <c r="X58" i="104"/>
  <c r="Z58" i="104" s="1"/>
  <c r="R58" i="104"/>
  <c r="N31" i="37"/>
  <c r="H36" i="37"/>
  <c r="N36" i="37" s="1"/>
  <c r="Z31" i="43"/>
  <c r="T36" i="43"/>
  <c r="Z36" i="43" s="1"/>
  <c r="H86" i="80"/>
  <c r="J82" i="80"/>
  <c r="N31" i="53"/>
  <c r="H36" i="53"/>
  <c r="N36" i="53" s="1"/>
  <c r="X31" i="22"/>
  <c r="P36" i="22"/>
  <c r="L31" i="5"/>
  <c r="D36" i="5"/>
  <c r="N101" i="91"/>
  <c r="H104" i="91"/>
  <c r="H168" i="24"/>
  <c r="N164" i="24"/>
  <c r="J164" i="24"/>
  <c r="L104" i="91"/>
  <c r="Z31" i="19"/>
  <c r="T36" i="19"/>
  <c r="Z36" i="19" s="1"/>
  <c r="P36" i="25"/>
  <c r="X31" i="25"/>
  <c r="T41" i="55"/>
  <c r="X41" i="55" s="1"/>
  <c r="Z38" i="55"/>
  <c r="H81" i="88"/>
  <c r="L81" i="88" s="1"/>
  <c r="N77" i="88"/>
  <c r="Z97" i="9"/>
  <c r="T100" i="9"/>
  <c r="L74" i="100"/>
  <c r="D77" i="100"/>
  <c r="L80" i="75"/>
  <c r="N80" i="75" s="1"/>
  <c r="X139" i="84"/>
  <c r="Z139" i="84" s="1"/>
  <c r="D36" i="4"/>
  <c r="L31" i="4"/>
  <c r="T61" i="104"/>
  <c r="V58" i="104"/>
  <c r="P80" i="48"/>
  <c r="X77" i="48"/>
  <c r="Z77" i="48" s="1"/>
  <c r="R77" i="48"/>
  <c r="X31" i="41"/>
  <c r="P36" i="41"/>
  <c r="X26" i="6"/>
  <c r="T37" i="82"/>
  <c r="V34" i="82"/>
  <c r="L31" i="16"/>
  <c r="D36" i="16"/>
  <c r="P102" i="45"/>
  <c r="X99" i="45"/>
  <c r="Z99" i="45" s="1"/>
  <c r="R99" i="45"/>
  <c r="Z31" i="111"/>
  <c r="T36" i="111"/>
  <c r="Z36" i="111" s="1"/>
  <c r="H93" i="83"/>
  <c r="J90" i="83"/>
  <c r="X140" i="39"/>
  <c r="P143" i="39"/>
  <c r="R140" i="39"/>
  <c r="T36" i="13"/>
  <c r="Z36" i="13" s="1"/>
  <c r="Z31" i="13"/>
  <c r="P36" i="37"/>
  <c r="X31" i="37"/>
  <c r="T77" i="78"/>
  <c r="V73" i="78"/>
  <c r="D106" i="33"/>
  <c r="L102" i="33"/>
  <c r="N102" i="33" s="1"/>
  <c r="F102" i="33"/>
  <c r="N31" i="7"/>
  <c r="H36" i="7"/>
  <c r="N36" i="7" s="1"/>
  <c r="X31" i="110"/>
  <c r="P36" i="110"/>
  <c r="H77" i="109"/>
  <c r="J73" i="109"/>
  <c r="H36" i="49"/>
  <c r="N36" i="49" s="1"/>
  <c r="N31" i="49"/>
  <c r="H137" i="70"/>
  <c r="J134" i="70"/>
  <c r="L169" i="30"/>
  <c r="N169" i="30" s="1"/>
  <c r="D172" i="30"/>
  <c r="F169" i="30"/>
  <c r="H109" i="33"/>
  <c r="J106" i="33"/>
  <c r="P93" i="83"/>
  <c r="X90" i="83"/>
  <c r="Z90" i="83" s="1"/>
  <c r="R90" i="83"/>
  <c r="P36" i="31"/>
  <c r="X31" i="31"/>
  <c r="X31" i="4"/>
  <c r="P36" i="4"/>
  <c r="Z31" i="32"/>
  <c r="T36" i="32"/>
  <c r="Z36" i="32" s="1"/>
  <c r="N31" i="31"/>
  <c r="H36" i="31"/>
  <c r="N36" i="31" s="1"/>
  <c r="H36" i="11"/>
  <c r="N36" i="11" s="1"/>
  <c r="N31" i="11"/>
  <c r="P172" i="30"/>
  <c r="X169" i="30"/>
  <c r="Z169" i="30" s="1"/>
  <c r="R169" i="30"/>
  <c r="N31" i="26"/>
  <c r="H36" i="26"/>
  <c r="N36" i="26" s="1"/>
  <c r="D87" i="75"/>
  <c r="L84" i="75"/>
  <c r="F84" i="75"/>
  <c r="P32" i="106"/>
  <c r="X32" i="106" s="1"/>
  <c r="Z32" i="106" s="1"/>
  <c r="X29" i="106"/>
  <c r="Z29" i="106" s="1"/>
  <c r="L86" i="80"/>
  <c r="D89" i="80"/>
  <c r="X31" i="6"/>
  <c r="H90" i="87"/>
  <c r="L90" i="87" s="1"/>
  <c r="N86" i="87"/>
  <c r="J86" i="87"/>
  <c r="T36" i="10"/>
  <c r="Z36" i="10" s="1"/>
  <c r="Z31" i="10"/>
  <c r="L31" i="32"/>
  <c r="D36" i="32"/>
  <c r="D153" i="68"/>
  <c r="L149" i="68"/>
  <c r="N149" i="68" s="1"/>
  <c r="T91" i="107"/>
  <c r="Z87" i="107"/>
  <c r="V87" i="107"/>
  <c r="H172" i="30"/>
  <c r="J169" i="30"/>
  <c r="T90" i="101"/>
  <c r="Z86" i="101"/>
  <c r="V86" i="101"/>
  <c r="H108" i="73"/>
  <c r="J104" i="73"/>
  <c r="H126" i="76"/>
  <c r="J123" i="76"/>
  <c r="L31" i="29"/>
  <c r="D36" i="29"/>
  <c r="L90" i="83"/>
  <c r="N90" i="83" s="1"/>
  <c r="D93" i="83"/>
  <c r="H143" i="39"/>
  <c r="J140" i="39"/>
  <c r="D113" i="63"/>
  <c r="L113" i="63" s="1"/>
  <c r="L110" i="63"/>
  <c r="N110" i="63" s="1"/>
  <c r="Z77" i="94"/>
  <c r="T81" i="94"/>
  <c r="V77" i="94"/>
  <c r="N31" i="41"/>
  <c r="H36" i="41"/>
  <c r="N36" i="41" s="1"/>
  <c r="H153" i="68"/>
  <c r="J149" i="68"/>
  <c r="L31" i="31"/>
  <c r="D36" i="31"/>
  <c r="L31" i="13"/>
  <c r="D36" i="13"/>
  <c r="L309" i="15"/>
  <c r="N309" i="15" s="1"/>
  <c r="D312" i="15"/>
  <c r="F309" i="15"/>
  <c r="P136" i="36"/>
  <c r="X133" i="36"/>
  <c r="Z133" i="36" s="1"/>
  <c r="R133" i="36"/>
  <c r="N31" i="29"/>
  <c r="H36" i="29"/>
  <c r="N36" i="29" s="1"/>
  <c r="T78" i="69"/>
  <c r="V74" i="69"/>
  <c r="X74" i="69"/>
  <c r="Z74" i="69" s="1"/>
  <c r="T36" i="44"/>
  <c r="Z36" i="44" s="1"/>
  <c r="Z31" i="44"/>
  <c r="L123" i="76"/>
  <c r="N123" i="76" s="1"/>
  <c r="D126" i="76"/>
  <c r="F123" i="76"/>
  <c r="X66" i="67"/>
  <c r="Z66" i="67" s="1"/>
  <c r="P69" i="67"/>
  <c r="X69" i="67" s="1"/>
  <c r="Z69" i="67" s="1"/>
  <c r="H100" i="9"/>
  <c r="N97" i="9"/>
  <c r="T36" i="11"/>
  <c r="Z36" i="11" s="1"/>
  <c r="Z31" i="11"/>
  <c r="Z31" i="41"/>
  <c r="T36" i="41"/>
  <c r="Z36" i="41" s="1"/>
  <c r="H36" i="20"/>
  <c r="N36" i="20" s="1"/>
  <c r="N31" i="20"/>
  <c r="X74" i="100"/>
  <c r="Z74" i="100" s="1"/>
  <c r="P77" i="100"/>
  <c r="R74" i="100"/>
  <c r="X31" i="112"/>
  <c r="P36" i="112"/>
  <c r="Z110" i="63"/>
  <c r="T113" i="63"/>
  <c r="X71" i="59"/>
  <c r="Z71" i="59" s="1"/>
  <c r="P74" i="59"/>
  <c r="X31" i="44"/>
  <c r="P36" i="44"/>
  <c r="D82" i="93"/>
  <c r="L79" i="93"/>
  <c r="L82" i="80"/>
  <c r="N82" i="80" s="1"/>
  <c r="Z337" i="18"/>
  <c r="T341" i="18"/>
  <c r="V337" i="18"/>
  <c r="Z31" i="46"/>
  <c r="T36" i="46"/>
  <c r="Z36" i="46" s="1"/>
  <c r="X77" i="79"/>
  <c r="Z77" i="79" s="1"/>
  <c r="P80" i="79"/>
  <c r="R77" i="79"/>
  <c r="Z119" i="76"/>
  <c r="T123" i="76"/>
  <c r="V119" i="76"/>
  <c r="H36" i="22"/>
  <c r="N36" i="22" s="1"/>
  <c r="N31" i="22"/>
  <c r="T36" i="23"/>
  <c r="Z36" i="23" s="1"/>
  <c r="Z31" i="23"/>
  <c r="Z54" i="60"/>
  <c r="T57" i="60"/>
  <c r="D58" i="104"/>
  <c r="L54" i="104"/>
  <c r="N54" i="104" s="1"/>
  <c r="H102" i="45"/>
  <c r="J99" i="45"/>
  <c r="D31" i="54"/>
  <c r="L31" i="54" s="1"/>
  <c r="L26" i="54"/>
  <c r="D108" i="73"/>
  <c r="L104" i="73"/>
  <c r="N104" i="73" s="1"/>
  <c r="F104" i="73"/>
  <c r="H77" i="79"/>
  <c r="J73" i="79"/>
  <c r="Z31" i="8"/>
  <c r="T36" i="8"/>
  <c r="Z36" i="8" s="1"/>
  <c r="N50" i="99"/>
  <c r="H53" i="99"/>
  <c r="L53" i="99" s="1"/>
  <c r="X31" i="35"/>
  <c r="P36" i="35"/>
  <c r="Z60" i="61"/>
  <c r="X75" i="93"/>
  <c r="Z75" i="93" s="1"/>
  <c r="P79" i="93"/>
  <c r="R75" i="93"/>
  <c r="H81" i="56"/>
  <c r="N78" i="56"/>
  <c r="Z31" i="110"/>
  <c r="T36" i="110"/>
  <c r="Z36" i="110" s="1"/>
  <c r="D78" i="69"/>
  <c r="L74" i="69"/>
  <c r="N74" i="69" s="1"/>
  <c r="P36" i="28"/>
  <c r="X31" i="28"/>
  <c r="N41" i="108"/>
  <c r="H44" i="108"/>
  <c r="N53" i="98"/>
  <c r="H57" i="98"/>
  <c r="L31" i="17"/>
  <c r="D36" i="17"/>
  <c r="T89" i="80"/>
  <c r="Z86" i="80"/>
  <c r="V86" i="80"/>
  <c r="L109" i="21"/>
  <c r="N109" i="21" s="1"/>
  <c r="D36" i="11"/>
  <c r="L31" i="11"/>
  <c r="P36" i="26"/>
  <c r="X31" i="26"/>
  <c r="N31" i="50"/>
  <c r="H36" i="50"/>
  <c r="N36" i="50" s="1"/>
  <c r="X73" i="78"/>
  <c r="Z73" i="78" s="1"/>
  <c r="T36" i="17"/>
  <c r="Z36" i="17" s="1"/>
  <c r="Z31" i="17"/>
  <c r="D77" i="79"/>
  <c r="L73" i="79"/>
  <c r="N73" i="79" s="1"/>
  <c r="P104" i="91"/>
  <c r="X104" i="91" s="1"/>
  <c r="Z104" i="91" s="1"/>
  <c r="X101" i="91"/>
  <c r="Z101" i="91" s="1"/>
  <c r="L73" i="109"/>
  <c r="N73" i="109" s="1"/>
  <c r="Z41" i="108"/>
  <c r="T44" i="108"/>
  <c r="N85" i="72"/>
  <c r="H89" i="72"/>
  <c r="J85" i="72"/>
  <c r="Z104" i="73"/>
  <c r="T108" i="73"/>
  <c r="V104" i="73"/>
  <c r="H344" i="18"/>
  <c r="N341" i="18"/>
  <c r="J341" i="18"/>
  <c r="H123" i="51"/>
  <c r="J119" i="51"/>
  <c r="L119" i="51"/>
  <c r="N119" i="51" s="1"/>
  <c r="D123" i="51"/>
  <c r="F119" i="51"/>
  <c r="X77" i="88"/>
  <c r="Z77" i="88" s="1"/>
  <c r="N31" i="52"/>
  <c r="H36" i="52"/>
  <c r="N36" i="52" s="1"/>
  <c r="N31" i="40"/>
  <c r="H36" i="40"/>
  <c r="N36" i="40" s="1"/>
  <c r="N31" i="110"/>
  <c r="H36" i="110"/>
  <c r="N36" i="110" s="1"/>
  <c r="L31" i="25"/>
  <c r="D36" i="25"/>
  <c r="X34" i="82"/>
  <c r="Z34" i="82" s="1"/>
  <c r="P37" i="82"/>
  <c r="R34" i="82"/>
  <c r="T36" i="7"/>
  <c r="Z36" i="7" s="1"/>
  <c r="Z31" i="7"/>
  <c r="D36" i="20"/>
  <c r="L31" i="20"/>
  <c r="H36" i="111"/>
  <c r="N36" i="111" s="1"/>
  <c r="N31" i="111"/>
  <c r="L93" i="83" l="1"/>
  <c r="L36" i="43"/>
  <c r="X36" i="52"/>
  <c r="L36" i="28"/>
  <c r="L36" i="17"/>
  <c r="L36" i="20"/>
  <c r="X36" i="22"/>
  <c r="L36" i="13"/>
  <c r="X36" i="26"/>
  <c r="L36" i="32"/>
  <c r="X36" i="35"/>
  <c r="L36" i="25"/>
  <c r="X36" i="38"/>
  <c r="L36" i="19"/>
  <c r="L36" i="44"/>
  <c r="L36" i="5"/>
  <c r="X36" i="53"/>
  <c r="X36" i="47"/>
  <c r="X36" i="49"/>
  <c r="X36" i="37"/>
  <c r="X36" i="29"/>
  <c r="X36" i="40"/>
  <c r="L36" i="35"/>
  <c r="X36" i="44"/>
  <c r="X36" i="31"/>
  <c r="L36" i="37"/>
  <c r="L36" i="11"/>
  <c r="X36" i="28"/>
  <c r="X36" i="112"/>
  <c r="L36" i="4"/>
  <c r="X36" i="19"/>
  <c r="L36" i="40"/>
  <c r="L36" i="112"/>
  <c r="L36" i="34"/>
  <c r="X36" i="14"/>
  <c r="X36" i="34"/>
  <c r="L36" i="14"/>
  <c r="L318" i="12"/>
  <c r="N318" i="12" s="1"/>
  <c r="D321" i="12"/>
  <c r="F318" i="12"/>
  <c r="J136" i="36"/>
  <c r="D80" i="79"/>
  <c r="L77" i="79"/>
  <c r="X37" i="82"/>
  <c r="R37" i="82"/>
  <c r="N53" i="99"/>
  <c r="H156" i="68"/>
  <c r="J153" i="68"/>
  <c r="T94" i="107"/>
  <c r="V91" i="107"/>
  <c r="X36" i="41"/>
  <c r="R146" i="84"/>
  <c r="R80" i="78"/>
  <c r="V82" i="93"/>
  <c r="X93" i="87"/>
  <c r="R93" i="87"/>
  <c r="L36" i="47"/>
  <c r="X36" i="11"/>
  <c r="X101" i="95"/>
  <c r="Z101" i="95" s="1"/>
  <c r="R101" i="95"/>
  <c r="X92" i="105"/>
  <c r="Z92" i="105" s="1"/>
  <c r="R92" i="105"/>
  <c r="H128" i="74"/>
  <c r="J125" i="74"/>
  <c r="J92" i="105"/>
  <c r="Z81" i="58"/>
  <c r="D137" i="70"/>
  <c r="L134" i="70"/>
  <c r="N134" i="70" s="1"/>
  <c r="F134" i="70"/>
  <c r="P94" i="107"/>
  <c r="X91" i="107"/>
  <c r="Z91" i="107" s="1"/>
  <c r="R91" i="107"/>
  <c r="X36" i="50"/>
  <c r="T80" i="78"/>
  <c r="V77" i="78"/>
  <c r="T133" i="42"/>
  <c r="Z130" i="42"/>
  <c r="V130" i="42"/>
  <c r="L123" i="51"/>
  <c r="D126" i="51"/>
  <c r="F123" i="51"/>
  <c r="H92" i="72"/>
  <c r="J89" i="72"/>
  <c r="L126" i="76"/>
  <c r="N126" i="76" s="1"/>
  <c r="F126" i="76"/>
  <c r="X136" i="36"/>
  <c r="Z136" i="36" s="1"/>
  <c r="R136" i="36"/>
  <c r="J143" i="39"/>
  <c r="H111" i="73"/>
  <c r="J108" i="73"/>
  <c r="D156" i="68"/>
  <c r="L153" i="68"/>
  <c r="N153" i="68" s="1"/>
  <c r="X36" i="10"/>
  <c r="D37" i="82"/>
  <c r="L34" i="82"/>
  <c r="N34" i="82" s="1"/>
  <c r="F34" i="82"/>
  <c r="D94" i="107"/>
  <c r="L91" i="107"/>
  <c r="N91" i="107" s="1"/>
  <c r="F91" i="107"/>
  <c r="X36" i="8"/>
  <c r="D60" i="98"/>
  <c r="L57" i="98"/>
  <c r="L36" i="50"/>
  <c r="X36" i="7"/>
  <c r="L133" i="36"/>
  <c r="N133" i="36" s="1"/>
  <c r="D136" i="36"/>
  <c r="F133" i="36"/>
  <c r="X36" i="20"/>
  <c r="Z84" i="75"/>
  <c r="T87" i="75"/>
  <c r="V84" i="75"/>
  <c r="X77" i="109"/>
  <c r="Z77" i="109" s="1"/>
  <c r="P80" i="109"/>
  <c r="R77" i="109"/>
  <c r="X133" i="42"/>
  <c r="R133" i="42"/>
  <c r="J321" i="12"/>
  <c r="R84" i="88"/>
  <c r="D146" i="84"/>
  <c r="L146" i="84" s="1"/>
  <c r="N146" i="84" s="1"/>
  <c r="L143" i="84"/>
  <c r="N143" i="84" s="1"/>
  <c r="N57" i="98"/>
  <c r="H60" i="98"/>
  <c r="N60" i="98" s="1"/>
  <c r="T126" i="76"/>
  <c r="V123" i="76"/>
  <c r="X134" i="70"/>
  <c r="P137" i="70"/>
  <c r="R134" i="70"/>
  <c r="X371" i="3"/>
  <c r="R371" i="3"/>
  <c r="L92" i="72"/>
  <c r="F92" i="72"/>
  <c r="H92" i="103"/>
  <c r="L92" i="103" s="1"/>
  <c r="J89" i="103"/>
  <c r="N69" i="67"/>
  <c r="H133" i="42"/>
  <c r="J130" i="42"/>
  <c r="L36" i="8"/>
  <c r="X113" i="63"/>
  <c r="L36" i="23"/>
  <c r="N136" i="27"/>
  <c r="H139" i="27"/>
  <c r="L139" i="27" s="1"/>
  <c r="J136" i="27"/>
  <c r="P126" i="51"/>
  <c r="X123" i="51"/>
  <c r="Z123" i="51" s="1"/>
  <c r="R123" i="51"/>
  <c r="H94" i="107"/>
  <c r="J91" i="107"/>
  <c r="R96" i="97"/>
  <c r="L36" i="10"/>
  <c r="X130" i="42"/>
  <c r="V128" i="74"/>
  <c r="T126" i="51"/>
  <c r="V123" i="51"/>
  <c r="T92" i="103"/>
  <c r="V89" i="103"/>
  <c r="L77" i="48"/>
  <c r="D80" i="48"/>
  <c r="F77" i="48"/>
  <c r="L58" i="104"/>
  <c r="N58" i="104" s="1"/>
  <c r="D61" i="104"/>
  <c r="L61" i="104" s="1"/>
  <c r="H80" i="109"/>
  <c r="J77" i="109"/>
  <c r="X80" i="48"/>
  <c r="Z80" i="48" s="1"/>
  <c r="R80" i="48"/>
  <c r="X61" i="104"/>
  <c r="R61" i="104"/>
  <c r="X109" i="33"/>
  <c r="R109" i="33"/>
  <c r="X36" i="16"/>
  <c r="X36" i="43"/>
  <c r="L89" i="72"/>
  <c r="N89" i="72" s="1"/>
  <c r="L125" i="74"/>
  <c r="N125" i="74" s="1"/>
  <c r="D128" i="74"/>
  <c r="F125" i="74"/>
  <c r="R171" i="24"/>
  <c r="L36" i="26"/>
  <c r="H93" i="101"/>
  <c r="N90" i="101"/>
  <c r="J90" i="101"/>
  <c r="P92" i="72"/>
  <c r="X89" i="72"/>
  <c r="R89" i="72"/>
  <c r="X108" i="73"/>
  <c r="Z108" i="73" s="1"/>
  <c r="P111" i="73"/>
  <c r="R108" i="73"/>
  <c r="L344" i="18"/>
  <c r="F344" i="18"/>
  <c r="L90" i="101"/>
  <c r="J312" i="15"/>
  <c r="L93" i="97"/>
  <c r="D96" i="97"/>
  <c r="X60" i="98"/>
  <c r="R60" i="98"/>
  <c r="N123" i="51"/>
  <c r="H126" i="51"/>
  <c r="J123" i="51"/>
  <c r="L312" i="15"/>
  <c r="N312" i="15" s="1"/>
  <c r="F312" i="15"/>
  <c r="L36" i="29"/>
  <c r="F87" i="75"/>
  <c r="X36" i="4"/>
  <c r="J109" i="33"/>
  <c r="X36" i="110"/>
  <c r="X102" i="45"/>
  <c r="R102" i="45"/>
  <c r="L36" i="49"/>
  <c r="H116" i="21"/>
  <c r="L116" i="21" s="1"/>
  <c r="J113" i="21"/>
  <c r="V80" i="109"/>
  <c r="X36" i="23"/>
  <c r="Z93" i="97"/>
  <c r="T96" i="97"/>
  <c r="X96" i="97" s="1"/>
  <c r="V93" i="97"/>
  <c r="L36" i="52"/>
  <c r="Z31" i="6"/>
  <c r="L99" i="45"/>
  <c r="N99" i="45" s="1"/>
  <c r="D102" i="45"/>
  <c r="F99" i="45"/>
  <c r="Z102" i="45"/>
  <c r="V102" i="45"/>
  <c r="Z80" i="57"/>
  <c r="T92" i="72"/>
  <c r="Z89" i="72"/>
  <c r="V89" i="72"/>
  <c r="D92" i="105"/>
  <c r="L89" i="105"/>
  <c r="N89" i="105" s="1"/>
  <c r="F89" i="105"/>
  <c r="L93" i="101"/>
  <c r="X80" i="57"/>
  <c r="L89" i="103"/>
  <c r="N89" i="103" s="1"/>
  <c r="V92" i="105"/>
  <c r="Z90" i="101"/>
  <c r="T93" i="101"/>
  <c r="V90" i="101"/>
  <c r="L36" i="16"/>
  <c r="Z61" i="104"/>
  <c r="V61" i="104"/>
  <c r="L44" i="108"/>
  <c r="N44" i="108" s="1"/>
  <c r="T84" i="88"/>
  <c r="X84" i="88" s="1"/>
  <c r="Z81" i="88"/>
  <c r="V81" i="88"/>
  <c r="V321" i="12"/>
  <c r="P87" i="92"/>
  <c r="X84" i="92"/>
  <c r="Z84" i="92" s="1"/>
  <c r="R84" i="92"/>
  <c r="X81" i="56"/>
  <c r="Z81" i="56" s="1"/>
  <c r="X36" i="5"/>
  <c r="J146" i="84"/>
  <c r="N84" i="75"/>
  <c r="H87" i="75"/>
  <c r="J84" i="75"/>
  <c r="F92" i="103"/>
  <c r="X36" i="13"/>
  <c r="V136" i="36"/>
  <c r="X36" i="32"/>
  <c r="X77" i="100"/>
  <c r="R77" i="100"/>
  <c r="H80" i="79"/>
  <c r="N77" i="79"/>
  <c r="J77" i="79"/>
  <c r="X74" i="59"/>
  <c r="X79" i="93"/>
  <c r="Z79" i="93" s="1"/>
  <c r="P82" i="93"/>
  <c r="R79" i="93"/>
  <c r="T84" i="94"/>
  <c r="V81" i="94"/>
  <c r="L172" i="30"/>
  <c r="N172" i="30" s="1"/>
  <c r="F172" i="30"/>
  <c r="N81" i="88"/>
  <c r="H84" i="88"/>
  <c r="H171" i="24"/>
  <c r="J168" i="24"/>
  <c r="J371" i="3"/>
  <c r="L36" i="53"/>
  <c r="Z143" i="84"/>
  <c r="T146" i="84"/>
  <c r="V143" i="84"/>
  <c r="L81" i="94"/>
  <c r="N81" i="94" s="1"/>
  <c r="D84" i="94"/>
  <c r="T37" i="85"/>
  <c r="V34" i="85"/>
  <c r="X34" i="85"/>
  <c r="Z34" i="85" s="1"/>
  <c r="L130" i="42"/>
  <c r="N130" i="42" s="1"/>
  <c r="D133" i="42"/>
  <c r="L133" i="42" s="1"/>
  <c r="L36" i="7"/>
  <c r="L58" i="102"/>
  <c r="N58" i="102" s="1"/>
  <c r="N113" i="63"/>
  <c r="V80" i="79"/>
  <c r="L113" i="21"/>
  <c r="N113" i="21" s="1"/>
  <c r="X80" i="79"/>
  <c r="Z80" i="79" s="1"/>
  <c r="R80" i="79"/>
  <c r="Z113" i="63"/>
  <c r="T81" i="69"/>
  <c r="V78" i="69"/>
  <c r="X78" i="69"/>
  <c r="Z78" i="69" s="1"/>
  <c r="J126" i="76"/>
  <c r="J172" i="30"/>
  <c r="R143" i="39"/>
  <c r="N104" i="91"/>
  <c r="H89" i="80"/>
  <c r="N86" i="80"/>
  <c r="J86" i="80"/>
  <c r="L371" i="3"/>
  <c r="N371" i="3" s="1"/>
  <c r="F371" i="3"/>
  <c r="H77" i="100"/>
  <c r="L77" i="100" s="1"/>
  <c r="N74" i="100"/>
  <c r="H82" i="93"/>
  <c r="L82" i="93" s="1"/>
  <c r="N79" i="93"/>
  <c r="X341" i="18"/>
  <c r="Z341" i="18" s="1"/>
  <c r="P344" i="18"/>
  <c r="R341" i="18"/>
  <c r="J80" i="78"/>
  <c r="L81" i="56"/>
  <c r="N81" i="56" s="1"/>
  <c r="H84" i="94"/>
  <c r="L69" i="67"/>
  <c r="N41" i="55"/>
  <c r="F116" i="21"/>
  <c r="N344" i="18"/>
  <c r="J344" i="18"/>
  <c r="D111" i="73"/>
  <c r="L108" i="73"/>
  <c r="N108" i="73" s="1"/>
  <c r="F108" i="73"/>
  <c r="L36" i="31"/>
  <c r="H93" i="87"/>
  <c r="N90" i="87"/>
  <c r="J90" i="87"/>
  <c r="Z37" i="82"/>
  <c r="V37" i="82"/>
  <c r="Z41" i="55"/>
  <c r="X89" i="80"/>
  <c r="R89" i="80"/>
  <c r="X44" i="108"/>
  <c r="Z44" i="108" s="1"/>
  <c r="X36" i="46"/>
  <c r="P126" i="76"/>
  <c r="X123" i="76"/>
  <c r="Z123" i="76" s="1"/>
  <c r="R123" i="76"/>
  <c r="L36" i="41"/>
  <c r="Z134" i="70"/>
  <c r="T137" i="70"/>
  <c r="V134" i="70"/>
  <c r="L80" i="109"/>
  <c r="F80" i="109"/>
  <c r="F139" i="27"/>
  <c r="X128" i="74"/>
  <c r="Z128" i="74" s="1"/>
  <c r="R128" i="74"/>
  <c r="X89" i="103"/>
  <c r="Z89" i="103" s="1"/>
  <c r="P92" i="103"/>
  <c r="R89" i="103"/>
  <c r="L168" i="24"/>
  <c r="N168" i="24" s="1"/>
  <c r="D171" i="24"/>
  <c r="F168" i="24"/>
  <c r="P139" i="27"/>
  <c r="X136" i="27"/>
  <c r="Z136" i="27" s="1"/>
  <c r="R136" i="27"/>
  <c r="J37" i="82"/>
  <c r="N101" i="95"/>
  <c r="J101" i="95"/>
  <c r="V93" i="83"/>
  <c r="N31" i="54"/>
  <c r="Z77" i="100"/>
  <c r="V77" i="100"/>
  <c r="X113" i="21"/>
  <c r="Z113" i="21" s="1"/>
  <c r="P116" i="21"/>
  <c r="R113" i="21"/>
  <c r="L36" i="46"/>
  <c r="L78" i="69"/>
  <c r="N78" i="69" s="1"/>
  <c r="D81" i="69"/>
  <c r="L81" i="69" s="1"/>
  <c r="N81" i="69" s="1"/>
  <c r="X172" i="30"/>
  <c r="Z172" i="30" s="1"/>
  <c r="R172" i="30"/>
  <c r="N61" i="104"/>
  <c r="X87" i="75"/>
  <c r="R87" i="75"/>
  <c r="X36" i="17"/>
  <c r="P84" i="94"/>
  <c r="X81" i="94"/>
  <c r="Z81" i="94" s="1"/>
  <c r="R81" i="94"/>
  <c r="N93" i="97"/>
  <c r="H96" i="97"/>
  <c r="J93" i="97"/>
  <c r="L36" i="110"/>
  <c r="L77" i="109"/>
  <c r="N77" i="109" s="1"/>
  <c r="L36" i="111"/>
  <c r="L36" i="22"/>
  <c r="X153" i="68"/>
  <c r="Z153" i="68" s="1"/>
  <c r="P156" i="68"/>
  <c r="R153" i="68"/>
  <c r="L32" i="106"/>
  <c r="N32" i="106" s="1"/>
  <c r="H80" i="48"/>
  <c r="N77" i="48"/>
  <c r="J77" i="48"/>
  <c r="T116" i="21"/>
  <c r="V113" i="21"/>
  <c r="L80" i="57"/>
  <c r="N80" i="57" s="1"/>
  <c r="X90" i="101"/>
  <c r="P93" i="101"/>
  <c r="R90" i="101"/>
  <c r="J102" i="45"/>
  <c r="Z74" i="59"/>
  <c r="T111" i="73"/>
  <c r="V108" i="73"/>
  <c r="Z89" i="80"/>
  <c r="V89" i="80"/>
  <c r="T344" i="18"/>
  <c r="V341" i="18"/>
  <c r="X93" i="83"/>
  <c r="Z93" i="83" s="1"/>
  <c r="R93" i="83"/>
  <c r="J137" i="70"/>
  <c r="L106" i="33"/>
  <c r="N106" i="33" s="1"/>
  <c r="D109" i="33"/>
  <c r="F106" i="33"/>
  <c r="N93" i="83"/>
  <c r="J93" i="83"/>
  <c r="X36" i="25"/>
  <c r="Z109" i="33"/>
  <c r="V109" i="33"/>
  <c r="Z93" i="87"/>
  <c r="V93" i="87"/>
  <c r="N84" i="92"/>
  <c r="H87" i="92"/>
  <c r="L87" i="92" s="1"/>
  <c r="J84" i="92"/>
  <c r="X77" i="78"/>
  <c r="Z77" i="78" s="1"/>
  <c r="L100" i="9"/>
  <c r="N100" i="9" s="1"/>
  <c r="P321" i="12"/>
  <c r="X318" i="12"/>
  <c r="Z318" i="12" s="1"/>
  <c r="R318" i="12"/>
  <c r="L36" i="38"/>
  <c r="Z371" i="3"/>
  <c r="V371" i="3"/>
  <c r="X100" i="9"/>
  <c r="Z100" i="9" s="1"/>
  <c r="T87" i="92"/>
  <c r="V84" i="92"/>
  <c r="Z140" i="39"/>
  <c r="T143" i="39"/>
  <c r="X143" i="39" s="1"/>
  <c r="V140" i="39"/>
  <c r="V139" i="27"/>
  <c r="X312" i="15"/>
  <c r="Z312" i="15" s="1"/>
  <c r="R312" i="15"/>
  <c r="T171" i="24"/>
  <c r="X171" i="24" s="1"/>
  <c r="Z168" i="24"/>
  <c r="V168" i="24"/>
  <c r="V172" i="30"/>
  <c r="J81" i="69"/>
  <c r="V312" i="15"/>
  <c r="L77" i="78"/>
  <c r="N77" i="78" s="1"/>
  <c r="D80" i="78"/>
  <c r="F77" i="78"/>
  <c r="X36" i="111"/>
  <c r="X57" i="60"/>
  <c r="Z57" i="60" s="1"/>
  <c r="D143" i="39"/>
  <c r="L140" i="39"/>
  <c r="N140" i="39" s="1"/>
  <c r="F140" i="39"/>
  <c r="J89" i="80" l="1"/>
  <c r="J171" i="24"/>
  <c r="L89" i="80"/>
  <c r="N89" i="80" s="1"/>
  <c r="X84" i="94"/>
  <c r="Z84" i="94" s="1"/>
  <c r="R84" i="94"/>
  <c r="X116" i="21"/>
  <c r="R116" i="21"/>
  <c r="X344" i="18"/>
  <c r="Z344" i="18" s="1"/>
  <c r="R344" i="18"/>
  <c r="V93" i="101"/>
  <c r="V92" i="72"/>
  <c r="X111" i="73"/>
  <c r="R111" i="73"/>
  <c r="L128" i="74"/>
  <c r="F128" i="74"/>
  <c r="N133" i="42"/>
  <c r="J133" i="42"/>
  <c r="L37" i="82"/>
  <c r="N37" i="82" s="1"/>
  <c r="F37" i="82"/>
  <c r="Z133" i="42"/>
  <c r="V133" i="42"/>
  <c r="Z37" i="85"/>
  <c r="V37" i="85"/>
  <c r="X37" i="85"/>
  <c r="J156" i="68"/>
  <c r="V344" i="18"/>
  <c r="X93" i="101"/>
  <c r="Z93" i="101" s="1"/>
  <c r="R93" i="101"/>
  <c r="L84" i="94"/>
  <c r="N84" i="94" s="1"/>
  <c r="N80" i="79"/>
  <c r="J80" i="79"/>
  <c r="J87" i="75"/>
  <c r="N80" i="109"/>
  <c r="J80" i="109"/>
  <c r="J80" i="48"/>
  <c r="X87" i="92"/>
  <c r="R87" i="92"/>
  <c r="L171" i="24"/>
  <c r="N171" i="24" s="1"/>
  <c r="F171" i="24"/>
  <c r="V137" i="70"/>
  <c r="L87" i="75"/>
  <c r="N87" i="75" s="1"/>
  <c r="L96" i="97"/>
  <c r="Z126" i="51"/>
  <c r="V126" i="51"/>
  <c r="X126" i="51"/>
  <c r="R126" i="51"/>
  <c r="Z80" i="78"/>
  <c r="V80" i="78"/>
  <c r="N128" i="74"/>
  <c r="J128" i="74"/>
  <c r="X156" i="68"/>
  <c r="Z156" i="68" s="1"/>
  <c r="R156" i="68"/>
  <c r="X139" i="27"/>
  <c r="Z139" i="27" s="1"/>
  <c r="R139" i="27"/>
  <c r="X321" i="12"/>
  <c r="Z321" i="12" s="1"/>
  <c r="R321" i="12"/>
  <c r="N82" i="93"/>
  <c r="X92" i="72"/>
  <c r="Z92" i="72" s="1"/>
  <c r="R92" i="72"/>
  <c r="Z126" i="76"/>
  <c r="V126" i="76"/>
  <c r="X80" i="109"/>
  <c r="Z80" i="109" s="1"/>
  <c r="R80" i="109"/>
  <c r="L156" i="68"/>
  <c r="N156" i="68" s="1"/>
  <c r="X80" i="78"/>
  <c r="V146" i="84"/>
  <c r="L102" i="45"/>
  <c r="N102" i="45" s="1"/>
  <c r="F102" i="45"/>
  <c r="N116" i="21"/>
  <c r="J116" i="21"/>
  <c r="N139" i="27"/>
  <c r="J139" i="27"/>
  <c r="N92" i="103"/>
  <c r="J92" i="103"/>
  <c r="L60" i="98"/>
  <c r="L109" i="33"/>
  <c r="N109" i="33" s="1"/>
  <c r="F109" i="33"/>
  <c r="J93" i="87"/>
  <c r="N77" i="100"/>
  <c r="V84" i="94"/>
  <c r="Z84" i="88"/>
  <c r="V84" i="88"/>
  <c r="N92" i="72"/>
  <c r="J92" i="72"/>
  <c r="X146" i="84"/>
  <c r="Z146" i="84" s="1"/>
  <c r="L80" i="79"/>
  <c r="L80" i="78"/>
  <c r="N80" i="78" s="1"/>
  <c r="F80" i="78"/>
  <c r="Z143" i="39"/>
  <c r="V143" i="39"/>
  <c r="Z116" i="21"/>
  <c r="V116" i="21"/>
  <c r="X92" i="103"/>
  <c r="Z92" i="103" s="1"/>
  <c r="R92" i="103"/>
  <c r="Z111" i="73"/>
  <c r="V111" i="73"/>
  <c r="N93" i="101"/>
  <c r="J93" i="101"/>
  <c r="Z87" i="75"/>
  <c r="V87" i="75"/>
  <c r="J111" i="73"/>
  <c r="X94" i="107"/>
  <c r="R94" i="107"/>
  <c r="Z87" i="92"/>
  <c r="V87" i="92"/>
  <c r="N96" i="97"/>
  <c r="J96" i="97"/>
  <c r="L80" i="48"/>
  <c r="N80" i="48" s="1"/>
  <c r="F80" i="48"/>
  <c r="N87" i="92"/>
  <c r="J87" i="92"/>
  <c r="X126" i="76"/>
  <c r="R126" i="76"/>
  <c r="L126" i="51"/>
  <c r="N126" i="51" s="1"/>
  <c r="F126" i="51"/>
  <c r="L143" i="39"/>
  <c r="N143" i="39" s="1"/>
  <c r="F143" i="39"/>
  <c r="L93" i="87"/>
  <c r="N93" i="87" s="1"/>
  <c r="V81" i="69"/>
  <c r="X81" i="69"/>
  <c r="Z81" i="69" s="1"/>
  <c r="X82" i="93"/>
  <c r="Z82" i="93" s="1"/>
  <c r="R82" i="93"/>
  <c r="L92" i="105"/>
  <c r="N92" i="105" s="1"/>
  <c r="F92" i="105"/>
  <c r="L84" i="88"/>
  <c r="N84" i="88" s="1"/>
  <c r="L94" i="107"/>
  <c r="F94" i="107"/>
  <c r="L111" i="73"/>
  <c r="N111" i="73" s="1"/>
  <c r="F111" i="73"/>
  <c r="L137" i="70"/>
  <c r="N137" i="70" s="1"/>
  <c r="F137" i="70"/>
  <c r="Z94" i="107"/>
  <c r="V94" i="107"/>
  <c r="L321" i="12"/>
  <c r="N321" i="12" s="1"/>
  <c r="F321" i="12"/>
  <c r="Z171" i="24"/>
  <c r="V171" i="24"/>
  <c r="Z96" i="97"/>
  <c r="V96" i="97"/>
  <c r="J126" i="51"/>
  <c r="V92" i="103"/>
  <c r="N94" i="107"/>
  <c r="J94" i="107"/>
  <c r="X137" i="70"/>
  <c r="Z137" i="70" s="1"/>
  <c r="R137" i="70"/>
  <c r="L136" i="36"/>
  <c r="N136" i="36" s="1"/>
  <c r="F136" i="36"/>
</calcChain>
</file>

<file path=xl/sharedStrings.xml><?xml version="1.0" encoding="utf-8"?>
<sst xmlns="http://schemas.openxmlformats.org/spreadsheetml/2006/main" count="2974" uniqueCount="314">
  <si>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</si>
  <si>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</si>
  <si>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</si>
  <si>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</si>
  <si>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</si>
  <si>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</si>
  <si>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</si>
  <si>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</si>
  <si>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</si>
  <si>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</si>
  <si>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</si>
  <si>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</si>
  <si>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</si>
  <si>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</si>
  <si>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</si>
  <si>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</si>
  <si>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</si>
  <si>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</si>
  <si>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</si>
  <si>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</si>
  <si>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</si>
  <si>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</si>
  <si>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</si>
  <si>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</si>
  <si>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</si>
  <si>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</si>
  <si>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</si>
  <si>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</si>
  <si>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</si>
  <si>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</si>
  <si>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</si>
  <si>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</si>
  <si>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</si>
  <si>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</si>
  <si>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</si>
  <si>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</si>
  <si>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</si>
  <si>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</si>
  <si>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</si>
  <si>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</si>
  <si>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</si>
  <si>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</si>
  <si>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</si>
  <si>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</si>
  <si>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</si>
  <si>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</si>
  <si>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</si>
  <si>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</si>
  <si>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</si>
  <si>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</si>
  <si>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</si>
  <si>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</si>
  <si>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</si>
  <si>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</si>
  <si>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</si>
  <si>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</si>
  <si>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</si>
  <si>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</si>
  <si>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</si>
  <si>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</si>
  <si>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</si>
  <si>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</si>
  <si>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</si>
  <si>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</si>
  <si>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</si>
  <si>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</si>
  <si>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</si>
  <si>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</si>
  <si>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</si>
  <si>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</si>
  <si>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</si>
  <si>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</si>
  <si>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</si>
  <si>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</si>
  <si>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</si>
  <si>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</si>
  <si>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</si>
  <si>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</si>
  <si>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</si>
  <si>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</si>
  <si>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</si>
  <si>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</si>
  <si>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</si>
  <si>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</si>
  <si>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</si>
  <si>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</si>
  <si>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</si>
  <si>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</si>
  <si>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</si>
  <si>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</si>
  <si>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</si>
  <si>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</si>
  <si>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</si>
  <si>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</si>
  <si>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</si>
  <si>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</si>
  <si>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</si>
  <si>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</si>
  <si>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</si>
  <si>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</si>
  <si>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</si>
  <si>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</si>
  <si>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</si>
  <si>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</si>
  <si>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</si>
  <si>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</si>
  <si>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</si>
  <si>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</si>
  <si>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</si>
  <si>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</si>
  <si>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</si>
  <si>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</si>
  <si>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</si>
  <si>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</si>
  <si>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</si>
  <si>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</si>
  <si>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</si>
  <si>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</si>
  <si>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</si>
  <si>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</si>
  <si>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</si>
  <si>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</si>
  <si>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</si>
  <si>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</si>
  <si>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</si>
  <si>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</si>
  <si>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</si>
  <si>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</si>
  <si>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</si>
  <si>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</si>
  <si>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</si>
  <si>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</si>
  <si>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</si>
  <si>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</si>
  <si>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</si>
  <si>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</si>
  <si>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</si>
  <si>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</si>
  <si>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</si>
  <si>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</si>
  <si>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</si>
  <si>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</si>
  <si>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</si>
  <si>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</si>
  <si>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</si>
  <si>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</si>
  <si>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</si>
  <si>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</si>
  <si>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</si>
  <si>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</si>
  <si>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</si>
  <si>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</si>
  <si>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</si>
  <si>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</si>
  <si>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</si>
  <si>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</si>
  <si>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</si>
  <si>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</si>
  <si>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</si>
  <si>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</si>
  <si>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</si>
  <si>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</si>
  <si>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</si>
  <si>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</si>
  <si>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</si>
  <si>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</si>
  <si>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</si>
  <si>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</si>
  <si>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</si>
  <si>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</si>
  <si>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</si>
  <si>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</si>
  <si>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</si>
  <si>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</si>
  <si>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</si>
  <si>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</si>
  <si>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</si>
  <si>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</si>
  <si>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</si>
  <si>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</si>
  <si>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</si>
  <si>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</si>
  <si>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</si>
  <si>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</si>
  <si>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</si>
  <si>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</si>
  <si>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</si>
  <si>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</si>
  <si>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</si>
  <si>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</si>
  <si>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</si>
  <si>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</si>
  <si>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</si>
  <si>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</si>
  <si>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</si>
  <si>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</si>
  <si>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</si>
  <si>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</si>
  <si>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</si>
  <si>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</si>
  <si>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</si>
  <si>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</si>
  <si>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</si>
  <si>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</si>
  <si>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</si>
  <si>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</si>
  <si>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</si>
  <si>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</si>
  <si>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</si>
  <si>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</si>
  <si>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</si>
  <si>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</si>
  <si>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</si>
  <si>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</si>
  <si>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</si>
  <si>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</si>
  <si>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</si>
  <si>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</si>
  <si>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</si>
  <si>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</si>
  <si>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</si>
  <si>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</si>
  <si>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</si>
  <si>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</si>
  <si>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</si>
  <si>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</si>
  <si>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</si>
  <si>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</si>
  <si>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</si>
  <si>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</si>
  <si>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</si>
  <si>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</si>
  <si>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</si>
  <si>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</si>
  <si>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</si>
  <si>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</si>
  <si>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</si>
  <si>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</si>
  <si>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</si>
  <si>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</si>
  <si>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</si>
  <si>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</si>
  <si>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</si>
  <si>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</si>
  <si>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</si>
  <si>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</si>
  <si>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</si>
  <si>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</si>
  <si>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</si>
  <si>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</si>
  <si>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</si>
  <si>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</si>
  <si>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</si>
  <si>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</si>
  <si>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</si>
  <si>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</si>
  <si>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</si>
  <si>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</si>
  <si>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</si>
  <si>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</si>
  <si>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</si>
  <si>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</si>
  <si>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</si>
  <si>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</si>
  <si>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</si>
  <si>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</si>
  <si>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</si>
  <si>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</si>
  <si>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</si>
  <si>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</si>
  <si>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</si>
  <si>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</si>
  <si>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</si>
  <si>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</si>
  <si>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</si>
  <si>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</si>
  <si>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</si>
  <si>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</si>
  <si>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</si>
  <si>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</si>
  <si>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</si>
  <si>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</si>
  <si>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</si>
  <si>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</si>
  <si>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</si>
  <si>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</si>
  <si>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</si>
  <si>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</si>
  <si>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</si>
  <si>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</si>
  <si>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</si>
  <si>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</si>
  <si>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</si>
  <si>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</si>
  <si>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</si>
  <si>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</si>
  <si>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</si>
  <si>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</si>
  <si>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</si>
  <si>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</si>
  <si>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</si>
  <si>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</si>
  <si>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</si>
  <si>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</si>
  <si>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</si>
  <si>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</si>
  <si>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</si>
  <si>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</si>
  <si>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</si>
  <si>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</si>
  <si>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</si>
  <si>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</si>
  <si>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</si>
  <si>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49er.local\49bi360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</si>
</sst>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0" fontId="0" fillId="0" borderId="0" xfId="0" applyFont="1" applyFill="1" applyBorder="1"/>
    <xf numFmtId="167" fontId="2" fillId="0" borderId="0" xfId="3" applyNumberFormat="1" applyFont="1" applyFill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167" fontId="2" fillId="0" borderId="0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166" fontId="3" fillId="0" borderId="0" xfId="0" applyNumberFormat="1" applyFont="1" applyAlignment="1">
      <alignment horizontal="left"/>
    </xf>
    <xf numFmtId="0" fontId="0" fillId="0" borderId="0" xfId="0" applyFill="1" applyAlignment="1">
      <alignment horizontal="centerContinuous"/>
    </xf>
    <xf numFmtId="0" fontId="4" fillId="0" borderId="0" xfId="0" applyFont="1"/>
    <xf numFmtId="0" fontId="2" fillId="0" borderId="0" xfId="0" applyFont="1" applyFill="1" applyBorder="1"/>
    <xf numFmtId="0" fontId="0" fillId="0" borderId="0" xfId="0" applyBorder="1"/>
    <xf numFmtId="165" fontId="0" fillId="0" borderId="0" xfId="0" applyNumberFormat="1"/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Fill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4.5" x14ac:dyDescent="0.35"/>
  <cols>
    <col min="1" max="130" width="20.7265625" customWidth="1"/>
  </cols>
  <sheetData>
    <row r="1" spans="1:130" x14ac:dyDescent="0.35">
      <c r="B1">
        <v>4</v>
      </c>
    </row>
    <row r="3" spans="1:130" ht="29" x14ac:dyDescent="0.3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298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307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307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308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308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311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311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305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305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304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4.5" x14ac:dyDescent="0.35"/>
  <cols>
    <col min="1" max="220" width="20.7265625" customWidth="1"/>
    <col min="221" max="221" width="20.7265625" style="66" customWidth="1"/>
    <col min="222" max="223" width="20.7265625" customWidth="1"/>
  </cols>
  <sheetData>
    <row r="1" spans="1:272" x14ac:dyDescent="0.35">
      <c r="D1">
        <v>4</v>
      </c>
    </row>
    <row r="2" spans="1:272" x14ac:dyDescent="0.35">
      <c r="JK2">
        <v>271</v>
      </c>
      <c r="JL2">
        <v>4</v>
      </c>
    </row>
    <row r="3" spans="1:272" ht="29" x14ac:dyDescent="0.3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35">
      <c r="JK10001">
        <v>271</v>
      </c>
      <c r="JL10001">
        <v>10003</v>
      </c>
    </row>
    <row r="10002" spans="271:272" ht="43.5" x14ac:dyDescent="0.3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304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301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301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302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302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303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303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309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309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312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76"/>
  <sheetViews>
    <sheetView tabSelected="1" zoomScale="80" workbookViewId="0">
      <pane xSplit="3" ySplit="10" topLeftCell="V32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295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584522.60999999975</v>
      </c>
      <c r="E12" s="4"/>
      <c r="F12" s="13"/>
      <c r="G12" s="4"/>
      <c r="H12" s="4">
        <f>SUM(OSRRefH13x_0)</f>
        <v>781231.07999999973</v>
      </c>
      <c r="I12" s="4"/>
      <c r="J12" s="13"/>
      <c r="K12" s="4"/>
      <c r="L12" s="4">
        <f t="shared" ref="L12:L146" si="0">+D12-H12</f>
        <v>-196708.46999999997</v>
      </c>
      <c r="M12" s="4"/>
      <c r="N12" s="13">
        <f t="shared" ref="N12:N146" si="1">IF(H12=0,0,L12/H12)</f>
        <v>-0.25179293942068975</v>
      </c>
      <c r="O12" s="10"/>
      <c r="P12" s="4">
        <f>SUM(OSRRefP13x_0)</f>
        <v>28633193.209999982</v>
      </c>
      <c r="Q12" s="4"/>
      <c r="R12" s="13"/>
      <c r="S12" s="4"/>
      <c r="T12" s="4">
        <f>SUM(OSRRefT13x_0)</f>
        <v>35737828.710000016</v>
      </c>
      <c r="U12" s="4"/>
      <c r="V12" s="13"/>
      <c r="W12" s="4"/>
      <c r="X12" s="4">
        <f t="shared" ref="X12:X146" si="2">+P12-T12</f>
        <v>-7104635.5000000335</v>
      </c>
      <c r="Y12" s="4"/>
      <c r="Z12" s="13">
        <f t="shared" ref="Z12:Z146" si="3">IF(T12=0,0,X12/T12)</f>
        <v>-0.19879874509589451</v>
      </c>
    </row>
    <row r="13" spans="1:26" s="24" customFormat="1" hidden="1" outlineLevel="1" x14ac:dyDescent="0.3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3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--15904.07</f>
        <v>15904.07</v>
      </c>
      <c r="E14" s="2"/>
      <c r="F14" s="19"/>
      <c r="G14" s="2"/>
      <c r="H14" s="2">
        <f>--23249.99</f>
        <v>23249.99</v>
      </c>
      <c r="I14" s="2"/>
      <c r="J14" s="19"/>
      <c r="K14" s="2"/>
      <c r="L14" s="2">
        <f t="shared" si="0"/>
        <v>-7345.9200000000019</v>
      </c>
      <c r="M14" s="2"/>
      <c r="N14" s="19">
        <f t="shared" si="1"/>
        <v>-0.31595368428115461</v>
      </c>
      <c r="O14" s="11"/>
      <c r="P14" s="2">
        <f>--2451163.71</f>
        <v>2451163.71</v>
      </c>
      <c r="Q14" s="2"/>
      <c r="R14" s="19"/>
      <c r="S14" s="2"/>
      <c r="T14" s="2">
        <f>--3126487.75</f>
        <v>3126487.75</v>
      </c>
      <c r="U14" s="2"/>
      <c r="V14" s="19"/>
      <c r="W14" s="2"/>
      <c r="X14" s="2">
        <f t="shared" si="2"/>
        <v>-675324.04</v>
      </c>
      <c r="Y14" s="2"/>
      <c r="Z14" s="19">
        <f t="shared" si="3"/>
        <v>-0.21600085911099445</v>
      </c>
    </row>
    <row r="15" spans="1:26" s="24" customFormat="1" hidden="1" outlineLevel="1" x14ac:dyDescent="0.3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--15376.45</f>
        <v>15376.45</v>
      </c>
      <c r="E15" s="2"/>
      <c r="F15" s="19"/>
      <c r="G15" s="2"/>
      <c r="H15" s="2">
        <f>--10246.08</f>
        <v>10246.08</v>
      </c>
      <c r="I15" s="2"/>
      <c r="J15" s="19"/>
      <c r="K15" s="2"/>
      <c r="L15" s="2">
        <f t="shared" si="0"/>
        <v>5130.3700000000008</v>
      </c>
      <c r="M15" s="2"/>
      <c r="N15" s="19">
        <f t="shared" si="1"/>
        <v>0.50071539554639444</v>
      </c>
      <c r="O15" s="11"/>
      <c r="P15" s="2">
        <f>--1271803.19</f>
        <v>1271803.19</v>
      </c>
      <c r="Q15" s="2"/>
      <c r="R15" s="19"/>
      <c r="S15" s="2"/>
      <c r="T15" s="2">
        <f>--1404207.63</f>
        <v>1404207.63</v>
      </c>
      <c r="U15" s="2"/>
      <c r="V15" s="19"/>
      <c r="W15" s="2"/>
      <c r="X15" s="2">
        <f t="shared" si="2"/>
        <v>-132404.43999999994</v>
      </c>
      <c r="Y15" s="2"/>
      <c r="Z15" s="19">
        <f t="shared" si="3"/>
        <v>-9.4291212475465583E-2</v>
      </c>
    </row>
    <row r="16" spans="1:26" s="24" customFormat="1" hidden="1" outlineLevel="1" x14ac:dyDescent="0.3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--895</f>
        <v>895</v>
      </c>
      <c r="E16" s="2"/>
      <c r="F16" s="19"/>
      <c r="G16" s="2"/>
      <c r="H16" s="2">
        <f>--167.99</f>
        <v>167.99</v>
      </c>
      <c r="I16" s="2"/>
      <c r="J16" s="19"/>
      <c r="K16" s="2"/>
      <c r="L16" s="2">
        <f t="shared" si="0"/>
        <v>727.01</v>
      </c>
      <c r="M16" s="2"/>
      <c r="N16" s="19">
        <f t="shared" si="1"/>
        <v>4.3276980772665032</v>
      </c>
      <c r="O16" s="11"/>
      <c r="P16" s="2">
        <f>--34659.88</f>
        <v>34659.879999999997</v>
      </c>
      <c r="Q16" s="2"/>
      <c r="R16" s="19"/>
      <c r="S16" s="2"/>
      <c r="T16" s="2">
        <f>--15422.64</f>
        <v>15422.64</v>
      </c>
      <c r="U16" s="2"/>
      <c r="V16" s="19"/>
      <c r="W16" s="2"/>
      <c r="X16" s="2">
        <f t="shared" si="2"/>
        <v>19237.239999999998</v>
      </c>
      <c r="Y16" s="2"/>
      <c r="Z16" s="19">
        <f t="shared" si="3"/>
        <v>1.2473376801896432</v>
      </c>
    </row>
    <row r="17" spans="1:26" s="24" customFormat="1" hidden="1" outlineLevel="1" x14ac:dyDescent="0.3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--70418.64</f>
        <v>70418.64</v>
      </c>
      <c r="U17" s="2"/>
      <c r="V17" s="19"/>
      <c r="W17" s="2"/>
      <c r="X17" s="2">
        <f t="shared" si="2"/>
        <v>-28223.339999999997</v>
      </c>
      <c r="Y17" s="2"/>
      <c r="Z17" s="19">
        <f t="shared" si="3"/>
        <v>-0.40079359669542036</v>
      </c>
    </row>
    <row r="18" spans="1:26" s="24" customFormat="1" hidden="1" outlineLevel="1" x14ac:dyDescent="0.3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--3.88</f>
        <v>3.88</v>
      </c>
      <c r="I18" s="2"/>
      <c r="J18" s="19"/>
      <c r="K18" s="2"/>
      <c r="L18" s="2">
        <f t="shared" si="0"/>
        <v>-3.88</v>
      </c>
      <c r="M18" s="2"/>
      <c r="N18" s="19">
        <f t="shared" si="1"/>
        <v>-1</v>
      </c>
      <c r="O18" s="11"/>
      <c r="P18" s="2">
        <f>--1052.48</f>
        <v>1052.48</v>
      </c>
      <c r="Q18" s="2"/>
      <c r="R18" s="19"/>
      <c r="S18" s="2"/>
      <c r="T18" s="2">
        <f>--9.71</f>
        <v>9.7100000000000009</v>
      </c>
      <c r="U18" s="2"/>
      <c r="V18" s="19"/>
      <c r="W18" s="2"/>
      <c r="X18" s="2">
        <f t="shared" si="2"/>
        <v>1042.77</v>
      </c>
      <c r="Y18" s="2"/>
      <c r="Z18" s="19">
        <f t="shared" si="3"/>
        <v>107.39134912461378</v>
      </c>
    </row>
    <row r="19" spans="1:26" s="24" customFormat="1" hidden="1" outlineLevel="1" x14ac:dyDescent="0.3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--64.99</f>
        <v>64.989999999999995</v>
      </c>
      <c r="E19" s="2"/>
      <c r="F19" s="19"/>
      <c r="G19" s="2"/>
      <c r="H19" s="2">
        <f>--748.56</f>
        <v>748.56</v>
      </c>
      <c r="I19" s="2"/>
      <c r="J19" s="19"/>
      <c r="K19" s="2"/>
      <c r="L19" s="2">
        <f t="shared" si="0"/>
        <v>-683.56999999999994</v>
      </c>
      <c r="M19" s="2"/>
      <c r="N19" s="19">
        <f t="shared" si="1"/>
        <v>-0.91317997221331626</v>
      </c>
      <c r="O19" s="11"/>
      <c r="P19" s="2">
        <f>--2778.35</f>
        <v>2778.35</v>
      </c>
      <c r="Q19" s="2"/>
      <c r="R19" s="19"/>
      <c r="S19" s="2"/>
      <c r="T19" s="2">
        <f>--7572.79</f>
        <v>7572.79</v>
      </c>
      <c r="U19" s="2"/>
      <c r="V19" s="19"/>
      <c r="W19" s="2"/>
      <c r="X19" s="2">
        <f t="shared" si="2"/>
        <v>-4794.4400000000005</v>
      </c>
      <c r="Y19" s="2"/>
      <c r="Z19" s="19">
        <f t="shared" si="3"/>
        <v>-0.63311408344876863</v>
      </c>
    </row>
    <row r="20" spans="1:26" s="24" customFormat="1" hidden="1" outlineLevel="1" x14ac:dyDescent="0.3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--13.9</f>
        <v>13.9</v>
      </c>
      <c r="E20" s="2"/>
      <c r="F20" s="19"/>
      <c r="G20" s="2"/>
      <c r="H20" s="2">
        <f>--93.58</f>
        <v>93.58</v>
      </c>
      <c r="I20" s="2"/>
      <c r="J20" s="19"/>
      <c r="K20" s="2"/>
      <c r="L20" s="2">
        <f t="shared" si="0"/>
        <v>-79.679999999999993</v>
      </c>
      <c r="M20" s="2"/>
      <c r="N20" s="19">
        <f t="shared" si="1"/>
        <v>-0.85146398803163059</v>
      </c>
      <c r="O20" s="11"/>
      <c r="P20" s="2">
        <f>--1233.88</f>
        <v>1233.8800000000001</v>
      </c>
      <c r="Q20" s="2"/>
      <c r="R20" s="19"/>
      <c r="S20" s="2"/>
      <c r="T20" s="2">
        <f>--2221.33</f>
        <v>2221.33</v>
      </c>
      <c r="U20" s="2"/>
      <c r="V20" s="19"/>
      <c r="W20" s="2"/>
      <c r="X20" s="2">
        <f t="shared" si="2"/>
        <v>-987.44999999999982</v>
      </c>
      <c r="Y20" s="2"/>
      <c r="Z20" s="19">
        <f t="shared" si="3"/>
        <v>-0.44453097918814399</v>
      </c>
    </row>
    <row r="21" spans="1:26" s="24" customFormat="1" hidden="1" outlineLevel="1" x14ac:dyDescent="0.3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3" si="5">0</f>
        <v>0</v>
      </c>
      <c r="E21" s="2"/>
      <c r="F21" s="19"/>
      <c r="G21" s="2"/>
      <c r="H21" s="2">
        <f>--293.01</f>
        <v>293.01</v>
      </c>
      <c r="I21" s="2"/>
      <c r="J21" s="19"/>
      <c r="K21" s="2"/>
      <c r="L21" s="2">
        <f t="shared" si="0"/>
        <v>-293.01</v>
      </c>
      <c r="M21" s="2"/>
      <c r="N21" s="19">
        <f t="shared" si="1"/>
        <v>-1</v>
      </c>
      <c r="O21" s="11"/>
      <c r="P21" s="2">
        <f>--347.52</f>
        <v>347.52</v>
      </c>
      <c r="Q21" s="2"/>
      <c r="R21" s="19"/>
      <c r="S21" s="2"/>
      <c r="T21" s="2">
        <f>--1055.55</f>
        <v>1055.55</v>
      </c>
      <c r="U21" s="2"/>
      <c r="V21" s="19"/>
      <c r="W21" s="2"/>
      <c r="X21" s="2">
        <f t="shared" si="2"/>
        <v>-708.03</v>
      </c>
      <c r="Y21" s="2"/>
      <c r="Z21" s="19">
        <f t="shared" si="3"/>
        <v>-0.67076879351996588</v>
      </c>
    </row>
    <row r="22" spans="1:26" s="24" customFormat="1" hidden="1" outlineLevel="1" x14ac:dyDescent="0.3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>
        <f>--141</f>
        <v>141</v>
      </c>
      <c r="I22" s="2"/>
      <c r="J22" s="19"/>
      <c r="K22" s="2"/>
      <c r="L22" s="2">
        <f t="shared" si="0"/>
        <v>-141</v>
      </c>
      <c r="M22" s="2"/>
      <c r="N22" s="19">
        <f t="shared" si="1"/>
        <v>-1</v>
      </c>
      <c r="O22" s="11"/>
      <c r="P22" s="2">
        <f>--4179.3</f>
        <v>4179.3</v>
      </c>
      <c r="Q22" s="2"/>
      <c r="R22" s="19"/>
      <c r="S22" s="2"/>
      <c r="T22" s="2">
        <f>--6524.46</f>
        <v>6524.46</v>
      </c>
      <c r="U22" s="2"/>
      <c r="V22" s="19"/>
      <c r="W22" s="2"/>
      <c r="X22" s="2">
        <f t="shared" si="2"/>
        <v>-2345.16</v>
      </c>
      <c r="Y22" s="2"/>
      <c r="Z22" s="19">
        <f t="shared" si="3"/>
        <v>-0.35944124111420711</v>
      </c>
    </row>
    <row r="23" spans="1:26" s="24" customFormat="1" hidden="1" outlineLevel="1" x14ac:dyDescent="0.3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--81.89</f>
        <v>81.89</v>
      </c>
      <c r="U23" s="2"/>
      <c r="V23" s="19"/>
      <c r="W23" s="2"/>
      <c r="X23" s="2">
        <f t="shared" si="2"/>
        <v>-39.04</v>
      </c>
      <c r="Y23" s="2"/>
      <c r="Z23" s="19">
        <f t="shared" si="3"/>
        <v>-0.47673708633532785</v>
      </c>
    </row>
    <row r="24" spans="1:26" s="24" customFormat="1" hidden="1" outlineLevel="1" x14ac:dyDescent="0.3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--3099.74</f>
        <v>3099.74</v>
      </c>
      <c r="E24" s="2"/>
      <c r="F24" s="19"/>
      <c r="G24" s="2"/>
      <c r="H24" s="2">
        <f>--1050.08</f>
        <v>1050.08</v>
      </c>
      <c r="I24" s="2"/>
      <c r="J24" s="19"/>
      <c r="K24" s="2"/>
      <c r="L24" s="2">
        <f t="shared" si="0"/>
        <v>2049.66</v>
      </c>
      <c r="M24" s="2"/>
      <c r="N24" s="19">
        <f t="shared" si="1"/>
        <v>1.9519084260246837</v>
      </c>
      <c r="O24" s="11"/>
      <c r="P24" s="2">
        <f>--57819.85</f>
        <v>57819.85</v>
      </c>
      <c r="Q24" s="2"/>
      <c r="R24" s="19"/>
      <c r="S24" s="2"/>
      <c r="T24" s="2">
        <f>--61223.1</f>
        <v>61223.1</v>
      </c>
      <c r="U24" s="2"/>
      <c r="V24" s="19"/>
      <c r="W24" s="2"/>
      <c r="X24" s="2">
        <f t="shared" si="2"/>
        <v>-3403.25</v>
      </c>
      <c r="Y24" s="2"/>
      <c r="Z24" s="19">
        <f t="shared" si="3"/>
        <v>-5.5587678506968774E-2</v>
      </c>
    </row>
    <row r="25" spans="1:26" s="24" customFormat="1" hidden="1" outlineLevel="1" x14ac:dyDescent="0.3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--2531.99</f>
        <v>2531.9899999999998</v>
      </c>
      <c r="E25" s="2"/>
      <c r="F25" s="19"/>
      <c r="G25" s="2"/>
      <c r="H25" s="2">
        <f>--3059.93</f>
        <v>3059.93</v>
      </c>
      <c r="I25" s="2"/>
      <c r="J25" s="19"/>
      <c r="K25" s="2"/>
      <c r="L25" s="2">
        <f t="shared" si="0"/>
        <v>-527.94000000000005</v>
      </c>
      <c r="M25" s="2"/>
      <c r="N25" s="19">
        <f t="shared" si="1"/>
        <v>-0.17253335860624266</v>
      </c>
      <c r="O25" s="11"/>
      <c r="P25" s="2">
        <f>--83341.48</f>
        <v>83341.48</v>
      </c>
      <c r="Q25" s="2"/>
      <c r="R25" s="19"/>
      <c r="S25" s="2"/>
      <c r="T25" s="2">
        <f>--84530.93</f>
        <v>84530.93</v>
      </c>
      <c r="U25" s="2"/>
      <c r="V25" s="19"/>
      <c r="W25" s="2"/>
      <c r="X25" s="2">
        <f t="shared" si="2"/>
        <v>-1189.4499999999971</v>
      </c>
      <c r="Y25" s="2"/>
      <c r="Z25" s="19">
        <f t="shared" si="3"/>
        <v>-1.4071180809201994E-2</v>
      </c>
    </row>
    <row r="26" spans="1:26" s="24" customFormat="1" hidden="1" outlineLevel="1" x14ac:dyDescent="0.3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--4073.06</f>
        <v>4073.06</v>
      </c>
      <c r="E26" s="2"/>
      <c r="F26" s="19"/>
      <c r="G26" s="2"/>
      <c r="H26" s="2">
        <f>--17477.08</f>
        <v>17477.080000000002</v>
      </c>
      <c r="I26" s="2"/>
      <c r="J26" s="19"/>
      <c r="K26" s="2"/>
      <c r="L26" s="2">
        <f t="shared" si="0"/>
        <v>-13404.020000000002</v>
      </c>
      <c r="M26" s="2"/>
      <c r="N26" s="19">
        <f t="shared" si="1"/>
        <v>-0.76694848338509647</v>
      </c>
      <c r="O26" s="11"/>
      <c r="P26" s="2">
        <f>--280850.13</f>
        <v>280850.13</v>
      </c>
      <c r="Q26" s="2"/>
      <c r="R26" s="19"/>
      <c r="S26" s="2"/>
      <c r="T26" s="2">
        <f>--308997.93</f>
        <v>308997.93</v>
      </c>
      <c r="U26" s="2"/>
      <c r="V26" s="19"/>
      <c r="W26" s="2"/>
      <c r="X26" s="2">
        <f t="shared" si="2"/>
        <v>-28147.799999999988</v>
      </c>
      <c r="Y26" s="2"/>
      <c r="Z26" s="19">
        <f t="shared" si="3"/>
        <v>-9.1093814123609146E-2</v>
      </c>
    </row>
    <row r="27" spans="1:26" s="24" customFormat="1" hidden="1" outlineLevel="1" x14ac:dyDescent="0.3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--386.59</f>
        <v>386.59</v>
      </c>
      <c r="E27" s="2"/>
      <c r="F27" s="19"/>
      <c r="G27" s="2"/>
      <c r="H27" s="2">
        <f>--1510.21</f>
        <v>1510.21</v>
      </c>
      <c r="I27" s="2"/>
      <c r="J27" s="19"/>
      <c r="K27" s="2"/>
      <c r="L27" s="2">
        <f t="shared" si="0"/>
        <v>-1123.6200000000001</v>
      </c>
      <c r="M27" s="2"/>
      <c r="N27" s="19">
        <f t="shared" si="1"/>
        <v>-0.74401573291131706</v>
      </c>
      <c r="O27" s="11"/>
      <c r="P27" s="2">
        <f>--293577.64</f>
        <v>293577.64</v>
      </c>
      <c r="Q27" s="2"/>
      <c r="R27" s="19"/>
      <c r="S27" s="2"/>
      <c r="T27" s="2">
        <f>--346880.65</f>
        <v>346880.65</v>
      </c>
      <c r="U27" s="2"/>
      <c r="V27" s="19"/>
      <c r="W27" s="2"/>
      <c r="X27" s="2">
        <f t="shared" si="2"/>
        <v>-53303.010000000009</v>
      </c>
      <c r="Y27" s="2"/>
      <c r="Z27" s="19">
        <f t="shared" si="3"/>
        <v>-0.15366383221433655</v>
      </c>
    </row>
    <row r="28" spans="1:26" s="24" customFormat="1" hidden="1" outlineLevel="1" x14ac:dyDescent="0.3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6">0</f>
        <v>0</v>
      </c>
      <c r="E28" s="2"/>
      <c r="F28" s="19"/>
      <c r="G28" s="2"/>
      <c r="H28" s="2">
        <f>--140.23</f>
        <v>140.22999999999999</v>
      </c>
      <c r="I28" s="2"/>
      <c r="J28" s="19"/>
      <c r="K28" s="2"/>
      <c r="L28" s="2">
        <f t="shared" si="0"/>
        <v>-140.22999999999999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--834.06</f>
        <v>834.06</v>
      </c>
      <c r="U28" s="2"/>
      <c r="V28" s="19"/>
      <c r="W28" s="2"/>
      <c r="X28" s="2">
        <f t="shared" si="2"/>
        <v>-347.71999999999997</v>
      </c>
      <c r="Y28" s="2"/>
      <c r="Z28" s="19">
        <f t="shared" si="3"/>
        <v>-0.4169004627964415</v>
      </c>
    </row>
    <row r="29" spans="1:26" s="24" customFormat="1" hidden="1" outlineLevel="1" x14ac:dyDescent="0.3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6"/>
        <v>0</v>
      </c>
      <c r="E29" s="2"/>
      <c r="F29" s="19"/>
      <c r="G29" s="2"/>
      <c r="H29" s="2">
        <f>--4700.46</f>
        <v>4700.46</v>
      </c>
      <c r="I29" s="2"/>
      <c r="J29" s="19"/>
      <c r="K29" s="2"/>
      <c r="L29" s="2">
        <f t="shared" si="0"/>
        <v>-4700.46</v>
      </c>
      <c r="M29" s="2"/>
      <c r="N29" s="19">
        <f t="shared" si="1"/>
        <v>-1</v>
      </c>
      <c r="O29" s="11"/>
      <c r="P29" s="2">
        <f>--277654.52</f>
        <v>277654.52</v>
      </c>
      <c r="Q29" s="2"/>
      <c r="R29" s="19"/>
      <c r="S29" s="2"/>
      <c r="T29" s="2">
        <f>--370657.73</f>
        <v>370657.73</v>
      </c>
      <c r="U29" s="2"/>
      <c r="V29" s="19"/>
      <c r="W29" s="2"/>
      <c r="X29" s="2">
        <f t="shared" si="2"/>
        <v>-93003.209999999963</v>
      </c>
      <c r="Y29" s="2"/>
      <c r="Z29" s="19">
        <f t="shared" si="3"/>
        <v>-0.25091399011157806</v>
      </c>
    </row>
    <row r="30" spans="1:26" s="24" customFormat="1" hidden="1" outlineLevel="1" x14ac:dyDescent="0.3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--0.3</f>
        <v>0.3</v>
      </c>
      <c r="I30" s="2"/>
      <c r="J30" s="19"/>
      <c r="K30" s="2"/>
      <c r="L30" s="2">
        <f t="shared" si="0"/>
        <v>-0.3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--284.14</f>
        <v>284.14</v>
      </c>
      <c r="U30" s="2"/>
      <c r="V30" s="19"/>
      <c r="W30" s="2"/>
      <c r="X30" s="2">
        <f t="shared" si="2"/>
        <v>-78.609999999999985</v>
      </c>
      <c r="Y30" s="2"/>
      <c r="Z30" s="19">
        <f t="shared" si="3"/>
        <v>-0.27665939325684519</v>
      </c>
    </row>
    <row r="31" spans="1:26" s="24" customFormat="1" hidden="1" outlineLevel="1" x14ac:dyDescent="0.3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--555.89</f>
        <v>555.89</v>
      </c>
      <c r="I31" s="2"/>
      <c r="J31" s="19"/>
      <c r="K31" s="2"/>
      <c r="L31" s="2">
        <f t="shared" si="0"/>
        <v>-555.89</v>
      </c>
      <c r="M31" s="2"/>
      <c r="N31" s="19">
        <f t="shared" si="1"/>
        <v>-1</v>
      </c>
      <c r="O31" s="11"/>
      <c r="P31" s="2">
        <f>--10925.46</f>
        <v>10925.46</v>
      </c>
      <c r="Q31" s="2"/>
      <c r="R31" s="19"/>
      <c r="S31" s="2"/>
      <c r="T31" s="2">
        <f>--12143.32</f>
        <v>12143.32</v>
      </c>
      <c r="U31" s="2"/>
      <c r="V31" s="19"/>
      <c r="W31" s="2"/>
      <c r="X31" s="2">
        <f t="shared" si="2"/>
        <v>-1217.8600000000006</v>
      </c>
      <c r="Y31" s="2"/>
      <c r="Z31" s="19">
        <f t="shared" si="3"/>
        <v>-0.10029053010214674</v>
      </c>
    </row>
    <row r="32" spans="1:26" s="24" customFormat="1" hidden="1" outlineLevel="1" x14ac:dyDescent="0.3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--5.47</f>
        <v>5.47</v>
      </c>
      <c r="I32" s="2"/>
      <c r="J32" s="19"/>
      <c r="K32" s="2"/>
      <c r="L32" s="2">
        <f t="shared" si="0"/>
        <v>-5.47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--2675.56</f>
        <v>2675.56</v>
      </c>
      <c r="U32" s="2"/>
      <c r="V32" s="19"/>
      <c r="W32" s="2"/>
      <c r="X32" s="2">
        <f t="shared" si="2"/>
        <v>-693.72</v>
      </c>
      <c r="Y32" s="2"/>
      <c r="Z32" s="19">
        <f t="shared" si="3"/>
        <v>-0.25928030019883691</v>
      </c>
    </row>
    <row r="33" spans="1:26" s="24" customFormat="1" hidden="1" outlineLevel="1" x14ac:dyDescent="0.3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--11.04</f>
        <v>11.04</v>
      </c>
      <c r="I33" s="2"/>
      <c r="J33" s="19"/>
      <c r="K33" s="2"/>
      <c r="L33" s="2">
        <f t="shared" si="0"/>
        <v>-11.04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--881.19</f>
        <v>881.19</v>
      </c>
      <c r="U33" s="2"/>
      <c r="V33" s="19"/>
      <c r="W33" s="2"/>
      <c r="X33" s="2">
        <f t="shared" si="2"/>
        <v>-367.68000000000006</v>
      </c>
      <c r="Y33" s="2"/>
      <c r="Z33" s="19">
        <f t="shared" si="3"/>
        <v>-0.41725394069383454</v>
      </c>
    </row>
    <row r="34" spans="1:26" s="24" customFormat="1" hidden="1" outlineLevel="1" x14ac:dyDescent="0.3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--46364.3</f>
        <v>46364.3</v>
      </c>
      <c r="E34" s="2"/>
      <c r="F34" s="19"/>
      <c r="G34" s="2"/>
      <c r="H34" s="2">
        <f>--124399.79</f>
        <v>124399.79</v>
      </c>
      <c r="I34" s="2"/>
      <c r="J34" s="19"/>
      <c r="K34" s="2"/>
      <c r="L34" s="2">
        <f t="shared" si="0"/>
        <v>-78035.489999999991</v>
      </c>
      <c r="M34" s="2"/>
      <c r="N34" s="19">
        <f t="shared" si="1"/>
        <v>-0.6272959946315021</v>
      </c>
      <c r="O34" s="11"/>
      <c r="P34" s="2">
        <f>--1941274.42</f>
        <v>1941274.42</v>
      </c>
      <c r="Q34" s="2"/>
      <c r="R34" s="19"/>
      <c r="S34" s="2"/>
      <c r="T34" s="2">
        <f>--2503852.42</f>
        <v>2503852.42</v>
      </c>
      <c r="U34" s="2"/>
      <c r="V34" s="19"/>
      <c r="W34" s="2"/>
      <c r="X34" s="2">
        <f t="shared" si="2"/>
        <v>-562578</v>
      </c>
      <c r="Y34" s="2"/>
      <c r="Z34" s="19">
        <f t="shared" si="3"/>
        <v>-0.22468496765476298</v>
      </c>
    </row>
    <row r="35" spans="1:26" s="24" customFormat="1" hidden="1" outlineLevel="1" x14ac:dyDescent="0.3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--29904.23</f>
        <v>29904.23</v>
      </c>
      <c r="E35" s="2"/>
      <c r="F35" s="19"/>
      <c r="G35" s="2"/>
      <c r="H35" s="2">
        <f>--30632.03</f>
        <v>30632.03</v>
      </c>
      <c r="I35" s="2"/>
      <c r="J35" s="19"/>
      <c r="K35" s="2"/>
      <c r="L35" s="2">
        <f t="shared" si="0"/>
        <v>-727.79999999999927</v>
      </c>
      <c r="M35" s="2"/>
      <c r="N35" s="19">
        <f t="shared" si="1"/>
        <v>-2.3759443954579545E-2</v>
      </c>
      <c r="O35" s="11"/>
      <c r="P35" s="2">
        <f>--556536.79</f>
        <v>556536.79</v>
      </c>
      <c r="Q35" s="2"/>
      <c r="R35" s="19"/>
      <c r="S35" s="2"/>
      <c r="T35" s="2">
        <f>--859767.82</f>
        <v>859767.82</v>
      </c>
      <c r="U35" s="2"/>
      <c r="V35" s="19"/>
      <c r="W35" s="2"/>
      <c r="X35" s="2">
        <f t="shared" si="2"/>
        <v>-303231.02999999991</v>
      </c>
      <c r="Y35" s="2"/>
      <c r="Z35" s="19">
        <f t="shared" si="3"/>
        <v>-0.35268943887664922</v>
      </c>
    </row>
    <row r="36" spans="1:26" s="24" customFormat="1" hidden="1" outlineLevel="1" x14ac:dyDescent="0.3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--2836.85</f>
        <v>2836.85</v>
      </c>
      <c r="E36" s="2"/>
      <c r="F36" s="19"/>
      <c r="G36" s="2"/>
      <c r="H36" s="2">
        <f>--9489.04</f>
        <v>9489.0400000000009</v>
      </c>
      <c r="I36" s="2"/>
      <c r="J36" s="19"/>
      <c r="K36" s="2"/>
      <c r="L36" s="2">
        <f t="shared" si="0"/>
        <v>-6652.1900000000005</v>
      </c>
      <c r="M36" s="2"/>
      <c r="N36" s="19">
        <f t="shared" si="1"/>
        <v>-0.70103930429210959</v>
      </c>
      <c r="O36" s="11"/>
      <c r="P36" s="2">
        <f>--285558.05</f>
        <v>285558.05</v>
      </c>
      <c r="Q36" s="2"/>
      <c r="R36" s="19"/>
      <c r="S36" s="2"/>
      <c r="T36" s="2">
        <f>--334175.22</f>
        <v>334175.21999999997</v>
      </c>
      <c r="U36" s="2"/>
      <c r="V36" s="19"/>
      <c r="W36" s="2"/>
      <c r="X36" s="2">
        <f t="shared" si="2"/>
        <v>-48617.169999999984</v>
      </c>
      <c r="Y36" s="2"/>
      <c r="Z36" s="19">
        <f t="shared" si="3"/>
        <v>-0.14548406671206796</v>
      </c>
    </row>
    <row r="37" spans="1:26" s="24" customFormat="1" hidden="1" outlineLevel="1" x14ac:dyDescent="0.3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--54.96</f>
        <v>54.96</v>
      </c>
      <c r="E37" s="2"/>
      <c r="F37" s="19"/>
      <c r="G37" s="2"/>
      <c r="H37" s="2">
        <f>--75.61</f>
        <v>75.61</v>
      </c>
      <c r="I37" s="2"/>
      <c r="J37" s="19"/>
      <c r="K37" s="2"/>
      <c r="L37" s="2">
        <f t="shared" si="0"/>
        <v>-20.65</v>
      </c>
      <c r="M37" s="2"/>
      <c r="N37" s="19">
        <f t="shared" si="1"/>
        <v>-0.27311202221928316</v>
      </c>
      <c r="O37" s="11"/>
      <c r="P37" s="2">
        <f>--77324.14</f>
        <v>77324.14</v>
      </c>
      <c r="Q37" s="2"/>
      <c r="R37" s="19"/>
      <c r="S37" s="2"/>
      <c r="T37" s="2">
        <f>--4859.22</f>
        <v>4859.22</v>
      </c>
      <c r="U37" s="2"/>
      <c r="V37" s="19"/>
      <c r="W37" s="2"/>
      <c r="X37" s="2">
        <f t="shared" si="2"/>
        <v>72464.92</v>
      </c>
      <c r="Y37" s="2"/>
      <c r="Z37" s="19">
        <f t="shared" si="3"/>
        <v>14.912870789962174</v>
      </c>
    </row>
    <row r="38" spans="1:26" s="24" customFormat="1" hidden="1" outlineLevel="1" x14ac:dyDescent="0.3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--2524.8</f>
        <v>2524.8000000000002</v>
      </c>
      <c r="E38" s="2"/>
      <c r="F38" s="19"/>
      <c r="G38" s="2"/>
      <c r="H38" s="2">
        <f>--2130.34</f>
        <v>2130.34</v>
      </c>
      <c r="I38" s="2"/>
      <c r="J38" s="19"/>
      <c r="K38" s="2"/>
      <c r="L38" s="2">
        <f t="shared" si="0"/>
        <v>394.46000000000004</v>
      </c>
      <c r="M38" s="2"/>
      <c r="N38" s="19">
        <f t="shared" si="1"/>
        <v>0.18516293173859572</v>
      </c>
      <c r="O38" s="11"/>
      <c r="P38" s="2">
        <f>--73780.56</f>
        <v>73780.56</v>
      </c>
      <c r="Q38" s="2"/>
      <c r="R38" s="19"/>
      <c r="S38" s="2"/>
      <c r="T38" s="2">
        <f>--87817.61</f>
        <v>87817.61</v>
      </c>
      <c r="U38" s="2"/>
      <c r="V38" s="19"/>
      <c r="W38" s="2"/>
      <c r="X38" s="2">
        <f t="shared" si="2"/>
        <v>-14037.050000000003</v>
      </c>
      <c r="Y38" s="2"/>
      <c r="Z38" s="19">
        <f t="shared" si="3"/>
        <v>-0.15984322506613427</v>
      </c>
    </row>
    <row r="39" spans="1:26" s="24" customFormat="1" hidden="1" outlineLevel="1" x14ac:dyDescent="0.3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--26263.53</f>
        <v>26263.53</v>
      </c>
      <c r="E39" s="2"/>
      <c r="F39" s="19"/>
      <c r="G39" s="2"/>
      <c r="H39" s="2">
        <f>--25755.32</f>
        <v>25755.32</v>
      </c>
      <c r="I39" s="2"/>
      <c r="J39" s="19"/>
      <c r="K39" s="2"/>
      <c r="L39" s="2">
        <f t="shared" si="0"/>
        <v>508.20999999999913</v>
      </c>
      <c r="M39" s="2"/>
      <c r="N39" s="19">
        <f t="shared" si="1"/>
        <v>1.97322339617601E-2</v>
      </c>
      <c r="O39" s="11"/>
      <c r="P39" s="2">
        <f>--123103.09</f>
        <v>123103.09</v>
      </c>
      <c r="Q39" s="2"/>
      <c r="R39" s="19"/>
      <c r="S39" s="2"/>
      <c r="T39" s="2">
        <f>--219240.28</f>
        <v>219240.28</v>
      </c>
      <c r="U39" s="2"/>
      <c r="V39" s="19"/>
      <c r="W39" s="2"/>
      <c r="X39" s="2">
        <f t="shared" si="2"/>
        <v>-96137.19</v>
      </c>
      <c r="Y39" s="2"/>
      <c r="Z39" s="19">
        <f t="shared" si="3"/>
        <v>-0.43850149251770709</v>
      </c>
    </row>
    <row r="40" spans="1:26" s="24" customFormat="1" hidden="1" outlineLevel="1" x14ac:dyDescent="0.3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2" si="7">0</f>
        <v>0</v>
      </c>
      <c r="E40" s="2"/>
      <c r="F40" s="19"/>
      <c r="G40" s="2"/>
      <c r="H40" s="2">
        <f>--245.97</f>
        <v>245.97</v>
      </c>
      <c r="I40" s="2"/>
      <c r="J40" s="19"/>
      <c r="K40" s="2"/>
      <c r="L40" s="2">
        <f t="shared" si="0"/>
        <v>-245.97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--5818.6</f>
        <v>5818.6</v>
      </c>
      <c r="U40" s="2"/>
      <c r="V40" s="19"/>
      <c r="W40" s="2"/>
      <c r="X40" s="2">
        <f t="shared" si="2"/>
        <v>-3142.4600000000005</v>
      </c>
      <c r="Y40" s="2"/>
      <c r="Z40" s="19">
        <f t="shared" si="3"/>
        <v>-0.5400714948613069</v>
      </c>
    </row>
    <row r="41" spans="1:26" s="24" customFormat="1" hidden="1" outlineLevel="1" x14ac:dyDescent="0.3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7"/>
        <v>0</v>
      </c>
      <c r="E41" s="2"/>
      <c r="F41" s="19"/>
      <c r="G41" s="2"/>
      <c r="H41" s="2">
        <f>--15649.8</f>
        <v>15649.8</v>
      </c>
      <c r="I41" s="2"/>
      <c r="J41" s="19"/>
      <c r="K41" s="2"/>
      <c r="L41" s="2">
        <f t="shared" si="0"/>
        <v>-15649.8</v>
      </c>
      <c r="M41" s="2"/>
      <c r="N41" s="19">
        <f t="shared" si="1"/>
        <v>-1</v>
      </c>
      <c r="O41" s="11"/>
      <c r="P41" s="2">
        <f>--604143.21</f>
        <v>604143.21</v>
      </c>
      <c r="Q41" s="2"/>
      <c r="R41" s="19"/>
      <c r="S41" s="2"/>
      <c r="T41" s="2">
        <f>--920830.24</f>
        <v>920830.24</v>
      </c>
      <c r="U41" s="2"/>
      <c r="V41" s="19"/>
      <c r="W41" s="2"/>
      <c r="X41" s="2">
        <f t="shared" si="2"/>
        <v>-316687.03000000003</v>
      </c>
      <c r="Y41" s="2"/>
      <c r="Z41" s="19">
        <f t="shared" si="3"/>
        <v>-0.34391467204639153</v>
      </c>
    </row>
    <row r="42" spans="1:26" s="24" customFormat="1" hidden="1" outlineLevel="1" x14ac:dyDescent="0.3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 t="shared" si="7"/>
        <v>0</v>
      </c>
      <c r="E42" s="2"/>
      <c r="F42" s="19"/>
      <c r="G42" s="2"/>
      <c r="H42" s="2">
        <f>--69227.44</f>
        <v>69227.44</v>
      </c>
      <c r="I42" s="2"/>
      <c r="J42" s="19"/>
      <c r="K42" s="2"/>
      <c r="L42" s="2">
        <f t="shared" si="0"/>
        <v>-69227.44</v>
      </c>
      <c r="M42" s="2"/>
      <c r="N42" s="19">
        <f t="shared" si="1"/>
        <v>-1</v>
      </c>
      <c r="O42" s="11"/>
      <c r="P42" s="2">
        <f>--836487.29</f>
        <v>836487.29</v>
      </c>
      <c r="Q42" s="2"/>
      <c r="R42" s="19"/>
      <c r="S42" s="2"/>
      <c r="T42" s="2">
        <f>--1589998.48</f>
        <v>1589998.48</v>
      </c>
      <c r="U42" s="2"/>
      <c r="V42" s="19"/>
      <c r="W42" s="2"/>
      <c r="X42" s="2">
        <f t="shared" si="2"/>
        <v>-753511.19</v>
      </c>
      <c r="Y42" s="2"/>
      <c r="Z42" s="19">
        <f t="shared" si="3"/>
        <v>-0.47390686184806918</v>
      </c>
    </row>
    <row r="43" spans="1:26" s="24" customFormat="1" hidden="1" outlineLevel="1" x14ac:dyDescent="0.3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--27.9</f>
        <v>27.9</v>
      </c>
      <c r="E43" s="2"/>
      <c r="F43" s="19"/>
      <c r="G43" s="2"/>
      <c r="H43" s="2">
        <f>--12696.42</f>
        <v>12696.42</v>
      </c>
      <c r="I43" s="2"/>
      <c r="J43" s="19"/>
      <c r="K43" s="2"/>
      <c r="L43" s="2">
        <f t="shared" si="0"/>
        <v>-12668.52</v>
      </c>
      <c r="M43" s="2"/>
      <c r="N43" s="19">
        <f t="shared" si="1"/>
        <v>-0.99780253016204568</v>
      </c>
      <c r="O43" s="11"/>
      <c r="P43" s="2">
        <f>--280013.99</f>
        <v>280013.99</v>
      </c>
      <c r="Q43" s="2"/>
      <c r="R43" s="19"/>
      <c r="S43" s="2"/>
      <c r="T43" s="2">
        <f>--346743.32</f>
        <v>346743.32</v>
      </c>
      <c r="U43" s="2"/>
      <c r="V43" s="19"/>
      <c r="W43" s="2"/>
      <c r="X43" s="2">
        <f t="shared" si="2"/>
        <v>-66729.330000000016</v>
      </c>
      <c r="Y43" s="2"/>
      <c r="Z43" s="19">
        <f t="shared" si="3"/>
        <v>-0.19244589917406343</v>
      </c>
    </row>
    <row r="44" spans="1:26" s="24" customFormat="1" hidden="1" outlineLevel="1" x14ac:dyDescent="0.3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6" si="8">0</f>
        <v>0</v>
      </c>
      <c r="E44" s="2"/>
      <c r="F44" s="19"/>
      <c r="G44" s="2"/>
      <c r="H44" s="2">
        <f>--16246.93</f>
        <v>16246.93</v>
      </c>
      <c r="I44" s="2"/>
      <c r="J44" s="19"/>
      <c r="K44" s="2"/>
      <c r="L44" s="2">
        <f t="shared" si="0"/>
        <v>-16246.93</v>
      </c>
      <c r="M44" s="2"/>
      <c r="N44" s="19">
        <f t="shared" si="1"/>
        <v>-1</v>
      </c>
      <c r="O44" s="11"/>
      <c r="P44" s="2">
        <f>--382379.53</f>
        <v>382379.53</v>
      </c>
      <c r="Q44" s="2"/>
      <c r="R44" s="19"/>
      <c r="S44" s="2"/>
      <c r="T44" s="2">
        <f>--627717.93</f>
        <v>627717.93000000005</v>
      </c>
      <c r="U44" s="2"/>
      <c r="V44" s="19"/>
      <c r="W44" s="2"/>
      <c r="X44" s="2">
        <f t="shared" si="2"/>
        <v>-245338.40000000002</v>
      </c>
      <c r="Y44" s="2"/>
      <c r="Z44" s="19">
        <f t="shared" si="3"/>
        <v>-0.39084179099360761</v>
      </c>
    </row>
    <row r="45" spans="1:26" s="24" customFormat="1" hidden="1" outlineLevel="1" x14ac:dyDescent="0.35">
      <c r="A45" s="44"/>
      <c r="B45" s="11" t="str">
        <f>CONCATENATE("          ", "4057", " - ", "TAXABLE SALES-FOOD")</f>
        <v xml:space="preserve">          4057 - TAXABLE SALES-FOOD</v>
      </c>
      <c r="C45" s="11"/>
      <c r="D45" s="2">
        <f t="shared" si="8"/>
        <v>0</v>
      </c>
      <c r="E45" s="2"/>
      <c r="F45" s="19"/>
      <c r="G45" s="2"/>
      <c r="H45" s="2">
        <f t="shared" ref="H45:H46" si="9"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0</f>
        <v>0</v>
      </c>
      <c r="Q45" s="2"/>
      <c r="R45" s="19"/>
      <c r="S45" s="2"/>
      <c r="T45" s="2">
        <f>--11506.08</f>
        <v>11506.08</v>
      </c>
      <c r="U45" s="2"/>
      <c r="V45" s="19"/>
      <c r="W45" s="2"/>
      <c r="X45" s="2">
        <f t="shared" si="2"/>
        <v>-11506.08</v>
      </c>
      <c r="Y45" s="2"/>
      <c r="Z45" s="19">
        <f t="shared" si="3"/>
        <v>-1</v>
      </c>
    </row>
    <row r="46" spans="1:26" s="24" customFormat="1" hidden="1" outlineLevel="1" x14ac:dyDescent="0.35">
      <c r="A46" s="44"/>
      <c r="B46" s="11" t="str">
        <f>CONCATENATE("          ", "4058", " - ", "TAXABLE SALES-FOOD")</f>
        <v xml:space="preserve">          4058 - TAXABLE SALES-FOOD</v>
      </c>
      <c r="C46" s="11"/>
      <c r="D46" s="2">
        <f t="shared" si="8"/>
        <v>0</v>
      </c>
      <c r="E46" s="2"/>
      <c r="F46" s="19"/>
      <c r="G46" s="2"/>
      <c r="H46" s="2">
        <f t="shared" si="9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--117077.57</f>
        <v>117077.57</v>
      </c>
      <c r="Q46" s="2"/>
      <c r="R46" s="19"/>
      <c r="S46" s="2"/>
      <c r="T46" s="2">
        <f>--200045.36</f>
        <v>200045.36</v>
      </c>
      <c r="U46" s="2"/>
      <c r="V46" s="19"/>
      <c r="W46" s="2"/>
      <c r="X46" s="2">
        <f t="shared" si="2"/>
        <v>-82967.789999999979</v>
      </c>
      <c r="Y46" s="2"/>
      <c r="Z46" s="19">
        <f t="shared" si="3"/>
        <v>-0.41474488585988689</v>
      </c>
    </row>
    <row r="47" spans="1:26" s="24" customFormat="1" hidden="1" outlineLevel="1" x14ac:dyDescent="0.35">
      <c r="A47" s="44"/>
      <c r="B47" s="11" t="str">
        <f>CONCATENATE("          ", "4081", " - ", "TAXABLE SALES-ELECTRONICS")</f>
        <v xml:space="preserve">          4081 - TAXABLE SALES-ELECTRONICS</v>
      </c>
      <c r="C47" s="11"/>
      <c r="D47" s="2">
        <f>--1708.99</f>
        <v>1708.99</v>
      </c>
      <c r="E47" s="2"/>
      <c r="F47" s="19"/>
      <c r="G47" s="2"/>
      <c r="H47" s="2">
        <f>--4268.96</f>
        <v>4268.96</v>
      </c>
      <c r="I47" s="2"/>
      <c r="J47" s="19"/>
      <c r="K47" s="2"/>
      <c r="L47" s="2">
        <f t="shared" si="0"/>
        <v>-2559.9700000000003</v>
      </c>
      <c r="M47" s="2"/>
      <c r="N47" s="19">
        <f t="shared" si="1"/>
        <v>-0.59967064577789442</v>
      </c>
      <c r="O47" s="11"/>
      <c r="P47" s="2">
        <f>--318043.95</f>
        <v>318043.95</v>
      </c>
      <c r="Q47" s="2"/>
      <c r="R47" s="19"/>
      <c r="S47" s="2"/>
      <c r="T47" s="2">
        <f>--239783.4</f>
        <v>239783.4</v>
      </c>
      <c r="U47" s="2"/>
      <c r="V47" s="19"/>
      <c r="W47" s="2"/>
      <c r="X47" s="2">
        <f t="shared" si="2"/>
        <v>78260.550000000017</v>
      </c>
      <c r="Y47" s="2"/>
      <c r="Z47" s="19">
        <f t="shared" si="3"/>
        <v>0.32638018311526162</v>
      </c>
    </row>
    <row r="48" spans="1:26" s="24" customFormat="1" hidden="1" outlineLevel="1" x14ac:dyDescent="0.35">
      <c r="A48" s="44"/>
      <c r="B48" s="11" t="str">
        <f>CONCATENATE("          ", "4082", " - ", "TAXABLE SALES-COMPUTER HARDWAR")</f>
        <v xml:space="preserve">          4082 - TAXABLE SALES-COMPUTER HARDWAR</v>
      </c>
      <c r="C48" s="11"/>
      <c r="D48" s="2">
        <f>--391247.66</f>
        <v>391247.66</v>
      </c>
      <c r="E48" s="2"/>
      <c r="F48" s="19"/>
      <c r="G48" s="2"/>
      <c r="H48" s="2">
        <f>--124313.48</f>
        <v>124313.48</v>
      </c>
      <c r="I48" s="2"/>
      <c r="J48" s="19"/>
      <c r="K48" s="2"/>
      <c r="L48" s="2">
        <f t="shared" si="0"/>
        <v>266934.18</v>
      </c>
      <c r="M48" s="2"/>
      <c r="N48" s="19">
        <f t="shared" si="1"/>
        <v>2.1472665715737342</v>
      </c>
      <c r="O48" s="11"/>
      <c r="P48" s="2">
        <f>--2373850.38</f>
        <v>2373850.38</v>
      </c>
      <c r="Q48" s="2"/>
      <c r="R48" s="19"/>
      <c r="S48" s="2"/>
      <c r="T48" s="2">
        <f>--2287323.33</f>
        <v>2287323.33</v>
      </c>
      <c r="U48" s="2"/>
      <c r="V48" s="19"/>
      <c r="W48" s="2"/>
      <c r="X48" s="2">
        <f t="shared" si="2"/>
        <v>86527.049999999814</v>
      </c>
      <c r="Y48" s="2"/>
      <c r="Z48" s="19">
        <f t="shared" si="3"/>
        <v>3.7828954422460162E-2</v>
      </c>
    </row>
    <row r="49" spans="1:26" s="24" customFormat="1" hidden="1" outlineLevel="1" x14ac:dyDescent="0.35">
      <c r="A49" s="44"/>
      <c r="B49" s="11" t="str">
        <f>CONCATENATE("          ", "4083", " - ", "TAXABLE SALES-COMPUTER EQUIPME")</f>
        <v xml:space="preserve">          4083 - TAXABLE SALES-COMPUTER EQUIPME</v>
      </c>
      <c r="C49" s="11"/>
      <c r="D49" s="2">
        <f>--32731.49</f>
        <v>32731.49</v>
      </c>
      <c r="E49" s="2"/>
      <c r="F49" s="19"/>
      <c r="G49" s="2"/>
      <c r="H49" s="2">
        <f>--4327.03</f>
        <v>4327.03</v>
      </c>
      <c r="I49" s="2"/>
      <c r="J49" s="19"/>
      <c r="K49" s="2"/>
      <c r="L49" s="2">
        <f t="shared" si="0"/>
        <v>28404.460000000003</v>
      </c>
      <c r="M49" s="2"/>
      <c r="N49" s="19">
        <f t="shared" si="1"/>
        <v>6.5644240968978735</v>
      </c>
      <c r="O49" s="11"/>
      <c r="P49" s="2">
        <f>--139149.89</f>
        <v>139149.89000000001</v>
      </c>
      <c r="Q49" s="2"/>
      <c r="R49" s="19"/>
      <c r="S49" s="2"/>
      <c r="T49" s="2">
        <f>--138670.92</f>
        <v>138670.92000000001</v>
      </c>
      <c r="U49" s="2"/>
      <c r="V49" s="19"/>
      <c r="W49" s="2"/>
      <c r="X49" s="2">
        <f t="shared" si="2"/>
        <v>478.97000000000116</v>
      </c>
      <c r="Y49" s="2"/>
      <c r="Z49" s="19">
        <f t="shared" si="3"/>
        <v>3.4540046319733158E-3</v>
      </c>
    </row>
    <row r="50" spans="1:26" s="24" customFormat="1" hidden="1" outlineLevel="1" x14ac:dyDescent="0.35">
      <c r="A50" s="44"/>
      <c r="B50" s="11" t="str">
        <f>CONCATENATE("          ", "4084", " - ", "TAXABLE SALES-SOFTWARE LICENSE")</f>
        <v xml:space="preserve">          4084 - TAXABLE SALES-SOFTWARE LICENSE</v>
      </c>
      <c r="C50" s="11"/>
      <c r="D50" s="2">
        <f t="shared" ref="D50:D51" si="10"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--129</f>
        <v>129</v>
      </c>
      <c r="Q50" s="2"/>
      <c r="R50" s="19"/>
      <c r="S50" s="2"/>
      <c r="T50" s="2">
        <f>--1563.99</f>
        <v>1563.99</v>
      </c>
      <c r="U50" s="2"/>
      <c r="V50" s="19"/>
      <c r="W50" s="2"/>
      <c r="X50" s="2">
        <f t="shared" si="2"/>
        <v>-1434.99</v>
      </c>
      <c r="Y50" s="2"/>
      <c r="Z50" s="19">
        <f t="shared" si="3"/>
        <v>-0.91751865421134404</v>
      </c>
    </row>
    <row r="51" spans="1:26" s="24" customFormat="1" hidden="1" outlineLevel="1" x14ac:dyDescent="0.35">
      <c r="A51" s="44"/>
      <c r="B51" s="11" t="str">
        <f>CONCATENATE("          ", "4085", " - ", "TAXABLE SALES-SOFTWARE")</f>
        <v xml:space="preserve">          4085 - TAXABLE SALES-SOFTWARE</v>
      </c>
      <c r="C51" s="11"/>
      <c r="D51" s="2">
        <f t="shared" si="10"/>
        <v>0</v>
      </c>
      <c r="E51" s="2"/>
      <c r="F51" s="19"/>
      <c r="G51" s="2"/>
      <c r="H51" s="2">
        <f>--69.99</f>
        <v>69.989999999999995</v>
      </c>
      <c r="I51" s="2"/>
      <c r="J51" s="19"/>
      <c r="K51" s="2"/>
      <c r="L51" s="2">
        <f t="shared" si="0"/>
        <v>-69.989999999999995</v>
      </c>
      <c r="M51" s="2"/>
      <c r="N51" s="19">
        <f t="shared" si="1"/>
        <v>-1</v>
      </c>
      <c r="O51" s="11"/>
      <c r="P51" s="2">
        <f>--4587.93</f>
        <v>4587.93</v>
      </c>
      <c r="Q51" s="2"/>
      <c r="R51" s="19"/>
      <c r="S51" s="2"/>
      <c r="T51" s="2">
        <f>--13428.64</f>
        <v>13428.64</v>
      </c>
      <c r="U51" s="2"/>
      <c r="V51" s="19"/>
      <c r="W51" s="2"/>
      <c r="X51" s="2">
        <f t="shared" si="2"/>
        <v>-8840.7099999999991</v>
      </c>
      <c r="Y51" s="2"/>
      <c r="Z51" s="19">
        <f t="shared" si="3"/>
        <v>-0.65834738290698092</v>
      </c>
    </row>
    <row r="52" spans="1:26" s="24" customFormat="1" hidden="1" outlineLevel="1" x14ac:dyDescent="0.35">
      <c r="A52" s="44"/>
      <c r="B52" s="11" t="str">
        <f>CONCATENATE("          ", "4086", " - ", "TAXABLE SALES-COMPUTER SUPPLIE")</f>
        <v xml:space="preserve">          4086 - TAXABLE SALES-COMPUTER SUPPLIE</v>
      </c>
      <c r="C52" s="11"/>
      <c r="D52" s="2">
        <f>--114.95</f>
        <v>114.95</v>
      </c>
      <c r="E52" s="2"/>
      <c r="F52" s="19"/>
      <c r="G52" s="2"/>
      <c r="H52" s="2">
        <f>--1965.47</f>
        <v>1965.47</v>
      </c>
      <c r="I52" s="2"/>
      <c r="J52" s="19"/>
      <c r="K52" s="2"/>
      <c r="L52" s="2">
        <f t="shared" si="0"/>
        <v>-1850.52</v>
      </c>
      <c r="M52" s="2"/>
      <c r="N52" s="19">
        <f t="shared" si="1"/>
        <v>-0.94151526098083405</v>
      </c>
      <c r="O52" s="11"/>
      <c r="P52" s="2">
        <f>--49644.41</f>
        <v>49644.41</v>
      </c>
      <c r="Q52" s="2"/>
      <c r="R52" s="19"/>
      <c r="S52" s="2"/>
      <c r="T52" s="2">
        <f>--93696.22</f>
        <v>93696.22</v>
      </c>
      <c r="U52" s="2"/>
      <c r="V52" s="19"/>
      <c r="W52" s="2"/>
      <c r="X52" s="2">
        <f t="shared" si="2"/>
        <v>-44051.81</v>
      </c>
      <c r="Y52" s="2"/>
      <c r="Z52" s="19">
        <f t="shared" si="3"/>
        <v>-0.47015567970618233</v>
      </c>
    </row>
    <row r="53" spans="1:26" s="24" customFormat="1" hidden="1" outlineLevel="1" x14ac:dyDescent="0.35">
      <c r="A53" s="44"/>
      <c r="B53" s="11" t="str">
        <f>CONCATENATE("          ", "4088", " - ", "TAXABLE SALES-MUSIC")</f>
        <v xml:space="preserve">          4088 - TAXABLE SALES-MUSIC</v>
      </c>
      <c r="C53" s="11"/>
      <c r="D53" s="2">
        <f>--356</f>
        <v>356</v>
      </c>
      <c r="E53" s="2"/>
      <c r="F53" s="19"/>
      <c r="G53" s="2"/>
      <c r="H53" s="2">
        <f>--49.99</f>
        <v>49.99</v>
      </c>
      <c r="I53" s="2"/>
      <c r="J53" s="19"/>
      <c r="K53" s="2"/>
      <c r="L53" s="2">
        <f t="shared" si="0"/>
        <v>306.01</v>
      </c>
      <c r="M53" s="2"/>
      <c r="N53" s="19">
        <f t="shared" si="1"/>
        <v>6.1214242848569711</v>
      </c>
      <c r="O53" s="11"/>
      <c r="P53" s="2">
        <f>--3151.75</f>
        <v>3151.75</v>
      </c>
      <c r="Q53" s="2"/>
      <c r="R53" s="19"/>
      <c r="S53" s="2"/>
      <c r="T53" s="2">
        <f>--2170.76</f>
        <v>2170.7600000000002</v>
      </c>
      <c r="U53" s="2"/>
      <c r="V53" s="19"/>
      <c r="W53" s="2"/>
      <c r="X53" s="2">
        <f t="shared" si="2"/>
        <v>980.98999999999978</v>
      </c>
      <c r="Y53" s="2"/>
      <c r="Z53" s="19">
        <f t="shared" si="3"/>
        <v>0.451910851499014</v>
      </c>
    </row>
    <row r="54" spans="1:26" s="24" customFormat="1" hidden="1" outlineLevel="1" x14ac:dyDescent="0.35">
      <c r="A54" s="44"/>
      <c r="B54" s="11" t="str">
        <f>CONCATENATE("          ", "4091", " - ", "TAXABLE SALES-GRAD ANNOUNCEMEN")</f>
        <v xml:space="preserve">          4091 - TAXABLE SALES-GRAD ANNOUNCEMEN</v>
      </c>
      <c r="C54" s="11"/>
      <c r="D54" s="2">
        <f>0</f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0</f>
        <v>0</v>
      </c>
      <c r="Q54" s="2"/>
      <c r="R54" s="19"/>
      <c r="S54" s="2"/>
      <c r="T54" s="2">
        <f>0</f>
        <v>0</v>
      </c>
      <c r="U54" s="2"/>
      <c r="V54" s="19"/>
      <c r="W54" s="2"/>
      <c r="X54" s="2">
        <f t="shared" si="2"/>
        <v>0</v>
      </c>
      <c r="Y54" s="2"/>
      <c r="Z54" s="19">
        <f t="shared" si="3"/>
        <v>0</v>
      </c>
    </row>
    <row r="55" spans="1:26" s="24" customFormat="1" hidden="1" outlineLevel="1" x14ac:dyDescent="0.35">
      <c r="A55" s="44"/>
      <c r="B55" s="11" t="str">
        <f>CONCATENATE("          ", "4092", " - ", "TAXABLE SALES-GRAD MERCH")</f>
        <v xml:space="preserve">          4092 - TAXABLE SALES-GRAD MERCH</v>
      </c>
      <c r="C55" s="11"/>
      <c r="D55" s="2">
        <f>--6332.23</f>
        <v>6332.23</v>
      </c>
      <c r="E55" s="2"/>
      <c r="F55" s="19"/>
      <c r="G55" s="2"/>
      <c r="H55" s="2">
        <f>--466.49</f>
        <v>466.49</v>
      </c>
      <c r="I55" s="2"/>
      <c r="J55" s="19"/>
      <c r="K55" s="2"/>
      <c r="L55" s="2">
        <f t="shared" si="0"/>
        <v>5865.74</v>
      </c>
      <c r="M55" s="2"/>
      <c r="N55" s="19">
        <f t="shared" si="1"/>
        <v>12.574203091170228</v>
      </c>
      <c r="O55" s="11"/>
      <c r="P55" s="2">
        <f>--41685.94</f>
        <v>41685.94</v>
      </c>
      <c r="Q55" s="2"/>
      <c r="R55" s="19"/>
      <c r="S55" s="2"/>
      <c r="T55" s="2">
        <f>--223303.91</f>
        <v>223303.91</v>
      </c>
      <c r="U55" s="2"/>
      <c r="V55" s="19"/>
      <c r="W55" s="2"/>
      <c r="X55" s="2">
        <f t="shared" si="2"/>
        <v>-181617.97</v>
      </c>
      <c r="Y55" s="2"/>
      <c r="Z55" s="19">
        <f t="shared" si="3"/>
        <v>-0.81332194317600615</v>
      </c>
    </row>
    <row r="56" spans="1:26" s="24" customFormat="1" hidden="1" outlineLevel="1" x14ac:dyDescent="0.35">
      <c r="A56" s="44"/>
      <c r="B56" s="11" t="str">
        <f>CONCATENATE("          ", "4095", " - ", "TAXABLE SALES-CUSTOMER SERVICE")</f>
        <v xml:space="preserve">          4095 - TAXABLE SALES-CUSTOMER SERVICE</v>
      </c>
      <c r="C56" s="11"/>
      <c r="D56" s="2">
        <f>0</f>
        <v>0</v>
      </c>
      <c r="E56" s="2"/>
      <c r="F56" s="19"/>
      <c r="G56" s="2"/>
      <c r="H56" s="2">
        <f>--17.82</f>
        <v>17.82</v>
      </c>
      <c r="I56" s="2"/>
      <c r="J56" s="19"/>
      <c r="K56" s="2"/>
      <c r="L56" s="2">
        <f t="shared" si="0"/>
        <v>-17.82</v>
      </c>
      <c r="M56" s="2"/>
      <c r="N56" s="19">
        <f t="shared" si="1"/>
        <v>-1</v>
      </c>
      <c r="O56" s="11"/>
      <c r="P56" s="2">
        <f>--309.26</f>
        <v>309.26</v>
      </c>
      <c r="Q56" s="2"/>
      <c r="R56" s="19"/>
      <c r="S56" s="2"/>
      <c r="T56" s="2">
        <f>--2235.12</f>
        <v>2235.12</v>
      </c>
      <c r="U56" s="2"/>
      <c r="V56" s="19"/>
      <c r="W56" s="2"/>
      <c r="X56" s="2">
        <f t="shared" si="2"/>
        <v>-1925.86</v>
      </c>
      <c r="Y56" s="2"/>
      <c r="Z56" s="19">
        <f t="shared" si="3"/>
        <v>-0.86163606428290207</v>
      </c>
    </row>
    <row r="57" spans="1:26" s="24" customFormat="1" hidden="1" outlineLevel="1" x14ac:dyDescent="0.35">
      <c r="A57" s="44"/>
      <c r="B57" s="11" t="str">
        <f>CONCATENATE("          ", "4100", " - ", "NON-TAXABLE SALES")</f>
        <v xml:space="preserve">          4100 - NON-TAXABLE SALES</v>
      </c>
      <c r="C57" s="11"/>
      <c r="D57" s="2">
        <f>--46177.48</f>
        <v>46177.48</v>
      </c>
      <c r="E57" s="2"/>
      <c r="F57" s="19"/>
      <c r="G57" s="2"/>
      <c r="H57" s="2">
        <f>--31686.85</f>
        <v>31686.85</v>
      </c>
      <c r="I57" s="2"/>
      <c r="J57" s="19"/>
      <c r="K57" s="2"/>
      <c r="L57" s="2">
        <f t="shared" si="0"/>
        <v>14490.630000000005</v>
      </c>
      <c r="M57" s="2"/>
      <c r="N57" s="19">
        <f t="shared" si="1"/>
        <v>0.45730736882965661</v>
      </c>
      <c r="O57" s="11"/>
      <c r="P57" s="2">
        <f>--1082924.5</f>
        <v>1082924.5</v>
      </c>
      <c r="Q57" s="2"/>
      <c r="R57" s="19"/>
      <c r="S57" s="2"/>
      <c r="T57" s="2">
        <f>--1280653.45</f>
        <v>1280653.45</v>
      </c>
      <c r="U57" s="2"/>
      <c r="V57" s="19"/>
      <c r="W57" s="2"/>
      <c r="X57" s="2">
        <f t="shared" si="2"/>
        <v>-197728.94999999995</v>
      </c>
      <c r="Y57" s="2"/>
      <c r="Z57" s="19">
        <f t="shared" si="3"/>
        <v>-0.15439692135292335</v>
      </c>
    </row>
    <row r="58" spans="1:26" s="24" customFormat="1" hidden="1" outlineLevel="1" x14ac:dyDescent="0.35">
      <c r="A58" s="44"/>
      <c r="B58" s="11" t="str">
        <f>CONCATENATE("          ", "4101", " - ", "NON-TAXABLE SALES-NEW TEXT")</f>
        <v xml:space="preserve">          4101 - NON-TAXABLE SALES-NEW TEXT</v>
      </c>
      <c r="C58" s="11"/>
      <c r="D58" s="2">
        <f>--2671.34</f>
        <v>2671.34</v>
      </c>
      <c r="E58" s="2"/>
      <c r="F58" s="19"/>
      <c r="G58" s="2"/>
      <c r="H58" s="2">
        <f>--1051.16</f>
        <v>1051.1600000000001</v>
      </c>
      <c r="I58" s="2"/>
      <c r="J58" s="19"/>
      <c r="K58" s="2"/>
      <c r="L58" s="2">
        <f t="shared" si="0"/>
        <v>1620.18</v>
      </c>
      <c r="M58" s="2"/>
      <c r="N58" s="19">
        <f t="shared" si="1"/>
        <v>1.5413257734312569</v>
      </c>
      <c r="O58" s="11"/>
      <c r="P58" s="2">
        <f>--153953.68</f>
        <v>153953.68</v>
      </c>
      <c r="Q58" s="2"/>
      <c r="R58" s="19"/>
      <c r="S58" s="2"/>
      <c r="T58" s="2">
        <f>--281995.26</f>
        <v>281995.26</v>
      </c>
      <c r="U58" s="2"/>
      <c r="V58" s="19"/>
      <c r="W58" s="2"/>
      <c r="X58" s="2">
        <f t="shared" si="2"/>
        <v>-128041.58000000002</v>
      </c>
      <c r="Y58" s="2"/>
      <c r="Z58" s="19">
        <f t="shared" si="3"/>
        <v>-0.45405578802991231</v>
      </c>
    </row>
    <row r="59" spans="1:26" s="24" customFormat="1" hidden="1" outlineLevel="1" x14ac:dyDescent="0.35">
      <c r="A59" s="44"/>
      <c r="B59" s="11" t="str">
        <f>CONCATENATE("          ", "4102", " - ", "NON-TAXABLE SALES-USED TEXT")</f>
        <v xml:space="preserve">          4102 - NON-TAXABLE SALES-USED TEXT</v>
      </c>
      <c r="C59" s="11"/>
      <c r="D59" s="2">
        <f>--1718.15</f>
        <v>1718.15</v>
      </c>
      <c r="E59" s="2"/>
      <c r="F59" s="19"/>
      <c r="G59" s="2"/>
      <c r="H59" s="2">
        <f>--2191.44</f>
        <v>2191.44</v>
      </c>
      <c r="I59" s="2"/>
      <c r="J59" s="19"/>
      <c r="K59" s="2"/>
      <c r="L59" s="2">
        <f t="shared" si="0"/>
        <v>-473.28999999999996</v>
      </c>
      <c r="M59" s="2"/>
      <c r="N59" s="19">
        <f t="shared" si="1"/>
        <v>-0.21597214616872923</v>
      </c>
      <c r="O59" s="11"/>
      <c r="P59" s="2">
        <f>--71943.61</f>
        <v>71943.61</v>
      </c>
      <c r="Q59" s="2"/>
      <c r="R59" s="19"/>
      <c r="S59" s="2"/>
      <c r="T59" s="2">
        <f>--98541.39</f>
        <v>98541.39</v>
      </c>
      <c r="U59" s="2"/>
      <c r="V59" s="19"/>
      <c r="W59" s="2"/>
      <c r="X59" s="2">
        <f t="shared" si="2"/>
        <v>-26597.78</v>
      </c>
      <c r="Y59" s="2"/>
      <c r="Z59" s="19">
        <f t="shared" si="3"/>
        <v>-0.26991480432739989</v>
      </c>
    </row>
    <row r="60" spans="1:26" s="24" customFormat="1" hidden="1" outlineLevel="1" x14ac:dyDescent="0.35">
      <c r="A60" s="44"/>
      <c r="B60" s="11" t="str">
        <f>CONCATENATE("          ", "4103", " - ", "NON-TAXABLE SALES-RENTAL TEXT")</f>
        <v xml:space="preserve">          4103 - NON-TAXABLE SALES-RENTAL TEXT</v>
      </c>
      <c r="C60" s="11"/>
      <c r="D60" s="2">
        <f>0</f>
        <v>0</v>
      </c>
      <c r="E60" s="2"/>
      <c r="F60" s="19"/>
      <c r="G60" s="2"/>
      <c r="H60" s="2">
        <f>0</f>
        <v>0</v>
      </c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>--664.97</f>
        <v>664.97</v>
      </c>
      <c r="Q60" s="2"/>
      <c r="R60" s="19"/>
      <c r="S60" s="2"/>
      <c r="T60" s="2">
        <f>--830.85</f>
        <v>830.85</v>
      </c>
      <c r="U60" s="2"/>
      <c r="V60" s="19"/>
      <c r="W60" s="2"/>
      <c r="X60" s="2">
        <f t="shared" si="2"/>
        <v>-165.88</v>
      </c>
      <c r="Y60" s="2"/>
      <c r="Z60" s="19">
        <f t="shared" si="3"/>
        <v>-0.19965095986038392</v>
      </c>
    </row>
    <row r="61" spans="1:26" s="24" customFormat="1" hidden="1" outlineLevel="1" x14ac:dyDescent="0.35">
      <c r="A61" s="44"/>
      <c r="B61" s="11" t="str">
        <f>CONCATENATE("          ", "4104", " - ", "NON-TAXABLE SALES-DIGITAL TEXT")</f>
        <v xml:space="preserve">          4104 - NON-TAXABLE SALES-DIGITAL TEXT</v>
      </c>
      <c r="C61" s="11"/>
      <c r="D61" s="2">
        <f>--1836.93</f>
        <v>1836.93</v>
      </c>
      <c r="E61" s="2"/>
      <c r="F61" s="19"/>
      <c r="G61" s="2"/>
      <c r="H61" s="2">
        <f>--1779.5</f>
        <v>1779.5</v>
      </c>
      <c r="I61" s="2"/>
      <c r="J61" s="19"/>
      <c r="K61" s="2"/>
      <c r="L61" s="2">
        <f t="shared" si="0"/>
        <v>57.430000000000064</v>
      </c>
      <c r="M61" s="2"/>
      <c r="N61" s="19">
        <f t="shared" si="1"/>
        <v>3.2273110424276517E-2</v>
      </c>
      <c r="O61" s="11"/>
      <c r="P61" s="2">
        <f>--533640.31</f>
        <v>533640.31000000006</v>
      </c>
      <c r="Q61" s="2"/>
      <c r="R61" s="19"/>
      <c r="S61" s="2"/>
      <c r="T61" s="2">
        <f>--535221.75</f>
        <v>535221.75</v>
      </c>
      <c r="U61" s="2"/>
      <c r="V61" s="19"/>
      <c r="W61" s="2"/>
      <c r="X61" s="2">
        <f t="shared" si="2"/>
        <v>-1581.4399999999441</v>
      </c>
      <c r="Y61" s="2"/>
      <c r="Z61" s="19">
        <f t="shared" si="3"/>
        <v>-2.9547379193763036E-3</v>
      </c>
    </row>
    <row r="62" spans="1:26" s="24" customFormat="1" hidden="1" outlineLevel="1" x14ac:dyDescent="0.35">
      <c r="A62" s="44"/>
      <c r="B62" s="11" t="str">
        <f>CONCATENATE("          ", "4111", " - ", "NON-TAXABLE SALES-NO VALUE TEX")</f>
        <v xml:space="preserve">          4111 - NON-TAXABLE SALES-NO VALUE TEX</v>
      </c>
      <c r="C62" s="11"/>
      <c r="D62" s="2">
        <f>--679.21</f>
        <v>679.21</v>
      </c>
      <c r="E62" s="2"/>
      <c r="F62" s="19"/>
      <c r="G62" s="2"/>
      <c r="H62" s="2">
        <f>--3194.97</f>
        <v>3194.97</v>
      </c>
      <c r="I62" s="2"/>
      <c r="J62" s="19"/>
      <c r="K62" s="2"/>
      <c r="L62" s="2">
        <f t="shared" si="0"/>
        <v>-2515.7599999999998</v>
      </c>
      <c r="M62" s="2"/>
      <c r="N62" s="19">
        <f t="shared" si="1"/>
        <v>-0.78741271436038518</v>
      </c>
      <c r="O62" s="11"/>
      <c r="P62" s="2">
        <f>--16342.67</f>
        <v>16342.67</v>
      </c>
      <c r="Q62" s="2"/>
      <c r="R62" s="19"/>
      <c r="S62" s="2"/>
      <c r="T62" s="2">
        <f>--25086.75</f>
        <v>25086.75</v>
      </c>
      <c r="U62" s="2"/>
      <c r="V62" s="19"/>
      <c r="W62" s="2"/>
      <c r="X62" s="2">
        <f t="shared" si="2"/>
        <v>-8744.08</v>
      </c>
      <c r="Y62" s="2"/>
      <c r="Z62" s="19">
        <f t="shared" si="3"/>
        <v>-0.34855371859647022</v>
      </c>
    </row>
    <row r="63" spans="1:26" s="24" customFormat="1" hidden="1" outlineLevel="1" x14ac:dyDescent="0.35">
      <c r="A63" s="44"/>
      <c r="B63" s="11" t="str">
        <f>CONCATENATE("          ", "4113", " - ", "NON-TAXABLE SALES-TRADE BOOKS")</f>
        <v xml:space="preserve">          4113 - NON-TAXABLE SALES-TRADE BOOKS</v>
      </c>
      <c r="C63" s="11"/>
      <c r="D63" s="2">
        <f t="shared" ref="D63:D64" si="11">0</f>
        <v>0</v>
      </c>
      <c r="E63" s="2"/>
      <c r="F63" s="19"/>
      <c r="G63" s="2"/>
      <c r="H63" s="2">
        <f>--1600</f>
        <v>1600</v>
      </c>
      <c r="I63" s="2"/>
      <c r="J63" s="19"/>
      <c r="K63" s="2"/>
      <c r="L63" s="2">
        <f t="shared" si="0"/>
        <v>-1600</v>
      </c>
      <c r="M63" s="2"/>
      <c r="N63" s="19">
        <f t="shared" si="1"/>
        <v>-1</v>
      </c>
      <c r="O63" s="11"/>
      <c r="P63" s="2">
        <f>--8266.16</f>
        <v>8266.16</v>
      </c>
      <c r="Q63" s="2"/>
      <c r="R63" s="19"/>
      <c r="S63" s="2"/>
      <c r="T63" s="2">
        <f>--5373</f>
        <v>5373</v>
      </c>
      <c r="U63" s="2"/>
      <c r="V63" s="19"/>
      <c r="W63" s="2"/>
      <c r="X63" s="2">
        <f t="shared" si="2"/>
        <v>2893.16</v>
      </c>
      <c r="Y63" s="2"/>
      <c r="Z63" s="19">
        <f t="shared" si="3"/>
        <v>0.53846268378931694</v>
      </c>
    </row>
    <row r="64" spans="1:26" s="24" customFormat="1" hidden="1" outlineLevel="1" x14ac:dyDescent="0.35">
      <c r="A64" s="44"/>
      <c r="B64" s="11" t="str">
        <f>CONCATENATE("          ", "4114", " - ", "NON-TAXABLE SALES-REMAINDERS")</f>
        <v xml:space="preserve">          4114 - NON-TAXABLE SALES-REMAINDERS</v>
      </c>
      <c r="C64" s="11"/>
      <c r="D64" s="2">
        <f t="shared" si="11"/>
        <v>0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--3.19</f>
        <v>3.19</v>
      </c>
      <c r="Q64" s="2"/>
      <c r="R64" s="19"/>
      <c r="S64" s="2"/>
      <c r="T64" s="2">
        <f>0</f>
        <v>0</v>
      </c>
      <c r="U64" s="2"/>
      <c r="V64" s="19"/>
      <c r="W64" s="2"/>
      <c r="X64" s="2">
        <f t="shared" si="2"/>
        <v>3.19</v>
      </c>
      <c r="Y64" s="2"/>
      <c r="Z64" s="19">
        <f t="shared" si="3"/>
        <v>0</v>
      </c>
    </row>
    <row r="65" spans="1:26" s="24" customFormat="1" hidden="1" outlineLevel="1" x14ac:dyDescent="0.35">
      <c r="A65" s="44"/>
      <c r="B65" s="11" t="str">
        <f>CONCATENATE("          ", "4118", " - ", "NON-TAXABLE SALES-STUDY GUIDES")</f>
        <v xml:space="preserve">          4118 - NON-TAXABLE SALES-STUDY GUIDES</v>
      </c>
      <c r="C65" s="11"/>
      <c r="D65" s="2">
        <f>--10.09</f>
        <v>10.09</v>
      </c>
      <c r="E65" s="2"/>
      <c r="F65" s="19"/>
      <c r="G65" s="2"/>
      <c r="H65" s="2">
        <f>--2507</f>
        <v>2507</v>
      </c>
      <c r="I65" s="2"/>
      <c r="J65" s="19"/>
      <c r="K65" s="2"/>
      <c r="L65" s="2">
        <f t="shared" si="0"/>
        <v>-2496.91</v>
      </c>
      <c r="M65" s="2"/>
      <c r="N65" s="19">
        <f t="shared" si="1"/>
        <v>-0.99597526924611079</v>
      </c>
      <c r="O65" s="11"/>
      <c r="P65" s="2">
        <f>--126.03</f>
        <v>126.03</v>
      </c>
      <c r="Q65" s="2"/>
      <c r="R65" s="19"/>
      <c r="S65" s="2"/>
      <c r="T65" s="2">
        <f>--2773.48</f>
        <v>2773.48</v>
      </c>
      <c r="U65" s="2"/>
      <c r="V65" s="19"/>
      <c r="W65" s="2"/>
      <c r="X65" s="2">
        <f t="shared" si="2"/>
        <v>-2647.45</v>
      </c>
      <c r="Y65" s="2"/>
      <c r="Z65" s="19">
        <f t="shared" si="3"/>
        <v>-0.95455889352005419</v>
      </c>
    </row>
    <row r="66" spans="1:26" s="24" customFormat="1" hidden="1" outlineLevel="1" x14ac:dyDescent="0.35">
      <c r="A66" s="44"/>
      <c r="B66" s="11" t="str">
        <f>CONCATENATE("          ", "4125", " - ", "NON-TAXABLE SALES-TEST FORMS")</f>
        <v xml:space="preserve">          4125 - NON-TAXABLE SALES-TEST FORMS</v>
      </c>
      <c r="C66" s="11"/>
      <c r="D66" s="2">
        <f>--185</f>
        <v>185</v>
      </c>
      <c r="E66" s="2"/>
      <c r="F66" s="19"/>
      <c r="G66" s="2"/>
      <c r="H66" s="2">
        <f>--12.94</f>
        <v>12.94</v>
      </c>
      <c r="I66" s="2"/>
      <c r="J66" s="19"/>
      <c r="K66" s="2"/>
      <c r="L66" s="2">
        <f t="shared" si="0"/>
        <v>172.06</v>
      </c>
      <c r="M66" s="2"/>
      <c r="N66" s="19">
        <f t="shared" si="1"/>
        <v>13.2967542503864</v>
      </c>
      <c r="O66" s="11"/>
      <c r="P66" s="2">
        <f>--452.61</f>
        <v>452.61</v>
      </c>
      <c r="Q66" s="2"/>
      <c r="R66" s="19"/>
      <c r="S66" s="2"/>
      <c r="T66" s="2">
        <f>--331.15</f>
        <v>331.15</v>
      </c>
      <c r="U66" s="2"/>
      <c r="V66" s="19"/>
      <c r="W66" s="2"/>
      <c r="X66" s="2">
        <f t="shared" si="2"/>
        <v>121.46000000000004</v>
      </c>
      <c r="Y66" s="2"/>
      <c r="Z66" s="19">
        <f t="shared" si="3"/>
        <v>0.36678242488298368</v>
      </c>
    </row>
    <row r="67" spans="1:26" s="24" customFormat="1" hidden="1" outlineLevel="1" x14ac:dyDescent="0.35">
      <c r="A67" s="44"/>
      <c r="B67" s="11" t="str">
        <f>CONCATENATE("          ", "4126", " - ", "NON-TAXABLE SALES-WRITING INST")</f>
        <v xml:space="preserve">          4126 - NON-TAXABLE SALES-WRITING INST</v>
      </c>
      <c r="C67" s="11"/>
      <c r="D67" s="2">
        <f>--168.02</f>
        <v>168.02</v>
      </c>
      <c r="E67" s="2"/>
      <c r="F67" s="19"/>
      <c r="G67" s="2"/>
      <c r="H67" s="2">
        <f>--160.46</f>
        <v>160.46</v>
      </c>
      <c r="I67" s="2"/>
      <c r="J67" s="19"/>
      <c r="K67" s="2"/>
      <c r="L67" s="2">
        <f t="shared" si="0"/>
        <v>7.5600000000000023</v>
      </c>
      <c r="M67" s="2"/>
      <c r="N67" s="19">
        <f t="shared" si="1"/>
        <v>4.7114545681166659E-2</v>
      </c>
      <c r="O67" s="11"/>
      <c r="P67" s="2">
        <f>--3301.44</f>
        <v>3301.44</v>
      </c>
      <c r="Q67" s="2"/>
      <c r="R67" s="19"/>
      <c r="S67" s="2"/>
      <c r="T67" s="2">
        <f>--4171.98</f>
        <v>4171.9799999999996</v>
      </c>
      <c r="U67" s="2"/>
      <c r="V67" s="19"/>
      <c r="W67" s="2"/>
      <c r="X67" s="2">
        <f t="shared" si="2"/>
        <v>-870.53999999999951</v>
      </c>
      <c r="Y67" s="2"/>
      <c r="Z67" s="19">
        <f t="shared" si="3"/>
        <v>-0.2086635122891288</v>
      </c>
    </row>
    <row r="68" spans="1:26" s="24" customFormat="1" hidden="1" outlineLevel="1" x14ac:dyDescent="0.35">
      <c r="A68" s="44"/>
      <c r="B68" s="11" t="str">
        <f>CONCATENATE("          ", "4127", " - ", "NON-TAXABLE SALES-SCHOOL SUPPL")</f>
        <v xml:space="preserve">          4127 - NON-TAXABLE SALES-SCHOOL SUPPL</v>
      </c>
      <c r="C68" s="11"/>
      <c r="D68" s="2">
        <f>--97.62</f>
        <v>97.62</v>
      </c>
      <c r="E68" s="2"/>
      <c r="F68" s="19"/>
      <c r="G68" s="2"/>
      <c r="H68" s="2">
        <f>--83.39</f>
        <v>83.39</v>
      </c>
      <c r="I68" s="2"/>
      <c r="J68" s="19"/>
      <c r="K68" s="2"/>
      <c r="L68" s="2">
        <f t="shared" si="0"/>
        <v>14.230000000000004</v>
      </c>
      <c r="M68" s="2"/>
      <c r="N68" s="19">
        <f t="shared" si="1"/>
        <v>0.17064396210576813</v>
      </c>
      <c r="O68" s="11"/>
      <c r="P68" s="2">
        <f>--6471.33</f>
        <v>6471.33</v>
      </c>
      <c r="Q68" s="2"/>
      <c r="R68" s="19"/>
      <c r="S68" s="2"/>
      <c r="T68" s="2">
        <f>--12627.65</f>
        <v>12627.65</v>
      </c>
      <c r="U68" s="2"/>
      <c r="V68" s="19"/>
      <c r="W68" s="2"/>
      <c r="X68" s="2">
        <f t="shared" si="2"/>
        <v>-6156.32</v>
      </c>
      <c r="Y68" s="2"/>
      <c r="Z68" s="19">
        <f t="shared" si="3"/>
        <v>-0.48752697453603799</v>
      </c>
    </row>
    <row r="69" spans="1:26" s="24" customFormat="1" hidden="1" outlineLevel="1" x14ac:dyDescent="0.35">
      <c r="A69" s="44"/>
      <c r="B69" s="11" t="str">
        <f>CONCATENATE("          ", "4128", " - ", "NON-TAXABLE SALES-ART/TECH")</f>
        <v xml:space="preserve">          4128 - NON-TAXABLE SALES-ART/TECH</v>
      </c>
      <c r="C69" s="11"/>
      <c r="D69" s="2">
        <f>--0.74</f>
        <v>0.74</v>
      </c>
      <c r="E69" s="2"/>
      <c r="F69" s="19"/>
      <c r="G69" s="2"/>
      <c r="H69" s="2">
        <f>--16.55</f>
        <v>16.55</v>
      </c>
      <c r="I69" s="2"/>
      <c r="J69" s="19"/>
      <c r="K69" s="2"/>
      <c r="L69" s="2">
        <f t="shared" si="0"/>
        <v>-15.81</v>
      </c>
      <c r="M69" s="2"/>
      <c r="N69" s="19">
        <f t="shared" si="1"/>
        <v>-0.9552870090634441</v>
      </c>
      <c r="O69" s="11"/>
      <c r="P69" s="2">
        <f>--731.36</f>
        <v>731.36</v>
      </c>
      <c r="Q69" s="2"/>
      <c r="R69" s="19"/>
      <c r="S69" s="2"/>
      <c r="T69" s="2">
        <f>--894.51</f>
        <v>894.51</v>
      </c>
      <c r="U69" s="2"/>
      <c r="V69" s="19"/>
      <c r="W69" s="2"/>
      <c r="X69" s="2">
        <f t="shared" si="2"/>
        <v>-163.14999999999998</v>
      </c>
      <c r="Y69" s="2"/>
      <c r="Z69" s="19">
        <f t="shared" si="3"/>
        <v>-0.18239035896747938</v>
      </c>
    </row>
    <row r="70" spans="1:26" s="24" customFormat="1" hidden="1" outlineLevel="1" x14ac:dyDescent="0.35">
      <c r="A70" s="44"/>
      <c r="B70" s="11" t="str">
        <f>CONCATENATE("          ", "4131", " - ", "NON-TAXABLE SALES-FOOD")</f>
        <v xml:space="preserve">          4131 - NON-TAXABLE SALES-FOOD</v>
      </c>
      <c r="C70" s="11"/>
      <c r="D70" s="2">
        <f>--64.14</f>
        <v>64.14</v>
      </c>
      <c r="E70" s="2"/>
      <c r="F70" s="19"/>
      <c r="G70" s="2"/>
      <c r="H70" s="2">
        <f>--182.35</f>
        <v>182.35</v>
      </c>
      <c r="I70" s="2"/>
      <c r="J70" s="19"/>
      <c r="K70" s="2"/>
      <c r="L70" s="2">
        <f t="shared" si="0"/>
        <v>-118.21</v>
      </c>
      <c r="M70" s="2"/>
      <c r="N70" s="19">
        <f t="shared" si="1"/>
        <v>-0.64825884288456259</v>
      </c>
      <c r="O70" s="11"/>
      <c r="P70" s="2">
        <f>--57960.32</f>
        <v>57960.32</v>
      </c>
      <c r="Q70" s="2"/>
      <c r="R70" s="19"/>
      <c r="S70" s="2"/>
      <c r="T70" s="2">
        <f>--74222.68</f>
        <v>74222.679999999993</v>
      </c>
      <c r="U70" s="2"/>
      <c r="V70" s="19"/>
      <c r="W70" s="2"/>
      <c r="X70" s="2">
        <f t="shared" si="2"/>
        <v>-16262.359999999993</v>
      </c>
      <c r="Y70" s="2"/>
      <c r="Z70" s="19">
        <f t="shared" si="3"/>
        <v>-0.21910230134508743</v>
      </c>
    </row>
    <row r="71" spans="1:26" s="24" customFormat="1" hidden="1" outlineLevel="1" x14ac:dyDescent="0.35">
      <c r="A71" s="44"/>
      <c r="B71" s="11" t="str">
        <f>CONCATENATE("          ", "4132", " - ", "NON-TAXABLE SALES-JUICE")</f>
        <v xml:space="preserve">          4132 - NON-TAXABLE SALES-JUICE</v>
      </c>
      <c r="C71" s="11"/>
      <c r="D71" s="2">
        <f>--114.48</f>
        <v>114.48</v>
      </c>
      <c r="E71" s="2"/>
      <c r="F71" s="19"/>
      <c r="G71" s="2"/>
      <c r="H71" s="2">
        <f>--19904.73</f>
        <v>19904.73</v>
      </c>
      <c r="I71" s="2"/>
      <c r="J71" s="19"/>
      <c r="K71" s="2"/>
      <c r="L71" s="2">
        <f t="shared" si="0"/>
        <v>-19790.25</v>
      </c>
      <c r="M71" s="2"/>
      <c r="N71" s="19">
        <f t="shared" si="1"/>
        <v>-0.99424860322144537</v>
      </c>
      <c r="O71" s="11"/>
      <c r="P71" s="2">
        <f>--1110092.26</f>
        <v>1110092.26</v>
      </c>
      <c r="Q71" s="2"/>
      <c r="R71" s="19"/>
      <c r="S71" s="2"/>
      <c r="T71" s="2">
        <f>--1323494.5</f>
        <v>1323494.5</v>
      </c>
      <c r="U71" s="2"/>
      <c r="V71" s="19"/>
      <c r="W71" s="2"/>
      <c r="X71" s="2">
        <f t="shared" si="2"/>
        <v>-213402.23999999999</v>
      </c>
      <c r="Y71" s="2"/>
      <c r="Z71" s="19">
        <f t="shared" si="3"/>
        <v>-0.16124150119248701</v>
      </c>
    </row>
    <row r="72" spans="1:26" s="24" customFormat="1" hidden="1" outlineLevel="1" x14ac:dyDescent="0.35">
      <c r="A72" s="44"/>
      <c r="B72" s="11" t="str">
        <f>CONCATENATE("          ", "4133", " - ", "NON-TAXABLE SALES-CANDY")</f>
        <v xml:space="preserve">          4133 - NON-TAXABLE SALES-CANDY</v>
      </c>
      <c r="C72" s="11"/>
      <c r="D72" s="2">
        <f>--13.47</f>
        <v>13.47</v>
      </c>
      <c r="E72" s="2"/>
      <c r="F72" s="19"/>
      <c r="G72" s="2"/>
      <c r="H72" s="2">
        <f>--294.41</f>
        <v>294.41000000000003</v>
      </c>
      <c r="I72" s="2"/>
      <c r="J72" s="19"/>
      <c r="K72" s="2"/>
      <c r="L72" s="2">
        <f t="shared" si="0"/>
        <v>-280.94</v>
      </c>
      <c r="M72" s="2"/>
      <c r="N72" s="19">
        <f t="shared" si="1"/>
        <v>-0.95424747800686105</v>
      </c>
      <c r="O72" s="11"/>
      <c r="P72" s="2">
        <f>--18151.79</f>
        <v>18151.79</v>
      </c>
      <c r="Q72" s="2"/>
      <c r="R72" s="19"/>
      <c r="S72" s="2"/>
      <c r="T72" s="2">
        <f>--23768.73</f>
        <v>23768.73</v>
      </c>
      <c r="U72" s="2"/>
      <c r="V72" s="19"/>
      <c r="W72" s="2"/>
      <c r="X72" s="2">
        <f t="shared" si="2"/>
        <v>-5616.9399999999987</v>
      </c>
      <c r="Y72" s="2"/>
      <c r="Z72" s="19">
        <f t="shared" si="3"/>
        <v>-0.2363163702898724</v>
      </c>
    </row>
    <row r="73" spans="1:26" s="24" customFormat="1" hidden="1" outlineLevel="1" x14ac:dyDescent="0.35">
      <c r="A73" s="44"/>
      <c r="B73" s="11" t="str">
        <f>CONCATENATE("          ", "4134", " - ", "NON-TAXABLE SALES-SODA")</f>
        <v xml:space="preserve">          4134 - NON-TAXABLE SALES-SODA</v>
      </c>
      <c r="C73" s="11"/>
      <c r="D73" s="2">
        <f>--4.99</f>
        <v>4.99</v>
      </c>
      <c r="E73" s="2"/>
      <c r="F73" s="19"/>
      <c r="G73" s="2"/>
      <c r="H73" s="2">
        <f t="shared" ref="H73:H74" si="12">0</f>
        <v>0</v>
      </c>
      <c r="I73" s="2"/>
      <c r="J73" s="19"/>
      <c r="K73" s="2"/>
      <c r="L73" s="2">
        <f t="shared" si="0"/>
        <v>4.99</v>
      </c>
      <c r="M73" s="2"/>
      <c r="N73" s="19">
        <f t="shared" si="1"/>
        <v>0</v>
      </c>
      <c r="O73" s="11"/>
      <c r="P73" s="2">
        <f>--101.72</f>
        <v>101.72</v>
      </c>
      <c r="Q73" s="2"/>
      <c r="R73" s="19"/>
      <c r="S73" s="2"/>
      <c r="T73" s="2">
        <f>--167.19</f>
        <v>167.19</v>
      </c>
      <c r="U73" s="2"/>
      <c r="V73" s="19"/>
      <c r="W73" s="2"/>
      <c r="X73" s="2">
        <f t="shared" si="2"/>
        <v>-65.47</v>
      </c>
      <c r="Y73" s="2"/>
      <c r="Z73" s="19">
        <f t="shared" si="3"/>
        <v>-0.39159040612476825</v>
      </c>
    </row>
    <row r="74" spans="1:26" s="24" customFormat="1" hidden="1" outlineLevel="1" x14ac:dyDescent="0.35">
      <c r="A74" s="44"/>
      <c r="B74" s="11" t="str">
        <f>CONCATENATE("          ", "4135", " - ", "NON-TAXABLE SALES")</f>
        <v xml:space="preserve">          4135 - NON-TAXABLE SALES</v>
      </c>
      <c r="C74" s="11"/>
      <c r="D74" s="2">
        <f t="shared" ref="D74:D75" si="13">0</f>
        <v>0</v>
      </c>
      <c r="E74" s="2"/>
      <c r="F74" s="19"/>
      <c r="G74" s="2"/>
      <c r="H74" s="2">
        <f t="shared" si="12"/>
        <v>0</v>
      </c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--161.4</f>
        <v>161.4</v>
      </c>
      <c r="Q74" s="2"/>
      <c r="R74" s="19"/>
      <c r="S74" s="2"/>
      <c r="T74" s="2">
        <f>--383.81</f>
        <v>383.81</v>
      </c>
      <c r="U74" s="2"/>
      <c r="V74" s="19"/>
      <c r="W74" s="2"/>
      <c r="X74" s="2">
        <f t="shared" si="2"/>
        <v>-222.41</v>
      </c>
      <c r="Y74" s="2"/>
      <c r="Z74" s="19">
        <f t="shared" si="3"/>
        <v>-0.57947942992626555</v>
      </c>
    </row>
    <row r="75" spans="1:26" s="24" customFormat="1" hidden="1" outlineLevel="1" x14ac:dyDescent="0.35">
      <c r="A75" s="44"/>
      <c r="B75" s="11" t="str">
        <f>CONCATENATE("          ", "4137", " - ", "NON-TAXABLE SALES-WATER")</f>
        <v xml:space="preserve">          4137 - NON-TAXABLE SALES-WATER</v>
      </c>
      <c r="C75" s="11"/>
      <c r="D75" s="2">
        <f t="shared" si="13"/>
        <v>0</v>
      </c>
      <c r="E75" s="2"/>
      <c r="F75" s="19"/>
      <c r="G75" s="2"/>
      <c r="H75" s="2">
        <f>--117.87</f>
        <v>117.87</v>
      </c>
      <c r="I75" s="2"/>
      <c r="J75" s="19"/>
      <c r="K75" s="2"/>
      <c r="L75" s="2">
        <f t="shared" si="0"/>
        <v>-117.87</v>
      </c>
      <c r="M75" s="2"/>
      <c r="N75" s="19">
        <f t="shared" si="1"/>
        <v>-1</v>
      </c>
      <c r="O75" s="11"/>
      <c r="P75" s="2">
        <f>--10094.74</f>
        <v>10094.74</v>
      </c>
      <c r="Q75" s="2"/>
      <c r="R75" s="19"/>
      <c r="S75" s="2"/>
      <c r="T75" s="2">
        <f>--12501.55</f>
        <v>12501.55</v>
      </c>
      <c r="U75" s="2"/>
      <c r="V75" s="19"/>
      <c r="W75" s="2"/>
      <c r="X75" s="2">
        <f t="shared" si="2"/>
        <v>-2406.8099999999995</v>
      </c>
      <c r="Y75" s="2"/>
      <c r="Z75" s="19">
        <f t="shared" si="3"/>
        <v>-0.19252092740500176</v>
      </c>
    </row>
    <row r="76" spans="1:26" s="24" customFormat="1" hidden="1" outlineLevel="1" x14ac:dyDescent="0.35">
      <c r="A76" s="44"/>
      <c r="B76" s="11" t="str">
        <f>CONCATENATE("          ", "4140", " - ", "NON-TAXABLE SALES-LOGO CLOTHIN")</f>
        <v xml:space="preserve">          4140 - NON-TAXABLE SALES-LOGO CLOTHIN</v>
      </c>
      <c r="C76" s="11"/>
      <c r="D76" s="2">
        <f>--40740.37</f>
        <v>40740.370000000003</v>
      </c>
      <c r="E76" s="2"/>
      <c r="F76" s="19"/>
      <c r="G76" s="2"/>
      <c r="H76" s="2">
        <f>--6820.39</f>
        <v>6820.39</v>
      </c>
      <c r="I76" s="2"/>
      <c r="J76" s="19"/>
      <c r="K76" s="2"/>
      <c r="L76" s="2">
        <f t="shared" si="0"/>
        <v>33919.980000000003</v>
      </c>
      <c r="M76" s="2"/>
      <c r="N76" s="19">
        <f t="shared" si="1"/>
        <v>4.9733197075240572</v>
      </c>
      <c r="O76" s="11"/>
      <c r="P76" s="2">
        <f>--176221.13</f>
        <v>176221.13</v>
      </c>
      <c r="Q76" s="2"/>
      <c r="R76" s="19"/>
      <c r="S76" s="2"/>
      <c r="T76" s="2">
        <f>--62811.11</f>
        <v>62811.11</v>
      </c>
      <c r="U76" s="2"/>
      <c r="V76" s="19"/>
      <c r="W76" s="2"/>
      <c r="X76" s="2">
        <f t="shared" si="2"/>
        <v>113410.02</v>
      </c>
      <c r="Y76" s="2"/>
      <c r="Z76" s="19">
        <f t="shared" si="3"/>
        <v>1.8055726128705576</v>
      </c>
    </row>
    <row r="77" spans="1:26" s="24" customFormat="1" hidden="1" outlineLevel="1" x14ac:dyDescent="0.35">
      <c r="A77" s="44"/>
      <c r="B77" s="11" t="str">
        <f>CONCATENATE("          ", "4141", " - ", "NON-TAXABLE SALES-LOGO GIFTS")</f>
        <v xml:space="preserve">          4141 - NON-TAXABLE SALES-LOGO GIFTS</v>
      </c>
      <c r="C77" s="11"/>
      <c r="D77" s="2">
        <f>--6641.14</f>
        <v>6641.14</v>
      </c>
      <c r="E77" s="2"/>
      <c r="F77" s="19"/>
      <c r="G77" s="2"/>
      <c r="H77" s="2">
        <f>--392.25</f>
        <v>392.25</v>
      </c>
      <c r="I77" s="2"/>
      <c r="J77" s="19"/>
      <c r="K77" s="2"/>
      <c r="L77" s="2">
        <f t="shared" si="0"/>
        <v>6248.89</v>
      </c>
      <c r="M77" s="2"/>
      <c r="N77" s="19">
        <f t="shared" si="1"/>
        <v>15.930885914595285</v>
      </c>
      <c r="O77" s="11"/>
      <c r="P77" s="2">
        <f>--23601.45</f>
        <v>23601.45</v>
      </c>
      <c r="Q77" s="2"/>
      <c r="R77" s="19"/>
      <c r="S77" s="2"/>
      <c r="T77" s="2">
        <f>--6856.03</f>
        <v>6856.03</v>
      </c>
      <c r="U77" s="2"/>
      <c r="V77" s="19"/>
      <c r="W77" s="2"/>
      <c r="X77" s="2">
        <f t="shared" si="2"/>
        <v>16745.420000000002</v>
      </c>
      <c r="Y77" s="2"/>
      <c r="Z77" s="19">
        <f t="shared" si="3"/>
        <v>2.4424368038062849</v>
      </c>
    </row>
    <row r="78" spans="1:26" s="24" customFormat="1" hidden="1" outlineLevel="1" x14ac:dyDescent="0.35">
      <c r="A78" s="44"/>
      <c r="B78" s="11" t="str">
        <f>CONCATENATE("          ", "4142", " - ", "NON-TAXABLE SALES-EVERYDAY GIF")</f>
        <v xml:space="preserve">          4142 - NON-TAXABLE SALES-EVERYDAY GIF</v>
      </c>
      <c r="C78" s="11"/>
      <c r="D78" s="2">
        <f>--1018.52</f>
        <v>1018.52</v>
      </c>
      <c r="E78" s="2"/>
      <c r="F78" s="19"/>
      <c r="G78" s="2"/>
      <c r="H78" s="2">
        <f>--208.83</f>
        <v>208.83</v>
      </c>
      <c r="I78" s="2"/>
      <c r="J78" s="19"/>
      <c r="K78" s="2"/>
      <c r="L78" s="2">
        <f t="shared" si="0"/>
        <v>809.68999999999994</v>
      </c>
      <c r="M78" s="2"/>
      <c r="N78" s="19">
        <f t="shared" si="1"/>
        <v>3.8772685916774403</v>
      </c>
      <c r="O78" s="11"/>
      <c r="P78" s="2">
        <f>--16350.74</f>
        <v>16350.74</v>
      </c>
      <c r="Q78" s="2"/>
      <c r="R78" s="19"/>
      <c r="S78" s="2"/>
      <c r="T78" s="2">
        <f>--21317.71</f>
        <v>21317.71</v>
      </c>
      <c r="U78" s="2"/>
      <c r="V78" s="19"/>
      <c r="W78" s="2"/>
      <c r="X78" s="2">
        <f t="shared" si="2"/>
        <v>-4966.9699999999993</v>
      </c>
      <c r="Y78" s="2"/>
      <c r="Z78" s="19">
        <f t="shared" si="3"/>
        <v>-0.23299735290516663</v>
      </c>
    </row>
    <row r="79" spans="1:26" s="24" customFormat="1" hidden="1" outlineLevel="1" x14ac:dyDescent="0.35">
      <c r="A79" s="44"/>
      <c r="B79" s="11" t="str">
        <f>CONCATENATE("          ", "4143", " - ", "NON-TAXABLE SALES-CARDS")</f>
        <v xml:space="preserve">          4143 - NON-TAXABLE SALES-CARDS</v>
      </c>
      <c r="C79" s="11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--19.98</f>
        <v>19.98</v>
      </c>
      <c r="Q79" s="2"/>
      <c r="R79" s="19"/>
      <c r="S79" s="2"/>
      <c r="T79" s="2">
        <f>0</f>
        <v>0</v>
      </c>
      <c r="U79" s="2"/>
      <c r="V79" s="19"/>
      <c r="W79" s="2"/>
      <c r="X79" s="2">
        <f t="shared" si="2"/>
        <v>19.98</v>
      </c>
      <c r="Y79" s="2"/>
      <c r="Z79" s="19">
        <f t="shared" si="3"/>
        <v>0</v>
      </c>
    </row>
    <row r="80" spans="1:26" s="24" customFormat="1" hidden="1" outlineLevel="1" x14ac:dyDescent="0.35">
      <c r="A80" s="44"/>
      <c r="B80" s="11" t="str">
        <f>CONCATENATE("          ", "4144", " - ", "NON-TAXABLE SALES-ACCESSORIES")</f>
        <v xml:space="preserve">          4144 - NON-TAXABLE SALES-ACCESSORIES</v>
      </c>
      <c r="C80" s="11"/>
      <c r="D80" s="2">
        <f>--386.9</f>
        <v>386.9</v>
      </c>
      <c r="E80" s="2"/>
      <c r="F80" s="19"/>
      <c r="G80" s="2"/>
      <c r="H80" s="2">
        <f>--19.95</f>
        <v>19.95</v>
      </c>
      <c r="I80" s="2"/>
      <c r="J80" s="19"/>
      <c r="K80" s="2"/>
      <c r="L80" s="2">
        <f t="shared" si="0"/>
        <v>366.95</v>
      </c>
      <c r="M80" s="2"/>
      <c r="N80" s="19">
        <f t="shared" si="1"/>
        <v>18.393483709273184</v>
      </c>
      <c r="O80" s="11"/>
      <c r="P80" s="2">
        <f>--3710.92</f>
        <v>3710.92</v>
      </c>
      <c r="Q80" s="2"/>
      <c r="R80" s="19"/>
      <c r="S80" s="2"/>
      <c r="T80" s="2">
        <f>--659.84</f>
        <v>659.84</v>
      </c>
      <c r="U80" s="2"/>
      <c r="V80" s="19"/>
      <c r="W80" s="2"/>
      <c r="X80" s="2">
        <f t="shared" si="2"/>
        <v>3051.08</v>
      </c>
      <c r="Y80" s="2"/>
      <c r="Z80" s="19">
        <f t="shared" si="3"/>
        <v>4.6239694471387001</v>
      </c>
    </row>
    <row r="81" spans="1:26" s="24" customFormat="1" hidden="1" outlineLevel="1" x14ac:dyDescent="0.35">
      <c r="A81" s="44"/>
      <c r="B81" s="11" t="str">
        <f>CONCATENATE("          ", "4145", " - ", "NON-TAXABLE SALES-SPECIAL ORDE")</f>
        <v xml:space="preserve">          4145 - NON-TAXABLE SALES-SPECIAL ORDE</v>
      </c>
      <c r="C81" s="11"/>
      <c r="D81" s="2">
        <f>--19379.5</f>
        <v>19379.5</v>
      </c>
      <c r="E81" s="2"/>
      <c r="F81" s="19"/>
      <c r="G81" s="2"/>
      <c r="H81" s="2">
        <f>0</f>
        <v>0</v>
      </c>
      <c r="I81" s="2"/>
      <c r="J81" s="19"/>
      <c r="K81" s="2"/>
      <c r="L81" s="2">
        <f t="shared" si="0"/>
        <v>19379.5</v>
      </c>
      <c r="M81" s="2"/>
      <c r="N81" s="19">
        <f t="shared" si="1"/>
        <v>0</v>
      </c>
      <c r="O81" s="11"/>
      <c r="P81" s="2">
        <f>--27208.18</f>
        <v>27208.18</v>
      </c>
      <c r="Q81" s="2"/>
      <c r="R81" s="19"/>
      <c r="S81" s="2"/>
      <c r="T81" s="2">
        <f>--2382.85</f>
        <v>2382.85</v>
      </c>
      <c r="U81" s="2"/>
      <c r="V81" s="19"/>
      <c r="W81" s="2"/>
      <c r="X81" s="2">
        <f t="shared" si="2"/>
        <v>24825.33</v>
      </c>
      <c r="Y81" s="2"/>
      <c r="Z81" s="19">
        <f t="shared" si="3"/>
        <v>10.418335186856076</v>
      </c>
    </row>
    <row r="82" spans="1:26" s="24" customFormat="1" hidden="1" outlineLevel="1" x14ac:dyDescent="0.35">
      <c r="A82" s="44"/>
      <c r="B82" s="11" t="str">
        <f>CONCATENATE("          ", "4146", " - ", "NON-TAXABLE SALES-COIN OP MACH")</f>
        <v xml:space="preserve">          4146 - NON-TAXABLE SALES-COIN OP MACH</v>
      </c>
      <c r="C82" s="11"/>
      <c r="D82" s="2">
        <f t="shared" ref="D82:D83" si="14">0</f>
        <v>0</v>
      </c>
      <c r="E82" s="2"/>
      <c r="F82" s="19"/>
      <c r="G82" s="2"/>
      <c r="H82" s="2">
        <f>--2296.45</f>
        <v>2296.4499999999998</v>
      </c>
      <c r="I82" s="2"/>
      <c r="J82" s="19"/>
      <c r="K82" s="2"/>
      <c r="L82" s="2">
        <f t="shared" si="0"/>
        <v>-2296.4499999999998</v>
      </c>
      <c r="M82" s="2"/>
      <c r="N82" s="19">
        <f t="shared" si="1"/>
        <v>-1</v>
      </c>
      <c r="O82" s="11"/>
      <c r="P82" s="2">
        <f>--205908.65</f>
        <v>205908.65</v>
      </c>
      <c r="Q82" s="2"/>
      <c r="R82" s="19"/>
      <c r="S82" s="2"/>
      <c r="T82" s="2">
        <f>--288251.29</f>
        <v>288251.28999999998</v>
      </c>
      <c r="U82" s="2"/>
      <c r="V82" s="19"/>
      <c r="W82" s="2"/>
      <c r="X82" s="2">
        <f t="shared" si="2"/>
        <v>-82342.639999999985</v>
      </c>
      <c r="Y82" s="2"/>
      <c r="Z82" s="19">
        <f t="shared" si="3"/>
        <v>-0.28566269382523835</v>
      </c>
    </row>
    <row r="83" spans="1:26" s="24" customFormat="1" hidden="1" outlineLevel="1" x14ac:dyDescent="0.35">
      <c r="A83" s="44"/>
      <c r="B83" s="11" t="str">
        <f>CONCATENATE("          ", "4147", " - ", "NON-TAXABLE SALES-MISC")</f>
        <v xml:space="preserve">          4147 - NON-TAXABLE SALES-MISC</v>
      </c>
      <c r="C83" s="11"/>
      <c r="D83" s="2">
        <f t="shared" si="14"/>
        <v>0</v>
      </c>
      <c r="E83" s="2"/>
      <c r="F83" s="19"/>
      <c r="G83" s="2"/>
      <c r="H83" s="2">
        <f>--31</f>
        <v>31</v>
      </c>
      <c r="I83" s="2"/>
      <c r="J83" s="19"/>
      <c r="K83" s="2"/>
      <c r="L83" s="2">
        <f t="shared" si="0"/>
        <v>-31</v>
      </c>
      <c r="M83" s="2"/>
      <c r="N83" s="19">
        <f t="shared" si="1"/>
        <v>-1</v>
      </c>
      <c r="O83" s="11"/>
      <c r="P83" s="2">
        <f>--3446.37</f>
        <v>3446.37</v>
      </c>
      <c r="Q83" s="2"/>
      <c r="R83" s="19"/>
      <c r="S83" s="2"/>
      <c r="T83" s="2">
        <f>--959.73</f>
        <v>959.73</v>
      </c>
      <c r="U83" s="2"/>
      <c r="V83" s="19"/>
      <c r="W83" s="2"/>
      <c r="X83" s="2">
        <f t="shared" si="2"/>
        <v>2486.64</v>
      </c>
      <c r="Y83" s="2"/>
      <c r="Z83" s="19">
        <f t="shared" si="3"/>
        <v>2.5909787127629644</v>
      </c>
    </row>
    <row r="84" spans="1:26" s="24" customFormat="1" hidden="1" outlineLevel="1" x14ac:dyDescent="0.35">
      <c r="A84" s="44"/>
      <c r="B84" s="11" t="str">
        <f>CONCATENATE("          ", "4151", " - ", "NON-TAXABLE SALES-FOOD")</f>
        <v xml:space="preserve">          4151 - NON-TAXABLE SALES-FOOD</v>
      </c>
      <c r="C84" s="11"/>
      <c r="D84" s="2">
        <f>-138366.42</f>
        <v>-138366.42000000001</v>
      </c>
      <c r="E84" s="2"/>
      <c r="F84" s="19"/>
      <c r="G84" s="2"/>
      <c r="H84" s="2">
        <f>--195067.97</f>
        <v>195067.97</v>
      </c>
      <c r="I84" s="2"/>
      <c r="J84" s="19"/>
      <c r="K84" s="2"/>
      <c r="L84" s="2">
        <f t="shared" si="0"/>
        <v>-333434.39</v>
      </c>
      <c r="M84" s="2"/>
      <c r="N84" s="19">
        <f t="shared" si="1"/>
        <v>-1.7093241396832088</v>
      </c>
      <c r="O84" s="11"/>
      <c r="P84" s="2">
        <f>--10892329.62</f>
        <v>10892329.619999999</v>
      </c>
      <c r="Q84" s="2"/>
      <c r="R84" s="19"/>
      <c r="S84" s="2"/>
      <c r="T84" s="2">
        <f>--13504995.09</f>
        <v>13504995.09</v>
      </c>
      <c r="U84" s="2"/>
      <c r="V84" s="19"/>
      <c r="W84" s="2"/>
      <c r="X84" s="2">
        <f t="shared" si="2"/>
        <v>-2612665.4700000007</v>
      </c>
      <c r="Y84" s="2"/>
      <c r="Z84" s="19">
        <f t="shared" si="3"/>
        <v>-0.19345919436391298</v>
      </c>
    </row>
    <row r="85" spans="1:26" s="24" customFormat="1" hidden="1" outlineLevel="1" x14ac:dyDescent="0.35">
      <c r="A85" s="44"/>
      <c r="B85" s="11" t="str">
        <f>CONCATENATE("          ", "4152", " - ", "NON-TAXABLE SALES-FOOD")</f>
        <v xml:space="preserve">          4152 - NON-TAXABLE SALES-FOOD</v>
      </c>
      <c r="C85" s="11"/>
      <c r="D85" s="2">
        <f>0</f>
        <v>0</v>
      </c>
      <c r="E85" s="2"/>
      <c r="F85" s="19"/>
      <c r="G85" s="2"/>
      <c r="H85" s="2">
        <f>--3022.91</f>
        <v>3022.91</v>
      </c>
      <c r="I85" s="2"/>
      <c r="J85" s="19"/>
      <c r="K85" s="2"/>
      <c r="L85" s="2">
        <f t="shared" si="0"/>
        <v>-3022.91</v>
      </c>
      <c r="M85" s="2"/>
      <c r="N85" s="19">
        <f t="shared" si="1"/>
        <v>-1</v>
      </c>
      <c r="O85" s="11"/>
      <c r="P85" s="2">
        <f>--51415.27</f>
        <v>51415.27</v>
      </c>
      <c r="Q85" s="2"/>
      <c r="R85" s="19"/>
      <c r="S85" s="2"/>
      <c r="T85" s="2">
        <f>--79299.25</f>
        <v>79299.25</v>
      </c>
      <c r="U85" s="2"/>
      <c r="V85" s="19"/>
      <c r="W85" s="2"/>
      <c r="X85" s="2">
        <f t="shared" si="2"/>
        <v>-27883.980000000003</v>
      </c>
      <c r="Y85" s="2"/>
      <c r="Z85" s="19">
        <f t="shared" si="3"/>
        <v>-0.35162980734370125</v>
      </c>
    </row>
    <row r="86" spans="1:26" s="24" customFormat="1" hidden="1" outlineLevel="1" x14ac:dyDescent="0.35">
      <c r="A86" s="44"/>
      <c r="B86" s="11" t="str">
        <f>CONCATENATE("          ", "4153", " - ", "NON-TAXABLE SALES-FOOD")</f>
        <v xml:space="preserve">          4153 - NON-TAXABLE SALES-FOOD</v>
      </c>
      <c r="C86" s="11"/>
      <c r="D86" s="2">
        <f>--4699.6</f>
        <v>4699.6000000000004</v>
      </c>
      <c r="E86" s="2"/>
      <c r="F86" s="19"/>
      <c r="G86" s="2"/>
      <c r="H86" s="2">
        <f>--3253.21</f>
        <v>3253.21</v>
      </c>
      <c r="I86" s="2"/>
      <c r="J86" s="19"/>
      <c r="K86" s="2"/>
      <c r="L86" s="2">
        <f t="shared" si="0"/>
        <v>1446.3900000000003</v>
      </c>
      <c r="M86" s="2"/>
      <c r="N86" s="19">
        <f t="shared" si="1"/>
        <v>0.44460394502660461</v>
      </c>
      <c r="O86" s="11"/>
      <c r="P86" s="2">
        <f>--316965.82</f>
        <v>316965.82</v>
      </c>
      <c r="Q86" s="2"/>
      <c r="R86" s="19"/>
      <c r="S86" s="2"/>
      <c r="T86" s="2">
        <f>--334431.2</f>
        <v>334431.2</v>
      </c>
      <c r="U86" s="2"/>
      <c r="V86" s="19"/>
      <c r="W86" s="2"/>
      <c r="X86" s="2">
        <f t="shared" si="2"/>
        <v>-17465.380000000005</v>
      </c>
      <c r="Y86" s="2"/>
      <c r="Z86" s="19">
        <f t="shared" si="3"/>
        <v>-5.2224134590313359E-2</v>
      </c>
    </row>
    <row r="87" spans="1:26" s="24" customFormat="1" hidden="1" outlineLevel="1" x14ac:dyDescent="0.35">
      <c r="A87" s="44"/>
      <c r="B87" s="11" t="str">
        <f>CONCATENATE("          ", "4155", " - ", "NON-TAXABLE SALES-FOOD")</f>
        <v xml:space="preserve">          4155 - NON-TAXABLE SALES-FOOD</v>
      </c>
      <c r="C87" s="11"/>
      <c r="D87" s="2">
        <f t="shared" ref="D87:D90" si="15">0</f>
        <v>0</v>
      </c>
      <c r="E87" s="2"/>
      <c r="F87" s="19"/>
      <c r="G87" s="2"/>
      <c r="H87" s="2">
        <f>--23463.78</f>
        <v>23463.78</v>
      </c>
      <c r="I87" s="2"/>
      <c r="J87" s="19"/>
      <c r="K87" s="2"/>
      <c r="L87" s="2">
        <f t="shared" si="0"/>
        <v>-23463.78</v>
      </c>
      <c r="M87" s="2"/>
      <c r="N87" s="19">
        <f t="shared" si="1"/>
        <v>-1</v>
      </c>
      <c r="O87" s="11"/>
      <c r="P87" s="2">
        <f>--691123.63</f>
        <v>691123.63</v>
      </c>
      <c r="Q87" s="2"/>
      <c r="R87" s="19"/>
      <c r="S87" s="2"/>
      <c r="T87" s="2">
        <f>--922459.02</f>
        <v>922459.02</v>
      </c>
      <c r="U87" s="2"/>
      <c r="V87" s="19"/>
      <c r="W87" s="2"/>
      <c r="X87" s="2">
        <f t="shared" si="2"/>
        <v>-231335.39</v>
      </c>
      <c r="Y87" s="2"/>
      <c r="Z87" s="19">
        <f t="shared" si="3"/>
        <v>-0.25078121085530719</v>
      </c>
    </row>
    <row r="88" spans="1:26" s="24" customFormat="1" hidden="1" outlineLevel="1" x14ac:dyDescent="0.35">
      <c r="A88" s="44"/>
      <c r="B88" s="11" t="str">
        <f>CONCATENATE("          ", "4157", " - ", "NON-TAXABLE SALES-FOOD")</f>
        <v xml:space="preserve">          4157 - NON-TAXABLE SALES-FOOD</v>
      </c>
      <c r="C88" s="11"/>
      <c r="D88" s="2">
        <f t="shared" si="15"/>
        <v>0</v>
      </c>
      <c r="E88" s="2"/>
      <c r="F88" s="19"/>
      <c r="G88" s="2"/>
      <c r="H88" s="2">
        <f t="shared" ref="H88:H90" si="16"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0</f>
        <v>0</v>
      </c>
      <c r="Q88" s="2"/>
      <c r="R88" s="19"/>
      <c r="S88" s="2"/>
      <c r="T88" s="2">
        <f>--208</f>
        <v>208</v>
      </c>
      <c r="U88" s="2"/>
      <c r="V88" s="19"/>
      <c r="W88" s="2"/>
      <c r="X88" s="2">
        <f t="shared" si="2"/>
        <v>-208</v>
      </c>
      <c r="Y88" s="2"/>
      <c r="Z88" s="19">
        <f t="shared" si="3"/>
        <v>-1</v>
      </c>
    </row>
    <row r="89" spans="1:26" s="24" customFormat="1" hidden="1" outlineLevel="1" x14ac:dyDescent="0.35">
      <c r="A89" s="44"/>
      <c r="B89" s="11" t="str">
        <f>CONCATENATE("          ", "4158", " - ", "NON-TAXABLE SALES-FOOD")</f>
        <v xml:space="preserve">          4158 - NON-TAXABLE SALES-FOOD</v>
      </c>
      <c r="C89" s="11"/>
      <c r="D89" s="2">
        <f t="shared" si="15"/>
        <v>0</v>
      </c>
      <c r="E89" s="2"/>
      <c r="F89" s="19"/>
      <c r="G89" s="2"/>
      <c r="H89" s="2">
        <f t="shared" si="16"/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--474853.67</f>
        <v>474853.67</v>
      </c>
      <c r="Q89" s="2"/>
      <c r="R89" s="19"/>
      <c r="S89" s="2"/>
      <c r="T89" s="2">
        <f>--597801.18</f>
        <v>597801.18000000005</v>
      </c>
      <c r="U89" s="2"/>
      <c r="V89" s="19"/>
      <c r="W89" s="2"/>
      <c r="X89" s="2">
        <f t="shared" si="2"/>
        <v>-122947.51000000007</v>
      </c>
      <c r="Y89" s="2"/>
      <c r="Z89" s="19">
        <f t="shared" si="3"/>
        <v>-0.20566622166921794</v>
      </c>
    </row>
    <row r="90" spans="1:26" s="24" customFormat="1" hidden="1" outlineLevel="1" x14ac:dyDescent="0.35">
      <c r="A90" s="44"/>
      <c r="B90" s="11" t="str">
        <f>CONCATENATE("          ", "4159", " - ", "NON-TAXABLE SALES-FOOD")</f>
        <v xml:space="preserve">          4159 - NON-TAXABLE SALES-FOOD</v>
      </c>
      <c r="C90" s="11"/>
      <c r="D90" s="2">
        <f t="shared" si="15"/>
        <v>0</v>
      </c>
      <c r="E90" s="2"/>
      <c r="F90" s="19"/>
      <c r="G90" s="2"/>
      <c r="H90" s="2">
        <f t="shared" si="16"/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--383.7</f>
        <v>383.7</v>
      </c>
      <c r="Q90" s="2"/>
      <c r="R90" s="19"/>
      <c r="S90" s="2"/>
      <c r="T90" s="2">
        <f>--1054.9</f>
        <v>1054.9000000000001</v>
      </c>
      <c r="U90" s="2"/>
      <c r="V90" s="19"/>
      <c r="W90" s="2"/>
      <c r="X90" s="2">
        <f t="shared" si="2"/>
        <v>-671.2</v>
      </c>
      <c r="Y90" s="2"/>
      <c r="Z90" s="19">
        <f t="shared" si="3"/>
        <v>-0.63626884064840272</v>
      </c>
    </row>
    <row r="91" spans="1:26" s="24" customFormat="1" hidden="1" outlineLevel="1" x14ac:dyDescent="0.35">
      <c r="A91" s="44"/>
      <c r="B91" s="11" t="str">
        <f>CONCATENATE("          ", "4181", " - ", "NON-TAXABLE SALES-ELECTRONICS")</f>
        <v xml:space="preserve">          4181 - NON-TAXABLE SALES-ELECTRONICS</v>
      </c>
      <c r="C91" s="11"/>
      <c r="D91" s="2">
        <f>--1267.95</f>
        <v>1267.95</v>
      </c>
      <c r="E91" s="2"/>
      <c r="F91" s="19"/>
      <c r="G91" s="2"/>
      <c r="H91" s="2">
        <f>--225.13</f>
        <v>225.13</v>
      </c>
      <c r="I91" s="2"/>
      <c r="J91" s="19"/>
      <c r="K91" s="2"/>
      <c r="L91" s="2">
        <f t="shared" si="0"/>
        <v>1042.8200000000002</v>
      </c>
      <c r="M91" s="2"/>
      <c r="N91" s="19">
        <f t="shared" si="1"/>
        <v>4.632079243103985</v>
      </c>
      <c r="O91" s="11"/>
      <c r="P91" s="2">
        <f>--3925.74</f>
        <v>3925.74</v>
      </c>
      <c r="Q91" s="2"/>
      <c r="R91" s="19"/>
      <c r="S91" s="2"/>
      <c r="T91" s="2">
        <f>--16357.65</f>
        <v>16357.65</v>
      </c>
      <c r="U91" s="2"/>
      <c r="V91" s="19"/>
      <c r="W91" s="2"/>
      <c r="X91" s="2">
        <f t="shared" si="2"/>
        <v>-12431.91</v>
      </c>
      <c r="Y91" s="2"/>
      <c r="Z91" s="19">
        <f t="shared" si="3"/>
        <v>-0.76000586881367438</v>
      </c>
    </row>
    <row r="92" spans="1:26" s="24" customFormat="1" hidden="1" outlineLevel="1" x14ac:dyDescent="0.35">
      <c r="A92" s="44"/>
      <c r="B92" s="11" t="str">
        <f>CONCATENATE("          ", "4182", " - ", "NON-TAXABLE SALES-COMPUTER HAR")</f>
        <v xml:space="preserve">          4182 - NON-TAXABLE SALES-COMPUTER HAR</v>
      </c>
      <c r="C92" s="11"/>
      <c r="D92" s="2">
        <f>--45022.25</f>
        <v>45022.25</v>
      </c>
      <c r="E92" s="2"/>
      <c r="F92" s="19"/>
      <c r="G92" s="2"/>
      <c r="H92" s="2">
        <f>--3372</f>
        <v>3372</v>
      </c>
      <c r="I92" s="2"/>
      <c r="J92" s="19"/>
      <c r="K92" s="2"/>
      <c r="L92" s="2">
        <f t="shared" si="0"/>
        <v>41650.25</v>
      </c>
      <c r="M92" s="2"/>
      <c r="N92" s="19">
        <f t="shared" si="1"/>
        <v>12.35179418742586</v>
      </c>
      <c r="O92" s="11"/>
      <c r="P92" s="2">
        <f>--221223.79</f>
        <v>221223.79</v>
      </c>
      <c r="Q92" s="2"/>
      <c r="R92" s="19"/>
      <c r="S92" s="2"/>
      <c r="T92" s="2">
        <f>--239193.82</f>
        <v>239193.82</v>
      </c>
      <c r="U92" s="2"/>
      <c r="V92" s="19"/>
      <c r="W92" s="2"/>
      <c r="X92" s="2">
        <f t="shared" si="2"/>
        <v>-17970.03</v>
      </c>
      <c r="Y92" s="2"/>
      <c r="Z92" s="19">
        <f t="shared" si="3"/>
        <v>-7.5127484480995363E-2</v>
      </c>
    </row>
    <row r="93" spans="1:26" s="24" customFormat="1" hidden="1" outlineLevel="1" x14ac:dyDescent="0.35">
      <c r="A93" s="44"/>
      <c r="B93" s="11" t="str">
        <f>CONCATENATE("          ", "4183", " - ", "NON-TAXABLE SALES-COMPUTER EQU")</f>
        <v xml:space="preserve">          4183 - NON-TAXABLE SALES-COMPUTER EQU</v>
      </c>
      <c r="C93" s="11"/>
      <c r="D93" s="2">
        <f>--1394.82</f>
        <v>1394.82</v>
      </c>
      <c r="E93" s="2"/>
      <c r="F93" s="19"/>
      <c r="G93" s="2"/>
      <c r="H93" s="2">
        <f t="shared" ref="H93:H94" si="17">0</f>
        <v>0</v>
      </c>
      <c r="I93" s="2"/>
      <c r="J93" s="19"/>
      <c r="K93" s="2"/>
      <c r="L93" s="2">
        <f t="shared" si="0"/>
        <v>1394.82</v>
      </c>
      <c r="M93" s="2"/>
      <c r="N93" s="19">
        <f t="shared" si="1"/>
        <v>0</v>
      </c>
      <c r="O93" s="11"/>
      <c r="P93" s="2">
        <f>--12822.38</f>
        <v>12822.38</v>
      </c>
      <c r="Q93" s="2"/>
      <c r="R93" s="19"/>
      <c r="S93" s="2"/>
      <c r="T93" s="2">
        <f>--9758.94</f>
        <v>9758.94</v>
      </c>
      <c r="U93" s="2"/>
      <c r="V93" s="19"/>
      <c r="W93" s="2"/>
      <c r="X93" s="2">
        <f t="shared" si="2"/>
        <v>3063.4399999999987</v>
      </c>
      <c r="Y93" s="2"/>
      <c r="Z93" s="19">
        <f t="shared" si="3"/>
        <v>0.31391114198878139</v>
      </c>
    </row>
    <row r="94" spans="1:26" s="24" customFormat="1" hidden="1" outlineLevel="1" x14ac:dyDescent="0.35">
      <c r="A94" s="44"/>
      <c r="B94" s="11" t="str">
        <f>CONCATENATE("          ", "4184", " - ", "NON-TAXABLE SALES-SOFTWARE LIC")</f>
        <v xml:space="preserve">          4184 - NON-TAXABLE SALES-SOFTWARE LIC</v>
      </c>
      <c r="C94" s="11"/>
      <c r="D94" s="2">
        <f>0</f>
        <v>0</v>
      </c>
      <c r="E94" s="2"/>
      <c r="F94" s="19"/>
      <c r="G94" s="2"/>
      <c r="H94" s="2">
        <f t="shared" si="17"/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--2728</f>
        <v>2728</v>
      </c>
      <c r="Q94" s="2"/>
      <c r="R94" s="19"/>
      <c r="S94" s="2"/>
      <c r="T94" s="2">
        <f>--3840</f>
        <v>3840</v>
      </c>
      <c r="U94" s="2"/>
      <c r="V94" s="19"/>
      <c r="W94" s="2"/>
      <c r="X94" s="2">
        <f t="shared" si="2"/>
        <v>-1112</v>
      </c>
      <c r="Y94" s="2"/>
      <c r="Z94" s="19">
        <f t="shared" si="3"/>
        <v>-0.28958333333333336</v>
      </c>
    </row>
    <row r="95" spans="1:26" s="24" customFormat="1" hidden="1" outlineLevel="1" x14ac:dyDescent="0.35">
      <c r="A95" s="44"/>
      <c r="B95" s="11" t="str">
        <f>CONCATENATE("          ", "4185", " - ", "NON-TAXABLE SALES-SOFTWARE")</f>
        <v xml:space="preserve">          4185 - NON-TAXABLE SALES-SOFTWARE</v>
      </c>
      <c r="C95" s="11"/>
      <c r="D95" s="2">
        <f>--5267.75</f>
        <v>5267.75</v>
      </c>
      <c r="E95" s="2"/>
      <c r="F95" s="19"/>
      <c r="G95" s="2"/>
      <c r="H95" s="2">
        <f>--98</f>
        <v>98</v>
      </c>
      <c r="I95" s="2"/>
      <c r="J95" s="19"/>
      <c r="K95" s="2"/>
      <c r="L95" s="2">
        <f t="shared" si="0"/>
        <v>5169.75</v>
      </c>
      <c r="M95" s="2"/>
      <c r="N95" s="19">
        <f t="shared" si="1"/>
        <v>52.752551020408163</v>
      </c>
      <c r="O95" s="11"/>
      <c r="P95" s="2">
        <f>--25792.1</f>
        <v>25792.1</v>
      </c>
      <c r="Q95" s="2"/>
      <c r="R95" s="19"/>
      <c r="S95" s="2"/>
      <c r="T95" s="2">
        <f>--6664.76</f>
        <v>6664.76</v>
      </c>
      <c r="U95" s="2"/>
      <c r="V95" s="19"/>
      <c r="W95" s="2"/>
      <c r="X95" s="2">
        <f t="shared" si="2"/>
        <v>19127.339999999997</v>
      </c>
      <c r="Y95" s="2"/>
      <c r="Z95" s="19">
        <f t="shared" si="3"/>
        <v>2.8699217976341229</v>
      </c>
    </row>
    <row r="96" spans="1:26" s="24" customFormat="1" hidden="1" outlineLevel="1" x14ac:dyDescent="0.35">
      <c r="A96" s="44"/>
      <c r="B96" s="11" t="str">
        <f>CONCATENATE("          ", "4186", " - ", "NON-TAXABLE SALES-COMPUTER SUP")</f>
        <v xml:space="preserve">          4186 - NON-TAXABLE SALES-COMPUTER SUP</v>
      </c>
      <c r="C96" s="11"/>
      <c r="D96" s="2">
        <f>--431.97</f>
        <v>431.97</v>
      </c>
      <c r="E96" s="2"/>
      <c r="F96" s="19"/>
      <c r="G96" s="2"/>
      <c r="H96" s="2">
        <f>--85.95</f>
        <v>85.95</v>
      </c>
      <c r="I96" s="2"/>
      <c r="J96" s="19"/>
      <c r="K96" s="2"/>
      <c r="L96" s="2">
        <f t="shared" si="0"/>
        <v>346.02000000000004</v>
      </c>
      <c r="M96" s="2"/>
      <c r="N96" s="19">
        <f t="shared" si="1"/>
        <v>4.0258289703315882</v>
      </c>
      <c r="O96" s="11"/>
      <c r="P96" s="2">
        <f>--3327.08</f>
        <v>3327.08</v>
      </c>
      <c r="Q96" s="2"/>
      <c r="R96" s="19"/>
      <c r="S96" s="2"/>
      <c r="T96" s="2">
        <f>--6076.62</f>
        <v>6076.62</v>
      </c>
      <c r="U96" s="2"/>
      <c r="V96" s="19"/>
      <c r="W96" s="2"/>
      <c r="X96" s="2">
        <f t="shared" si="2"/>
        <v>-2749.54</v>
      </c>
      <c r="Y96" s="2"/>
      <c r="Z96" s="19">
        <f t="shared" si="3"/>
        <v>-0.45247851601712796</v>
      </c>
    </row>
    <row r="97" spans="1:26" s="24" customFormat="1" hidden="1" outlineLevel="1" x14ac:dyDescent="0.35">
      <c r="A97" s="44"/>
      <c r="B97" s="11" t="str">
        <f>CONCATENATE("          ", "4188", " - ", "NON-TAXABLE SALES-MUSIC")</f>
        <v xml:space="preserve">          4188 - NON-TAXABLE SALES-MUSIC</v>
      </c>
      <c r="C97" s="11"/>
      <c r="D97" s="2">
        <f t="shared" ref="D97:D99" si="18">0</f>
        <v>0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--343.94</f>
        <v>343.94</v>
      </c>
      <c r="Q97" s="2"/>
      <c r="R97" s="19"/>
      <c r="S97" s="2"/>
      <c r="T97" s="2">
        <f>--199.98</f>
        <v>199.98</v>
      </c>
      <c r="U97" s="2"/>
      <c r="V97" s="19"/>
      <c r="W97" s="2"/>
      <c r="X97" s="2">
        <f t="shared" si="2"/>
        <v>143.96</v>
      </c>
      <c r="Y97" s="2"/>
      <c r="Z97" s="19">
        <f t="shared" si="3"/>
        <v>0.71987198719871992</v>
      </c>
    </row>
    <row r="98" spans="1:26" s="24" customFormat="1" hidden="1" outlineLevel="1" x14ac:dyDescent="0.35">
      <c r="A98" s="44"/>
      <c r="B98" s="11" t="str">
        <f>CONCATENATE("          ", "4192", " - ", "NON-TAXABLE SALES-GRAD MERCH")</f>
        <v xml:space="preserve">          4192 - NON-TAXABLE SALES-GRAD MERCH</v>
      </c>
      <c r="C98" s="11"/>
      <c r="D98" s="2">
        <f t="shared" si="18"/>
        <v>0</v>
      </c>
      <c r="E98" s="2"/>
      <c r="F98" s="19"/>
      <c r="G98" s="2"/>
      <c r="H98" s="2">
        <f>-510</f>
        <v>-510</v>
      </c>
      <c r="I98" s="2"/>
      <c r="J98" s="19"/>
      <c r="K98" s="2"/>
      <c r="L98" s="2">
        <f t="shared" si="0"/>
        <v>510</v>
      </c>
      <c r="M98" s="2"/>
      <c r="N98" s="19">
        <f t="shared" si="1"/>
        <v>-1</v>
      </c>
      <c r="O98" s="11"/>
      <c r="P98" s="2">
        <f>--119.4</f>
        <v>119.4</v>
      </c>
      <c r="Q98" s="2"/>
      <c r="R98" s="19"/>
      <c r="S98" s="2"/>
      <c r="T98" s="2">
        <f>--21.25</f>
        <v>21.25</v>
      </c>
      <c r="U98" s="2"/>
      <c r="V98" s="19"/>
      <c r="W98" s="2"/>
      <c r="X98" s="2">
        <f t="shared" si="2"/>
        <v>98.15</v>
      </c>
      <c r="Y98" s="2"/>
      <c r="Z98" s="19">
        <f t="shared" si="3"/>
        <v>4.618823529411765</v>
      </c>
    </row>
    <row r="99" spans="1:26" s="24" customFormat="1" hidden="1" outlineLevel="1" x14ac:dyDescent="0.35">
      <c r="A99" s="44"/>
      <c r="B99" s="11" t="str">
        <f>CONCATENATE("          ", "4201", " - ", "SALES RETURN TAXABLE-NEW TEXT")</f>
        <v xml:space="preserve">          4201 - SALES RETURN TAXABLE-NEW TEXT</v>
      </c>
      <c r="C99" s="11"/>
      <c r="D99" s="2">
        <f t="shared" si="18"/>
        <v>0</v>
      </c>
      <c r="E99" s="2"/>
      <c r="F99" s="19"/>
      <c r="G99" s="2"/>
      <c r="H99" s="2">
        <f>-1869.01</f>
        <v>-1869.01</v>
      </c>
      <c r="I99" s="2"/>
      <c r="J99" s="19"/>
      <c r="K99" s="2"/>
      <c r="L99" s="2">
        <f t="shared" si="0"/>
        <v>1869.01</v>
      </c>
      <c r="M99" s="2"/>
      <c r="N99" s="19">
        <f t="shared" si="1"/>
        <v>-1</v>
      </c>
      <c r="O99" s="11"/>
      <c r="P99" s="2">
        <f>-121451.61</f>
        <v>-121451.61</v>
      </c>
      <c r="Q99" s="2"/>
      <c r="R99" s="19"/>
      <c r="S99" s="2"/>
      <c r="T99" s="2">
        <f>-180616.86</f>
        <v>-180616.86</v>
      </c>
      <c r="U99" s="2"/>
      <c r="V99" s="19"/>
      <c r="W99" s="2"/>
      <c r="X99" s="2">
        <f t="shared" si="2"/>
        <v>59165.249999999985</v>
      </c>
      <c r="Y99" s="2"/>
      <c r="Z99" s="19">
        <f t="shared" si="3"/>
        <v>-0.32757323984040021</v>
      </c>
    </row>
    <row r="100" spans="1:26" s="24" customFormat="1" hidden="1" outlineLevel="1" x14ac:dyDescent="0.35">
      <c r="A100" s="44"/>
      <c r="B100" s="11" t="str">
        <f>CONCATENATE("          ", "4202", " - ", "SALES RETURN TAXABLE-USED TEXT")</f>
        <v xml:space="preserve">          4202 - SALES RETURN TAXABLE-USED TEXT</v>
      </c>
      <c r="C100" s="11"/>
      <c r="D100" s="2">
        <f>-186.35</f>
        <v>-186.35</v>
      </c>
      <c r="E100" s="2"/>
      <c r="F100" s="19"/>
      <c r="G100" s="2"/>
      <c r="H100" s="2">
        <f>-393.35</f>
        <v>-393.35</v>
      </c>
      <c r="I100" s="2"/>
      <c r="J100" s="19"/>
      <c r="K100" s="2"/>
      <c r="L100" s="2">
        <f t="shared" si="0"/>
        <v>207.00000000000003</v>
      </c>
      <c r="M100" s="2"/>
      <c r="N100" s="19">
        <f t="shared" si="1"/>
        <v>-0.52624888775899326</v>
      </c>
      <c r="O100" s="11"/>
      <c r="P100" s="2">
        <f>-45799.46</f>
        <v>-45799.46</v>
      </c>
      <c r="Q100" s="2"/>
      <c r="R100" s="19"/>
      <c r="S100" s="2"/>
      <c r="T100" s="2">
        <f>-47688.8</f>
        <v>-47688.800000000003</v>
      </c>
      <c r="U100" s="2"/>
      <c r="V100" s="19"/>
      <c r="W100" s="2"/>
      <c r="X100" s="2">
        <f t="shared" si="2"/>
        <v>1889.3400000000038</v>
      </c>
      <c r="Y100" s="2"/>
      <c r="Z100" s="19">
        <f t="shared" si="3"/>
        <v>-3.9618107396285997E-2</v>
      </c>
    </row>
    <row r="101" spans="1:26" s="24" customFormat="1" hidden="1" outlineLevel="1" x14ac:dyDescent="0.35">
      <c r="A101" s="44"/>
      <c r="B101" s="11" t="str">
        <f>CONCATENATE("          ", "4203", " - ", "SALES RETURN TAXABLE-RENTAL TE")</f>
        <v xml:space="preserve">          4203 - SALES RETURN TAXABLE-RENTAL TE</v>
      </c>
      <c r="C101" s="11"/>
      <c r="D101" s="2">
        <f t="shared" ref="D101:D102" si="19">0</f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-144.99</f>
        <v>-144.99</v>
      </c>
      <c r="Q101" s="2"/>
      <c r="R101" s="19"/>
      <c r="S101" s="2"/>
      <c r="T101" s="2">
        <f>-1699.5</f>
        <v>-1699.5</v>
      </c>
      <c r="U101" s="2"/>
      <c r="V101" s="19"/>
      <c r="W101" s="2"/>
      <c r="X101" s="2">
        <f t="shared" si="2"/>
        <v>1554.51</v>
      </c>
      <c r="Y101" s="2"/>
      <c r="Z101" s="19">
        <f t="shared" si="3"/>
        <v>-0.9146866725507502</v>
      </c>
    </row>
    <row r="102" spans="1:26" s="24" customFormat="1" hidden="1" outlineLevel="1" x14ac:dyDescent="0.35">
      <c r="A102" s="44"/>
      <c r="B102" s="11" t="str">
        <f>CONCATENATE("          ", "4204", " - ", "SALES RETURN TAXABLE-DIGITAL T")</f>
        <v xml:space="preserve">          4204 - SALES RETURN TAXABLE-DIGITAL T</v>
      </c>
      <c r="C102" s="11"/>
      <c r="D102" s="2">
        <f t="shared" si="19"/>
        <v>0</v>
      </c>
      <c r="E102" s="2"/>
      <c r="F102" s="19"/>
      <c r="G102" s="2"/>
      <c r="H102" s="2">
        <f>-44.1</f>
        <v>-44.1</v>
      </c>
      <c r="I102" s="2"/>
      <c r="J102" s="19"/>
      <c r="K102" s="2"/>
      <c r="L102" s="2">
        <f t="shared" si="0"/>
        <v>44.1</v>
      </c>
      <c r="M102" s="2"/>
      <c r="N102" s="19">
        <f t="shared" si="1"/>
        <v>-1</v>
      </c>
      <c r="O102" s="11"/>
      <c r="P102" s="2">
        <f>-17255.33</f>
        <v>-17255.330000000002</v>
      </c>
      <c r="Q102" s="2"/>
      <c r="R102" s="19"/>
      <c r="S102" s="2"/>
      <c r="T102" s="2">
        <f>-27147</f>
        <v>-27147</v>
      </c>
      <c r="U102" s="2"/>
      <c r="V102" s="19"/>
      <c r="W102" s="2"/>
      <c r="X102" s="2">
        <f t="shared" si="2"/>
        <v>9891.6699999999983</v>
      </c>
      <c r="Y102" s="2"/>
      <c r="Z102" s="19">
        <f t="shared" si="3"/>
        <v>-0.36437433233874822</v>
      </c>
    </row>
    <row r="103" spans="1:26" s="24" customFormat="1" hidden="1" outlineLevel="1" x14ac:dyDescent="0.35">
      <c r="A103" s="44"/>
      <c r="B103" s="11" t="str">
        <f>CONCATENATE("          ", "4213", " - ", "NON-TAXABLE SALES-TRADE BOOKS")</f>
        <v xml:space="preserve">          4213 - NON-TAXABLE SALES-TRADE BOOKS</v>
      </c>
      <c r="C103" s="11"/>
      <c r="D103" s="2">
        <f>-100.7</f>
        <v>-100.7</v>
      </c>
      <c r="E103" s="2"/>
      <c r="F103" s="19"/>
      <c r="G103" s="2"/>
      <c r="H103" s="2">
        <f>-5.95</f>
        <v>-5.95</v>
      </c>
      <c r="I103" s="2"/>
      <c r="J103" s="19"/>
      <c r="K103" s="2"/>
      <c r="L103" s="2">
        <f t="shared" si="0"/>
        <v>-94.75</v>
      </c>
      <c r="M103" s="2"/>
      <c r="N103" s="19">
        <f t="shared" si="1"/>
        <v>15.92436974789916</v>
      </c>
      <c r="O103" s="11"/>
      <c r="P103" s="2">
        <f>-2869.37</f>
        <v>-2869.37</v>
      </c>
      <c r="Q103" s="2"/>
      <c r="R103" s="19"/>
      <c r="S103" s="2"/>
      <c r="T103" s="2">
        <f>-1554.3</f>
        <v>-1554.3</v>
      </c>
      <c r="U103" s="2"/>
      <c r="V103" s="19"/>
      <c r="W103" s="2"/>
      <c r="X103" s="2">
        <f t="shared" si="2"/>
        <v>-1315.07</v>
      </c>
      <c r="Y103" s="2"/>
      <c r="Z103" s="19">
        <f t="shared" si="3"/>
        <v>0.84608505436530912</v>
      </c>
    </row>
    <row r="104" spans="1:26" s="24" customFormat="1" hidden="1" outlineLevel="1" x14ac:dyDescent="0.35">
      <c r="A104" s="44"/>
      <c r="B104" s="11" t="str">
        <f>CONCATENATE("          ", "4214", " - ", "SALES RETURN TAXABLE-REMAINDER")</f>
        <v xml:space="preserve">          4214 - SALES RETURN TAXABLE-REMAINDER</v>
      </c>
      <c r="C104" s="11"/>
      <c r="D104" s="2">
        <f t="shared" ref="D104:D108" si="20">0</f>
        <v>0</v>
      </c>
      <c r="E104" s="2"/>
      <c r="F104" s="19"/>
      <c r="G104" s="2"/>
      <c r="H104" s="2">
        <f t="shared" ref="H104:H106" si="21"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-11.94</f>
        <v>-11.94</v>
      </c>
      <c r="Q104" s="2"/>
      <c r="R104" s="19"/>
      <c r="S104" s="2"/>
      <c r="T104" s="2">
        <f>-19.84</f>
        <v>-19.84</v>
      </c>
      <c r="U104" s="2"/>
      <c r="V104" s="19"/>
      <c r="W104" s="2"/>
      <c r="X104" s="2">
        <f t="shared" si="2"/>
        <v>7.9</v>
      </c>
      <c r="Y104" s="2"/>
      <c r="Z104" s="19">
        <f t="shared" si="3"/>
        <v>-0.39818548387096775</v>
      </c>
    </row>
    <row r="105" spans="1:26" s="24" customFormat="1" hidden="1" outlineLevel="1" x14ac:dyDescent="0.35">
      <c r="A105" s="44"/>
      <c r="B105" s="11" t="str">
        <f>CONCATENATE("          ", "4217", " - ", "NON-TAXABLE SALES-DORM/HOUSEWA")</f>
        <v xml:space="preserve">          4217 - NON-TAXABLE SALES-DORM/HOUSEWA</v>
      </c>
      <c r="C105" s="11"/>
      <c r="D105" s="2">
        <f t="shared" si="20"/>
        <v>0</v>
      </c>
      <c r="E105" s="2"/>
      <c r="F105" s="19"/>
      <c r="G105" s="2"/>
      <c r="H105" s="2">
        <f t="shared" si="21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-2.98</f>
        <v>-2.98</v>
      </c>
      <c r="Q105" s="2"/>
      <c r="R105" s="19"/>
      <c r="S105" s="2"/>
      <c r="T105" s="2">
        <f>-2.99</f>
        <v>-2.99</v>
      </c>
      <c r="U105" s="2"/>
      <c r="V105" s="19"/>
      <c r="W105" s="2"/>
      <c r="X105" s="2">
        <f t="shared" si="2"/>
        <v>1.0000000000000231E-2</v>
      </c>
      <c r="Y105" s="2"/>
      <c r="Z105" s="19">
        <f t="shared" si="3"/>
        <v>-3.3444816053512477E-3</v>
      </c>
    </row>
    <row r="106" spans="1:26" s="24" customFormat="1" hidden="1" outlineLevel="1" x14ac:dyDescent="0.35">
      <c r="A106" s="44"/>
      <c r="B106" s="11" t="str">
        <f>CONCATENATE("          ", "4218", " - ", "SALES RETURN TAXABLE-STUDY GUI")</f>
        <v xml:space="preserve">          4218 - SALES RETURN TAXABLE-STUDY GUI</v>
      </c>
      <c r="C106" s="11"/>
      <c r="D106" s="2">
        <f t="shared" si="20"/>
        <v>0</v>
      </c>
      <c r="E106" s="2"/>
      <c r="F106" s="19"/>
      <c r="G106" s="2"/>
      <c r="H106" s="2">
        <f t="shared" si="21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-39.25</f>
        <v>-39.25</v>
      </c>
      <c r="Q106" s="2"/>
      <c r="R106" s="19"/>
      <c r="S106" s="2"/>
      <c r="T106" s="2">
        <f>-67.6</f>
        <v>-67.599999999999994</v>
      </c>
      <c r="U106" s="2"/>
      <c r="V106" s="19"/>
      <c r="W106" s="2"/>
      <c r="X106" s="2">
        <f t="shared" si="2"/>
        <v>28.349999999999994</v>
      </c>
      <c r="Y106" s="2"/>
      <c r="Z106" s="19">
        <f t="shared" si="3"/>
        <v>-0.41937869822485202</v>
      </c>
    </row>
    <row r="107" spans="1:26" s="24" customFormat="1" hidden="1" outlineLevel="1" x14ac:dyDescent="0.35">
      <c r="A107" s="44"/>
      <c r="B107" s="11" t="str">
        <f>CONCATENATE("          ", "4225", " - ", "SALES RETURN TAXABLE-TEST FORM")</f>
        <v xml:space="preserve">          4225 - SALES RETURN TAXABLE-TEST FORM</v>
      </c>
      <c r="C107" s="11"/>
      <c r="D107" s="2">
        <f t="shared" si="20"/>
        <v>0</v>
      </c>
      <c r="E107" s="2"/>
      <c r="F107" s="19"/>
      <c r="G107" s="2"/>
      <c r="H107" s="2">
        <f>-3.39</f>
        <v>-3.39</v>
      </c>
      <c r="I107" s="2"/>
      <c r="J107" s="19"/>
      <c r="K107" s="2"/>
      <c r="L107" s="2">
        <f t="shared" si="0"/>
        <v>3.39</v>
      </c>
      <c r="M107" s="2"/>
      <c r="N107" s="19">
        <f t="shared" si="1"/>
        <v>-1</v>
      </c>
      <c r="O107" s="11"/>
      <c r="P107" s="2">
        <f>-205.91</f>
        <v>-205.91</v>
      </c>
      <c r="Q107" s="2"/>
      <c r="R107" s="19"/>
      <c r="S107" s="2"/>
      <c r="T107" s="2">
        <f>-191.21</f>
        <v>-191.21</v>
      </c>
      <c r="U107" s="2"/>
      <c r="V107" s="19"/>
      <c r="W107" s="2"/>
      <c r="X107" s="2">
        <f t="shared" si="2"/>
        <v>-14.699999999999989</v>
      </c>
      <c r="Y107" s="2"/>
      <c r="Z107" s="19">
        <f t="shared" si="3"/>
        <v>7.6878824329271414E-2</v>
      </c>
    </row>
    <row r="108" spans="1:26" s="24" customFormat="1" hidden="1" outlineLevel="1" x14ac:dyDescent="0.35">
      <c r="A108" s="44"/>
      <c r="B108" s="11" t="str">
        <f>CONCATENATE("          ", "4226", " - ", "SALES RETURN TAXABLE-WRITING I")</f>
        <v xml:space="preserve">          4226 - SALES RETURN TAXABLE-WRITING I</v>
      </c>
      <c r="C108" s="11"/>
      <c r="D108" s="2">
        <f t="shared" si="20"/>
        <v>0</v>
      </c>
      <c r="E108" s="2"/>
      <c r="F108" s="19"/>
      <c r="G108" s="2"/>
      <c r="H108" s="2">
        <f>-44.61</f>
        <v>-44.61</v>
      </c>
      <c r="I108" s="2"/>
      <c r="J108" s="19"/>
      <c r="K108" s="2"/>
      <c r="L108" s="2">
        <f t="shared" si="0"/>
        <v>44.61</v>
      </c>
      <c r="M108" s="2"/>
      <c r="N108" s="19">
        <f t="shared" si="1"/>
        <v>-1</v>
      </c>
      <c r="O108" s="11"/>
      <c r="P108" s="2">
        <f>-924.44</f>
        <v>-924.44</v>
      </c>
      <c r="Q108" s="2"/>
      <c r="R108" s="19"/>
      <c r="S108" s="2"/>
      <c r="T108" s="2">
        <f>-766.52</f>
        <v>-766.52</v>
      </c>
      <c r="U108" s="2"/>
      <c r="V108" s="19"/>
      <c r="W108" s="2"/>
      <c r="X108" s="2">
        <f t="shared" si="2"/>
        <v>-157.92000000000007</v>
      </c>
      <c r="Y108" s="2"/>
      <c r="Z108" s="19">
        <f t="shared" si="3"/>
        <v>0.20602202160413308</v>
      </c>
    </row>
    <row r="109" spans="1:26" s="24" customFormat="1" hidden="1" outlineLevel="1" x14ac:dyDescent="0.35">
      <c r="A109" s="44"/>
      <c r="B109" s="11" t="str">
        <f>CONCATENATE("          ", "4227", " - ", "SALES RETURN TAXABLE-SCHOOL SU")</f>
        <v xml:space="preserve">          4227 - SALES RETURN TAXABLE-SCHOOL SU</v>
      </c>
      <c r="C109" s="11"/>
      <c r="D109" s="2">
        <f>-81.87</f>
        <v>-81.87</v>
      </c>
      <c r="E109" s="2"/>
      <c r="F109" s="19"/>
      <c r="G109" s="2"/>
      <c r="H109" s="2">
        <f>-179.06</f>
        <v>-179.06</v>
      </c>
      <c r="I109" s="2"/>
      <c r="J109" s="19"/>
      <c r="K109" s="2"/>
      <c r="L109" s="2">
        <f t="shared" si="0"/>
        <v>97.19</v>
      </c>
      <c r="M109" s="2"/>
      <c r="N109" s="19">
        <f t="shared" si="1"/>
        <v>-0.54277895677426558</v>
      </c>
      <c r="O109" s="11"/>
      <c r="P109" s="2">
        <f>-8728.9</f>
        <v>-8728.9</v>
      </c>
      <c r="Q109" s="2"/>
      <c r="R109" s="19"/>
      <c r="S109" s="2"/>
      <c r="T109" s="2">
        <f>-6986.53</f>
        <v>-6986.53</v>
      </c>
      <c r="U109" s="2"/>
      <c r="V109" s="19"/>
      <c r="W109" s="2"/>
      <c r="X109" s="2">
        <f t="shared" si="2"/>
        <v>-1742.37</v>
      </c>
      <c r="Y109" s="2"/>
      <c r="Z109" s="19">
        <f t="shared" si="3"/>
        <v>0.2493898974168865</v>
      </c>
    </row>
    <row r="110" spans="1:26" s="24" customFormat="1" hidden="1" outlineLevel="1" x14ac:dyDescent="0.35">
      <c r="A110" s="44"/>
      <c r="B110" s="11" t="str">
        <f>CONCATENATE("          ", "4228", " - ", "SALES RETURN TAXABLE-ART/TECH")</f>
        <v xml:space="preserve">          4228 - SALES RETURN TAXABLE-ART/TECH</v>
      </c>
      <c r="C110" s="11"/>
      <c r="D110" s="2">
        <f t="shared" ref="D110:D112" si="22">0</f>
        <v>0</v>
      </c>
      <c r="E110" s="2"/>
      <c r="F110" s="19"/>
      <c r="G110" s="2"/>
      <c r="H110" s="2">
        <f>-17.45</f>
        <v>-17.45</v>
      </c>
      <c r="I110" s="2"/>
      <c r="J110" s="19"/>
      <c r="K110" s="2"/>
      <c r="L110" s="2">
        <f t="shared" si="0"/>
        <v>17.45</v>
      </c>
      <c r="M110" s="2"/>
      <c r="N110" s="19">
        <f t="shared" si="1"/>
        <v>-1</v>
      </c>
      <c r="O110" s="11"/>
      <c r="P110" s="2">
        <f>-4739.1</f>
        <v>-4739.1000000000004</v>
      </c>
      <c r="Q110" s="2"/>
      <c r="R110" s="19"/>
      <c r="S110" s="2"/>
      <c r="T110" s="2">
        <f>-8342.73</f>
        <v>-8342.73</v>
      </c>
      <c r="U110" s="2"/>
      <c r="V110" s="19"/>
      <c r="W110" s="2"/>
      <c r="X110" s="2">
        <f t="shared" si="2"/>
        <v>3603.6299999999992</v>
      </c>
      <c r="Y110" s="2"/>
      <c r="Z110" s="19">
        <f t="shared" si="3"/>
        <v>-0.4319485348321232</v>
      </c>
    </row>
    <row r="111" spans="1:26" s="24" customFormat="1" hidden="1" outlineLevel="1" x14ac:dyDescent="0.35">
      <c r="A111" s="44"/>
      <c r="B111" s="11" t="str">
        <f>CONCATENATE("          ", "4233", " - ", "SALES RETURN TAXABLE-CANDY")</f>
        <v xml:space="preserve">          4233 - SALES RETURN TAXABLE-CANDY</v>
      </c>
      <c r="C111" s="11"/>
      <c r="D111" s="2">
        <f t="shared" si="22"/>
        <v>0</v>
      </c>
      <c r="E111" s="2"/>
      <c r="F111" s="19"/>
      <c r="G111" s="2"/>
      <c r="H111" s="2">
        <f>-139.92</f>
        <v>-139.91999999999999</v>
      </c>
      <c r="I111" s="2"/>
      <c r="J111" s="19"/>
      <c r="K111" s="2"/>
      <c r="L111" s="2">
        <f t="shared" si="0"/>
        <v>139.91999999999999</v>
      </c>
      <c r="M111" s="2"/>
      <c r="N111" s="19">
        <f t="shared" si="1"/>
        <v>-1</v>
      </c>
      <c r="O111" s="11"/>
      <c r="P111" s="2">
        <f>-8.25</f>
        <v>-8.25</v>
      </c>
      <c r="Q111" s="2"/>
      <c r="R111" s="19"/>
      <c r="S111" s="2"/>
      <c r="T111" s="2">
        <f>-145.19</f>
        <v>-145.19</v>
      </c>
      <c r="U111" s="2"/>
      <c r="V111" s="19"/>
      <c r="W111" s="2"/>
      <c r="X111" s="2">
        <f t="shared" si="2"/>
        <v>136.94</v>
      </c>
      <c r="Y111" s="2"/>
      <c r="Z111" s="19">
        <f t="shared" si="3"/>
        <v>-0.94317790481438113</v>
      </c>
    </row>
    <row r="112" spans="1:26" s="24" customFormat="1" hidden="1" outlineLevel="1" x14ac:dyDescent="0.35">
      <c r="A112" s="44"/>
      <c r="B112" s="11" t="str">
        <f>CONCATENATE("          ", "4234", " - ", "SALES RETURN TAXABLE-SODA")</f>
        <v xml:space="preserve">          4234 - SALES RETURN TAXABLE-SODA</v>
      </c>
      <c r="C112" s="11"/>
      <c r="D112" s="2">
        <f t="shared" si="22"/>
        <v>0</v>
      </c>
      <c r="E112" s="2"/>
      <c r="F112" s="19"/>
      <c r="G112" s="2"/>
      <c r="H112" s="2">
        <f>-362.88</f>
        <v>-362.88</v>
      </c>
      <c r="I112" s="2"/>
      <c r="J112" s="19"/>
      <c r="K112" s="2"/>
      <c r="L112" s="2">
        <f t="shared" si="0"/>
        <v>362.88</v>
      </c>
      <c r="M112" s="2"/>
      <c r="N112" s="19">
        <f t="shared" si="1"/>
        <v>-1</v>
      </c>
      <c r="O112" s="11"/>
      <c r="P112" s="2">
        <f>0</f>
        <v>0</v>
      </c>
      <c r="Q112" s="2"/>
      <c r="R112" s="19"/>
      <c r="S112" s="2"/>
      <c r="T112" s="2">
        <f>-368.16</f>
        <v>-368.16</v>
      </c>
      <c r="U112" s="2"/>
      <c r="V112" s="19"/>
      <c r="W112" s="2"/>
      <c r="X112" s="2">
        <f t="shared" si="2"/>
        <v>368.16</v>
      </c>
      <c r="Y112" s="2"/>
      <c r="Z112" s="19">
        <f t="shared" si="3"/>
        <v>-1</v>
      </c>
    </row>
    <row r="113" spans="1:26" s="24" customFormat="1" hidden="1" outlineLevel="1" x14ac:dyDescent="0.35">
      <c r="A113" s="44"/>
      <c r="B113" s="11" t="str">
        <f>CONCATENATE("          ", "4240", " - ", "SALES RETURN TAXABLE-LOGO CLOT")</f>
        <v xml:space="preserve">          4240 - SALES RETURN TAXABLE-LOGO CLOT</v>
      </c>
      <c r="C113" s="11"/>
      <c r="D113" s="2">
        <f>-2702.34</f>
        <v>-2702.34</v>
      </c>
      <c r="E113" s="2"/>
      <c r="F113" s="19"/>
      <c r="G113" s="2"/>
      <c r="H113" s="2">
        <f>-4511.18</f>
        <v>-4511.18</v>
      </c>
      <c r="I113" s="2"/>
      <c r="J113" s="19"/>
      <c r="K113" s="2"/>
      <c r="L113" s="2">
        <f t="shared" si="0"/>
        <v>1808.8400000000001</v>
      </c>
      <c r="M113" s="2"/>
      <c r="N113" s="19">
        <f t="shared" si="1"/>
        <v>-0.40096826107581607</v>
      </c>
      <c r="O113" s="11"/>
      <c r="P113" s="2">
        <f>-80387.11</f>
        <v>-80387.11</v>
      </c>
      <c r="Q113" s="2"/>
      <c r="R113" s="19"/>
      <c r="S113" s="2"/>
      <c r="T113" s="2">
        <f>-98015.21</f>
        <v>-98015.21</v>
      </c>
      <c r="U113" s="2"/>
      <c r="V113" s="19"/>
      <c r="W113" s="2"/>
      <c r="X113" s="2">
        <f t="shared" si="2"/>
        <v>17628.100000000006</v>
      </c>
      <c r="Y113" s="2"/>
      <c r="Z113" s="19">
        <f t="shared" si="3"/>
        <v>-0.17985065787238536</v>
      </c>
    </row>
    <row r="114" spans="1:26" s="24" customFormat="1" hidden="1" outlineLevel="1" x14ac:dyDescent="0.35">
      <c r="A114" s="44"/>
      <c r="B114" s="11" t="str">
        <f>CONCATENATE("          ", "4241", " - ", "SALES RETURN TAXABLE-LOGO GIFT")</f>
        <v xml:space="preserve">          4241 - SALES RETURN TAXABLE-LOGO GIFT</v>
      </c>
      <c r="C114" s="11"/>
      <c r="D114" s="2">
        <f>-525.51</f>
        <v>-525.51</v>
      </c>
      <c r="E114" s="2"/>
      <c r="F114" s="19"/>
      <c r="G114" s="2"/>
      <c r="H114" s="2">
        <f>-930.18</f>
        <v>-930.18</v>
      </c>
      <c r="I114" s="2"/>
      <c r="J114" s="19"/>
      <c r="K114" s="2"/>
      <c r="L114" s="2">
        <f t="shared" si="0"/>
        <v>404.66999999999996</v>
      </c>
      <c r="M114" s="2"/>
      <c r="N114" s="19">
        <f t="shared" si="1"/>
        <v>-0.43504483003289685</v>
      </c>
      <c r="O114" s="11"/>
      <c r="P114" s="2">
        <f>-7990.78</f>
        <v>-7990.78</v>
      </c>
      <c r="Q114" s="2"/>
      <c r="R114" s="19"/>
      <c r="S114" s="2"/>
      <c r="T114" s="2">
        <f>-16238.22</f>
        <v>-16238.22</v>
      </c>
      <c r="U114" s="2"/>
      <c r="V114" s="19"/>
      <c r="W114" s="2"/>
      <c r="X114" s="2">
        <f t="shared" si="2"/>
        <v>8247.4399999999987</v>
      </c>
      <c r="Y114" s="2"/>
      <c r="Z114" s="19">
        <f t="shared" si="3"/>
        <v>-0.50790295980717093</v>
      </c>
    </row>
    <row r="115" spans="1:26" s="24" customFormat="1" hidden="1" outlineLevel="1" x14ac:dyDescent="0.35">
      <c r="A115" s="44"/>
      <c r="B115" s="11" t="str">
        <f>CONCATENATE("          ", "4242", " - ", "SALES RETURN TAXABLE-EVERYDAY")</f>
        <v xml:space="preserve">          4242 - SALES RETURN TAXABLE-EVERYDAY</v>
      </c>
      <c r="C115" s="11"/>
      <c r="D115" s="2">
        <f>-51.44</f>
        <v>-51.44</v>
      </c>
      <c r="E115" s="2"/>
      <c r="F115" s="19"/>
      <c r="G115" s="2"/>
      <c r="H115" s="2">
        <f>-229.78</f>
        <v>-229.78</v>
      </c>
      <c r="I115" s="2"/>
      <c r="J115" s="19"/>
      <c r="K115" s="2"/>
      <c r="L115" s="2">
        <f t="shared" si="0"/>
        <v>178.34</v>
      </c>
      <c r="M115" s="2"/>
      <c r="N115" s="19">
        <f t="shared" si="1"/>
        <v>-0.77613369309774571</v>
      </c>
      <c r="O115" s="11"/>
      <c r="P115" s="2">
        <f>-4232.85</f>
        <v>-4232.8500000000004</v>
      </c>
      <c r="Q115" s="2"/>
      <c r="R115" s="19"/>
      <c r="S115" s="2"/>
      <c r="T115" s="2">
        <f>-5238.15</f>
        <v>-5238.1499999999996</v>
      </c>
      <c r="U115" s="2"/>
      <c r="V115" s="19"/>
      <c r="W115" s="2"/>
      <c r="X115" s="2">
        <f t="shared" si="2"/>
        <v>1005.2999999999993</v>
      </c>
      <c r="Y115" s="2"/>
      <c r="Z115" s="19">
        <f t="shared" si="3"/>
        <v>-0.19191890266601747</v>
      </c>
    </row>
    <row r="116" spans="1:26" s="24" customFormat="1" hidden="1" outlineLevel="1" x14ac:dyDescent="0.35">
      <c r="A116" s="44"/>
      <c r="B116" s="11" t="str">
        <f>CONCATENATE("          ", "4243", " - ", "SALES RETURN TAXABLE-CARDS")</f>
        <v xml:space="preserve">          4243 - SALES RETURN TAXABLE-CARDS</v>
      </c>
      <c r="C116" s="11"/>
      <c r="D116" s="2">
        <f>-19.99</f>
        <v>-19.989999999999998</v>
      </c>
      <c r="E116" s="2"/>
      <c r="F116" s="19"/>
      <c r="G116" s="2"/>
      <c r="H116" s="2">
        <f>0</f>
        <v>0</v>
      </c>
      <c r="I116" s="2"/>
      <c r="J116" s="19"/>
      <c r="K116" s="2"/>
      <c r="L116" s="2">
        <f t="shared" si="0"/>
        <v>-19.989999999999998</v>
      </c>
      <c r="M116" s="2"/>
      <c r="N116" s="19">
        <f t="shared" si="1"/>
        <v>0</v>
      </c>
      <c r="O116" s="11"/>
      <c r="P116" s="2">
        <f>-3026.3</f>
        <v>-3026.3</v>
      </c>
      <c r="Q116" s="2"/>
      <c r="R116" s="19"/>
      <c r="S116" s="2"/>
      <c r="T116" s="2">
        <f>-25.94</f>
        <v>-25.94</v>
      </c>
      <c r="U116" s="2"/>
      <c r="V116" s="19"/>
      <c r="W116" s="2"/>
      <c r="X116" s="2">
        <f t="shared" si="2"/>
        <v>-3000.36</v>
      </c>
      <c r="Y116" s="2"/>
      <c r="Z116" s="19">
        <f t="shared" si="3"/>
        <v>115.66538164996145</v>
      </c>
    </row>
    <row r="117" spans="1:26" s="24" customFormat="1" hidden="1" outlineLevel="1" x14ac:dyDescent="0.35">
      <c r="A117" s="44"/>
      <c r="B117" s="11" t="str">
        <f>CONCATENATE("          ", "4244", " - ", "SALES RETURN TAXABLE-ACCESSORI")</f>
        <v xml:space="preserve">          4244 - SALES RETURN TAXABLE-ACCESSORI</v>
      </c>
      <c r="C117" s="11"/>
      <c r="D117" s="2">
        <f>0</f>
        <v>0</v>
      </c>
      <c r="E117" s="2"/>
      <c r="F117" s="19"/>
      <c r="G117" s="2"/>
      <c r="H117" s="2">
        <f>-9.95</f>
        <v>-9.9499999999999993</v>
      </c>
      <c r="I117" s="2"/>
      <c r="J117" s="19"/>
      <c r="K117" s="2"/>
      <c r="L117" s="2">
        <f t="shared" si="0"/>
        <v>9.9499999999999993</v>
      </c>
      <c r="M117" s="2"/>
      <c r="N117" s="19">
        <f t="shared" si="1"/>
        <v>-1</v>
      </c>
      <c r="O117" s="11"/>
      <c r="P117" s="2">
        <f>-2726.41</f>
        <v>-2726.41</v>
      </c>
      <c r="Q117" s="2"/>
      <c r="R117" s="19"/>
      <c r="S117" s="2"/>
      <c r="T117" s="2">
        <f>-3985.97</f>
        <v>-3985.97</v>
      </c>
      <c r="U117" s="2"/>
      <c r="V117" s="19"/>
      <c r="W117" s="2"/>
      <c r="X117" s="2">
        <f t="shared" si="2"/>
        <v>1259.56</v>
      </c>
      <c r="Y117" s="2"/>
      <c r="Z117" s="19">
        <f t="shared" si="3"/>
        <v>-0.31599836426265127</v>
      </c>
    </row>
    <row r="118" spans="1:26" s="24" customFormat="1" hidden="1" outlineLevel="1" x14ac:dyDescent="0.35">
      <c r="A118" s="44"/>
      <c r="B118" s="11" t="str">
        <f>CONCATENATE("          ", "4245", " - ", "SALES RETURN TAXABLE-SPECIAL O")</f>
        <v xml:space="preserve">          4245 - SALES RETURN TAXABLE-SPECIAL O</v>
      </c>
      <c r="C118" s="11"/>
      <c r="D118" s="2">
        <f>-2187.5</f>
        <v>-2187.5</v>
      </c>
      <c r="E118" s="2"/>
      <c r="F118" s="19"/>
      <c r="G118" s="2"/>
      <c r="H118" s="2">
        <f>-937.5</f>
        <v>-937.5</v>
      </c>
      <c r="I118" s="2"/>
      <c r="J118" s="19"/>
      <c r="K118" s="2"/>
      <c r="L118" s="2">
        <f t="shared" si="0"/>
        <v>-1250</v>
      </c>
      <c r="M118" s="2"/>
      <c r="N118" s="19">
        <f t="shared" si="1"/>
        <v>1.3333333333333333</v>
      </c>
      <c r="O118" s="11"/>
      <c r="P118" s="2">
        <f>-4097.53</f>
        <v>-4097.53</v>
      </c>
      <c r="Q118" s="2"/>
      <c r="R118" s="19"/>
      <c r="S118" s="2"/>
      <c r="T118" s="2">
        <f>-2848.22</f>
        <v>-2848.22</v>
      </c>
      <c r="U118" s="2"/>
      <c r="V118" s="19"/>
      <c r="W118" s="2"/>
      <c r="X118" s="2">
        <f t="shared" si="2"/>
        <v>-1249.31</v>
      </c>
      <c r="Y118" s="2"/>
      <c r="Z118" s="19">
        <f t="shared" si="3"/>
        <v>0.43862833629424697</v>
      </c>
    </row>
    <row r="119" spans="1:26" s="24" customFormat="1" hidden="1" outlineLevel="1" x14ac:dyDescent="0.35">
      <c r="A119" s="44"/>
      <c r="B119" s="11" t="str">
        <f>CONCATENATE("          ", "4281", " - ", "SALES RETURN TAXABLE-ELECTRONI")</f>
        <v xml:space="preserve">          4281 - SALES RETURN TAXABLE-ELECTRONI</v>
      </c>
      <c r="C119" s="11"/>
      <c r="D119" s="2">
        <f>-159</f>
        <v>-159</v>
      </c>
      <c r="E119" s="2"/>
      <c r="F119" s="19"/>
      <c r="G119" s="2"/>
      <c r="H119" s="2">
        <f>-526.99</f>
        <v>-526.99</v>
      </c>
      <c r="I119" s="2"/>
      <c r="J119" s="19"/>
      <c r="K119" s="2"/>
      <c r="L119" s="2">
        <f t="shared" si="0"/>
        <v>367.99</v>
      </c>
      <c r="M119" s="2"/>
      <c r="N119" s="19">
        <f t="shared" si="1"/>
        <v>-0.69828649499990514</v>
      </c>
      <c r="O119" s="11"/>
      <c r="P119" s="2">
        <f>-8154.67</f>
        <v>-8154.67</v>
      </c>
      <c r="Q119" s="2"/>
      <c r="R119" s="19"/>
      <c r="S119" s="2"/>
      <c r="T119" s="2">
        <f>-7994.67</f>
        <v>-7994.67</v>
      </c>
      <c r="U119" s="2"/>
      <c r="V119" s="19"/>
      <c r="W119" s="2"/>
      <c r="X119" s="2">
        <f t="shared" si="2"/>
        <v>-160</v>
      </c>
      <c r="Y119" s="2"/>
      <c r="Z119" s="19">
        <f t="shared" si="3"/>
        <v>2.0013333883700014E-2</v>
      </c>
    </row>
    <row r="120" spans="1:26" s="24" customFormat="1" hidden="1" outlineLevel="1" x14ac:dyDescent="0.35">
      <c r="A120" s="44"/>
      <c r="B120" s="11" t="str">
        <f>CONCATENATE("          ", "4282", " - ", "SALES RETURN TAXABLE-COMPUTER")</f>
        <v xml:space="preserve">          4282 - SALES RETURN TAXABLE-COMPUTER</v>
      </c>
      <c r="C120" s="11"/>
      <c r="D120" s="2">
        <f>-31763.9</f>
        <v>-31763.9</v>
      </c>
      <c r="E120" s="2"/>
      <c r="F120" s="19"/>
      <c r="G120" s="2"/>
      <c r="H120" s="2">
        <f>-12647.15</f>
        <v>-12647.15</v>
      </c>
      <c r="I120" s="2"/>
      <c r="J120" s="19"/>
      <c r="K120" s="2"/>
      <c r="L120" s="2">
        <f t="shared" si="0"/>
        <v>-19116.75</v>
      </c>
      <c r="M120" s="2"/>
      <c r="N120" s="19">
        <f t="shared" si="1"/>
        <v>1.5115460795515197</v>
      </c>
      <c r="O120" s="11"/>
      <c r="P120" s="2">
        <f>-247392.7</f>
        <v>-247392.7</v>
      </c>
      <c r="Q120" s="2"/>
      <c r="R120" s="19"/>
      <c r="S120" s="2"/>
      <c r="T120" s="2">
        <f>-84999.98</f>
        <v>-84999.98</v>
      </c>
      <c r="U120" s="2"/>
      <c r="V120" s="19"/>
      <c r="W120" s="2"/>
      <c r="X120" s="2">
        <f t="shared" si="2"/>
        <v>-162392.72000000003</v>
      </c>
      <c r="Y120" s="2"/>
      <c r="Z120" s="19">
        <f t="shared" si="3"/>
        <v>1.9105030377654211</v>
      </c>
    </row>
    <row r="121" spans="1:26" s="24" customFormat="1" hidden="1" outlineLevel="1" x14ac:dyDescent="0.35">
      <c r="A121" s="44"/>
      <c r="B121" s="11" t="str">
        <f>CONCATENATE("          ", "4283", " - ", "SALES RETURN TAXABLE-COMPUTER")</f>
        <v xml:space="preserve">          4283 - SALES RETURN TAXABLE-COMPUTER</v>
      </c>
      <c r="C121" s="11"/>
      <c r="D121" s="2">
        <f>-9.99</f>
        <v>-9.99</v>
      </c>
      <c r="E121" s="2"/>
      <c r="F121" s="19"/>
      <c r="G121" s="2"/>
      <c r="H121" s="2">
        <f>-417.98</f>
        <v>-417.98</v>
      </c>
      <c r="I121" s="2"/>
      <c r="J121" s="19"/>
      <c r="K121" s="2"/>
      <c r="L121" s="2">
        <f t="shared" si="0"/>
        <v>407.99</v>
      </c>
      <c r="M121" s="2"/>
      <c r="N121" s="19">
        <f t="shared" si="1"/>
        <v>-0.97609933489640655</v>
      </c>
      <c r="O121" s="11"/>
      <c r="P121" s="2">
        <f>-6718.01</f>
        <v>-6718.01</v>
      </c>
      <c r="Q121" s="2"/>
      <c r="R121" s="19"/>
      <c r="S121" s="2"/>
      <c r="T121" s="2">
        <f>-7916.71</f>
        <v>-7916.71</v>
      </c>
      <c r="U121" s="2"/>
      <c r="V121" s="19"/>
      <c r="W121" s="2"/>
      <c r="X121" s="2">
        <f t="shared" si="2"/>
        <v>1198.6999999999998</v>
      </c>
      <c r="Y121" s="2"/>
      <c r="Z121" s="19">
        <f t="shared" si="3"/>
        <v>-0.15141390805018748</v>
      </c>
    </row>
    <row r="122" spans="1:26" s="24" customFormat="1" hidden="1" outlineLevel="1" x14ac:dyDescent="0.35">
      <c r="A122" s="44"/>
      <c r="B122" s="11" t="str">
        <f>CONCATENATE("          ", "4284", " - ", "SALES RETURN TAXABLE-SOFTWARE")</f>
        <v xml:space="preserve">          4284 - SALES RETURN TAXABLE-SOFTWARE</v>
      </c>
      <c r="C122" s="11"/>
      <c r="D122" s="2">
        <f t="shared" ref="D122:D125" si="23">0</f>
        <v>0</v>
      </c>
      <c r="E122" s="2"/>
      <c r="F122" s="19"/>
      <c r="G122" s="2"/>
      <c r="H122" s="2">
        <f t="shared" ref="H122:H123" si="24">0</f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-129</f>
        <v>-129</v>
      </c>
      <c r="Q122" s="2"/>
      <c r="R122" s="19"/>
      <c r="S122" s="2"/>
      <c r="T122" s="2">
        <f>0</f>
        <v>0</v>
      </c>
      <c r="U122" s="2"/>
      <c r="V122" s="19"/>
      <c r="W122" s="2"/>
      <c r="X122" s="2">
        <f t="shared" si="2"/>
        <v>-129</v>
      </c>
      <c r="Y122" s="2"/>
      <c r="Z122" s="19">
        <f t="shared" si="3"/>
        <v>0</v>
      </c>
    </row>
    <row r="123" spans="1:26" s="24" customFormat="1" hidden="1" outlineLevel="1" x14ac:dyDescent="0.35">
      <c r="A123" s="44"/>
      <c r="B123" s="11" t="str">
        <f>CONCATENATE("          ", "4285", " - ", "SALES RETURN TAXABLE-SOFTWARE")</f>
        <v xml:space="preserve">          4285 - SALES RETURN TAXABLE-SOFTWARE</v>
      </c>
      <c r="C123" s="11"/>
      <c r="D123" s="2">
        <f t="shared" si="23"/>
        <v>0</v>
      </c>
      <c r="E123" s="2"/>
      <c r="F123" s="19"/>
      <c r="G123" s="2"/>
      <c r="H123" s="2">
        <f t="shared" si="24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-805.97</f>
        <v>-805.97</v>
      </c>
      <c r="Q123" s="2"/>
      <c r="R123" s="19"/>
      <c r="S123" s="2"/>
      <c r="T123" s="2">
        <f>-725.94</f>
        <v>-725.94</v>
      </c>
      <c r="U123" s="2"/>
      <c r="V123" s="19"/>
      <c r="W123" s="2"/>
      <c r="X123" s="2">
        <f t="shared" si="2"/>
        <v>-80.029999999999973</v>
      </c>
      <c r="Y123" s="2"/>
      <c r="Z123" s="19">
        <f t="shared" si="3"/>
        <v>0.11024327079372946</v>
      </c>
    </row>
    <row r="124" spans="1:26" s="24" customFormat="1" hidden="1" outlineLevel="1" x14ac:dyDescent="0.35">
      <c r="A124" s="44"/>
      <c r="B124" s="11" t="str">
        <f>CONCATENATE("          ", "4286", " - ", "SALES RETURN TAXABLE-COMPUTER")</f>
        <v xml:space="preserve">          4286 - SALES RETURN TAXABLE-COMPUTER</v>
      </c>
      <c r="C124" s="11"/>
      <c r="D124" s="2">
        <f t="shared" si="23"/>
        <v>0</v>
      </c>
      <c r="E124" s="2"/>
      <c r="F124" s="19"/>
      <c r="G124" s="2"/>
      <c r="H124" s="2">
        <f>-49.97</f>
        <v>-49.97</v>
      </c>
      <c r="I124" s="2"/>
      <c r="J124" s="19"/>
      <c r="K124" s="2"/>
      <c r="L124" s="2">
        <f t="shared" si="0"/>
        <v>49.97</v>
      </c>
      <c r="M124" s="2"/>
      <c r="N124" s="19">
        <f t="shared" si="1"/>
        <v>-1</v>
      </c>
      <c r="O124" s="11"/>
      <c r="P124" s="2">
        <f>-3660.86</f>
        <v>-3660.86</v>
      </c>
      <c r="Q124" s="2"/>
      <c r="R124" s="19"/>
      <c r="S124" s="2"/>
      <c r="T124" s="2">
        <f>-5583.83</f>
        <v>-5583.83</v>
      </c>
      <c r="U124" s="2"/>
      <c r="V124" s="19"/>
      <c r="W124" s="2"/>
      <c r="X124" s="2">
        <f t="shared" si="2"/>
        <v>1922.9699999999998</v>
      </c>
      <c r="Y124" s="2"/>
      <c r="Z124" s="19">
        <f t="shared" si="3"/>
        <v>-0.3443819027441738</v>
      </c>
    </row>
    <row r="125" spans="1:26" s="24" customFormat="1" hidden="1" outlineLevel="1" x14ac:dyDescent="0.35">
      <c r="A125" s="44"/>
      <c r="B125" s="11" t="str">
        <f>CONCATENATE("          ", "4288", " - ", "TAXABLE SALES RETURN-MUSIC")</f>
        <v xml:space="preserve">          4288 - TAXABLE SALES RETURN-MUSIC</v>
      </c>
      <c r="C125" s="11"/>
      <c r="D125" s="2">
        <f t="shared" si="23"/>
        <v>0</v>
      </c>
      <c r="E125" s="2"/>
      <c r="F125" s="19"/>
      <c r="G125" s="2"/>
      <c r="H125" s="2">
        <f>0</f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-152.99</f>
        <v>-152.99</v>
      </c>
      <c r="Q125" s="2"/>
      <c r="R125" s="19"/>
      <c r="S125" s="2"/>
      <c r="T125" s="2">
        <f>-64.98</f>
        <v>-64.98</v>
      </c>
      <c r="U125" s="2"/>
      <c r="V125" s="19"/>
      <c r="W125" s="2"/>
      <c r="X125" s="2">
        <f t="shared" si="2"/>
        <v>-88.01</v>
      </c>
      <c r="Y125" s="2"/>
      <c r="Z125" s="19">
        <f t="shared" si="3"/>
        <v>1.3544167436134196</v>
      </c>
    </row>
    <row r="126" spans="1:26" s="24" customFormat="1" hidden="1" outlineLevel="1" x14ac:dyDescent="0.35">
      <c r="A126" s="44"/>
      <c r="B126" s="11" t="str">
        <f>CONCATENATE("          ", "4292", " - ", "SALES RETURN TAXABLE-GRAD MERC")</f>
        <v xml:space="preserve">          4292 - SALES RETURN TAXABLE-GRAD MERC</v>
      </c>
      <c r="C126" s="11"/>
      <c r="D126" s="2">
        <f>-214.68</f>
        <v>-214.68</v>
      </c>
      <c r="E126" s="2"/>
      <c r="F126" s="19"/>
      <c r="G126" s="2"/>
      <c r="H126" s="2">
        <f>-39.95</f>
        <v>-39.950000000000003</v>
      </c>
      <c r="I126" s="2"/>
      <c r="J126" s="19"/>
      <c r="K126" s="2"/>
      <c r="L126" s="2">
        <f t="shared" si="0"/>
        <v>-174.73000000000002</v>
      </c>
      <c r="M126" s="2"/>
      <c r="N126" s="19">
        <f t="shared" si="1"/>
        <v>4.3737171464330418</v>
      </c>
      <c r="O126" s="11"/>
      <c r="P126" s="2">
        <f>-793.52</f>
        <v>-793.52</v>
      </c>
      <c r="Q126" s="2"/>
      <c r="R126" s="19"/>
      <c r="S126" s="2"/>
      <c r="T126" s="2">
        <f>-8552.26</f>
        <v>-8552.26</v>
      </c>
      <c r="U126" s="2"/>
      <c r="V126" s="19"/>
      <c r="W126" s="2"/>
      <c r="X126" s="2">
        <f t="shared" si="2"/>
        <v>7758.74</v>
      </c>
      <c r="Y126" s="2"/>
      <c r="Z126" s="19">
        <f t="shared" si="3"/>
        <v>-0.90721516885595144</v>
      </c>
    </row>
    <row r="127" spans="1:26" s="24" customFormat="1" hidden="1" outlineLevel="1" x14ac:dyDescent="0.35">
      <c r="A127" s="44"/>
      <c r="B127" s="11" t="str">
        <f>CONCATENATE("          ", "4295", " - ", "SALES RETURN TAXABLE-CUSTOMER")</f>
        <v xml:space="preserve">          4295 - SALES RETURN TAXABLE-CUSTOMER</v>
      </c>
      <c r="C127" s="11"/>
      <c r="D127" s="2">
        <f>0</f>
        <v>0</v>
      </c>
      <c r="E127" s="2"/>
      <c r="F127" s="19"/>
      <c r="G127" s="2"/>
      <c r="H127" s="2">
        <f>0</f>
        <v>0</v>
      </c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--0.99</f>
        <v>0.99</v>
      </c>
      <c r="Q127" s="2"/>
      <c r="R127" s="19"/>
      <c r="S127" s="2"/>
      <c r="T127" s="2">
        <f>-126.72</f>
        <v>-126.72</v>
      </c>
      <c r="U127" s="2"/>
      <c r="V127" s="19"/>
      <c r="W127" s="2"/>
      <c r="X127" s="2">
        <f t="shared" si="2"/>
        <v>127.71</v>
      </c>
      <c r="Y127" s="2"/>
      <c r="Z127" s="19">
        <f t="shared" si="3"/>
        <v>-1.0078125</v>
      </c>
    </row>
    <row r="128" spans="1:26" s="24" customFormat="1" hidden="1" outlineLevel="1" x14ac:dyDescent="0.35">
      <c r="A128" s="44"/>
      <c r="B128" s="11" t="str">
        <f>CONCATENATE("          ", "4301", " - ", "SALES RETURN NON TAXABLE-NEW T")</f>
        <v xml:space="preserve">          4301 - SALES RETURN NON TAXABLE-NEW T</v>
      </c>
      <c r="C128" s="11"/>
      <c r="D128" s="2">
        <f>-253.49</f>
        <v>-253.49</v>
      </c>
      <c r="E128" s="2"/>
      <c r="F128" s="19"/>
      <c r="G128" s="2"/>
      <c r="H128" s="2">
        <f>-429.12</f>
        <v>-429.12</v>
      </c>
      <c r="I128" s="2"/>
      <c r="J128" s="19"/>
      <c r="K128" s="2"/>
      <c r="L128" s="2">
        <f t="shared" si="0"/>
        <v>175.63</v>
      </c>
      <c r="M128" s="2"/>
      <c r="N128" s="19">
        <f t="shared" si="1"/>
        <v>-0.40927945563012674</v>
      </c>
      <c r="O128" s="11"/>
      <c r="P128" s="2">
        <f>-21543.36</f>
        <v>-21543.360000000001</v>
      </c>
      <c r="Q128" s="2"/>
      <c r="R128" s="19"/>
      <c r="S128" s="2"/>
      <c r="T128" s="2">
        <f>-51917.32</f>
        <v>-51917.32</v>
      </c>
      <c r="U128" s="2"/>
      <c r="V128" s="19"/>
      <c r="W128" s="2"/>
      <c r="X128" s="2">
        <f t="shared" si="2"/>
        <v>30373.96</v>
      </c>
      <c r="Y128" s="2"/>
      <c r="Z128" s="19">
        <f t="shared" si="3"/>
        <v>-0.58504483667492846</v>
      </c>
    </row>
    <row r="129" spans="1:26" s="24" customFormat="1" hidden="1" outlineLevel="1" x14ac:dyDescent="0.35">
      <c r="A129" s="44"/>
      <c r="B129" s="11" t="str">
        <f>CONCATENATE("          ", "4302", " - ", "SALES RETURN NON TAXABLE-TEXT")</f>
        <v xml:space="preserve">          4302 - SALES RETURN NON TAXABLE-TEXT</v>
      </c>
      <c r="C129" s="11"/>
      <c r="D129" s="2">
        <f>-95.75</f>
        <v>-95.75</v>
      </c>
      <c r="E129" s="2"/>
      <c r="F129" s="19"/>
      <c r="G129" s="2"/>
      <c r="H129" s="2">
        <f>-452.04</f>
        <v>-452.04</v>
      </c>
      <c r="I129" s="2"/>
      <c r="J129" s="19"/>
      <c r="K129" s="2"/>
      <c r="L129" s="2">
        <f t="shared" si="0"/>
        <v>356.29</v>
      </c>
      <c r="M129" s="2"/>
      <c r="N129" s="19">
        <f t="shared" si="1"/>
        <v>-0.78818246172905049</v>
      </c>
      <c r="O129" s="11"/>
      <c r="P129" s="2">
        <f>-1475.62</f>
        <v>-1475.62</v>
      </c>
      <c r="Q129" s="2"/>
      <c r="R129" s="19"/>
      <c r="S129" s="2"/>
      <c r="T129" s="2">
        <f>-6780.29</f>
        <v>-6780.29</v>
      </c>
      <c r="U129" s="2"/>
      <c r="V129" s="19"/>
      <c r="W129" s="2"/>
      <c r="X129" s="2">
        <f t="shared" si="2"/>
        <v>5304.67</v>
      </c>
      <c r="Y129" s="2"/>
      <c r="Z129" s="19">
        <f t="shared" si="3"/>
        <v>-0.78236624097199381</v>
      </c>
    </row>
    <row r="130" spans="1:26" s="24" customFormat="1" hidden="1" outlineLevel="1" x14ac:dyDescent="0.35">
      <c r="A130" s="44"/>
      <c r="B130" s="11" t="str">
        <f>CONCATENATE("          ", "4303", " - ", "SALES RETURN NON-TAXABLE-RENTA")</f>
        <v xml:space="preserve">          4303 - SALES RETURN NON-TAXABLE-RENTA</v>
      </c>
      <c r="C130" s="11"/>
      <c r="D130" s="2">
        <f>0</f>
        <v>0</v>
      </c>
      <c r="E130" s="2"/>
      <c r="F130" s="19"/>
      <c r="G130" s="2"/>
      <c r="H130" s="2">
        <f>0</f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-184.99</f>
        <v>-184.99</v>
      </c>
      <c r="Q130" s="2"/>
      <c r="R130" s="19"/>
      <c r="S130" s="2"/>
      <c r="T130" s="2">
        <f>-509.85</f>
        <v>-509.85</v>
      </c>
      <c r="U130" s="2"/>
      <c r="V130" s="19"/>
      <c r="W130" s="2"/>
      <c r="X130" s="2">
        <f t="shared" si="2"/>
        <v>324.86</v>
      </c>
      <c r="Y130" s="2"/>
      <c r="Z130" s="19">
        <f t="shared" si="3"/>
        <v>-0.63716779444934779</v>
      </c>
    </row>
    <row r="131" spans="1:26" s="24" customFormat="1" hidden="1" outlineLevel="1" x14ac:dyDescent="0.35">
      <c r="A131" s="44"/>
      <c r="B131" s="11" t="str">
        <f>CONCATENATE("          ", "4304", " - ", "SALES RETURN NON TAXABLE-DIGIT")</f>
        <v xml:space="preserve">          4304 - SALES RETURN NON TAXABLE-DIGIT</v>
      </c>
      <c r="C131" s="11"/>
      <c r="D131" s="2">
        <f>-398.87</f>
        <v>-398.87</v>
      </c>
      <c r="E131" s="2"/>
      <c r="F131" s="19"/>
      <c r="G131" s="2"/>
      <c r="H131" s="2">
        <f>-124.01</f>
        <v>-124.01</v>
      </c>
      <c r="I131" s="2"/>
      <c r="J131" s="19"/>
      <c r="K131" s="2"/>
      <c r="L131" s="2">
        <f t="shared" si="0"/>
        <v>-274.86</v>
      </c>
      <c r="M131" s="2"/>
      <c r="N131" s="19">
        <f t="shared" si="1"/>
        <v>2.216434158535602</v>
      </c>
      <c r="O131" s="11"/>
      <c r="P131" s="2">
        <f>-19873.2</f>
        <v>-19873.2</v>
      </c>
      <c r="Q131" s="2"/>
      <c r="R131" s="19"/>
      <c r="S131" s="2"/>
      <c r="T131" s="2">
        <f>-6171.97</f>
        <v>-6171.97</v>
      </c>
      <c r="U131" s="2"/>
      <c r="V131" s="19"/>
      <c r="W131" s="2"/>
      <c r="X131" s="2">
        <f t="shared" si="2"/>
        <v>-13701.23</v>
      </c>
      <c r="Y131" s="2"/>
      <c r="Z131" s="19">
        <f t="shared" si="3"/>
        <v>2.2199119567982346</v>
      </c>
    </row>
    <row r="132" spans="1:26" s="24" customFormat="1" hidden="1" outlineLevel="1" x14ac:dyDescent="0.35">
      <c r="A132" s="44"/>
      <c r="B132" s="11" t="str">
        <f>CONCATENATE("          ", "4311", " - ", "SALES RETURN NON TAXABLE-NO VA")</f>
        <v xml:space="preserve">          4311 - SALES RETURN NON TAXABLE-NO VA</v>
      </c>
      <c r="C132" s="11"/>
      <c r="D132" s="2">
        <f>-70.37</f>
        <v>-70.37</v>
      </c>
      <c r="E132" s="2"/>
      <c r="F132" s="19"/>
      <c r="G132" s="2"/>
      <c r="H132" s="2">
        <f>-289.3</f>
        <v>-289.3</v>
      </c>
      <c r="I132" s="2"/>
      <c r="J132" s="19"/>
      <c r="K132" s="2"/>
      <c r="L132" s="2">
        <f t="shared" si="0"/>
        <v>218.93</v>
      </c>
      <c r="M132" s="2"/>
      <c r="N132" s="19">
        <f t="shared" si="1"/>
        <v>-0.75675769097822332</v>
      </c>
      <c r="O132" s="11"/>
      <c r="P132" s="2">
        <f>-1011.65</f>
        <v>-1011.65</v>
      </c>
      <c r="Q132" s="2"/>
      <c r="R132" s="19"/>
      <c r="S132" s="2"/>
      <c r="T132" s="2">
        <f>-2399.84</f>
        <v>-2399.84</v>
      </c>
      <c r="U132" s="2"/>
      <c r="V132" s="19"/>
      <c r="W132" s="2"/>
      <c r="X132" s="2">
        <f t="shared" si="2"/>
        <v>1388.19</v>
      </c>
      <c r="Y132" s="2"/>
      <c r="Z132" s="19">
        <f t="shared" si="3"/>
        <v>-0.57845106340422692</v>
      </c>
    </row>
    <row r="133" spans="1:26" s="24" customFormat="1" hidden="1" outlineLevel="1" x14ac:dyDescent="0.35">
      <c r="A133" s="44"/>
      <c r="B133" s="11" t="str">
        <f>CONCATENATE("          ", "4313", " - ", "SALES RETURN NON TAXABLE-TRADE")</f>
        <v xml:space="preserve">          4313 - SALES RETURN NON TAXABLE-TRADE</v>
      </c>
      <c r="C133" s="11"/>
      <c r="D133" s="2">
        <f t="shared" ref="D133:D134" si="25">0</f>
        <v>0</v>
      </c>
      <c r="E133" s="2"/>
      <c r="F133" s="19"/>
      <c r="G133" s="2"/>
      <c r="H133" s="2">
        <f>-800</f>
        <v>-800</v>
      </c>
      <c r="I133" s="2"/>
      <c r="J133" s="19"/>
      <c r="K133" s="2"/>
      <c r="L133" s="2">
        <f t="shared" si="0"/>
        <v>800</v>
      </c>
      <c r="M133" s="2"/>
      <c r="N133" s="19">
        <f t="shared" si="1"/>
        <v>-1</v>
      </c>
      <c r="O133" s="11"/>
      <c r="P133" s="2">
        <f>-2481.44</f>
        <v>-2481.44</v>
      </c>
      <c r="Q133" s="2"/>
      <c r="R133" s="19"/>
      <c r="S133" s="2"/>
      <c r="T133" s="2">
        <f>-800</f>
        <v>-800</v>
      </c>
      <c r="U133" s="2"/>
      <c r="V133" s="19"/>
      <c r="W133" s="2"/>
      <c r="X133" s="2">
        <f t="shared" si="2"/>
        <v>-1681.44</v>
      </c>
      <c r="Y133" s="2"/>
      <c r="Z133" s="19">
        <f t="shared" si="3"/>
        <v>2.1017999999999999</v>
      </c>
    </row>
    <row r="134" spans="1:26" s="24" customFormat="1" hidden="1" outlineLevel="1" x14ac:dyDescent="0.35">
      <c r="A134" s="44"/>
      <c r="B134" s="11" t="str">
        <f>CONCATENATE("          ", "4318", " - ", "SALES RETURN NON TAXABLE-STUDY")</f>
        <v xml:space="preserve">          4318 - SALES RETURN NON TAXABLE-STUDY</v>
      </c>
      <c r="C134" s="11"/>
      <c r="D134" s="2">
        <f t="shared" si="25"/>
        <v>0</v>
      </c>
      <c r="E134" s="2"/>
      <c r="F134" s="19"/>
      <c r="G134" s="2"/>
      <c r="H134" s="2">
        <f>-1253.5</f>
        <v>-1253.5</v>
      </c>
      <c r="I134" s="2"/>
      <c r="J134" s="19"/>
      <c r="K134" s="2"/>
      <c r="L134" s="2">
        <f t="shared" si="0"/>
        <v>1253.5</v>
      </c>
      <c r="M134" s="2"/>
      <c r="N134" s="19">
        <f t="shared" si="1"/>
        <v>-1</v>
      </c>
      <c r="O134" s="11"/>
      <c r="P134" s="2">
        <f>0</f>
        <v>0</v>
      </c>
      <c r="Q134" s="2"/>
      <c r="R134" s="19"/>
      <c r="S134" s="2"/>
      <c r="T134" s="2">
        <f>-1258.54</f>
        <v>-1258.54</v>
      </c>
      <c r="U134" s="2"/>
      <c r="V134" s="19"/>
      <c r="W134" s="2"/>
      <c r="X134" s="2">
        <f t="shared" si="2"/>
        <v>1258.54</v>
      </c>
      <c r="Y134" s="2"/>
      <c r="Z134" s="19">
        <f t="shared" si="3"/>
        <v>-1</v>
      </c>
    </row>
    <row r="135" spans="1:26" s="24" customFormat="1" hidden="1" outlineLevel="1" x14ac:dyDescent="0.35">
      <c r="A135" s="44"/>
      <c r="B135" s="11" t="str">
        <f>CONCATENATE("          ", "4326", " - ", "SALES RETURN NON TAXABLE-WRITI")</f>
        <v xml:space="preserve">          4326 - SALES RETURN NON TAXABLE-WRITI</v>
      </c>
      <c r="C135" s="11"/>
      <c r="D135" s="2">
        <f>-2.98</f>
        <v>-2.98</v>
      </c>
      <c r="E135" s="2"/>
      <c r="F135" s="19"/>
      <c r="G135" s="2"/>
      <c r="H135" s="2">
        <f t="shared" ref="H135:H138" si="26">0</f>
        <v>0</v>
      </c>
      <c r="I135" s="2"/>
      <c r="J135" s="19"/>
      <c r="K135" s="2"/>
      <c r="L135" s="2">
        <f t="shared" si="0"/>
        <v>-2.98</v>
      </c>
      <c r="M135" s="2"/>
      <c r="N135" s="19">
        <f t="shared" si="1"/>
        <v>0</v>
      </c>
      <c r="O135" s="11"/>
      <c r="P135" s="2">
        <f>-2.98</f>
        <v>-2.98</v>
      </c>
      <c r="Q135" s="2"/>
      <c r="R135" s="19"/>
      <c r="S135" s="2"/>
      <c r="T135" s="2">
        <f>-28.23</f>
        <v>-28.23</v>
      </c>
      <c r="U135" s="2"/>
      <c r="V135" s="19"/>
      <c r="W135" s="2"/>
      <c r="X135" s="2">
        <f t="shared" si="2"/>
        <v>25.25</v>
      </c>
      <c r="Y135" s="2"/>
      <c r="Z135" s="19">
        <f t="shared" si="3"/>
        <v>-0.8944385405596883</v>
      </c>
    </row>
    <row r="136" spans="1:26" s="24" customFormat="1" hidden="1" outlineLevel="1" x14ac:dyDescent="0.35">
      <c r="A136" s="44"/>
      <c r="B136" s="11" t="str">
        <f>CONCATENATE("          ", "4327", " - ", "SALES RETURN NON TAXABLE-SCHOO")</f>
        <v xml:space="preserve">          4327 - SALES RETURN NON TAXABLE-SCHOO</v>
      </c>
      <c r="C136" s="11"/>
      <c r="D136" s="2">
        <f t="shared" ref="D136:D138" si="27">0</f>
        <v>0</v>
      </c>
      <c r="E136" s="2"/>
      <c r="F136" s="19"/>
      <c r="G136" s="2"/>
      <c r="H136" s="2">
        <f t="shared" si="26"/>
        <v>0</v>
      </c>
      <c r="I136" s="2"/>
      <c r="J136" s="19"/>
      <c r="K136" s="2"/>
      <c r="L136" s="2">
        <f t="shared" si="0"/>
        <v>0</v>
      </c>
      <c r="M136" s="2"/>
      <c r="N136" s="19">
        <f t="shared" si="1"/>
        <v>0</v>
      </c>
      <c r="O136" s="11"/>
      <c r="P136" s="2">
        <f>-21.87</f>
        <v>-21.87</v>
      </c>
      <c r="Q136" s="2"/>
      <c r="R136" s="19"/>
      <c r="S136" s="2"/>
      <c r="T136" s="2">
        <f>-4.99</f>
        <v>-4.99</v>
      </c>
      <c r="U136" s="2"/>
      <c r="V136" s="19"/>
      <c r="W136" s="2"/>
      <c r="X136" s="2">
        <f t="shared" si="2"/>
        <v>-16.880000000000003</v>
      </c>
      <c r="Y136" s="2"/>
      <c r="Z136" s="19">
        <f t="shared" si="3"/>
        <v>3.3827655310621245</v>
      </c>
    </row>
    <row r="137" spans="1:26" s="24" customFormat="1" hidden="1" outlineLevel="1" x14ac:dyDescent="0.35">
      <c r="A137" s="44"/>
      <c r="B137" s="11" t="str">
        <f>CONCATENATE("          ", "4331", " - ", "SALES RETURN NON TAXABLE-FOOD")</f>
        <v xml:space="preserve">          4331 - SALES RETURN NON TAXABLE-FOOD</v>
      </c>
      <c r="C137" s="11"/>
      <c r="D137" s="2">
        <f t="shared" si="27"/>
        <v>0</v>
      </c>
      <c r="E137" s="2"/>
      <c r="F137" s="19"/>
      <c r="G137" s="2"/>
      <c r="H137" s="2">
        <f t="shared" si="26"/>
        <v>0</v>
      </c>
      <c r="I137" s="2"/>
      <c r="J137" s="19"/>
      <c r="K137" s="2"/>
      <c r="L137" s="2">
        <f t="shared" si="0"/>
        <v>0</v>
      </c>
      <c r="M137" s="2"/>
      <c r="N137" s="19">
        <f t="shared" si="1"/>
        <v>0</v>
      </c>
      <c r="O137" s="11"/>
      <c r="P137" s="2">
        <f>-12.57</f>
        <v>-12.57</v>
      </c>
      <c r="Q137" s="2"/>
      <c r="R137" s="19"/>
      <c r="S137" s="2"/>
      <c r="T137" s="2">
        <f t="shared" ref="T137:T138" si="28">0</f>
        <v>0</v>
      </c>
      <c r="U137" s="2"/>
      <c r="V137" s="19"/>
      <c r="W137" s="2"/>
      <c r="X137" s="2">
        <f t="shared" si="2"/>
        <v>-12.57</v>
      </c>
      <c r="Y137" s="2"/>
      <c r="Z137" s="19">
        <f t="shared" si="3"/>
        <v>0</v>
      </c>
    </row>
    <row r="138" spans="1:26" s="24" customFormat="1" hidden="1" outlineLevel="1" x14ac:dyDescent="0.35">
      <c r="A138" s="44"/>
      <c r="B138" s="11" t="str">
        <f>CONCATENATE("          ", "4332", " - ", "SALES RETURN NON TAXABLE-JUICE")</f>
        <v xml:space="preserve">          4332 - SALES RETURN NON TAXABLE-JUICE</v>
      </c>
      <c r="C138" s="11"/>
      <c r="D138" s="2">
        <f t="shared" si="27"/>
        <v>0</v>
      </c>
      <c r="E138" s="2"/>
      <c r="F138" s="19"/>
      <c r="G138" s="2"/>
      <c r="H138" s="2">
        <f t="shared" si="26"/>
        <v>0</v>
      </c>
      <c r="I138" s="2"/>
      <c r="J138" s="19"/>
      <c r="K138" s="2"/>
      <c r="L138" s="2">
        <f t="shared" si="0"/>
        <v>0</v>
      </c>
      <c r="M138" s="2"/>
      <c r="N138" s="19">
        <f t="shared" si="1"/>
        <v>0</v>
      </c>
      <c r="O138" s="11"/>
      <c r="P138" s="2">
        <f>-2.79</f>
        <v>-2.79</v>
      </c>
      <c r="Q138" s="2"/>
      <c r="R138" s="19"/>
      <c r="S138" s="2"/>
      <c r="T138" s="2">
        <f t="shared" si="28"/>
        <v>0</v>
      </c>
      <c r="U138" s="2"/>
      <c r="V138" s="19"/>
      <c r="W138" s="2"/>
      <c r="X138" s="2">
        <f t="shared" si="2"/>
        <v>-2.79</v>
      </c>
      <c r="Y138" s="2"/>
      <c r="Z138" s="19">
        <f t="shared" si="3"/>
        <v>0</v>
      </c>
    </row>
    <row r="139" spans="1:26" s="24" customFormat="1" hidden="1" outlineLevel="1" x14ac:dyDescent="0.35">
      <c r="A139" s="44"/>
      <c r="B139" s="11" t="str">
        <f>CONCATENATE("          ", "4340", " - ", "SALES RETURN NON TAXABLE-LOGO")</f>
        <v xml:space="preserve">          4340 - SALES RETURN NON TAXABLE-LOGO</v>
      </c>
      <c r="C139" s="11"/>
      <c r="D139" s="2">
        <f>-1045.65</f>
        <v>-1045.6500000000001</v>
      </c>
      <c r="E139" s="2"/>
      <c r="F139" s="19"/>
      <c r="G139" s="2"/>
      <c r="H139" s="2">
        <f>-96.85</f>
        <v>-96.85</v>
      </c>
      <c r="I139" s="2"/>
      <c r="J139" s="19"/>
      <c r="K139" s="2"/>
      <c r="L139" s="2">
        <f t="shared" si="0"/>
        <v>-948.80000000000007</v>
      </c>
      <c r="M139" s="2"/>
      <c r="N139" s="19">
        <f t="shared" si="1"/>
        <v>9.796592669075892</v>
      </c>
      <c r="O139" s="11"/>
      <c r="P139" s="2">
        <f>-2664.48</f>
        <v>-2664.48</v>
      </c>
      <c r="Q139" s="2"/>
      <c r="R139" s="19"/>
      <c r="S139" s="2"/>
      <c r="T139" s="2">
        <f>-1132.72</f>
        <v>-1132.72</v>
      </c>
      <c r="U139" s="2"/>
      <c r="V139" s="19"/>
      <c r="W139" s="2"/>
      <c r="X139" s="2">
        <f t="shared" si="2"/>
        <v>-1531.76</v>
      </c>
      <c r="Y139" s="2"/>
      <c r="Z139" s="19">
        <f t="shared" si="3"/>
        <v>1.3522847658732962</v>
      </c>
    </row>
    <row r="140" spans="1:26" s="24" customFormat="1" hidden="1" outlineLevel="1" x14ac:dyDescent="0.35">
      <c r="A140" s="44"/>
      <c r="B140" s="11" t="str">
        <f>CONCATENATE("          ", "4341", " - ", "SALES RETURN NON TAXABLE-LOGO")</f>
        <v xml:space="preserve">          4341 - SALES RETURN NON TAXABLE-LOGO</v>
      </c>
      <c r="C140" s="11"/>
      <c r="D140" s="2">
        <f>-9.9</f>
        <v>-9.9</v>
      </c>
      <c r="E140" s="2"/>
      <c r="F140" s="19"/>
      <c r="G140" s="2"/>
      <c r="H140" s="2">
        <f>-42.95</f>
        <v>-42.95</v>
      </c>
      <c r="I140" s="2"/>
      <c r="J140" s="19"/>
      <c r="K140" s="2"/>
      <c r="L140" s="2">
        <f t="shared" si="0"/>
        <v>33.050000000000004</v>
      </c>
      <c r="M140" s="2"/>
      <c r="N140" s="19">
        <f t="shared" si="1"/>
        <v>-0.76949941792782306</v>
      </c>
      <c r="O140" s="11"/>
      <c r="P140" s="2">
        <f>-295.35</f>
        <v>-295.35000000000002</v>
      </c>
      <c r="Q140" s="2"/>
      <c r="R140" s="19"/>
      <c r="S140" s="2"/>
      <c r="T140" s="2">
        <f>-335.8</f>
        <v>-335.8</v>
      </c>
      <c r="U140" s="2"/>
      <c r="V140" s="19"/>
      <c r="W140" s="2"/>
      <c r="X140" s="2">
        <f t="shared" si="2"/>
        <v>40.449999999999989</v>
      </c>
      <c r="Y140" s="2"/>
      <c r="Z140" s="19">
        <f t="shared" si="3"/>
        <v>-0.12045860631328167</v>
      </c>
    </row>
    <row r="141" spans="1:26" s="24" customFormat="1" hidden="1" outlineLevel="1" x14ac:dyDescent="0.35">
      <c r="A141" s="44"/>
      <c r="B141" s="11" t="str">
        <f>CONCATENATE("          ", "4342", " - ", "SALES RETURN NON TAXABLE-EVERY")</f>
        <v xml:space="preserve">          4342 - SALES RETURN NON TAXABLE-EVERY</v>
      </c>
      <c r="C141" s="11"/>
      <c r="D141" s="2">
        <f>-36.8</f>
        <v>-36.799999999999997</v>
      </c>
      <c r="E141" s="2"/>
      <c r="F141" s="19"/>
      <c r="G141" s="2"/>
      <c r="H141" s="2">
        <f>-24.95</f>
        <v>-24.95</v>
      </c>
      <c r="I141" s="2"/>
      <c r="J141" s="19"/>
      <c r="K141" s="2"/>
      <c r="L141" s="2">
        <f t="shared" si="0"/>
        <v>-11.849999999999998</v>
      </c>
      <c r="M141" s="2"/>
      <c r="N141" s="19">
        <f t="shared" si="1"/>
        <v>0.47494989979959912</v>
      </c>
      <c r="O141" s="11"/>
      <c r="P141" s="2">
        <f>-186.02</f>
        <v>-186.02</v>
      </c>
      <c r="Q141" s="2"/>
      <c r="R141" s="19"/>
      <c r="S141" s="2"/>
      <c r="T141" s="2">
        <f>-128.55</f>
        <v>-128.55000000000001</v>
      </c>
      <c r="U141" s="2"/>
      <c r="V141" s="19"/>
      <c r="W141" s="2"/>
      <c r="X141" s="2">
        <f t="shared" si="2"/>
        <v>-57.47</v>
      </c>
      <c r="Y141" s="2"/>
      <c r="Z141" s="19">
        <f t="shared" si="3"/>
        <v>0.44706339945546475</v>
      </c>
    </row>
    <row r="142" spans="1:26" s="24" customFormat="1" hidden="1" outlineLevel="1" x14ac:dyDescent="0.35">
      <c r="A142" s="44"/>
      <c r="B142" s="11" t="str">
        <f>CONCATENATE("          ", "4346", " - ", "SALES RETURN NON TAXABLE-COIN-")</f>
        <v xml:space="preserve">          4346 - SALES RETURN NON TAXABLE-COIN-</v>
      </c>
      <c r="C142" s="11"/>
      <c r="D142" s="2">
        <f t="shared" ref="D142:D146" si="29">0</f>
        <v>0</v>
      </c>
      <c r="E142" s="2"/>
      <c r="F142" s="19"/>
      <c r="G142" s="2"/>
      <c r="H142" s="2">
        <f t="shared" ref="H142:H143" si="30">0</f>
        <v>0</v>
      </c>
      <c r="I142" s="2"/>
      <c r="J142" s="19"/>
      <c r="K142" s="2"/>
      <c r="L142" s="2">
        <f t="shared" si="0"/>
        <v>0</v>
      </c>
      <c r="M142" s="2"/>
      <c r="N142" s="19">
        <f t="shared" si="1"/>
        <v>0</v>
      </c>
      <c r="O142" s="11"/>
      <c r="P142" s="2">
        <f>-8.15</f>
        <v>-8.15</v>
      </c>
      <c r="Q142" s="2"/>
      <c r="R142" s="19"/>
      <c r="S142" s="2"/>
      <c r="T142" s="2">
        <f t="shared" ref="T142:T143" si="31">0</f>
        <v>0</v>
      </c>
      <c r="U142" s="2"/>
      <c r="V142" s="19"/>
      <c r="W142" s="2"/>
      <c r="X142" s="2">
        <f t="shared" si="2"/>
        <v>-8.15</v>
      </c>
      <c r="Y142" s="2"/>
      <c r="Z142" s="19">
        <f t="shared" si="3"/>
        <v>0</v>
      </c>
    </row>
    <row r="143" spans="1:26" s="24" customFormat="1" hidden="1" outlineLevel="1" x14ac:dyDescent="0.35">
      <c r="A143" s="44"/>
      <c r="B143" s="11" t="str">
        <f>CONCATENATE("          ", "4347", " - ", "SALES RETURN NON TAXABLE-MISC")</f>
        <v xml:space="preserve">          4347 - SALES RETURN NON TAXABLE-MISC</v>
      </c>
      <c r="C143" s="11"/>
      <c r="D143" s="2">
        <f t="shared" si="29"/>
        <v>0</v>
      </c>
      <c r="E143" s="2"/>
      <c r="F143" s="19"/>
      <c r="G143" s="2"/>
      <c r="H143" s="2">
        <f t="shared" si="30"/>
        <v>0</v>
      </c>
      <c r="I143" s="2"/>
      <c r="J143" s="19"/>
      <c r="K143" s="2"/>
      <c r="L143" s="2">
        <f t="shared" si="0"/>
        <v>0</v>
      </c>
      <c r="M143" s="2"/>
      <c r="N143" s="19">
        <f t="shared" si="1"/>
        <v>0</v>
      </c>
      <c r="O143" s="11"/>
      <c r="P143" s="2">
        <f>-84</f>
        <v>-84</v>
      </c>
      <c r="Q143" s="2"/>
      <c r="R143" s="19"/>
      <c r="S143" s="2"/>
      <c r="T143" s="2">
        <f t="shared" si="31"/>
        <v>0</v>
      </c>
      <c r="U143" s="2"/>
      <c r="V143" s="19"/>
      <c r="W143" s="2"/>
      <c r="X143" s="2">
        <f t="shared" si="2"/>
        <v>-84</v>
      </c>
      <c r="Y143" s="2"/>
      <c r="Z143" s="19">
        <f t="shared" si="3"/>
        <v>0</v>
      </c>
    </row>
    <row r="144" spans="1:26" s="24" customFormat="1" hidden="1" outlineLevel="1" x14ac:dyDescent="0.35">
      <c r="A144" s="44"/>
      <c r="B144" s="11" t="str">
        <f>CONCATENATE("          ", "4381", " - ", "SALES RETURN NON TAXABLE-ELECT")</f>
        <v xml:space="preserve">          4381 - SALES RETURN NON TAXABLE-ELECT</v>
      </c>
      <c r="C144" s="11"/>
      <c r="D144" s="2">
        <f t="shared" si="29"/>
        <v>0</v>
      </c>
      <c r="E144" s="2"/>
      <c r="F144" s="19"/>
      <c r="G144" s="2"/>
      <c r="H144" s="2">
        <f>-9.99</f>
        <v>-9.99</v>
      </c>
      <c r="I144" s="2"/>
      <c r="J144" s="19"/>
      <c r="K144" s="2"/>
      <c r="L144" s="2">
        <f t="shared" si="0"/>
        <v>9.99</v>
      </c>
      <c r="M144" s="2"/>
      <c r="N144" s="19">
        <f t="shared" si="1"/>
        <v>-1</v>
      </c>
      <c r="O144" s="11"/>
      <c r="P144" s="2">
        <f>-1279.84</f>
        <v>-1279.8399999999999</v>
      </c>
      <c r="Q144" s="2"/>
      <c r="R144" s="19"/>
      <c r="S144" s="2"/>
      <c r="T144" s="2">
        <f>-257.81</f>
        <v>-257.81</v>
      </c>
      <c r="U144" s="2"/>
      <c r="V144" s="19"/>
      <c r="W144" s="2"/>
      <c r="X144" s="2">
        <f t="shared" si="2"/>
        <v>-1022.03</v>
      </c>
      <c r="Y144" s="2"/>
      <c r="Z144" s="19">
        <f t="shared" si="3"/>
        <v>3.9642760172219851</v>
      </c>
    </row>
    <row r="145" spans="1:26" s="24" customFormat="1" hidden="1" outlineLevel="1" x14ac:dyDescent="0.35">
      <c r="A145" s="44"/>
      <c r="B145" s="11" t="str">
        <f>CONCATENATE("          ", "4383", " - ", "SALES RETURN NON TAXABLE-COMPU")</f>
        <v xml:space="preserve">          4383 - SALES RETURN NON TAXABLE-COMPU</v>
      </c>
      <c r="C145" s="11"/>
      <c r="D145" s="2">
        <f t="shared" si="29"/>
        <v>0</v>
      </c>
      <c r="E145" s="2"/>
      <c r="F145" s="19"/>
      <c r="G145" s="2"/>
      <c r="H145" s="2">
        <f t="shared" ref="H145:H146" si="32">0</f>
        <v>0</v>
      </c>
      <c r="I145" s="2"/>
      <c r="J145" s="19"/>
      <c r="K145" s="2"/>
      <c r="L145" s="2">
        <f t="shared" si="0"/>
        <v>0</v>
      </c>
      <c r="M145" s="2"/>
      <c r="N145" s="19">
        <f t="shared" si="1"/>
        <v>0</v>
      </c>
      <c r="O145" s="11"/>
      <c r="P145" s="2">
        <f>-49.98</f>
        <v>-49.98</v>
      </c>
      <c r="Q145" s="2"/>
      <c r="R145" s="19"/>
      <c r="S145" s="2"/>
      <c r="T145" s="2">
        <f>-153.92</f>
        <v>-153.91999999999999</v>
      </c>
      <c r="U145" s="2"/>
      <c r="V145" s="19"/>
      <c r="W145" s="2"/>
      <c r="X145" s="2">
        <f t="shared" si="2"/>
        <v>103.94</v>
      </c>
      <c r="Y145" s="2"/>
      <c r="Z145" s="19">
        <f t="shared" si="3"/>
        <v>-0.67528586278586278</v>
      </c>
    </row>
    <row r="146" spans="1:26" s="24" customFormat="1" hidden="1" outlineLevel="1" x14ac:dyDescent="0.35">
      <c r="A146" s="44"/>
      <c r="B146" s="11" t="str">
        <f>CONCATENATE("          ", "4386", " - ", "SALES RETURN NON TAXABLE-COMPU")</f>
        <v xml:space="preserve">          4386 - SALES RETURN NON TAXABLE-COMPU</v>
      </c>
      <c r="C146" s="11"/>
      <c r="D146" s="2">
        <f t="shared" si="29"/>
        <v>0</v>
      </c>
      <c r="E146" s="2"/>
      <c r="F146" s="19"/>
      <c r="G146" s="2"/>
      <c r="H146" s="2">
        <f t="shared" si="32"/>
        <v>0</v>
      </c>
      <c r="I146" s="2"/>
      <c r="J146" s="19"/>
      <c r="K146" s="2"/>
      <c r="L146" s="2">
        <f t="shared" si="0"/>
        <v>0</v>
      </c>
      <c r="M146" s="2"/>
      <c r="N146" s="19">
        <f t="shared" si="1"/>
        <v>0</v>
      </c>
      <c r="O146" s="11"/>
      <c r="P146" s="2">
        <f>-104.96</f>
        <v>-104.96</v>
      </c>
      <c r="Q146" s="2"/>
      <c r="R146" s="19"/>
      <c r="S146" s="2"/>
      <c r="T146" s="2">
        <f>-209.95</f>
        <v>-209.95</v>
      </c>
      <c r="U146" s="2"/>
      <c r="V146" s="19"/>
      <c r="W146" s="2"/>
      <c r="X146" s="2">
        <f t="shared" si="2"/>
        <v>104.99</v>
      </c>
      <c r="Y146" s="2"/>
      <c r="Z146" s="19">
        <f t="shared" si="3"/>
        <v>-0.50007144558228145</v>
      </c>
    </row>
    <row r="147" spans="1:26" x14ac:dyDescent="0.35">
      <c r="A147" s="9"/>
      <c r="B147" s="10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collapsed="1" x14ac:dyDescent="0.35">
      <c r="A148" s="10"/>
      <c r="B148" s="29" t="s">
        <v>8</v>
      </c>
      <c r="C148" s="10"/>
      <c r="D148" s="4">
        <f>SUM(OSRRefD16x_0)</f>
        <v>645725.08000000007</v>
      </c>
      <c r="E148" s="4"/>
      <c r="F148" s="13">
        <f t="shared" ref="F148:F209" si="33">IF(D$12=0,0,D148/D$12)</f>
        <v>1.104705051529145</v>
      </c>
      <c r="G148" s="4"/>
      <c r="H148" s="4">
        <f>SUM(OSRRefH16x_0)</f>
        <v>551852.56000000006</v>
      </c>
      <c r="I148" s="4"/>
      <c r="J148" s="13">
        <f t="shared" ref="J148:J209" si="34">IF(H$12=0,0,H148/H$12)</f>
        <v>0.70638838383132463</v>
      </c>
      <c r="K148" s="4"/>
      <c r="L148" s="4">
        <f t="shared" ref="L148:L209" si="35">+D148-H148</f>
        <v>93872.520000000019</v>
      </c>
      <c r="M148" s="4"/>
      <c r="N148" s="13">
        <f t="shared" ref="N148:N209" si="36">IF(H148=0,0,L148/H148)</f>
        <v>0.17010434816140022</v>
      </c>
      <c r="O148" s="10"/>
      <c r="P148" s="4">
        <f>SUM(OSRRefP16x_0)</f>
        <v>13088495.459999999</v>
      </c>
      <c r="Q148" s="4"/>
      <c r="R148" s="13">
        <f t="shared" ref="R148:R209" si="37">IF(P$12=0,0,P148/P$12)</f>
        <v>0.45710917968551673</v>
      </c>
      <c r="S148" s="4"/>
      <c r="T148" s="4">
        <f>SUM(OSRRefT16x_0)</f>
        <v>15543827.440000001</v>
      </c>
      <c r="U148" s="4"/>
      <c r="V148" s="13">
        <f t="shared" ref="V148:V209" si="38">IF(T$12=0,0,T148/T$12)</f>
        <v>0.43494045388522973</v>
      </c>
      <c r="W148" s="4"/>
      <c r="X148" s="4">
        <f t="shared" ref="X148:X209" si="39">+P148-T148</f>
        <v>-2455331.9800000023</v>
      </c>
      <c r="Y148" s="4"/>
      <c r="Z148" s="13">
        <f t="shared" ref="Z148:Z209" si="40">IF(T148=0,0,X148/T148)</f>
        <v>-0.15796186553651048</v>
      </c>
    </row>
    <row r="149" spans="1:26" s="24" customFormat="1" hidden="1" outlineLevel="1" x14ac:dyDescent="0.35">
      <c r="A149" s="44"/>
      <c r="B149" s="11" t="str">
        <f>CONCATENATE("          ", "5000", " - ", "PURCHASES @ COST")</f>
        <v xml:space="preserve">          5000 - PURCHASES @ COST</v>
      </c>
      <c r="C149" s="11"/>
      <c r="D149" s="2"/>
      <c r="E149" s="2"/>
      <c r="F149" s="19">
        <f t="shared" si="33"/>
        <v>0</v>
      </c>
      <c r="G149" s="2"/>
      <c r="H149" s="2">
        <v>-1000</v>
      </c>
      <c r="I149" s="2"/>
      <c r="J149" s="19">
        <f t="shared" si="34"/>
        <v>-1.2800309992787285E-3</v>
      </c>
      <c r="K149" s="2"/>
      <c r="L149" s="2">
        <f t="shared" si="35"/>
        <v>1000</v>
      </c>
      <c r="M149" s="2"/>
      <c r="N149" s="19">
        <f t="shared" si="36"/>
        <v>-1</v>
      </c>
      <c r="O149" s="11"/>
      <c r="P149" s="2">
        <v>0</v>
      </c>
      <c r="Q149" s="2"/>
      <c r="R149" s="19">
        <f t="shared" si="37"/>
        <v>0</v>
      </c>
      <c r="S149" s="2"/>
      <c r="T149" s="2">
        <v>20</v>
      </c>
      <c r="U149" s="2"/>
      <c r="V149" s="19">
        <f t="shared" si="38"/>
        <v>5.5963108901475258E-7</v>
      </c>
      <c r="W149" s="2"/>
      <c r="X149" s="2">
        <f t="shared" si="39"/>
        <v>-20</v>
      </c>
      <c r="Y149" s="2"/>
      <c r="Z149" s="19">
        <f t="shared" si="40"/>
        <v>-1</v>
      </c>
    </row>
    <row r="150" spans="1:26" s="24" customFormat="1" hidden="1" outlineLevel="1" x14ac:dyDescent="0.35">
      <c r="A150" s="44"/>
      <c r="B150" s="11" t="str">
        <f>CONCATENATE("          ", "5001", " - ", "PURCHASES @ COST-NEW TEXT")</f>
        <v xml:space="preserve">          5001 - PURCHASES @ COST-NEW TEXT</v>
      </c>
      <c r="C150" s="11"/>
      <c r="D150" s="2">
        <v>21388.809999999998</v>
      </c>
      <c r="E150" s="2"/>
      <c r="F150" s="19">
        <f t="shared" si="33"/>
        <v>3.6591929266859335E-2</v>
      </c>
      <c r="G150" s="2"/>
      <c r="H150" s="2">
        <v>35029.230000000003</v>
      </c>
      <c r="I150" s="2"/>
      <c r="J150" s="19">
        <f t="shared" si="34"/>
        <v>4.4838500280864418E-2</v>
      </c>
      <c r="K150" s="2"/>
      <c r="L150" s="2">
        <f t="shared" si="35"/>
        <v>-13640.420000000006</v>
      </c>
      <c r="M150" s="2"/>
      <c r="N150" s="19">
        <f t="shared" si="36"/>
        <v>-0.38940108018360681</v>
      </c>
      <c r="O150" s="11"/>
      <c r="P150" s="2">
        <v>1662669.27</v>
      </c>
      <c r="Q150" s="2"/>
      <c r="R150" s="19">
        <f t="shared" si="37"/>
        <v>5.8067895459851193E-2</v>
      </c>
      <c r="S150" s="2"/>
      <c r="T150" s="2">
        <v>2431202.9900000002</v>
      </c>
      <c r="U150" s="2"/>
      <c r="V150" s="19">
        <f t="shared" si="38"/>
        <v>6.8028838845481138E-2</v>
      </c>
      <c r="W150" s="2"/>
      <c r="X150" s="2">
        <f t="shared" si="39"/>
        <v>-768533.7200000002</v>
      </c>
      <c r="Y150" s="2"/>
      <c r="Z150" s="19">
        <f t="shared" si="40"/>
        <v>-0.31611252666318912</v>
      </c>
    </row>
    <row r="151" spans="1:26" s="24" customFormat="1" hidden="1" outlineLevel="1" x14ac:dyDescent="0.35">
      <c r="A151" s="44"/>
      <c r="B151" s="11" t="str">
        <f>CONCATENATE("          ", "5002", " - ", "PURCHASES @ COST-USED TEXT")</f>
        <v xml:space="preserve">          5002 - PURCHASES @ COST-USED TEXT</v>
      </c>
      <c r="C151" s="11"/>
      <c r="D151" s="2">
        <v>121021.81</v>
      </c>
      <c r="E151" s="2"/>
      <c r="F151" s="19">
        <f t="shared" si="33"/>
        <v>0.20704384728590747</v>
      </c>
      <c r="G151" s="2"/>
      <c r="H151" s="2">
        <v>573715.04</v>
      </c>
      <c r="I151" s="2"/>
      <c r="J151" s="19">
        <f t="shared" si="34"/>
        <v>0.73437303595243575</v>
      </c>
      <c r="K151" s="2"/>
      <c r="L151" s="2">
        <f t="shared" si="35"/>
        <v>-452693.23000000004</v>
      </c>
      <c r="M151" s="2"/>
      <c r="N151" s="19">
        <f t="shared" si="36"/>
        <v>-0.78905588739664212</v>
      </c>
      <c r="O151" s="11"/>
      <c r="P151" s="2">
        <v>731343.19</v>
      </c>
      <c r="Q151" s="2"/>
      <c r="R151" s="19">
        <f t="shared" si="37"/>
        <v>2.5541796356285628E-2</v>
      </c>
      <c r="S151" s="2"/>
      <c r="T151" s="2">
        <v>1006777.4099999999</v>
      </c>
      <c r="U151" s="2"/>
      <c r="V151" s="19">
        <f t="shared" si="38"/>
        <v>2.8171196917687602E-2</v>
      </c>
      <c r="W151" s="2"/>
      <c r="X151" s="2">
        <f t="shared" si="39"/>
        <v>-275434.21999999997</v>
      </c>
      <c r="Y151" s="2"/>
      <c r="Z151" s="19">
        <f t="shared" si="40"/>
        <v>-0.27358005579406075</v>
      </c>
    </row>
    <row r="152" spans="1:26" s="24" customFormat="1" hidden="1" outlineLevel="1" x14ac:dyDescent="0.35">
      <c r="A152" s="44"/>
      <c r="B152" s="11" t="str">
        <f>CONCATENATE("          ", "5003", " - ", "PURCHASES @ COST-RENTAL TEXT")</f>
        <v xml:space="preserve">          5003 - PURCHASES @ COST-RENTAL TEXT</v>
      </c>
      <c r="C152" s="11"/>
      <c r="D152" s="2">
        <v>24656.6</v>
      </c>
      <c r="E152" s="2"/>
      <c r="F152" s="19">
        <f t="shared" si="33"/>
        <v>4.2182457236341994E-2</v>
      </c>
      <c r="G152" s="2"/>
      <c r="H152" s="2">
        <v>288.39999999999998</v>
      </c>
      <c r="I152" s="2"/>
      <c r="J152" s="19">
        <f t="shared" si="34"/>
        <v>3.691609401919853E-4</v>
      </c>
      <c r="K152" s="2"/>
      <c r="L152" s="2">
        <f t="shared" si="35"/>
        <v>24368.199999999997</v>
      </c>
      <c r="M152" s="2"/>
      <c r="N152" s="19">
        <f t="shared" si="36"/>
        <v>84.494452149791954</v>
      </c>
      <c r="O152" s="11"/>
      <c r="P152" s="2">
        <v>24578.2</v>
      </c>
      <c r="Q152" s="2"/>
      <c r="R152" s="19">
        <f t="shared" si="37"/>
        <v>8.5838138344333185E-4</v>
      </c>
      <c r="S152" s="2"/>
      <c r="T152" s="2">
        <v>15917.98</v>
      </c>
      <c r="U152" s="2"/>
      <c r="V152" s="19">
        <f t="shared" si="38"/>
        <v>4.4540982411575255E-4</v>
      </c>
      <c r="W152" s="2"/>
      <c r="X152" s="2">
        <f t="shared" si="39"/>
        <v>8660.2200000000012</v>
      </c>
      <c r="Y152" s="2"/>
      <c r="Z152" s="19">
        <f t="shared" si="40"/>
        <v>0.5440527001541654</v>
      </c>
    </row>
    <row r="153" spans="1:26" s="24" customFormat="1" hidden="1" outlineLevel="1" x14ac:dyDescent="0.35">
      <c r="A153" s="44"/>
      <c r="B153" s="11" t="str">
        <f>CONCATENATE("          ", "5004", " - ", "PURCHASES @ COST-DIGITAL TEXT")</f>
        <v xml:space="preserve">          5004 - PURCHASES @ COST-DIGITAL TEXT</v>
      </c>
      <c r="C153" s="11"/>
      <c r="D153" s="2">
        <v>5038.95</v>
      </c>
      <c r="E153" s="2"/>
      <c r="F153" s="19">
        <f t="shared" si="33"/>
        <v>8.6206246153591928E-3</v>
      </c>
      <c r="G153" s="2"/>
      <c r="H153" s="2">
        <v>5564.47</v>
      </c>
      <c r="I153" s="2"/>
      <c r="J153" s="19">
        <f t="shared" si="34"/>
        <v>7.1226940945565073E-3</v>
      </c>
      <c r="K153" s="2"/>
      <c r="L153" s="2">
        <f t="shared" si="35"/>
        <v>-525.52000000000044</v>
      </c>
      <c r="M153" s="2"/>
      <c r="N153" s="19">
        <f t="shared" si="36"/>
        <v>-9.4442058273294743E-2</v>
      </c>
      <c r="O153" s="11"/>
      <c r="P153" s="2">
        <v>451308.6</v>
      </c>
      <c r="Q153" s="2"/>
      <c r="R153" s="19">
        <f t="shared" si="37"/>
        <v>1.5761727890076297E-2</v>
      </c>
      <c r="S153" s="2"/>
      <c r="T153" s="2">
        <v>507143.44999999995</v>
      </c>
      <c r="U153" s="2"/>
      <c r="V153" s="19">
        <f t="shared" si="38"/>
        <v>1.4190662060509935E-2</v>
      </c>
      <c r="W153" s="2"/>
      <c r="X153" s="2">
        <f t="shared" si="39"/>
        <v>-55834.849999999977</v>
      </c>
      <c r="Y153" s="2"/>
      <c r="Z153" s="19">
        <f t="shared" si="40"/>
        <v>-0.11009675861928214</v>
      </c>
    </row>
    <row r="154" spans="1:26" s="24" customFormat="1" hidden="1" outlineLevel="1" x14ac:dyDescent="0.35">
      <c r="A154" s="44"/>
      <c r="B154" s="11" t="str">
        <f>CONCATENATE("          ", "5011", " - ", "PURCHASES @ COST-NO VALUE TEXT")</f>
        <v xml:space="preserve">          5011 - PURCHASES @ COST-NO VALUE TEXT</v>
      </c>
      <c r="C154" s="11"/>
      <c r="D154" s="2">
        <v>99</v>
      </c>
      <c r="E154" s="2"/>
      <c r="F154" s="19">
        <f t="shared" si="33"/>
        <v>1.6936898300649148E-4</v>
      </c>
      <c r="G154" s="2"/>
      <c r="H154" s="2">
        <v>1551</v>
      </c>
      <c r="I154" s="2"/>
      <c r="J154" s="19">
        <f t="shared" si="34"/>
        <v>1.9853280798813079E-3</v>
      </c>
      <c r="K154" s="2"/>
      <c r="L154" s="2">
        <f t="shared" si="35"/>
        <v>-1452</v>
      </c>
      <c r="M154" s="2"/>
      <c r="N154" s="19">
        <f t="shared" si="36"/>
        <v>-0.93617021276595747</v>
      </c>
      <c r="O154" s="11"/>
      <c r="P154" s="2">
        <v>6462</v>
      </c>
      <c r="Q154" s="2"/>
      <c r="R154" s="19">
        <f t="shared" si="37"/>
        <v>2.2568212887073952E-4</v>
      </c>
      <c r="S154" s="2"/>
      <c r="T154" s="2">
        <v>5295</v>
      </c>
      <c r="U154" s="2"/>
      <c r="V154" s="19">
        <f t="shared" si="38"/>
        <v>1.4816233081665575E-4</v>
      </c>
      <c r="W154" s="2"/>
      <c r="X154" s="2">
        <f t="shared" si="39"/>
        <v>1167</v>
      </c>
      <c r="Y154" s="2"/>
      <c r="Z154" s="19">
        <f t="shared" si="40"/>
        <v>0.22039660056657223</v>
      </c>
    </row>
    <row r="155" spans="1:26" s="24" customFormat="1" hidden="1" outlineLevel="1" x14ac:dyDescent="0.35">
      <c r="A155" s="44"/>
      <c r="B155" s="11" t="str">
        <f>CONCATENATE("          ", "5013", " - ", "PURCHASES @ COST-TRADE BOOKS")</f>
        <v xml:space="preserve">          5013 - PURCHASES @ COST-TRADE BOOKS</v>
      </c>
      <c r="C155" s="11"/>
      <c r="D155" s="2">
        <v>-420.76</v>
      </c>
      <c r="E155" s="2"/>
      <c r="F155" s="19">
        <f t="shared" si="33"/>
        <v>-7.1983528575567015E-4</v>
      </c>
      <c r="G155" s="2"/>
      <c r="H155" s="2">
        <v>839.85</v>
      </c>
      <c r="I155" s="2"/>
      <c r="J155" s="19">
        <f t="shared" si="34"/>
        <v>1.0750340347442401E-3</v>
      </c>
      <c r="K155" s="2"/>
      <c r="L155" s="2">
        <f t="shared" si="35"/>
        <v>-1260.6100000000001</v>
      </c>
      <c r="M155" s="2"/>
      <c r="N155" s="19">
        <f t="shared" si="36"/>
        <v>-1.5009942251592547</v>
      </c>
      <c r="O155" s="11"/>
      <c r="P155" s="2">
        <v>2777.09</v>
      </c>
      <c r="Q155" s="2"/>
      <c r="R155" s="19">
        <f t="shared" si="37"/>
        <v>9.6988483947019815E-5</v>
      </c>
      <c r="S155" s="2"/>
      <c r="T155" s="2">
        <v>6715.59</v>
      </c>
      <c r="U155" s="2"/>
      <c r="V155" s="19">
        <f t="shared" si="38"/>
        <v>1.8791264725382913E-4</v>
      </c>
      <c r="W155" s="2"/>
      <c r="X155" s="2">
        <f t="shared" si="39"/>
        <v>-3938.5</v>
      </c>
      <c r="Y155" s="2"/>
      <c r="Z155" s="19">
        <f t="shared" si="40"/>
        <v>-0.586471181236496</v>
      </c>
    </row>
    <row r="156" spans="1:26" s="24" customFormat="1" hidden="1" outlineLevel="1" x14ac:dyDescent="0.35">
      <c r="A156" s="44"/>
      <c r="B156" s="11" t="str">
        <f>CONCATENATE("          ", "5014", " - ", "PURCHASES @ COST-REMAINDERS")</f>
        <v xml:space="preserve">          5014 - PURCHASES @ COST-REMAINDERS</v>
      </c>
      <c r="C156" s="11"/>
      <c r="D156" s="2">
        <v>132</v>
      </c>
      <c r="E156" s="2"/>
      <c r="F156" s="19">
        <f t="shared" si="33"/>
        <v>2.2582531067532195E-4</v>
      </c>
      <c r="G156" s="2"/>
      <c r="H156" s="2">
        <v>62.4</v>
      </c>
      <c r="I156" s="2"/>
      <c r="J156" s="19">
        <f t="shared" si="34"/>
        <v>7.9873934354992668E-5</v>
      </c>
      <c r="K156" s="2"/>
      <c r="L156" s="2">
        <f t="shared" si="35"/>
        <v>69.599999999999994</v>
      </c>
      <c r="M156" s="2"/>
      <c r="N156" s="19">
        <f t="shared" si="36"/>
        <v>1.1153846153846154</v>
      </c>
      <c r="O156" s="11"/>
      <c r="P156" s="2">
        <v>747.07</v>
      </c>
      <c r="Q156" s="2"/>
      <c r="R156" s="19">
        <f t="shared" si="37"/>
        <v>2.6091047356153417E-5</v>
      </c>
      <c r="S156" s="2"/>
      <c r="T156" s="2">
        <v>1261.47</v>
      </c>
      <c r="U156" s="2"/>
      <c r="V156" s="19">
        <f t="shared" si="38"/>
        <v>3.5297891492971998E-5</v>
      </c>
      <c r="W156" s="2"/>
      <c r="X156" s="2">
        <f t="shared" si="39"/>
        <v>-514.4</v>
      </c>
      <c r="Y156" s="2"/>
      <c r="Z156" s="19">
        <f t="shared" si="40"/>
        <v>-0.40777822698914756</v>
      </c>
    </row>
    <row r="157" spans="1:26" s="24" customFormat="1" hidden="1" outlineLevel="1" x14ac:dyDescent="0.35">
      <c r="A157" s="44"/>
      <c r="B157" s="11" t="str">
        <f>CONCATENATE("          ", "5017", " - ", "PURCHASES @ COST-DORM/HOUSEWAR")</f>
        <v xml:space="preserve">          5017 - PURCHASES @ COST-DORM/HOUSEWAR</v>
      </c>
      <c r="C157" s="11"/>
      <c r="D157" s="2"/>
      <c r="E157" s="2"/>
      <c r="F157" s="19">
        <f t="shared" si="33"/>
        <v>0</v>
      </c>
      <c r="G157" s="2"/>
      <c r="H157" s="2"/>
      <c r="I157" s="2"/>
      <c r="J157" s="19">
        <f t="shared" si="34"/>
        <v>0</v>
      </c>
      <c r="K157" s="2"/>
      <c r="L157" s="2">
        <f t="shared" si="35"/>
        <v>0</v>
      </c>
      <c r="M157" s="2"/>
      <c r="N157" s="19">
        <f t="shared" si="36"/>
        <v>0</v>
      </c>
      <c r="O157" s="11"/>
      <c r="P157" s="2">
        <v>14.46</v>
      </c>
      <c r="Q157" s="2"/>
      <c r="R157" s="19">
        <f t="shared" si="37"/>
        <v>5.0500829208772725E-7</v>
      </c>
      <c r="S157" s="2"/>
      <c r="T157" s="2">
        <v>239.9</v>
      </c>
      <c r="U157" s="2"/>
      <c r="V157" s="19">
        <f t="shared" si="38"/>
        <v>6.7127749127319576E-6</v>
      </c>
      <c r="W157" s="2"/>
      <c r="X157" s="2">
        <f t="shared" si="39"/>
        <v>-225.44</v>
      </c>
      <c r="Y157" s="2"/>
      <c r="Z157" s="19">
        <f t="shared" si="40"/>
        <v>-0.93972488536890364</v>
      </c>
    </row>
    <row r="158" spans="1:26" s="24" customFormat="1" hidden="1" outlineLevel="1" x14ac:dyDescent="0.35">
      <c r="A158" s="44"/>
      <c r="B158" s="11" t="str">
        <f>CONCATENATE("          ", "5018", " - ", "PURCHASES @ COST-STUDY GUIDES")</f>
        <v xml:space="preserve">          5018 - PURCHASES @ COST-STUDY GUIDES</v>
      </c>
      <c r="C158" s="11"/>
      <c r="D158" s="2">
        <v>-249.38</v>
      </c>
      <c r="E158" s="2"/>
      <c r="F158" s="19">
        <f t="shared" si="33"/>
        <v>-4.2663875739554387E-4</v>
      </c>
      <c r="G158" s="2"/>
      <c r="H158" s="2">
        <v>1034</v>
      </c>
      <c r="I158" s="2"/>
      <c r="J158" s="19">
        <f t="shared" si="34"/>
        <v>1.3235520532542053E-3</v>
      </c>
      <c r="K158" s="2"/>
      <c r="L158" s="2">
        <f t="shared" si="35"/>
        <v>-1283.3800000000001</v>
      </c>
      <c r="M158" s="2"/>
      <c r="N158" s="19">
        <f t="shared" si="36"/>
        <v>-1.2411798839458414</v>
      </c>
      <c r="O158" s="11"/>
      <c r="P158" s="2">
        <v>-454.52</v>
      </c>
      <c r="Q158" s="2"/>
      <c r="R158" s="19">
        <f t="shared" si="37"/>
        <v>-1.5873884434281727E-5</v>
      </c>
      <c r="S158" s="2"/>
      <c r="T158" s="2">
        <v>3717</v>
      </c>
      <c r="U158" s="2"/>
      <c r="V158" s="19">
        <f t="shared" si="38"/>
        <v>1.0400743789339178E-4</v>
      </c>
      <c r="W158" s="2"/>
      <c r="X158" s="2">
        <f t="shared" si="39"/>
        <v>-4171.5200000000004</v>
      </c>
      <c r="Y158" s="2"/>
      <c r="Z158" s="19">
        <f t="shared" si="40"/>
        <v>-1.122281409739037</v>
      </c>
    </row>
    <row r="159" spans="1:26" s="24" customFormat="1" hidden="1" outlineLevel="1" x14ac:dyDescent="0.35">
      <c r="A159" s="44"/>
      <c r="B159" s="11" t="str">
        <f>CONCATENATE("          ", "5025", " - ", "PURCHASES @ COST-TEST FORMS")</f>
        <v xml:space="preserve">          5025 - PURCHASES @ COST-TEST FORMS</v>
      </c>
      <c r="C159" s="11"/>
      <c r="D159" s="2"/>
      <c r="E159" s="2"/>
      <c r="F159" s="19">
        <f t="shared" si="33"/>
        <v>0</v>
      </c>
      <c r="G159" s="2"/>
      <c r="H159" s="2">
        <v>13</v>
      </c>
      <c r="I159" s="2"/>
      <c r="J159" s="19">
        <f t="shared" si="34"/>
        <v>1.6640402990623473E-5</v>
      </c>
      <c r="K159" s="2"/>
      <c r="L159" s="2">
        <f t="shared" si="35"/>
        <v>-13</v>
      </c>
      <c r="M159" s="2"/>
      <c r="N159" s="19">
        <f t="shared" si="36"/>
        <v>-1</v>
      </c>
      <c r="O159" s="11"/>
      <c r="P159" s="2">
        <v>26400.390000000003</v>
      </c>
      <c r="Q159" s="2"/>
      <c r="R159" s="19">
        <f t="shared" si="37"/>
        <v>9.2202046088173692E-4</v>
      </c>
      <c r="S159" s="2"/>
      <c r="T159" s="2">
        <v>21295.599999999999</v>
      </c>
      <c r="U159" s="2"/>
      <c r="V159" s="19">
        <f t="shared" si="38"/>
        <v>5.9588399096112822E-4</v>
      </c>
      <c r="W159" s="2"/>
      <c r="X159" s="2">
        <f t="shared" si="39"/>
        <v>5104.7900000000045</v>
      </c>
      <c r="Y159" s="2"/>
      <c r="Z159" s="19">
        <f t="shared" si="40"/>
        <v>0.23971102011683187</v>
      </c>
    </row>
    <row r="160" spans="1:26" s="24" customFormat="1" hidden="1" outlineLevel="1" x14ac:dyDescent="0.35">
      <c r="A160" s="44"/>
      <c r="B160" s="11" t="str">
        <f>CONCATENATE("          ", "5026", " - ", "PURCHASES @ COST-WRITING INSTR")</f>
        <v xml:space="preserve">          5026 - PURCHASES @ COST-WRITING INSTR</v>
      </c>
      <c r="C160" s="11"/>
      <c r="D160" s="2"/>
      <c r="E160" s="2"/>
      <c r="F160" s="19">
        <f t="shared" si="33"/>
        <v>0</v>
      </c>
      <c r="G160" s="2"/>
      <c r="H160" s="2">
        <v>859.55</v>
      </c>
      <c r="I160" s="2"/>
      <c r="J160" s="19">
        <f t="shared" si="34"/>
        <v>1.1002506454300311E-3</v>
      </c>
      <c r="K160" s="2"/>
      <c r="L160" s="2">
        <f t="shared" si="35"/>
        <v>-859.55</v>
      </c>
      <c r="M160" s="2"/>
      <c r="N160" s="19">
        <f t="shared" si="36"/>
        <v>-1</v>
      </c>
      <c r="O160" s="11"/>
      <c r="P160" s="2">
        <v>44186.57</v>
      </c>
      <c r="Q160" s="2"/>
      <c r="R160" s="19">
        <f t="shared" si="37"/>
        <v>1.5431939314602217E-3</v>
      </c>
      <c r="S160" s="2"/>
      <c r="T160" s="2">
        <v>54938.310000000005</v>
      </c>
      <c r="U160" s="2"/>
      <c r="V160" s="19">
        <f t="shared" si="38"/>
        <v>1.5372593126965037E-3</v>
      </c>
      <c r="W160" s="2"/>
      <c r="X160" s="2">
        <f t="shared" si="39"/>
        <v>-10751.740000000005</v>
      </c>
      <c r="Y160" s="2"/>
      <c r="Z160" s="19">
        <f t="shared" si="40"/>
        <v>-0.19570569243939256</v>
      </c>
    </row>
    <row r="161" spans="1:26" s="24" customFormat="1" hidden="1" outlineLevel="1" x14ac:dyDescent="0.35">
      <c r="A161" s="44"/>
      <c r="B161" s="11" t="str">
        <f>CONCATENATE("          ", "5027", " - ", "PURCHASES @ COST-SCHOOL SUPPLI")</f>
        <v xml:space="preserve">          5027 - PURCHASES @ COST-SCHOOL SUPPLI</v>
      </c>
      <c r="C161" s="11"/>
      <c r="D161" s="2">
        <v>11947.58</v>
      </c>
      <c r="E161" s="2"/>
      <c r="F161" s="19">
        <f t="shared" si="33"/>
        <v>2.0439893676653508E-2</v>
      </c>
      <c r="G161" s="2"/>
      <c r="H161" s="2">
        <v>12673.15</v>
      </c>
      <c r="I161" s="2"/>
      <c r="J161" s="19">
        <f t="shared" si="34"/>
        <v>1.622202485850922E-2</v>
      </c>
      <c r="K161" s="2"/>
      <c r="L161" s="2">
        <f t="shared" si="35"/>
        <v>-725.56999999999971</v>
      </c>
      <c r="M161" s="2"/>
      <c r="N161" s="19">
        <f t="shared" si="36"/>
        <v>-5.7252537845760502E-2</v>
      </c>
      <c r="O161" s="11"/>
      <c r="P161" s="2">
        <v>153162.12</v>
      </c>
      <c r="Q161" s="2"/>
      <c r="R161" s="19">
        <f t="shared" si="37"/>
        <v>5.3491106938959561E-3</v>
      </c>
      <c r="S161" s="2"/>
      <c r="T161" s="2">
        <v>168868.30000000002</v>
      </c>
      <c r="U161" s="2"/>
      <c r="V161" s="19">
        <f t="shared" si="38"/>
        <v>4.725197531453498E-3</v>
      </c>
      <c r="W161" s="2"/>
      <c r="X161" s="2">
        <f t="shared" si="39"/>
        <v>-15706.180000000022</v>
      </c>
      <c r="Y161" s="2"/>
      <c r="Z161" s="19">
        <f t="shared" si="40"/>
        <v>-9.3008456886224472E-2</v>
      </c>
    </row>
    <row r="162" spans="1:26" s="24" customFormat="1" hidden="1" outlineLevel="1" x14ac:dyDescent="0.35">
      <c r="A162" s="44"/>
      <c r="B162" s="11" t="str">
        <f>CONCATENATE("          ", "5028", " - ", "PURCHASES @ COST-ART/TECH")</f>
        <v xml:space="preserve">          5028 - PURCHASES @ COST-ART/TECH</v>
      </c>
      <c r="C162" s="11"/>
      <c r="D162" s="2">
        <v>-1073.3800000000001</v>
      </c>
      <c r="E162" s="2"/>
      <c r="F162" s="19">
        <f t="shared" si="33"/>
        <v>-1.8363361513081598E-3</v>
      </c>
      <c r="G162" s="2"/>
      <c r="H162" s="2">
        <v>598.71</v>
      </c>
      <c r="I162" s="2"/>
      <c r="J162" s="19">
        <f t="shared" si="34"/>
        <v>7.6636735957816759E-4</v>
      </c>
      <c r="K162" s="2"/>
      <c r="L162" s="2">
        <f t="shared" si="35"/>
        <v>-1672.0900000000001</v>
      </c>
      <c r="M162" s="2"/>
      <c r="N162" s="19">
        <f t="shared" si="36"/>
        <v>-2.7928212323161463</v>
      </c>
      <c r="O162" s="11"/>
      <c r="P162" s="2">
        <v>158554.31</v>
      </c>
      <c r="Q162" s="2"/>
      <c r="R162" s="19">
        <f t="shared" si="37"/>
        <v>5.5374302417875556E-3</v>
      </c>
      <c r="S162" s="2"/>
      <c r="T162" s="2">
        <v>178081.3</v>
      </c>
      <c r="U162" s="2"/>
      <c r="V162" s="19">
        <f t="shared" si="38"/>
        <v>4.9829915926081431E-3</v>
      </c>
      <c r="W162" s="2"/>
      <c r="X162" s="2">
        <f t="shared" si="39"/>
        <v>-19526.989999999991</v>
      </c>
      <c r="Y162" s="2"/>
      <c r="Z162" s="19">
        <f t="shared" si="40"/>
        <v>-0.10965210833478861</v>
      </c>
    </row>
    <row r="163" spans="1:26" s="24" customFormat="1" hidden="1" outlineLevel="1" x14ac:dyDescent="0.35">
      <c r="A163" s="44"/>
      <c r="B163" s="11" t="str">
        <f>CONCATENATE("          ", "5031", " - ", "PURCHASES @ COST-FOOD")</f>
        <v xml:space="preserve">          5031 - PURCHASES @ COST-FOOD</v>
      </c>
      <c r="C163" s="11"/>
      <c r="D163" s="2"/>
      <c r="E163" s="2"/>
      <c r="F163" s="19">
        <f t="shared" si="33"/>
        <v>0</v>
      </c>
      <c r="G163" s="2"/>
      <c r="H163" s="2">
        <v>100.95</v>
      </c>
      <c r="I163" s="2"/>
      <c r="J163" s="19">
        <f t="shared" si="34"/>
        <v>1.2921912937718764E-4</v>
      </c>
      <c r="K163" s="2"/>
      <c r="L163" s="2">
        <f t="shared" si="35"/>
        <v>-100.95</v>
      </c>
      <c r="M163" s="2"/>
      <c r="N163" s="19">
        <f t="shared" si="36"/>
        <v>-1</v>
      </c>
      <c r="O163" s="11"/>
      <c r="P163" s="2">
        <v>33239.879999999997</v>
      </c>
      <c r="Q163" s="2"/>
      <c r="R163" s="19">
        <f t="shared" si="37"/>
        <v>1.1608862398340943E-3</v>
      </c>
      <c r="S163" s="2"/>
      <c r="T163" s="2">
        <v>39394.630000000005</v>
      </c>
      <c r="U163" s="2"/>
      <c r="V163" s="19">
        <f t="shared" si="38"/>
        <v>1.1023229844116622E-3</v>
      </c>
      <c r="W163" s="2"/>
      <c r="X163" s="2">
        <f t="shared" si="39"/>
        <v>-6154.7500000000073</v>
      </c>
      <c r="Y163" s="2"/>
      <c r="Z163" s="19">
        <f t="shared" si="40"/>
        <v>-0.15623322264988926</v>
      </c>
    </row>
    <row r="164" spans="1:26" s="24" customFormat="1" hidden="1" outlineLevel="1" x14ac:dyDescent="0.35">
      <c r="A164" s="44"/>
      <c r="B164" s="11" t="str">
        <f>CONCATENATE("          ", "5032", " - ", "PURCHASES @ COST-JUICE")</f>
        <v xml:space="preserve">          5032 - PURCHASES @ COST-JUICE</v>
      </c>
      <c r="C164" s="11"/>
      <c r="D164" s="2"/>
      <c r="E164" s="2"/>
      <c r="F164" s="19">
        <f t="shared" si="33"/>
        <v>0</v>
      </c>
      <c r="G164" s="2"/>
      <c r="H164" s="2">
        <v>469.57</v>
      </c>
      <c r="I164" s="2"/>
      <c r="J164" s="19">
        <f t="shared" si="34"/>
        <v>6.0106415633131259E-4</v>
      </c>
      <c r="K164" s="2"/>
      <c r="L164" s="2">
        <f t="shared" si="35"/>
        <v>-469.57</v>
      </c>
      <c r="M164" s="2"/>
      <c r="N164" s="19">
        <f t="shared" si="36"/>
        <v>-1</v>
      </c>
      <c r="O164" s="11"/>
      <c r="P164" s="2">
        <v>7802.45</v>
      </c>
      <c r="Q164" s="2"/>
      <c r="R164" s="19">
        <f t="shared" si="37"/>
        <v>2.7249667694328404E-4</v>
      </c>
      <c r="S164" s="2"/>
      <c r="T164" s="2">
        <v>10038.59</v>
      </c>
      <c r="U164" s="2"/>
      <c r="V164" s="19">
        <f t="shared" si="38"/>
        <v>2.808953526936303E-4</v>
      </c>
      <c r="W164" s="2"/>
      <c r="X164" s="2">
        <f t="shared" si="39"/>
        <v>-2236.1400000000003</v>
      </c>
      <c r="Y164" s="2"/>
      <c r="Z164" s="19">
        <f t="shared" si="40"/>
        <v>-0.22275439080588014</v>
      </c>
    </row>
    <row r="165" spans="1:26" s="24" customFormat="1" hidden="1" outlineLevel="1" x14ac:dyDescent="0.35">
      <c r="A165" s="44"/>
      <c r="B165" s="11" t="str">
        <f>CONCATENATE("          ", "5033", " - ", "PURCHASES @ COST-CANDY")</f>
        <v xml:space="preserve">          5033 - PURCHASES @ COST-CANDY</v>
      </c>
      <c r="C165" s="11"/>
      <c r="D165" s="2"/>
      <c r="E165" s="2"/>
      <c r="F165" s="19">
        <f t="shared" si="33"/>
        <v>0</v>
      </c>
      <c r="G165" s="2"/>
      <c r="H165" s="2">
        <v>550.99</v>
      </c>
      <c r="I165" s="2"/>
      <c r="J165" s="19">
        <f t="shared" si="34"/>
        <v>7.052842802925867E-4</v>
      </c>
      <c r="K165" s="2"/>
      <c r="L165" s="2">
        <f t="shared" si="35"/>
        <v>-550.99</v>
      </c>
      <c r="M165" s="2"/>
      <c r="N165" s="19">
        <f t="shared" si="36"/>
        <v>-1</v>
      </c>
      <c r="O165" s="11"/>
      <c r="P165" s="2">
        <v>9998.41</v>
      </c>
      <c r="Q165" s="2"/>
      <c r="R165" s="19">
        <f t="shared" si="37"/>
        <v>3.491894853176247E-4</v>
      </c>
      <c r="S165" s="2"/>
      <c r="T165" s="2">
        <v>10043.27</v>
      </c>
      <c r="U165" s="2"/>
      <c r="V165" s="19">
        <f t="shared" si="38"/>
        <v>2.8102630636845971E-4</v>
      </c>
      <c r="W165" s="2"/>
      <c r="X165" s="2">
        <f t="shared" si="39"/>
        <v>-44.860000000000582</v>
      </c>
      <c r="Y165" s="2"/>
      <c r="Z165" s="19">
        <f t="shared" si="40"/>
        <v>-4.466672707196021E-3</v>
      </c>
    </row>
    <row r="166" spans="1:26" s="24" customFormat="1" hidden="1" outlineLevel="1" x14ac:dyDescent="0.35">
      <c r="A166" s="44"/>
      <c r="B166" s="11" t="str">
        <f>CONCATENATE("          ", "5034", " - ", "PURCHASES @ COST-SODA")</f>
        <v xml:space="preserve">          5034 - PURCHASES @ COST-SODA</v>
      </c>
      <c r="C166" s="11"/>
      <c r="D166" s="2"/>
      <c r="E166" s="2"/>
      <c r="F166" s="19">
        <f t="shared" si="33"/>
        <v>0</v>
      </c>
      <c r="G166" s="2"/>
      <c r="H166" s="2">
        <v>140.63999999999999</v>
      </c>
      <c r="I166" s="2"/>
      <c r="J166" s="19">
        <f t="shared" si="34"/>
        <v>1.8002355973856037E-4</v>
      </c>
      <c r="K166" s="2"/>
      <c r="L166" s="2">
        <f t="shared" si="35"/>
        <v>-140.63999999999999</v>
      </c>
      <c r="M166" s="2"/>
      <c r="N166" s="19">
        <f t="shared" si="36"/>
        <v>-1</v>
      </c>
      <c r="O166" s="11"/>
      <c r="P166" s="2">
        <v>4033.88</v>
      </c>
      <c r="Q166" s="2"/>
      <c r="R166" s="19">
        <f t="shared" si="37"/>
        <v>1.4088124822177325E-4</v>
      </c>
      <c r="S166" s="2"/>
      <c r="T166" s="2">
        <v>3996.87</v>
      </c>
      <c r="U166" s="2"/>
      <c r="V166" s="19">
        <f t="shared" si="38"/>
        <v>1.1183863553751971E-4</v>
      </c>
      <c r="W166" s="2"/>
      <c r="X166" s="2">
        <f t="shared" si="39"/>
        <v>37.010000000000218</v>
      </c>
      <c r="Y166" s="2"/>
      <c r="Z166" s="19">
        <f t="shared" si="40"/>
        <v>9.2597457510502513E-3</v>
      </c>
    </row>
    <row r="167" spans="1:26" s="24" customFormat="1" hidden="1" outlineLevel="1" x14ac:dyDescent="0.35">
      <c r="A167" s="44"/>
      <c r="B167" s="11" t="str">
        <f>CONCATENATE("          ", "5035", " - ", "PURCHASES @ COST-HEALTH &amp; BEAU")</f>
        <v xml:space="preserve">          5035 - PURCHASES @ COST-HEALTH &amp; BEAU</v>
      </c>
      <c r="C167" s="11"/>
      <c r="D167" s="2"/>
      <c r="E167" s="2"/>
      <c r="F167" s="19">
        <f t="shared" si="33"/>
        <v>0</v>
      </c>
      <c r="G167" s="2"/>
      <c r="H167" s="2"/>
      <c r="I167" s="2"/>
      <c r="J167" s="19">
        <f t="shared" si="34"/>
        <v>0</v>
      </c>
      <c r="K167" s="2"/>
      <c r="L167" s="2">
        <f t="shared" si="35"/>
        <v>0</v>
      </c>
      <c r="M167" s="2"/>
      <c r="N167" s="19">
        <f t="shared" si="36"/>
        <v>0</v>
      </c>
      <c r="O167" s="11"/>
      <c r="P167" s="2">
        <v>1117.6500000000001</v>
      </c>
      <c r="Q167" s="2"/>
      <c r="R167" s="19">
        <f t="shared" si="37"/>
        <v>3.9033369132216347E-5</v>
      </c>
      <c r="S167" s="2"/>
      <c r="T167" s="2">
        <v>1219.07</v>
      </c>
      <c r="U167" s="2"/>
      <c r="V167" s="19">
        <f t="shared" si="38"/>
        <v>3.4111473584260721E-5</v>
      </c>
      <c r="W167" s="2"/>
      <c r="X167" s="2">
        <f t="shared" si="39"/>
        <v>-101.41999999999985</v>
      </c>
      <c r="Y167" s="2"/>
      <c r="Z167" s="19">
        <f t="shared" si="40"/>
        <v>-8.3194566349758303E-2</v>
      </c>
    </row>
    <row r="168" spans="1:26" s="24" customFormat="1" hidden="1" outlineLevel="1" x14ac:dyDescent="0.35">
      <c r="A168" s="44"/>
      <c r="B168" s="11" t="str">
        <f>CONCATENATE("          ", "5037", " - ", "PURCHASES @ COST-WATER")</f>
        <v xml:space="preserve">          5037 - PURCHASES @ COST-WATER</v>
      </c>
      <c r="C168" s="11"/>
      <c r="D168" s="2"/>
      <c r="E168" s="2"/>
      <c r="F168" s="19">
        <f t="shared" si="33"/>
        <v>0</v>
      </c>
      <c r="G168" s="2"/>
      <c r="H168" s="2">
        <v>418.26</v>
      </c>
      <c r="I168" s="2"/>
      <c r="J168" s="19">
        <f t="shared" si="34"/>
        <v>5.3538576575832099E-4</v>
      </c>
      <c r="K168" s="2"/>
      <c r="L168" s="2">
        <f t="shared" si="35"/>
        <v>-418.26</v>
      </c>
      <c r="M168" s="2"/>
      <c r="N168" s="19">
        <f t="shared" si="36"/>
        <v>-1</v>
      </c>
      <c r="O168" s="11"/>
      <c r="P168" s="2">
        <v>5693.57</v>
      </c>
      <c r="Q168" s="2"/>
      <c r="R168" s="19">
        <f t="shared" si="37"/>
        <v>1.988450941619586E-4</v>
      </c>
      <c r="S168" s="2"/>
      <c r="T168" s="2">
        <v>6290.29</v>
      </c>
      <c r="U168" s="2"/>
      <c r="V168" s="19">
        <f t="shared" si="38"/>
        <v>1.7601209214593039E-4</v>
      </c>
      <c r="W168" s="2"/>
      <c r="X168" s="2">
        <f t="shared" si="39"/>
        <v>-596.72000000000025</v>
      </c>
      <c r="Y168" s="2"/>
      <c r="Z168" s="19">
        <f t="shared" si="40"/>
        <v>-9.4863670832346397E-2</v>
      </c>
    </row>
    <row r="169" spans="1:26" s="24" customFormat="1" hidden="1" outlineLevel="1" x14ac:dyDescent="0.35">
      <c r="A169" s="44"/>
      <c r="B169" s="11" t="str">
        <f>CONCATENATE("          ", "5040", " - ", "PURCHASES @ COST-LOGO CLOTHING")</f>
        <v xml:space="preserve">          5040 - PURCHASES @ COST-LOGO CLOTHING</v>
      </c>
      <c r="C169" s="11"/>
      <c r="D169" s="2">
        <v>6472.18</v>
      </c>
      <c r="E169" s="2"/>
      <c r="F169" s="19">
        <f t="shared" si="33"/>
        <v>1.1072591357928829E-2</v>
      </c>
      <c r="G169" s="2"/>
      <c r="H169" s="2">
        <v>40406.019999999997</v>
      </c>
      <c r="I169" s="2"/>
      <c r="J169" s="19">
        <f t="shared" si="34"/>
        <v>5.1720958157476286E-2</v>
      </c>
      <c r="K169" s="2"/>
      <c r="L169" s="2">
        <f t="shared" si="35"/>
        <v>-33933.839999999997</v>
      </c>
      <c r="M169" s="2"/>
      <c r="N169" s="19">
        <f t="shared" si="36"/>
        <v>-0.83982139295085234</v>
      </c>
      <c r="O169" s="11"/>
      <c r="P169" s="2">
        <v>982941.51</v>
      </c>
      <c r="Q169" s="2"/>
      <c r="R169" s="19">
        <f t="shared" si="37"/>
        <v>3.432874226744341E-2</v>
      </c>
      <c r="S169" s="2"/>
      <c r="T169" s="2">
        <v>1080553.1199999999</v>
      </c>
      <c r="U169" s="2"/>
      <c r="V169" s="19">
        <f t="shared" si="38"/>
        <v>3.023555596419443E-2</v>
      </c>
      <c r="W169" s="2"/>
      <c r="X169" s="2">
        <f t="shared" si="39"/>
        <v>-97611.60999999987</v>
      </c>
      <c r="Y169" s="2"/>
      <c r="Z169" s="19">
        <f t="shared" si="40"/>
        <v>-9.0334855541391507E-2</v>
      </c>
    </row>
    <row r="170" spans="1:26" s="24" customFormat="1" hidden="1" outlineLevel="1" x14ac:dyDescent="0.35">
      <c r="A170" s="44"/>
      <c r="B170" s="11" t="str">
        <f>CONCATENATE("          ", "5041", " - ", "PURCHASES @ COST-LOGO GIFTS")</f>
        <v xml:space="preserve">          5041 - PURCHASES @ COST-LOGO GIFTS</v>
      </c>
      <c r="C170" s="11"/>
      <c r="D170" s="2">
        <v>13093.79</v>
      </c>
      <c r="E170" s="2"/>
      <c r="F170" s="19">
        <f t="shared" si="33"/>
        <v>2.240082723232897E-2</v>
      </c>
      <c r="G170" s="2"/>
      <c r="H170" s="2">
        <v>41981.85</v>
      </c>
      <c r="I170" s="2"/>
      <c r="J170" s="19">
        <f t="shared" si="34"/>
        <v>5.373806940706969E-2</v>
      </c>
      <c r="K170" s="2"/>
      <c r="L170" s="2">
        <f t="shared" si="35"/>
        <v>-28888.059999999998</v>
      </c>
      <c r="M170" s="2"/>
      <c r="N170" s="19">
        <f t="shared" si="36"/>
        <v>-0.68810831347356061</v>
      </c>
      <c r="O170" s="11"/>
      <c r="P170" s="2">
        <v>162844.62999999998</v>
      </c>
      <c r="Q170" s="2"/>
      <c r="R170" s="19">
        <f t="shared" si="37"/>
        <v>5.6872675291810412E-3</v>
      </c>
      <c r="S170" s="2"/>
      <c r="T170" s="2">
        <v>323814.98</v>
      </c>
      <c r="U170" s="2"/>
      <c r="V170" s="19">
        <f t="shared" si="38"/>
        <v>9.0608464948345162E-3</v>
      </c>
      <c r="W170" s="2"/>
      <c r="X170" s="2">
        <f t="shared" si="39"/>
        <v>-160970.35</v>
      </c>
      <c r="Y170" s="2"/>
      <c r="Z170" s="19">
        <f t="shared" si="40"/>
        <v>-0.49710593994138264</v>
      </c>
    </row>
    <row r="171" spans="1:26" s="24" customFormat="1" hidden="1" outlineLevel="1" x14ac:dyDescent="0.35">
      <c r="A171" s="44"/>
      <c r="B171" s="11" t="str">
        <f>CONCATENATE("          ", "5042", " - ", "PURCHASES @ COST-EVERYDAY GIFT")</f>
        <v xml:space="preserve">          5042 - PURCHASES @ COST-EVERYDAY GIFT</v>
      </c>
      <c r="C171" s="11"/>
      <c r="D171" s="2">
        <v>-836.65</v>
      </c>
      <c r="E171" s="2"/>
      <c r="F171" s="19">
        <f t="shared" si="33"/>
        <v>-1.4313389861856675E-3</v>
      </c>
      <c r="G171" s="2"/>
      <c r="H171" s="2">
        <v>1405.4</v>
      </c>
      <c r="I171" s="2"/>
      <c r="J171" s="19">
        <f t="shared" si="34"/>
        <v>1.7989555663863253E-3</v>
      </c>
      <c r="K171" s="2"/>
      <c r="L171" s="2">
        <f t="shared" si="35"/>
        <v>-2242.0500000000002</v>
      </c>
      <c r="M171" s="2"/>
      <c r="N171" s="19">
        <f t="shared" si="36"/>
        <v>-1.5953109435036288</v>
      </c>
      <c r="O171" s="11"/>
      <c r="P171" s="2">
        <v>125778.54999999999</v>
      </c>
      <c r="Q171" s="2"/>
      <c r="R171" s="19">
        <f t="shared" si="37"/>
        <v>4.3927531616024069E-3</v>
      </c>
      <c r="S171" s="2"/>
      <c r="T171" s="2">
        <v>143887.09999999998</v>
      </c>
      <c r="U171" s="2"/>
      <c r="V171" s="19">
        <f t="shared" si="38"/>
        <v>4.02618472340873E-3</v>
      </c>
      <c r="W171" s="2"/>
      <c r="X171" s="2">
        <f t="shared" si="39"/>
        <v>-18108.549999999988</v>
      </c>
      <c r="Y171" s="2"/>
      <c r="Z171" s="19">
        <f t="shared" si="40"/>
        <v>-0.12585249129352105</v>
      </c>
    </row>
    <row r="172" spans="1:26" s="24" customFormat="1" hidden="1" outlineLevel="1" x14ac:dyDescent="0.35">
      <c r="A172" s="44"/>
      <c r="B172" s="11" t="str">
        <f>CONCATENATE("          ", "5043", " - ", "PURCHASES @ COST-CARDS")</f>
        <v xml:space="preserve">          5043 - PURCHASES @ COST-CARDS</v>
      </c>
      <c r="C172" s="11"/>
      <c r="D172" s="2">
        <v>0</v>
      </c>
      <c r="E172" s="2"/>
      <c r="F172" s="19">
        <f t="shared" si="33"/>
        <v>0</v>
      </c>
      <c r="G172" s="2"/>
      <c r="H172" s="2">
        <v>238.47</v>
      </c>
      <c r="I172" s="2"/>
      <c r="J172" s="19">
        <f t="shared" si="34"/>
        <v>3.052489923979984E-4</v>
      </c>
      <c r="K172" s="2"/>
      <c r="L172" s="2">
        <f t="shared" si="35"/>
        <v>-238.47</v>
      </c>
      <c r="M172" s="2"/>
      <c r="N172" s="19">
        <f t="shared" si="36"/>
        <v>-1</v>
      </c>
      <c r="O172" s="11"/>
      <c r="P172" s="2">
        <v>30914.659999999996</v>
      </c>
      <c r="Q172" s="2"/>
      <c r="R172" s="19">
        <f t="shared" si="37"/>
        <v>1.0796790903923083E-3</v>
      </c>
      <c r="S172" s="2"/>
      <c r="T172" s="2">
        <v>3631.23</v>
      </c>
      <c r="U172" s="2"/>
      <c r="V172" s="19">
        <f t="shared" si="38"/>
        <v>1.01607459968152E-4</v>
      </c>
      <c r="W172" s="2"/>
      <c r="X172" s="2">
        <f t="shared" si="39"/>
        <v>27283.429999999997</v>
      </c>
      <c r="Y172" s="2"/>
      <c r="Z172" s="19">
        <f t="shared" si="40"/>
        <v>7.5135505049253277</v>
      </c>
    </row>
    <row r="173" spans="1:26" s="24" customFormat="1" hidden="1" outlineLevel="1" x14ac:dyDescent="0.35">
      <c r="A173" s="44"/>
      <c r="B173" s="11" t="str">
        <f>CONCATENATE("          ", "5044", " - ", "PURCHASES @ COST-ACCESSORIES")</f>
        <v xml:space="preserve">          5044 - PURCHASES @ COST-ACCESSORIES</v>
      </c>
      <c r="C173" s="11"/>
      <c r="D173" s="2">
        <v>0</v>
      </c>
      <c r="E173" s="2"/>
      <c r="F173" s="19">
        <f t="shared" si="33"/>
        <v>0</v>
      </c>
      <c r="G173" s="2"/>
      <c r="H173" s="2">
        <v>-637.52</v>
      </c>
      <c r="I173" s="2"/>
      <c r="J173" s="19">
        <f t="shared" si="34"/>
        <v>-8.1604536266017505E-4</v>
      </c>
      <c r="K173" s="2"/>
      <c r="L173" s="2">
        <f t="shared" si="35"/>
        <v>637.52</v>
      </c>
      <c r="M173" s="2"/>
      <c r="N173" s="19">
        <f t="shared" si="36"/>
        <v>-1</v>
      </c>
      <c r="O173" s="11"/>
      <c r="P173" s="2">
        <v>37869.03</v>
      </c>
      <c r="Q173" s="2"/>
      <c r="R173" s="19">
        <f t="shared" si="37"/>
        <v>1.3225569960801456E-3</v>
      </c>
      <c r="S173" s="2"/>
      <c r="T173" s="2">
        <v>37653.61</v>
      </c>
      <c r="U173" s="2"/>
      <c r="V173" s="19">
        <f t="shared" si="38"/>
        <v>1.0536065384818389E-3</v>
      </c>
      <c r="W173" s="2"/>
      <c r="X173" s="2">
        <f t="shared" si="39"/>
        <v>215.41999999999825</v>
      </c>
      <c r="Y173" s="2"/>
      <c r="Z173" s="19">
        <f t="shared" si="40"/>
        <v>5.7210981895228176E-3</v>
      </c>
    </row>
    <row r="174" spans="1:26" s="24" customFormat="1" hidden="1" outlineLevel="1" x14ac:dyDescent="0.35">
      <c r="A174" s="44"/>
      <c r="B174" s="11" t="str">
        <f>CONCATENATE("          ", "5045", " - ", "PURCHASES @ COST-SPECIAL ORDER")</f>
        <v xml:space="preserve">          5045 - PURCHASES @ COST-SPECIAL ORDER</v>
      </c>
      <c r="C174" s="11"/>
      <c r="D174" s="2">
        <v>52772.409999999996</v>
      </c>
      <c r="E174" s="2"/>
      <c r="F174" s="19">
        <f t="shared" si="33"/>
        <v>9.0282923358602024E-2</v>
      </c>
      <c r="G174" s="2"/>
      <c r="H174" s="2">
        <v>36286.67</v>
      </c>
      <c r="I174" s="2"/>
      <c r="J174" s="19">
        <f t="shared" si="34"/>
        <v>4.6448062460597461E-2</v>
      </c>
      <c r="K174" s="2"/>
      <c r="L174" s="2">
        <f t="shared" si="35"/>
        <v>16485.739999999998</v>
      </c>
      <c r="M174" s="2"/>
      <c r="N174" s="19">
        <f t="shared" si="36"/>
        <v>0.45431945119240752</v>
      </c>
      <c r="O174" s="11"/>
      <c r="P174" s="2">
        <v>131614.81</v>
      </c>
      <c r="Q174" s="2"/>
      <c r="R174" s="19">
        <f t="shared" si="37"/>
        <v>4.5965816328873256E-3</v>
      </c>
      <c r="S174" s="2"/>
      <c r="T174" s="2">
        <v>157881.61000000002</v>
      </c>
      <c r="U174" s="2"/>
      <c r="V174" s="19">
        <f t="shared" si="38"/>
        <v>4.4177728669851229E-3</v>
      </c>
      <c r="W174" s="2"/>
      <c r="X174" s="2">
        <f t="shared" si="39"/>
        <v>-26266.800000000017</v>
      </c>
      <c r="Y174" s="2"/>
      <c r="Z174" s="19">
        <f t="shared" si="40"/>
        <v>-0.16637023146647678</v>
      </c>
    </row>
    <row r="175" spans="1:26" s="24" customFormat="1" hidden="1" outlineLevel="1" x14ac:dyDescent="0.35">
      <c r="A175" s="44"/>
      <c r="B175" s="11" t="str">
        <f>CONCATENATE("          ", "5053", " - ", "PURCHASES @ COST-FOOD")</f>
        <v xml:space="preserve">          5053 - PURCHASES @ COST-FOOD</v>
      </c>
      <c r="C175" s="11"/>
      <c r="D175" s="2">
        <v>9832.27</v>
      </c>
      <c r="E175" s="2"/>
      <c r="F175" s="19">
        <f t="shared" si="33"/>
        <v>1.6821025965103393E-2</v>
      </c>
      <c r="G175" s="2"/>
      <c r="H175" s="2">
        <v>147008.01</v>
      </c>
      <c r="I175" s="2"/>
      <c r="J175" s="19">
        <f t="shared" si="34"/>
        <v>0.18817480994227734</v>
      </c>
      <c r="K175" s="2"/>
      <c r="L175" s="2">
        <f t="shared" si="35"/>
        <v>-137175.74000000002</v>
      </c>
      <c r="M175" s="2"/>
      <c r="N175" s="19">
        <f t="shared" si="36"/>
        <v>-0.93311745394009493</v>
      </c>
      <c r="O175" s="11"/>
      <c r="P175" s="2">
        <v>4941935.9800000004</v>
      </c>
      <c r="Q175" s="2"/>
      <c r="R175" s="19">
        <f t="shared" si="37"/>
        <v>0.17259465068234364</v>
      </c>
      <c r="S175" s="2"/>
      <c r="T175" s="2">
        <v>6278561.0200000005</v>
      </c>
      <c r="U175" s="2"/>
      <c r="V175" s="19">
        <f t="shared" si="38"/>
        <v>0.17568389705340881</v>
      </c>
      <c r="W175" s="2"/>
      <c r="X175" s="2">
        <f t="shared" si="39"/>
        <v>-1336625.04</v>
      </c>
      <c r="Y175" s="2"/>
      <c r="Z175" s="19">
        <f t="shared" si="40"/>
        <v>-0.21288716247915035</v>
      </c>
    </row>
    <row r="176" spans="1:26" s="24" customFormat="1" hidden="1" outlineLevel="1" x14ac:dyDescent="0.35">
      <c r="A176" s="44"/>
      <c r="B176" s="11" t="str">
        <f>CONCATENATE("          ", "5059", " - ", "PURCHASES @ COST-FOOD")</f>
        <v xml:space="preserve">          5059 - PURCHASES @ COST-FOOD</v>
      </c>
      <c r="C176" s="11"/>
      <c r="D176" s="2">
        <v>45921</v>
      </c>
      <c r="E176" s="2"/>
      <c r="F176" s="19">
        <f t="shared" si="33"/>
        <v>7.8561546147889849E-2</v>
      </c>
      <c r="G176" s="2"/>
      <c r="H176" s="2">
        <v>73626.69</v>
      </c>
      <c r="I176" s="2"/>
      <c r="J176" s="19">
        <f t="shared" si="34"/>
        <v>9.4244445574285171E-2</v>
      </c>
      <c r="K176" s="2"/>
      <c r="L176" s="2">
        <f t="shared" si="35"/>
        <v>-27705.690000000002</v>
      </c>
      <c r="M176" s="2"/>
      <c r="N176" s="19">
        <f t="shared" si="36"/>
        <v>-0.3762995457218028</v>
      </c>
      <c r="O176" s="11"/>
      <c r="P176" s="2">
        <v>186122.53</v>
      </c>
      <c r="Q176" s="2"/>
      <c r="R176" s="19">
        <f t="shared" si="37"/>
        <v>6.5002365832881586E-3</v>
      </c>
      <c r="S176" s="2"/>
      <c r="T176" s="2">
        <v>92712.26999999999</v>
      </c>
      <c r="U176" s="2"/>
      <c r="V176" s="19">
        <f t="shared" si="38"/>
        <v>2.5942334312564885E-3</v>
      </c>
      <c r="W176" s="2"/>
      <c r="X176" s="2">
        <f t="shared" si="39"/>
        <v>93410.260000000009</v>
      </c>
      <c r="Y176" s="2"/>
      <c r="Z176" s="19">
        <f t="shared" si="40"/>
        <v>1.007528561214174</v>
      </c>
    </row>
    <row r="177" spans="1:26" s="24" customFormat="1" hidden="1" outlineLevel="1" x14ac:dyDescent="0.35">
      <c r="A177" s="44"/>
      <c r="B177" s="11" t="str">
        <f>CONCATENATE("          ", "5081", " - ", "PURCHASES @ COST-ELECTRONICS")</f>
        <v xml:space="preserve">          5081 - PURCHASES @ COST-ELECTRONICS</v>
      </c>
      <c r="C177" s="11"/>
      <c r="D177" s="2">
        <v>-173.28</v>
      </c>
      <c r="E177" s="2"/>
      <c r="F177" s="19">
        <f t="shared" si="33"/>
        <v>-2.9644704419560445E-4</v>
      </c>
      <c r="G177" s="2"/>
      <c r="H177" s="2">
        <v>29297.449999999997</v>
      </c>
      <c r="I177" s="2"/>
      <c r="J177" s="19">
        <f t="shared" si="34"/>
        <v>3.7501644199818586E-2</v>
      </c>
      <c r="K177" s="2"/>
      <c r="L177" s="2">
        <f t="shared" si="35"/>
        <v>-29470.729999999996</v>
      </c>
      <c r="M177" s="2"/>
      <c r="N177" s="19">
        <f t="shared" si="36"/>
        <v>-1.0059145079179246</v>
      </c>
      <c r="O177" s="11"/>
      <c r="P177" s="2">
        <v>260296.33</v>
      </c>
      <c r="Q177" s="2"/>
      <c r="R177" s="19">
        <f t="shared" si="37"/>
        <v>9.0907195746890348E-3</v>
      </c>
      <c r="S177" s="2"/>
      <c r="T177" s="2">
        <v>238614.97999999998</v>
      </c>
      <c r="U177" s="2"/>
      <c r="V177" s="19">
        <f t="shared" si="38"/>
        <v>6.6768180556316704E-3</v>
      </c>
      <c r="W177" s="2"/>
      <c r="X177" s="2">
        <f t="shared" si="39"/>
        <v>21681.350000000006</v>
      </c>
      <c r="Y177" s="2"/>
      <c r="Z177" s="19">
        <f t="shared" si="40"/>
        <v>9.0863322998413626E-2</v>
      </c>
    </row>
    <row r="178" spans="1:26" s="24" customFormat="1" hidden="1" outlineLevel="1" x14ac:dyDescent="0.35">
      <c r="A178" s="44"/>
      <c r="B178" s="11" t="str">
        <f>CONCATENATE("          ", "5082", " - ", "PURCHASES @ COST-COMPUTER HARD")</f>
        <v xml:space="preserve">          5082 - PURCHASES @ COST-COMPUTER HARD</v>
      </c>
      <c r="C178" s="11"/>
      <c r="D178" s="2">
        <v>190200.93</v>
      </c>
      <c r="E178" s="2"/>
      <c r="F178" s="19">
        <f t="shared" si="33"/>
        <v>0.32539533415140276</v>
      </c>
      <c r="G178" s="2"/>
      <c r="H178" s="2">
        <v>53961.18</v>
      </c>
      <c r="I178" s="2"/>
      <c r="J178" s="19">
        <f t="shared" si="34"/>
        <v>6.9071983157659347E-2</v>
      </c>
      <c r="K178" s="2"/>
      <c r="L178" s="2">
        <f t="shared" si="35"/>
        <v>136239.75</v>
      </c>
      <c r="M178" s="2"/>
      <c r="N178" s="19">
        <f t="shared" si="36"/>
        <v>2.5247733648522881</v>
      </c>
      <c r="O178" s="11"/>
      <c r="P178" s="2">
        <v>1831850.8299999998</v>
      </c>
      <c r="Q178" s="2"/>
      <c r="R178" s="19">
        <f t="shared" si="37"/>
        <v>6.3976477110496921E-2</v>
      </c>
      <c r="S178" s="2"/>
      <c r="T178" s="2">
        <v>1965346.54</v>
      </c>
      <c r="U178" s="2"/>
      <c r="V178" s="19">
        <f t="shared" si="38"/>
        <v>5.49934512235788E-2</v>
      </c>
      <c r="W178" s="2"/>
      <c r="X178" s="2">
        <f t="shared" si="39"/>
        <v>-133495.7100000002</v>
      </c>
      <c r="Y178" s="2"/>
      <c r="Z178" s="19">
        <f t="shared" si="40"/>
        <v>-6.7924769135116594E-2</v>
      </c>
    </row>
    <row r="179" spans="1:26" s="24" customFormat="1" hidden="1" outlineLevel="1" x14ac:dyDescent="0.35">
      <c r="A179" s="44"/>
      <c r="B179" s="11" t="str">
        <f>CONCATENATE("          ", "5083", " - ", "PURCHASES @ COST-COMPUTER EQUI")</f>
        <v xml:space="preserve">          5083 - PURCHASES @ COST-COMPUTER EQUI</v>
      </c>
      <c r="C179" s="11"/>
      <c r="D179" s="2">
        <v>12873.49</v>
      </c>
      <c r="E179" s="2"/>
      <c r="F179" s="19">
        <f t="shared" si="33"/>
        <v>2.2023938475194321E-2</v>
      </c>
      <c r="G179" s="2"/>
      <c r="H179" s="2">
        <v>3371.86</v>
      </c>
      <c r="I179" s="2"/>
      <c r="J179" s="19">
        <f t="shared" si="34"/>
        <v>4.3160853252279738E-3</v>
      </c>
      <c r="K179" s="2"/>
      <c r="L179" s="2">
        <f t="shared" si="35"/>
        <v>9501.6299999999992</v>
      </c>
      <c r="M179" s="2"/>
      <c r="N179" s="19">
        <f t="shared" si="36"/>
        <v>2.8179194865741755</v>
      </c>
      <c r="O179" s="11"/>
      <c r="P179" s="2">
        <v>107819.31</v>
      </c>
      <c r="Q179" s="2"/>
      <c r="R179" s="19">
        <f t="shared" si="37"/>
        <v>3.7655356567895719E-3</v>
      </c>
      <c r="S179" s="2"/>
      <c r="T179" s="2">
        <v>111716.08</v>
      </c>
      <c r="U179" s="2"/>
      <c r="V179" s="19">
        <f t="shared" si="38"/>
        <v>3.1259895755429614E-3</v>
      </c>
      <c r="W179" s="2"/>
      <c r="X179" s="2">
        <f t="shared" si="39"/>
        <v>-3896.7700000000041</v>
      </c>
      <c r="Y179" s="2"/>
      <c r="Z179" s="19">
        <f t="shared" si="40"/>
        <v>-3.4881012652789145E-2</v>
      </c>
    </row>
    <row r="180" spans="1:26" s="24" customFormat="1" hidden="1" outlineLevel="1" x14ac:dyDescent="0.35">
      <c r="A180" s="44"/>
      <c r="B180" s="11" t="str">
        <f>CONCATENATE("          ", "5084", " - ", "PURCHASES @ COST-SOFTWARE LICE")</f>
        <v xml:space="preserve">          5084 - PURCHASES @ COST-SOFTWARE LICE</v>
      </c>
      <c r="C180" s="11"/>
      <c r="D180" s="2"/>
      <c r="E180" s="2"/>
      <c r="F180" s="19">
        <f t="shared" si="33"/>
        <v>0</v>
      </c>
      <c r="G180" s="2"/>
      <c r="H180" s="2"/>
      <c r="I180" s="2"/>
      <c r="J180" s="19">
        <f t="shared" si="34"/>
        <v>0</v>
      </c>
      <c r="K180" s="2"/>
      <c r="L180" s="2">
        <f t="shared" si="35"/>
        <v>0</v>
      </c>
      <c r="M180" s="2"/>
      <c r="N180" s="19">
        <f t="shared" si="36"/>
        <v>0</v>
      </c>
      <c r="O180" s="11"/>
      <c r="P180" s="2">
        <v>2728</v>
      </c>
      <c r="Q180" s="2"/>
      <c r="R180" s="19">
        <f t="shared" si="37"/>
        <v>9.5274040167034571E-5</v>
      </c>
      <c r="S180" s="2"/>
      <c r="T180" s="2">
        <v>5183</v>
      </c>
      <c r="U180" s="2"/>
      <c r="V180" s="19">
        <f t="shared" si="38"/>
        <v>1.4502839671817313E-4</v>
      </c>
      <c r="W180" s="2"/>
      <c r="X180" s="2">
        <f t="shared" si="39"/>
        <v>-2455</v>
      </c>
      <c r="Y180" s="2"/>
      <c r="Z180" s="19">
        <f t="shared" si="40"/>
        <v>-0.47366390121551227</v>
      </c>
    </row>
    <row r="181" spans="1:26" s="24" customFormat="1" hidden="1" outlineLevel="1" x14ac:dyDescent="0.35">
      <c r="A181" s="44"/>
      <c r="B181" s="11" t="str">
        <f>CONCATENATE("          ", "5085", " - ", "PURCHASES @ COST-SOFTWARE")</f>
        <v xml:space="preserve">          5085 - PURCHASES @ COST-SOFTWARE</v>
      </c>
      <c r="C181" s="11"/>
      <c r="D181" s="2">
        <v>1996.51</v>
      </c>
      <c r="E181" s="2"/>
      <c r="F181" s="19">
        <f t="shared" si="33"/>
        <v>3.4156249319423262E-3</v>
      </c>
      <c r="G181" s="2"/>
      <c r="H181" s="2">
        <v>228.11</v>
      </c>
      <c r="I181" s="2"/>
      <c r="J181" s="19">
        <f t="shared" si="34"/>
        <v>2.919878712454708E-4</v>
      </c>
      <c r="K181" s="2"/>
      <c r="L181" s="2">
        <f t="shared" si="35"/>
        <v>1768.4</v>
      </c>
      <c r="M181" s="2"/>
      <c r="N181" s="19">
        <f t="shared" si="36"/>
        <v>7.7524001578185961</v>
      </c>
      <c r="O181" s="11"/>
      <c r="P181" s="2">
        <v>17324.649999999998</v>
      </c>
      <c r="Q181" s="2"/>
      <c r="R181" s="19">
        <f t="shared" si="37"/>
        <v>6.0505476538849536E-4</v>
      </c>
      <c r="S181" s="2"/>
      <c r="T181" s="2">
        <v>12963.48</v>
      </c>
      <c r="U181" s="2"/>
      <c r="V181" s="19">
        <f t="shared" si="38"/>
        <v>3.6273832149104823E-4</v>
      </c>
      <c r="W181" s="2"/>
      <c r="X181" s="2">
        <f t="shared" si="39"/>
        <v>4361.1699999999983</v>
      </c>
      <c r="Y181" s="2"/>
      <c r="Z181" s="19">
        <f t="shared" si="40"/>
        <v>0.33641969594584159</v>
      </c>
    </row>
    <row r="182" spans="1:26" s="24" customFormat="1" hidden="1" outlineLevel="1" x14ac:dyDescent="0.35">
      <c r="A182" s="44"/>
      <c r="B182" s="11" t="str">
        <f>CONCATENATE("          ", "5086", " - ", "PURCHASES @ COST-COMPUTER SUPP")</f>
        <v xml:space="preserve">          5086 - PURCHASES @ COST-COMPUTER SUPP</v>
      </c>
      <c r="C182" s="11"/>
      <c r="D182" s="2">
        <v>127.27</v>
      </c>
      <c r="E182" s="2"/>
      <c r="F182" s="19">
        <f t="shared" si="33"/>
        <v>2.177332370427896E-4</v>
      </c>
      <c r="G182" s="2"/>
      <c r="H182" s="2">
        <v>1084.4000000000001</v>
      </c>
      <c r="I182" s="2"/>
      <c r="J182" s="19">
        <f t="shared" si="34"/>
        <v>1.3880656156178533E-3</v>
      </c>
      <c r="K182" s="2"/>
      <c r="L182" s="2">
        <f t="shared" si="35"/>
        <v>-957.13000000000011</v>
      </c>
      <c r="M182" s="2"/>
      <c r="N182" s="19">
        <f t="shared" si="36"/>
        <v>-0.8826355588343785</v>
      </c>
      <c r="O182" s="11"/>
      <c r="P182" s="2">
        <v>30436.540000000005</v>
      </c>
      <c r="Q182" s="2"/>
      <c r="R182" s="19">
        <f t="shared" si="37"/>
        <v>1.0629809877219776E-3</v>
      </c>
      <c r="S182" s="2"/>
      <c r="T182" s="2">
        <v>62151.839999999997</v>
      </c>
      <c r="U182" s="2"/>
      <c r="V182" s="19">
        <f t="shared" si="38"/>
        <v>1.739105095173533E-3</v>
      </c>
      <c r="W182" s="2"/>
      <c r="X182" s="2">
        <f t="shared" si="39"/>
        <v>-31715.299999999992</v>
      </c>
      <c r="Y182" s="2"/>
      <c r="Z182" s="19">
        <f t="shared" si="40"/>
        <v>-0.51028738650376226</v>
      </c>
    </row>
    <row r="183" spans="1:26" s="24" customFormat="1" hidden="1" outlineLevel="1" x14ac:dyDescent="0.35">
      <c r="A183" s="44"/>
      <c r="B183" s="11" t="str">
        <f>CONCATENATE("          ", "5088", " - ", "PURCHASES @ COST-MUSIC")</f>
        <v xml:space="preserve">          5088 - PURCHASES @ COST-MUSIC</v>
      </c>
      <c r="C183" s="11"/>
      <c r="D183" s="2"/>
      <c r="E183" s="2"/>
      <c r="F183" s="19">
        <f t="shared" si="33"/>
        <v>0</v>
      </c>
      <c r="G183" s="2"/>
      <c r="H183" s="2">
        <v>296</v>
      </c>
      <c r="I183" s="2"/>
      <c r="J183" s="19">
        <f t="shared" si="34"/>
        <v>3.7888917578650366E-4</v>
      </c>
      <c r="K183" s="2"/>
      <c r="L183" s="2">
        <f t="shared" si="35"/>
        <v>-296</v>
      </c>
      <c r="M183" s="2"/>
      <c r="N183" s="19">
        <f t="shared" si="36"/>
        <v>-1</v>
      </c>
      <c r="O183" s="11"/>
      <c r="P183" s="2">
        <v>95.65</v>
      </c>
      <c r="Q183" s="2"/>
      <c r="R183" s="19">
        <f t="shared" si="37"/>
        <v>3.3405285711058863E-6</v>
      </c>
      <c r="S183" s="2"/>
      <c r="T183" s="2">
        <v>2245</v>
      </c>
      <c r="U183" s="2"/>
      <c r="V183" s="19">
        <f t="shared" si="38"/>
        <v>6.2818589741905979E-5</v>
      </c>
      <c r="W183" s="2"/>
      <c r="X183" s="2">
        <f t="shared" si="39"/>
        <v>-2149.35</v>
      </c>
      <c r="Y183" s="2"/>
      <c r="Z183" s="19">
        <f t="shared" si="40"/>
        <v>-0.95739420935412023</v>
      </c>
    </row>
    <row r="184" spans="1:26" s="24" customFormat="1" hidden="1" outlineLevel="1" x14ac:dyDescent="0.35">
      <c r="A184" s="44"/>
      <c r="B184" s="11" t="str">
        <f>CONCATENATE("          ", "5092", " - ", "PURCHASES @ COST-GRAD MERCH")</f>
        <v xml:space="preserve">          5092 - PURCHASES @ COST-GRAD MERCH</v>
      </c>
      <c r="C184" s="11"/>
      <c r="D184" s="2">
        <v>9354.1</v>
      </c>
      <c r="E184" s="2"/>
      <c r="F184" s="19">
        <f t="shared" si="33"/>
        <v>1.6002973777182041E-2</v>
      </c>
      <c r="G184" s="2"/>
      <c r="H184" s="2">
        <v>72080.739999999991</v>
      </c>
      <c r="I184" s="2"/>
      <c r="J184" s="19">
        <f t="shared" si="34"/>
        <v>9.226558165095021E-2</v>
      </c>
      <c r="K184" s="2"/>
      <c r="L184" s="2">
        <f t="shared" si="35"/>
        <v>-62726.639999999992</v>
      </c>
      <c r="M184" s="2"/>
      <c r="N184" s="19">
        <f t="shared" si="36"/>
        <v>-0.87022746991776168</v>
      </c>
      <c r="O184" s="11"/>
      <c r="P184" s="2">
        <v>13839.98</v>
      </c>
      <c r="Q184" s="2"/>
      <c r="R184" s="19">
        <f t="shared" si="37"/>
        <v>4.8335440265064337E-4</v>
      </c>
      <c r="S184" s="2"/>
      <c r="T184" s="2">
        <v>96915.8</v>
      </c>
      <c r="U184" s="2"/>
      <c r="V184" s="19">
        <f t="shared" si="38"/>
        <v>2.7118547348367983E-3</v>
      </c>
      <c r="W184" s="2"/>
      <c r="X184" s="2">
        <f t="shared" si="39"/>
        <v>-83075.820000000007</v>
      </c>
      <c r="Y184" s="2"/>
      <c r="Z184" s="19">
        <f t="shared" si="40"/>
        <v>-0.85719583390943488</v>
      </c>
    </row>
    <row r="185" spans="1:26" s="24" customFormat="1" hidden="1" outlineLevel="1" x14ac:dyDescent="0.35">
      <c r="A185" s="44"/>
      <c r="B185" s="11" t="str">
        <f>CONCATENATE("          ", "5095", " - ", "PURCHASES @ COST-CUSTOMER SERV")</f>
        <v xml:space="preserve">          5095 - PURCHASES @ COST-CUSTOMER SERV</v>
      </c>
      <c r="C185" s="11"/>
      <c r="D185" s="2">
        <v>0</v>
      </c>
      <c r="E185" s="2"/>
      <c r="F185" s="19">
        <f t="shared" si="33"/>
        <v>0</v>
      </c>
      <c r="G185" s="2"/>
      <c r="H185" s="2">
        <v>0</v>
      </c>
      <c r="I185" s="2"/>
      <c r="J185" s="19">
        <f t="shared" si="34"/>
        <v>0</v>
      </c>
      <c r="K185" s="2"/>
      <c r="L185" s="2">
        <f t="shared" si="35"/>
        <v>0</v>
      </c>
      <c r="M185" s="2"/>
      <c r="N185" s="19">
        <f t="shared" si="36"/>
        <v>0</v>
      </c>
      <c r="O185" s="11"/>
      <c r="P185" s="2">
        <v>0</v>
      </c>
      <c r="Q185" s="2"/>
      <c r="R185" s="19">
        <f t="shared" si="37"/>
        <v>0</v>
      </c>
      <c r="S185" s="2"/>
      <c r="T185" s="2">
        <v>0</v>
      </c>
      <c r="U185" s="2"/>
      <c r="V185" s="19">
        <f t="shared" si="38"/>
        <v>0</v>
      </c>
      <c r="W185" s="2"/>
      <c r="X185" s="2">
        <f t="shared" si="39"/>
        <v>0</v>
      </c>
      <c r="Y185" s="2"/>
      <c r="Z185" s="19">
        <f t="shared" si="40"/>
        <v>0</v>
      </c>
    </row>
    <row r="186" spans="1:26" s="24" customFormat="1" hidden="1" outlineLevel="1" x14ac:dyDescent="0.35">
      <c r="A186" s="44"/>
      <c r="B186" s="11" t="str">
        <f>CONCATENATE("          ", "5200", " - ", "PURCHASES OFFSET")</f>
        <v xml:space="preserve">          5200 - PURCHASES OFFSET</v>
      </c>
      <c r="C186" s="11"/>
      <c r="D186" s="2">
        <v>-508944</v>
      </c>
      <c r="E186" s="2"/>
      <c r="F186" s="19">
        <f t="shared" si="33"/>
        <v>-0.87070027966925045</v>
      </c>
      <c r="G186" s="2"/>
      <c r="H186" s="2">
        <v>-886436</v>
      </c>
      <c r="I186" s="2"/>
      <c r="J186" s="19">
        <f t="shared" si="34"/>
        <v>-1.134665558876639</v>
      </c>
      <c r="K186" s="2"/>
      <c r="L186" s="2">
        <f t="shared" si="35"/>
        <v>377492</v>
      </c>
      <c r="M186" s="2"/>
      <c r="N186" s="19">
        <f t="shared" si="36"/>
        <v>-0.42585364312821228</v>
      </c>
      <c r="O186" s="11"/>
      <c r="P186" s="2">
        <v>-6025314</v>
      </c>
      <c r="Q186" s="2"/>
      <c r="R186" s="19">
        <f t="shared" si="37"/>
        <v>-0.21043108799669932</v>
      </c>
      <c r="S186" s="2"/>
      <c r="T186" s="2">
        <v>-7325548</v>
      </c>
      <c r="U186" s="2"/>
      <c r="V186" s="19">
        <f t="shared" si="38"/>
        <v>-0.20498022024349213</v>
      </c>
      <c r="W186" s="2"/>
      <c r="X186" s="2">
        <f t="shared" si="39"/>
        <v>1300234</v>
      </c>
      <c r="Y186" s="2"/>
      <c r="Z186" s="19">
        <f t="shared" si="40"/>
        <v>-0.17749306946046903</v>
      </c>
    </row>
    <row r="187" spans="1:26" s="24" customFormat="1" hidden="1" outlineLevel="1" x14ac:dyDescent="0.35">
      <c r="A187" s="44"/>
      <c r="B187" s="11" t="str">
        <f>CONCATENATE("          ", "5300", " - ", "COG$ OFFSET")</f>
        <v xml:space="preserve">          5300 - COG$ OFFSET</v>
      </c>
      <c r="C187" s="11"/>
      <c r="D187" s="2">
        <v>626650.53</v>
      </c>
      <c r="E187" s="2"/>
      <c r="F187" s="19">
        <f t="shared" si="33"/>
        <v>1.0720723531977665</v>
      </c>
      <c r="G187" s="2"/>
      <c r="H187" s="2">
        <v>296158</v>
      </c>
      <c r="I187" s="2"/>
      <c r="J187" s="19">
        <f t="shared" si="34"/>
        <v>0.37909142068438972</v>
      </c>
      <c r="K187" s="2"/>
      <c r="L187" s="2">
        <f t="shared" si="35"/>
        <v>330492.53000000003</v>
      </c>
      <c r="M187" s="2"/>
      <c r="N187" s="19">
        <f t="shared" si="36"/>
        <v>1.1159331505480183</v>
      </c>
      <c r="O187" s="11"/>
      <c r="P187" s="2">
        <v>6784339</v>
      </c>
      <c r="Q187" s="2"/>
      <c r="R187" s="19">
        <f t="shared" si="37"/>
        <v>0.23693965776861406</v>
      </c>
      <c r="S187" s="2"/>
      <c r="T187" s="2">
        <v>7638476</v>
      </c>
      <c r="U187" s="2"/>
      <c r="V187" s="19">
        <f t="shared" si="38"/>
        <v>0.21373643211465257</v>
      </c>
      <c r="W187" s="2"/>
      <c r="X187" s="2">
        <f t="shared" si="39"/>
        <v>-854137</v>
      </c>
      <c r="Y187" s="2"/>
      <c r="Z187" s="19">
        <f t="shared" si="40"/>
        <v>-0.11182034217296749</v>
      </c>
    </row>
    <row r="188" spans="1:26" s="24" customFormat="1" hidden="1" outlineLevel="1" x14ac:dyDescent="0.35">
      <c r="A188" s="44"/>
      <c r="B188" s="11" t="str">
        <f>CONCATENATE("          ", "5500", " - ", "FREIGHT-IN")</f>
        <v xml:space="preserve">          5500 - FREIGHT-IN</v>
      </c>
      <c r="C188" s="11"/>
      <c r="D188" s="2">
        <v>83.13</v>
      </c>
      <c r="E188" s="2"/>
      <c r="F188" s="19">
        <f t="shared" si="33"/>
        <v>1.4221862179120845E-4</v>
      </c>
      <c r="G188" s="2"/>
      <c r="H188" s="2"/>
      <c r="I188" s="2"/>
      <c r="J188" s="19">
        <f t="shared" si="34"/>
        <v>0</v>
      </c>
      <c r="K188" s="2"/>
      <c r="L188" s="2">
        <f t="shared" si="35"/>
        <v>83.13</v>
      </c>
      <c r="M188" s="2"/>
      <c r="N188" s="19">
        <f t="shared" si="36"/>
        <v>0</v>
      </c>
      <c r="O188" s="11"/>
      <c r="P188" s="2">
        <v>239.61</v>
      </c>
      <c r="Q188" s="2"/>
      <c r="R188" s="19">
        <f t="shared" si="37"/>
        <v>8.3682598110055565E-6</v>
      </c>
      <c r="S188" s="2"/>
      <c r="T188" s="2">
        <v>202.99</v>
      </c>
      <c r="U188" s="2"/>
      <c r="V188" s="19">
        <f t="shared" si="38"/>
        <v>5.6799757379552315E-6</v>
      </c>
      <c r="W188" s="2"/>
      <c r="X188" s="2">
        <f t="shared" si="39"/>
        <v>36.620000000000005</v>
      </c>
      <c r="Y188" s="2"/>
      <c r="Z188" s="19">
        <f t="shared" si="40"/>
        <v>0.18040297551603529</v>
      </c>
    </row>
    <row r="189" spans="1:26" s="24" customFormat="1" hidden="1" outlineLevel="1" x14ac:dyDescent="0.35">
      <c r="A189" s="44"/>
      <c r="B189" s="11" t="str">
        <f>CONCATENATE("          ", "5501", " - ", "FREIGHT-IN-NEW TEXT")</f>
        <v xml:space="preserve">          5501 - FREIGHT-IN-NEW TEXT</v>
      </c>
      <c r="C189" s="11"/>
      <c r="D189" s="2">
        <v>2483.06</v>
      </c>
      <c r="E189" s="2"/>
      <c r="F189" s="19">
        <f t="shared" si="33"/>
        <v>4.2480136054959469E-3</v>
      </c>
      <c r="G189" s="2"/>
      <c r="H189" s="2">
        <v>1815.25</v>
      </c>
      <c r="I189" s="2"/>
      <c r="J189" s="19">
        <f t="shared" si="34"/>
        <v>2.3235762714407119E-3</v>
      </c>
      <c r="K189" s="2"/>
      <c r="L189" s="2">
        <f t="shared" si="35"/>
        <v>667.81</v>
      </c>
      <c r="M189" s="2"/>
      <c r="N189" s="19">
        <f t="shared" si="36"/>
        <v>0.36788872056190602</v>
      </c>
      <c r="O189" s="11"/>
      <c r="P189" s="2">
        <v>72230.790000000008</v>
      </c>
      <c r="Q189" s="2"/>
      <c r="R189" s="19">
        <f t="shared" si="37"/>
        <v>2.5226243356879178E-3</v>
      </c>
      <c r="S189" s="2"/>
      <c r="T189" s="2">
        <v>66019.19</v>
      </c>
      <c r="U189" s="2"/>
      <c r="V189" s="19">
        <f t="shared" si="38"/>
        <v>1.8473195597785933E-3</v>
      </c>
      <c r="W189" s="2"/>
      <c r="X189" s="2">
        <f t="shared" si="39"/>
        <v>6211.6000000000058</v>
      </c>
      <c r="Y189" s="2"/>
      <c r="Z189" s="19">
        <f t="shared" si="40"/>
        <v>9.4087794776034142E-2</v>
      </c>
    </row>
    <row r="190" spans="1:26" s="24" customFormat="1" hidden="1" outlineLevel="1" x14ac:dyDescent="0.35">
      <c r="A190" s="44"/>
      <c r="B190" s="11" t="str">
        <f>CONCATENATE("          ", "5502", " - ", "FREIGHT-IN-USED TEXT")</f>
        <v xml:space="preserve">          5502 - FREIGHT-IN-USED TEXT</v>
      </c>
      <c r="C190" s="11"/>
      <c r="D190" s="2">
        <v>519.36</v>
      </c>
      <c r="E190" s="2"/>
      <c r="F190" s="19">
        <f t="shared" si="33"/>
        <v>8.8851994963890315E-4</v>
      </c>
      <c r="G190" s="2"/>
      <c r="H190" s="2">
        <v>351.17</v>
      </c>
      <c r="I190" s="2"/>
      <c r="J190" s="19">
        <f t="shared" si="34"/>
        <v>4.4950848601671114E-4</v>
      </c>
      <c r="K190" s="2"/>
      <c r="L190" s="2">
        <f t="shared" si="35"/>
        <v>168.19</v>
      </c>
      <c r="M190" s="2"/>
      <c r="N190" s="19">
        <f t="shared" si="36"/>
        <v>0.47894182304866584</v>
      </c>
      <c r="O190" s="11"/>
      <c r="P190" s="2">
        <v>16200.12</v>
      </c>
      <c r="Q190" s="2"/>
      <c r="R190" s="19">
        <f t="shared" si="37"/>
        <v>5.6578111568576989E-4</v>
      </c>
      <c r="S190" s="2"/>
      <c r="T190" s="2">
        <v>14394.46</v>
      </c>
      <c r="U190" s="2"/>
      <c r="V190" s="19">
        <f t="shared" si="38"/>
        <v>4.0277936627896476E-4</v>
      </c>
      <c r="W190" s="2"/>
      <c r="X190" s="2">
        <f t="shared" si="39"/>
        <v>1805.6600000000017</v>
      </c>
      <c r="Y190" s="2"/>
      <c r="Z190" s="19">
        <f t="shared" si="40"/>
        <v>0.12544131561725844</v>
      </c>
    </row>
    <row r="191" spans="1:26" s="24" customFormat="1" hidden="1" outlineLevel="1" x14ac:dyDescent="0.35">
      <c r="A191" s="44"/>
      <c r="B191" s="11" t="str">
        <f>CONCATENATE("          ", "5504", " - ", "FREIGHT-IN-DIGITAL TEXT")</f>
        <v xml:space="preserve">          5504 - FREIGHT-IN-DIGITAL TEXT</v>
      </c>
      <c r="C191" s="11"/>
      <c r="D191" s="2"/>
      <c r="E191" s="2"/>
      <c r="F191" s="19">
        <f t="shared" si="33"/>
        <v>0</v>
      </c>
      <c r="G191" s="2"/>
      <c r="H191" s="2"/>
      <c r="I191" s="2"/>
      <c r="J191" s="19">
        <f t="shared" si="34"/>
        <v>0</v>
      </c>
      <c r="K191" s="2"/>
      <c r="L191" s="2">
        <f t="shared" si="35"/>
        <v>0</v>
      </c>
      <c r="M191" s="2"/>
      <c r="N191" s="19">
        <f t="shared" si="36"/>
        <v>0</v>
      </c>
      <c r="O191" s="11"/>
      <c r="P191" s="2">
        <v>118.75</v>
      </c>
      <c r="Q191" s="2"/>
      <c r="R191" s="19">
        <f t="shared" si="37"/>
        <v>4.1472845563912593E-6</v>
      </c>
      <c r="S191" s="2"/>
      <c r="T191" s="2">
        <v>243.53</v>
      </c>
      <c r="U191" s="2"/>
      <c r="V191" s="19">
        <f t="shared" si="38"/>
        <v>6.8143479553881348E-6</v>
      </c>
      <c r="W191" s="2"/>
      <c r="X191" s="2">
        <f t="shared" si="39"/>
        <v>-124.78</v>
      </c>
      <c r="Y191" s="2"/>
      <c r="Z191" s="19">
        <f t="shared" si="40"/>
        <v>-0.5123804048782491</v>
      </c>
    </row>
    <row r="192" spans="1:26" s="24" customFormat="1" hidden="1" outlineLevel="1" x14ac:dyDescent="0.35">
      <c r="A192" s="44"/>
      <c r="B192" s="11" t="str">
        <f>CONCATENATE("          ", "5513", " - ", "FREIGHT-IN-TRADE BOOKS")</f>
        <v xml:space="preserve">          5513 - FREIGHT-IN-TRADE BOOKS</v>
      </c>
      <c r="C192" s="11"/>
      <c r="D192" s="2"/>
      <c r="E192" s="2"/>
      <c r="F192" s="19">
        <f t="shared" si="33"/>
        <v>0</v>
      </c>
      <c r="G192" s="2"/>
      <c r="H192" s="2"/>
      <c r="I192" s="2"/>
      <c r="J192" s="19">
        <f t="shared" si="34"/>
        <v>0</v>
      </c>
      <c r="K192" s="2"/>
      <c r="L192" s="2">
        <f t="shared" si="35"/>
        <v>0</v>
      </c>
      <c r="M192" s="2"/>
      <c r="N192" s="19">
        <f t="shared" si="36"/>
        <v>0</v>
      </c>
      <c r="O192" s="11"/>
      <c r="P192" s="2">
        <v>30.24</v>
      </c>
      <c r="Q192" s="2"/>
      <c r="R192" s="19">
        <f t="shared" si="37"/>
        <v>1.0561169261917616E-6</v>
      </c>
      <c r="S192" s="2"/>
      <c r="T192" s="2">
        <v>54.9</v>
      </c>
      <c r="U192" s="2"/>
      <c r="V192" s="19">
        <f t="shared" si="38"/>
        <v>1.5361873393454958E-6</v>
      </c>
      <c r="W192" s="2"/>
      <c r="X192" s="2">
        <f t="shared" si="39"/>
        <v>-24.66</v>
      </c>
      <c r="Y192" s="2"/>
      <c r="Z192" s="19">
        <f t="shared" si="40"/>
        <v>-0.44918032786885248</v>
      </c>
    </row>
    <row r="193" spans="1:26" s="24" customFormat="1" hidden="1" outlineLevel="1" x14ac:dyDescent="0.35">
      <c r="A193" s="44"/>
      <c r="B193" s="11" t="str">
        <f>CONCATENATE("          ", "5518", " - ", "FREIGHT-IN-STUDY GUIDES")</f>
        <v xml:space="preserve">          5518 - FREIGHT-IN-STUDY GUIDES</v>
      </c>
      <c r="C193" s="11"/>
      <c r="D193" s="2"/>
      <c r="E193" s="2"/>
      <c r="F193" s="19">
        <f t="shared" si="33"/>
        <v>0</v>
      </c>
      <c r="G193" s="2"/>
      <c r="H193" s="2"/>
      <c r="I193" s="2"/>
      <c r="J193" s="19">
        <f t="shared" si="34"/>
        <v>0</v>
      </c>
      <c r="K193" s="2"/>
      <c r="L193" s="2">
        <f t="shared" si="35"/>
        <v>0</v>
      </c>
      <c r="M193" s="2"/>
      <c r="N193" s="19">
        <f t="shared" si="36"/>
        <v>0</v>
      </c>
      <c r="O193" s="11"/>
      <c r="P193" s="2">
        <v>21.13</v>
      </c>
      <c r="Q193" s="2"/>
      <c r="R193" s="19">
        <f t="shared" si="37"/>
        <v>7.3795471727618782E-7</v>
      </c>
      <c r="S193" s="2"/>
      <c r="T193" s="2"/>
      <c r="U193" s="2"/>
      <c r="V193" s="19">
        <f t="shared" si="38"/>
        <v>0</v>
      </c>
      <c r="W193" s="2"/>
      <c r="X193" s="2">
        <f t="shared" si="39"/>
        <v>21.13</v>
      </c>
      <c r="Y193" s="2"/>
      <c r="Z193" s="19">
        <f t="shared" si="40"/>
        <v>0</v>
      </c>
    </row>
    <row r="194" spans="1:26" s="24" customFormat="1" hidden="1" outlineLevel="1" x14ac:dyDescent="0.35">
      <c r="A194" s="44"/>
      <c r="B194" s="11" t="str">
        <f>CONCATENATE("          ", "5525", " - ", "FREIGHT-IN-TEST FORMS")</f>
        <v xml:space="preserve">          5525 - FREIGHT-IN-TEST FORMS</v>
      </c>
      <c r="C194" s="11"/>
      <c r="D194" s="2"/>
      <c r="E194" s="2"/>
      <c r="F194" s="19">
        <f t="shared" si="33"/>
        <v>0</v>
      </c>
      <c r="G194" s="2"/>
      <c r="H194" s="2"/>
      <c r="I194" s="2"/>
      <c r="J194" s="19">
        <f t="shared" si="34"/>
        <v>0</v>
      </c>
      <c r="K194" s="2"/>
      <c r="L194" s="2">
        <f t="shared" si="35"/>
        <v>0</v>
      </c>
      <c r="M194" s="2"/>
      <c r="N194" s="19">
        <f t="shared" si="36"/>
        <v>0</v>
      </c>
      <c r="O194" s="11"/>
      <c r="P194" s="2">
        <v>1614.32</v>
      </c>
      <c r="Q194" s="2"/>
      <c r="R194" s="19">
        <f t="shared" si="37"/>
        <v>5.6379321305882423E-5</v>
      </c>
      <c r="S194" s="2"/>
      <c r="T194" s="2">
        <v>390.96</v>
      </c>
      <c r="U194" s="2"/>
      <c r="V194" s="19">
        <f t="shared" si="38"/>
        <v>1.0939668528060384E-5</v>
      </c>
      <c r="W194" s="2"/>
      <c r="X194" s="2">
        <f t="shared" si="39"/>
        <v>1223.3599999999999</v>
      </c>
      <c r="Y194" s="2"/>
      <c r="Z194" s="19">
        <f t="shared" si="40"/>
        <v>3.1291180683445874</v>
      </c>
    </row>
    <row r="195" spans="1:26" s="24" customFormat="1" hidden="1" outlineLevel="1" x14ac:dyDescent="0.35">
      <c r="A195" s="44"/>
      <c r="B195" s="11" t="str">
        <f>CONCATENATE("          ", "5526", " - ", "FREIGHT-IN-WRITING INSTRUMENTS")</f>
        <v xml:space="preserve">          5526 - FREIGHT-IN-WRITING INSTRUMENTS</v>
      </c>
      <c r="C195" s="11"/>
      <c r="D195" s="2"/>
      <c r="E195" s="2"/>
      <c r="F195" s="19">
        <f t="shared" si="33"/>
        <v>0</v>
      </c>
      <c r="G195" s="2"/>
      <c r="H195" s="2">
        <v>6.5</v>
      </c>
      <c r="I195" s="2"/>
      <c r="J195" s="19">
        <f t="shared" si="34"/>
        <v>8.3202014953117365E-6</v>
      </c>
      <c r="K195" s="2"/>
      <c r="L195" s="2">
        <f t="shared" si="35"/>
        <v>-6.5</v>
      </c>
      <c r="M195" s="2"/>
      <c r="N195" s="19">
        <f t="shared" si="36"/>
        <v>-1</v>
      </c>
      <c r="O195" s="11"/>
      <c r="P195" s="2">
        <v>274.5</v>
      </c>
      <c r="Q195" s="2"/>
      <c r="R195" s="19">
        <f t="shared" si="37"/>
        <v>9.5867756693002164E-6</v>
      </c>
      <c r="S195" s="2"/>
      <c r="T195" s="2">
        <v>262.62</v>
      </c>
      <c r="U195" s="2"/>
      <c r="V195" s="19">
        <f t="shared" si="38"/>
        <v>7.3485158298527163E-6</v>
      </c>
      <c r="W195" s="2"/>
      <c r="X195" s="2">
        <f t="shared" si="39"/>
        <v>11.879999999999995</v>
      </c>
      <c r="Y195" s="2"/>
      <c r="Z195" s="19">
        <f t="shared" si="40"/>
        <v>4.5236463331048644E-2</v>
      </c>
    </row>
    <row r="196" spans="1:26" s="24" customFormat="1" hidden="1" outlineLevel="1" x14ac:dyDescent="0.35">
      <c r="A196" s="44"/>
      <c r="B196" s="11" t="str">
        <f>CONCATENATE("          ", "5527", " - ", "FREIGHT-IN-SCHOOL SUPPLIES")</f>
        <v xml:space="preserve">          5527 - FREIGHT-IN-SCHOOL SUPPLIES</v>
      </c>
      <c r="C196" s="11"/>
      <c r="D196" s="2"/>
      <c r="E196" s="2"/>
      <c r="F196" s="19">
        <f t="shared" si="33"/>
        <v>0</v>
      </c>
      <c r="G196" s="2"/>
      <c r="H196" s="2">
        <v>194.74</v>
      </c>
      <c r="I196" s="2"/>
      <c r="J196" s="19">
        <f t="shared" si="34"/>
        <v>2.4927323679953961E-4</v>
      </c>
      <c r="K196" s="2"/>
      <c r="L196" s="2">
        <f t="shared" si="35"/>
        <v>-194.74</v>
      </c>
      <c r="M196" s="2"/>
      <c r="N196" s="19">
        <f t="shared" si="36"/>
        <v>-1</v>
      </c>
      <c r="O196" s="11"/>
      <c r="P196" s="2">
        <v>1808</v>
      </c>
      <c r="Q196" s="2"/>
      <c r="R196" s="19">
        <f t="shared" si="37"/>
        <v>6.3143498761729659E-5</v>
      </c>
      <c r="S196" s="2"/>
      <c r="T196" s="2">
        <v>2106.8200000000002</v>
      </c>
      <c r="U196" s="2"/>
      <c r="V196" s="19">
        <f t="shared" si="38"/>
        <v>5.8952098547903061E-5</v>
      </c>
      <c r="W196" s="2"/>
      <c r="X196" s="2">
        <f t="shared" si="39"/>
        <v>-298.82000000000016</v>
      </c>
      <c r="Y196" s="2"/>
      <c r="Z196" s="19">
        <f t="shared" si="40"/>
        <v>-0.14183461330346217</v>
      </c>
    </row>
    <row r="197" spans="1:26" s="24" customFormat="1" hidden="1" outlineLevel="1" x14ac:dyDescent="0.35">
      <c r="A197" s="44"/>
      <c r="B197" s="11" t="str">
        <f>CONCATENATE("          ", "5528", " - ", "FREIGHT-IN-ART/TECH")</f>
        <v xml:space="preserve">          5528 - FREIGHT-IN-ART/TECH</v>
      </c>
      <c r="C197" s="11"/>
      <c r="D197" s="2">
        <v>13.33</v>
      </c>
      <c r="E197" s="2"/>
      <c r="F197" s="19">
        <f t="shared" si="33"/>
        <v>2.2804934782591225E-5</v>
      </c>
      <c r="G197" s="2"/>
      <c r="H197" s="2">
        <v>54.91</v>
      </c>
      <c r="I197" s="2"/>
      <c r="J197" s="19">
        <f t="shared" si="34"/>
        <v>7.0286502170394986E-5</v>
      </c>
      <c r="K197" s="2"/>
      <c r="L197" s="2">
        <f t="shared" si="35"/>
        <v>-41.58</v>
      </c>
      <c r="M197" s="2"/>
      <c r="N197" s="19">
        <f t="shared" si="36"/>
        <v>-0.75723911855763981</v>
      </c>
      <c r="O197" s="11"/>
      <c r="P197" s="2">
        <v>2837.7</v>
      </c>
      <c r="Q197" s="2"/>
      <c r="R197" s="19">
        <f t="shared" si="37"/>
        <v>9.910525798460191E-5</v>
      </c>
      <c r="S197" s="2"/>
      <c r="T197" s="2">
        <v>7608.5</v>
      </c>
      <c r="U197" s="2"/>
      <c r="V197" s="19">
        <f t="shared" si="38"/>
        <v>2.1289765703843725E-4</v>
      </c>
      <c r="W197" s="2"/>
      <c r="X197" s="2">
        <f t="shared" si="39"/>
        <v>-4770.8</v>
      </c>
      <c r="Y197" s="2"/>
      <c r="Z197" s="19">
        <f t="shared" si="40"/>
        <v>-0.62703555234277453</v>
      </c>
    </row>
    <row r="198" spans="1:26" s="24" customFormat="1" hidden="1" outlineLevel="1" x14ac:dyDescent="0.35">
      <c r="A198" s="44"/>
      <c r="B198" s="11" t="str">
        <f>CONCATENATE("          ", "5540", " - ", "FREIGHT-IN-LOGO CLOTHING")</f>
        <v xml:space="preserve">          5540 - FREIGHT-IN-LOGO CLOTHING</v>
      </c>
      <c r="C198" s="11"/>
      <c r="D198" s="2">
        <v>29.98</v>
      </c>
      <c r="E198" s="2"/>
      <c r="F198" s="19">
        <f t="shared" si="33"/>
        <v>5.1289718288228426E-5</v>
      </c>
      <c r="G198" s="2"/>
      <c r="H198" s="2">
        <v>5856.09</v>
      </c>
      <c r="I198" s="2"/>
      <c r="J198" s="19">
        <f t="shared" si="34"/>
        <v>7.4959767345661697E-3</v>
      </c>
      <c r="K198" s="2"/>
      <c r="L198" s="2">
        <f t="shared" si="35"/>
        <v>-5826.1100000000006</v>
      </c>
      <c r="M198" s="2"/>
      <c r="N198" s="19">
        <f t="shared" si="36"/>
        <v>-0.99488054316105123</v>
      </c>
      <c r="O198" s="11"/>
      <c r="P198" s="2">
        <v>32548.979999999996</v>
      </c>
      <c r="Q198" s="2"/>
      <c r="R198" s="19">
        <f t="shared" si="37"/>
        <v>1.1367569017287408E-3</v>
      </c>
      <c r="S198" s="2"/>
      <c r="T198" s="2">
        <v>35751.939999999995</v>
      </c>
      <c r="U198" s="2"/>
      <c r="V198" s="19">
        <f t="shared" si="38"/>
        <v>1.0003948558295046E-3</v>
      </c>
      <c r="W198" s="2"/>
      <c r="X198" s="2">
        <f t="shared" si="39"/>
        <v>-3202.9599999999991</v>
      </c>
      <c r="Y198" s="2"/>
      <c r="Z198" s="19">
        <f t="shared" si="40"/>
        <v>-8.9588425131615218E-2</v>
      </c>
    </row>
    <row r="199" spans="1:26" s="24" customFormat="1" hidden="1" outlineLevel="1" x14ac:dyDescent="0.35">
      <c r="A199" s="44"/>
      <c r="B199" s="11" t="str">
        <f>CONCATENATE("          ", "5541", " - ", "FREIGHT-IN-LOGO GIFTS")</f>
        <v xml:space="preserve">          5541 - FREIGHT-IN-LOGO GIFTS</v>
      </c>
      <c r="C199" s="11"/>
      <c r="D199" s="2">
        <v>348.31</v>
      </c>
      <c r="E199" s="2"/>
      <c r="F199" s="19">
        <f t="shared" si="33"/>
        <v>5.9588798455546506E-4</v>
      </c>
      <c r="G199" s="2"/>
      <c r="H199" s="2">
        <v>-327.45</v>
      </c>
      <c r="I199" s="2"/>
      <c r="J199" s="19">
        <f t="shared" si="34"/>
        <v>-4.1914615071381964E-4</v>
      </c>
      <c r="K199" s="2"/>
      <c r="L199" s="2">
        <f t="shared" si="35"/>
        <v>675.76</v>
      </c>
      <c r="M199" s="2"/>
      <c r="N199" s="19">
        <f t="shared" si="36"/>
        <v>-2.0637043823484502</v>
      </c>
      <c r="O199" s="11"/>
      <c r="P199" s="2">
        <v>5574.41</v>
      </c>
      <c r="Q199" s="2"/>
      <c r="R199" s="19">
        <f t="shared" si="37"/>
        <v>1.9468349055994105E-4</v>
      </c>
      <c r="S199" s="2"/>
      <c r="T199" s="2">
        <v>8438.06</v>
      </c>
      <c r="U199" s="2"/>
      <c r="V199" s="19">
        <f t="shared" si="38"/>
        <v>2.3611003534859115E-4</v>
      </c>
      <c r="W199" s="2"/>
      <c r="X199" s="2">
        <f t="shared" si="39"/>
        <v>-2863.6499999999996</v>
      </c>
      <c r="Y199" s="2"/>
      <c r="Z199" s="19">
        <f t="shared" si="40"/>
        <v>-0.33937303124177831</v>
      </c>
    </row>
    <row r="200" spans="1:26" s="24" customFormat="1" hidden="1" outlineLevel="1" x14ac:dyDescent="0.35">
      <c r="A200" s="44"/>
      <c r="B200" s="11" t="str">
        <f>CONCATENATE("          ", "5542", " - ", "FREIGHT-IN-EVERYDAY GIFTS")</f>
        <v xml:space="preserve">          5542 - FREIGHT-IN-EVERYDAY GIFTS</v>
      </c>
      <c r="C200" s="11"/>
      <c r="D200" s="2"/>
      <c r="E200" s="2"/>
      <c r="F200" s="19">
        <f t="shared" si="33"/>
        <v>0</v>
      </c>
      <c r="G200" s="2"/>
      <c r="H200" s="2">
        <v>62.85</v>
      </c>
      <c r="I200" s="2"/>
      <c r="J200" s="19">
        <f t="shared" si="34"/>
        <v>8.0449948304668097E-5</v>
      </c>
      <c r="K200" s="2"/>
      <c r="L200" s="2">
        <f t="shared" si="35"/>
        <v>-62.85</v>
      </c>
      <c r="M200" s="2"/>
      <c r="N200" s="19">
        <f t="shared" si="36"/>
        <v>-1</v>
      </c>
      <c r="O200" s="11"/>
      <c r="P200" s="2">
        <v>2223.5100000000002</v>
      </c>
      <c r="Q200" s="2"/>
      <c r="R200" s="19">
        <f t="shared" si="37"/>
        <v>7.7654978391423419E-5</v>
      </c>
      <c r="S200" s="2"/>
      <c r="T200" s="2">
        <v>2038.06</v>
      </c>
      <c r="U200" s="2"/>
      <c r="V200" s="19">
        <f t="shared" si="38"/>
        <v>5.7028086863870335E-5</v>
      </c>
      <c r="W200" s="2"/>
      <c r="X200" s="2">
        <f t="shared" si="39"/>
        <v>185.45000000000027</v>
      </c>
      <c r="Y200" s="2"/>
      <c r="Z200" s="19">
        <f t="shared" si="40"/>
        <v>9.0993395680205827E-2</v>
      </c>
    </row>
    <row r="201" spans="1:26" s="24" customFormat="1" hidden="1" outlineLevel="1" x14ac:dyDescent="0.35">
      <c r="A201" s="44"/>
      <c r="B201" s="11" t="str">
        <f>CONCATENATE("          ", "5543", " - ", "FREIGHT-IN-CARDS")</f>
        <v xml:space="preserve">          5543 - FREIGHT-IN-CARDS</v>
      </c>
      <c r="C201" s="11"/>
      <c r="D201" s="2"/>
      <c r="E201" s="2"/>
      <c r="F201" s="19">
        <f t="shared" si="33"/>
        <v>0</v>
      </c>
      <c r="G201" s="2"/>
      <c r="H201" s="2"/>
      <c r="I201" s="2"/>
      <c r="J201" s="19">
        <f t="shared" si="34"/>
        <v>0</v>
      </c>
      <c r="K201" s="2"/>
      <c r="L201" s="2">
        <f t="shared" si="35"/>
        <v>0</v>
      </c>
      <c r="M201" s="2"/>
      <c r="N201" s="19">
        <f t="shared" si="36"/>
        <v>0</v>
      </c>
      <c r="O201" s="11"/>
      <c r="P201" s="2">
        <v>2926.76</v>
      </c>
      <c r="Q201" s="2"/>
      <c r="R201" s="19">
        <f t="shared" si="37"/>
        <v>1.0221563409064155E-4</v>
      </c>
      <c r="S201" s="2"/>
      <c r="T201" s="2">
        <v>57.18</v>
      </c>
      <c r="U201" s="2"/>
      <c r="V201" s="19">
        <f t="shared" si="38"/>
        <v>1.5999852834931777E-6</v>
      </c>
      <c r="W201" s="2"/>
      <c r="X201" s="2">
        <f t="shared" si="39"/>
        <v>2869.5800000000004</v>
      </c>
      <c r="Y201" s="2"/>
      <c r="Z201" s="19">
        <f t="shared" si="40"/>
        <v>50.185029730675069</v>
      </c>
    </row>
    <row r="202" spans="1:26" s="24" customFormat="1" hidden="1" outlineLevel="1" x14ac:dyDescent="0.35">
      <c r="A202" s="44"/>
      <c r="B202" s="11" t="str">
        <f>CONCATENATE("          ", "5544", " - ", "FREIGHT-IN-ACCESSORIES")</f>
        <v xml:space="preserve">          5544 - FREIGHT-IN-ACCESSORIES</v>
      </c>
      <c r="C202" s="11"/>
      <c r="D202" s="2"/>
      <c r="E202" s="2"/>
      <c r="F202" s="19">
        <f t="shared" si="33"/>
        <v>0</v>
      </c>
      <c r="G202" s="2"/>
      <c r="H202" s="2"/>
      <c r="I202" s="2"/>
      <c r="J202" s="19">
        <f t="shared" si="34"/>
        <v>0</v>
      </c>
      <c r="K202" s="2"/>
      <c r="L202" s="2">
        <f t="shared" si="35"/>
        <v>0</v>
      </c>
      <c r="M202" s="2"/>
      <c r="N202" s="19">
        <f t="shared" si="36"/>
        <v>0</v>
      </c>
      <c r="O202" s="11"/>
      <c r="P202" s="2">
        <v>483.44</v>
      </c>
      <c r="Q202" s="2"/>
      <c r="R202" s="19">
        <f t="shared" si="37"/>
        <v>1.6883901018457182E-5</v>
      </c>
      <c r="S202" s="2"/>
      <c r="T202" s="2">
        <v>1360.08</v>
      </c>
      <c r="U202" s="2"/>
      <c r="V202" s="19">
        <f t="shared" si="38"/>
        <v>3.8057152577359233E-5</v>
      </c>
      <c r="W202" s="2"/>
      <c r="X202" s="2">
        <f t="shared" si="39"/>
        <v>-876.63999999999987</v>
      </c>
      <c r="Y202" s="2"/>
      <c r="Z202" s="19">
        <f t="shared" si="40"/>
        <v>-0.64455032056937822</v>
      </c>
    </row>
    <row r="203" spans="1:26" s="24" customFormat="1" hidden="1" outlineLevel="1" x14ac:dyDescent="0.35">
      <c r="A203" s="44"/>
      <c r="B203" s="11" t="str">
        <f>CONCATENATE("          ", "5545", " - ", "FREIGHT-IN-SPECIAL ORDERS")</f>
        <v xml:space="preserve">          5545 - FREIGHT-IN-SPECIAL ORDERS</v>
      </c>
      <c r="C203" s="11"/>
      <c r="D203" s="2">
        <v>355.3</v>
      </c>
      <c r="E203" s="2"/>
      <c r="F203" s="19">
        <f t="shared" si="33"/>
        <v>6.078464612344083E-4</v>
      </c>
      <c r="G203" s="2"/>
      <c r="H203" s="2">
        <v>463.26</v>
      </c>
      <c r="I203" s="2"/>
      <c r="J203" s="19">
        <f t="shared" si="34"/>
        <v>5.9298716072586383E-4</v>
      </c>
      <c r="K203" s="2"/>
      <c r="L203" s="2">
        <f t="shared" si="35"/>
        <v>-107.95999999999998</v>
      </c>
      <c r="M203" s="2"/>
      <c r="N203" s="19">
        <f t="shared" si="36"/>
        <v>-0.23304407891896556</v>
      </c>
      <c r="O203" s="11"/>
      <c r="P203" s="2">
        <v>1420.62</v>
      </c>
      <c r="Q203" s="2"/>
      <c r="R203" s="19">
        <f t="shared" si="37"/>
        <v>4.9614445360004636E-5</v>
      </c>
      <c r="S203" s="2"/>
      <c r="T203" s="2">
        <v>2744.68</v>
      </c>
      <c r="U203" s="2"/>
      <c r="V203" s="19">
        <f t="shared" si="38"/>
        <v>7.6800412869850555E-5</v>
      </c>
      <c r="W203" s="2"/>
      <c r="X203" s="2">
        <f t="shared" si="39"/>
        <v>-1324.06</v>
      </c>
      <c r="Y203" s="2"/>
      <c r="Z203" s="19">
        <f t="shared" si="40"/>
        <v>-0.48240960694871532</v>
      </c>
    </row>
    <row r="204" spans="1:26" s="24" customFormat="1" hidden="1" outlineLevel="1" x14ac:dyDescent="0.35">
      <c r="A204" s="44"/>
      <c r="B204" s="11" t="str">
        <f>CONCATENATE("          ", "5581", " - ", "FREIGHT-IN-ELECTRONICS")</f>
        <v xml:space="preserve">          5581 - FREIGHT-IN-ELECTRONICS</v>
      </c>
      <c r="C204" s="11"/>
      <c r="D204" s="2"/>
      <c r="E204" s="2"/>
      <c r="F204" s="19">
        <f t="shared" si="33"/>
        <v>0</v>
      </c>
      <c r="G204" s="2"/>
      <c r="H204" s="2"/>
      <c r="I204" s="2"/>
      <c r="J204" s="19">
        <f t="shared" si="34"/>
        <v>0</v>
      </c>
      <c r="K204" s="2"/>
      <c r="L204" s="2">
        <f t="shared" si="35"/>
        <v>0</v>
      </c>
      <c r="M204" s="2"/>
      <c r="N204" s="19">
        <f t="shared" si="36"/>
        <v>0</v>
      </c>
      <c r="O204" s="11"/>
      <c r="P204" s="2">
        <v>137</v>
      </c>
      <c r="Q204" s="2"/>
      <c r="R204" s="19">
        <f t="shared" si="37"/>
        <v>4.7846567092682321E-6</v>
      </c>
      <c r="S204" s="2"/>
      <c r="T204" s="2"/>
      <c r="U204" s="2"/>
      <c r="V204" s="19">
        <f t="shared" si="38"/>
        <v>0</v>
      </c>
      <c r="W204" s="2"/>
      <c r="X204" s="2">
        <f t="shared" si="39"/>
        <v>137</v>
      </c>
      <c r="Y204" s="2"/>
      <c r="Z204" s="19">
        <f t="shared" si="40"/>
        <v>0</v>
      </c>
    </row>
    <row r="205" spans="1:26" s="24" customFormat="1" hidden="1" outlineLevel="1" x14ac:dyDescent="0.35">
      <c r="A205" s="44"/>
      <c r="B205" s="11" t="str">
        <f>CONCATENATE("          ", "5582", " - ", "FREIGHT-IN-COMPUTER HARDWARE")</f>
        <v xml:space="preserve">          5582 - FREIGHT-IN-COMPUTER HARDWARE</v>
      </c>
      <c r="C205" s="11"/>
      <c r="D205" s="2"/>
      <c r="E205" s="2"/>
      <c r="F205" s="19">
        <f t="shared" si="33"/>
        <v>0</v>
      </c>
      <c r="G205" s="2"/>
      <c r="H205" s="2"/>
      <c r="I205" s="2"/>
      <c r="J205" s="19">
        <f t="shared" si="34"/>
        <v>0</v>
      </c>
      <c r="K205" s="2"/>
      <c r="L205" s="2">
        <f t="shared" si="35"/>
        <v>0</v>
      </c>
      <c r="M205" s="2"/>
      <c r="N205" s="19">
        <f t="shared" si="36"/>
        <v>0</v>
      </c>
      <c r="O205" s="11"/>
      <c r="P205" s="2">
        <v>154.30000000000001</v>
      </c>
      <c r="Q205" s="2"/>
      <c r="R205" s="19">
        <f t="shared" si="37"/>
        <v>5.3888505856940749E-6</v>
      </c>
      <c r="S205" s="2"/>
      <c r="T205" s="2">
        <v>12</v>
      </c>
      <c r="U205" s="2"/>
      <c r="V205" s="19">
        <f t="shared" si="38"/>
        <v>3.3577865340885157E-7</v>
      </c>
      <c r="W205" s="2"/>
      <c r="X205" s="2">
        <f t="shared" si="39"/>
        <v>142.30000000000001</v>
      </c>
      <c r="Y205" s="2"/>
      <c r="Z205" s="19">
        <f t="shared" si="40"/>
        <v>11.858333333333334</v>
      </c>
    </row>
    <row r="206" spans="1:26" s="24" customFormat="1" hidden="1" outlineLevel="1" x14ac:dyDescent="0.35">
      <c r="A206" s="44"/>
      <c r="B206" s="11" t="str">
        <f>CONCATENATE("          ", "5583", " - ", "FREIGHT-IN-COMPUTER EQUIPMENT")</f>
        <v xml:space="preserve">          5583 - FREIGHT-IN-COMPUTER EQUIPMENT</v>
      </c>
      <c r="C206" s="11"/>
      <c r="D206" s="2"/>
      <c r="E206" s="2"/>
      <c r="F206" s="19">
        <f t="shared" si="33"/>
        <v>0</v>
      </c>
      <c r="G206" s="2"/>
      <c r="H206" s="2"/>
      <c r="I206" s="2"/>
      <c r="J206" s="19">
        <f t="shared" si="34"/>
        <v>0</v>
      </c>
      <c r="K206" s="2"/>
      <c r="L206" s="2">
        <f t="shared" si="35"/>
        <v>0</v>
      </c>
      <c r="M206" s="2"/>
      <c r="N206" s="19">
        <f t="shared" si="36"/>
        <v>0</v>
      </c>
      <c r="O206" s="11"/>
      <c r="P206" s="2">
        <v>96.55</v>
      </c>
      <c r="Q206" s="2"/>
      <c r="R206" s="19">
        <f t="shared" si="37"/>
        <v>3.371960622480641E-6</v>
      </c>
      <c r="S206" s="2"/>
      <c r="T206" s="2">
        <v>93.42</v>
      </c>
      <c r="U206" s="2"/>
      <c r="V206" s="19">
        <f t="shared" si="38"/>
        <v>2.6140368167879096E-6</v>
      </c>
      <c r="W206" s="2"/>
      <c r="X206" s="2">
        <f t="shared" si="39"/>
        <v>3.1299999999999955</v>
      </c>
      <c r="Y206" s="2"/>
      <c r="Z206" s="19">
        <f t="shared" si="40"/>
        <v>3.3504602868764666E-2</v>
      </c>
    </row>
    <row r="207" spans="1:26" s="24" customFormat="1" hidden="1" outlineLevel="1" x14ac:dyDescent="0.35">
      <c r="A207" s="44"/>
      <c r="B207" s="11" t="str">
        <f>CONCATENATE("          ", "5585", " - ", "FREIGHT-IN-SOFTWARE")</f>
        <v xml:space="preserve">          5585 - FREIGHT-IN-SOFTWARE</v>
      </c>
      <c r="C207" s="11"/>
      <c r="D207" s="2"/>
      <c r="E207" s="2"/>
      <c r="F207" s="19">
        <f t="shared" si="33"/>
        <v>0</v>
      </c>
      <c r="G207" s="2"/>
      <c r="H207" s="2"/>
      <c r="I207" s="2"/>
      <c r="J207" s="19">
        <f t="shared" si="34"/>
        <v>0</v>
      </c>
      <c r="K207" s="2"/>
      <c r="L207" s="2">
        <f t="shared" si="35"/>
        <v>0</v>
      </c>
      <c r="M207" s="2"/>
      <c r="N207" s="19">
        <f t="shared" si="36"/>
        <v>0</v>
      </c>
      <c r="O207" s="11"/>
      <c r="P207" s="2">
        <v>10</v>
      </c>
      <c r="Q207" s="2"/>
      <c r="R207" s="19">
        <f t="shared" si="37"/>
        <v>3.4924501527505341E-7</v>
      </c>
      <c r="S207" s="2"/>
      <c r="T207" s="2"/>
      <c r="U207" s="2"/>
      <c r="V207" s="19">
        <f t="shared" si="38"/>
        <v>0</v>
      </c>
      <c r="W207" s="2"/>
      <c r="X207" s="2">
        <f t="shared" si="39"/>
        <v>10</v>
      </c>
      <c r="Y207" s="2"/>
      <c r="Z207" s="19">
        <f t="shared" si="40"/>
        <v>0</v>
      </c>
    </row>
    <row r="208" spans="1:26" s="24" customFormat="1" hidden="1" outlineLevel="1" x14ac:dyDescent="0.35">
      <c r="A208" s="44"/>
      <c r="B208" s="11" t="str">
        <f>CONCATENATE("          ", "5586", " - ", "FREIGHT-IN-COMPUTER SUPPLIES")</f>
        <v xml:space="preserve">          5586 - FREIGHT-IN-COMPUTER SUPPLIES</v>
      </c>
      <c r="C208" s="11"/>
      <c r="D208" s="2"/>
      <c r="E208" s="2"/>
      <c r="F208" s="19">
        <f t="shared" si="33"/>
        <v>0</v>
      </c>
      <c r="G208" s="2"/>
      <c r="H208" s="2"/>
      <c r="I208" s="2"/>
      <c r="J208" s="19">
        <f t="shared" si="34"/>
        <v>0</v>
      </c>
      <c r="K208" s="2"/>
      <c r="L208" s="2">
        <f t="shared" si="35"/>
        <v>0</v>
      </c>
      <c r="M208" s="2"/>
      <c r="N208" s="19">
        <f t="shared" si="36"/>
        <v>0</v>
      </c>
      <c r="O208" s="11"/>
      <c r="P208" s="2">
        <v>301.27</v>
      </c>
      <c r="Q208" s="2"/>
      <c r="R208" s="19">
        <f t="shared" si="37"/>
        <v>1.0521704575191533E-5</v>
      </c>
      <c r="S208" s="2"/>
      <c r="T208" s="2">
        <v>379.94</v>
      </c>
      <c r="U208" s="2"/>
      <c r="V208" s="19">
        <f t="shared" si="38"/>
        <v>1.0631311798013254E-5</v>
      </c>
      <c r="W208" s="2"/>
      <c r="X208" s="2">
        <f t="shared" si="39"/>
        <v>-78.670000000000016</v>
      </c>
      <c r="Y208" s="2"/>
      <c r="Z208" s="19">
        <f t="shared" si="40"/>
        <v>-0.20705900931726065</v>
      </c>
    </row>
    <row r="209" spans="1:26" s="24" customFormat="1" hidden="1" outlineLevel="1" x14ac:dyDescent="0.35">
      <c r="A209" s="44"/>
      <c r="B209" s="11" t="str">
        <f>CONCATENATE("          ", "5592", " - ", "FREIGHT-IN-GRAD MERCH")</f>
        <v xml:space="preserve">          5592 - FREIGHT-IN-GRAD MERCH</v>
      </c>
      <c r="C209" s="11"/>
      <c r="D209" s="2">
        <v>10.83</v>
      </c>
      <c r="E209" s="2"/>
      <c r="F209" s="19">
        <f t="shared" si="33"/>
        <v>1.8527940262225278E-5</v>
      </c>
      <c r="G209" s="2"/>
      <c r="H209" s="2">
        <v>108.7</v>
      </c>
      <c r="I209" s="2"/>
      <c r="J209" s="19">
        <f t="shared" si="34"/>
        <v>1.391393696215978E-4</v>
      </c>
      <c r="K209" s="2"/>
      <c r="L209" s="2">
        <f t="shared" si="35"/>
        <v>-97.87</v>
      </c>
      <c r="M209" s="2"/>
      <c r="N209" s="19">
        <f t="shared" si="36"/>
        <v>-0.90036798528058881</v>
      </c>
      <c r="O209" s="11"/>
      <c r="P209" s="2">
        <v>170.88</v>
      </c>
      <c r="Q209" s="2"/>
      <c r="R209" s="19">
        <f t="shared" si="37"/>
        <v>5.9678988210201127E-6</v>
      </c>
      <c r="S209" s="2"/>
      <c r="T209" s="2">
        <v>2451.4299999999998</v>
      </c>
      <c r="U209" s="2"/>
      <c r="V209" s="19">
        <f t="shared" si="38"/>
        <v>6.8594822027171742E-5</v>
      </c>
      <c r="W209" s="2"/>
      <c r="X209" s="2">
        <f t="shared" si="39"/>
        <v>-2280.5499999999997</v>
      </c>
      <c r="Y209" s="2"/>
      <c r="Z209" s="19">
        <f t="shared" si="40"/>
        <v>-0.93029374691506583</v>
      </c>
    </row>
    <row r="210" spans="1:26" x14ac:dyDescent="0.35">
      <c r="A210" s="9"/>
      <c r="B210" s="10"/>
      <c r="C210" s="10"/>
      <c r="D210" s="3"/>
      <c r="E210" s="3"/>
      <c r="F210" s="8"/>
      <c r="G210" s="3"/>
      <c r="H210" s="3"/>
      <c r="I210" s="3"/>
      <c r="J210" s="8"/>
      <c r="K210" s="3"/>
      <c r="L210" s="3"/>
      <c r="M210" s="3"/>
      <c r="N210" s="8"/>
      <c r="O210" s="10"/>
      <c r="P210" s="3"/>
      <c r="Q210" s="3"/>
      <c r="R210" s="8"/>
      <c r="S210" s="3"/>
      <c r="T210" s="3"/>
      <c r="U210" s="3"/>
      <c r="V210" s="8"/>
      <c r="W210" s="3"/>
      <c r="X210" s="3"/>
      <c r="Y210" s="3"/>
      <c r="Z210" s="8"/>
    </row>
    <row r="211" spans="1:26" s="23" customFormat="1" x14ac:dyDescent="0.35">
      <c r="A211" s="10"/>
      <c r="B211" s="28" t="s">
        <v>6</v>
      </c>
      <c r="C211" s="28"/>
      <c r="D211" s="22">
        <f>D12-D148</f>
        <v>-61202.470000000321</v>
      </c>
      <c r="E211" s="14"/>
      <c r="F211" s="21">
        <f>IF(D$12=0,0,D211/D$12)</f>
        <v>-0.10470505152914504</v>
      </c>
      <c r="G211" s="14"/>
      <c r="H211" s="22">
        <f>H12-H148</f>
        <v>229378.51999999967</v>
      </c>
      <c r="I211" s="14"/>
      <c r="J211" s="21">
        <f>IF(H$12=0,0,H211/H$12)</f>
        <v>0.29361161616867543</v>
      </c>
      <c r="K211" s="15"/>
      <c r="L211" s="22">
        <f>+D211-H211</f>
        <v>-290580.99</v>
      </c>
      <c r="M211" s="15"/>
      <c r="N211" s="21">
        <f>IF(H211=0,0,L211/H211)</f>
        <v>-1.2668186628809028</v>
      </c>
      <c r="O211" s="29"/>
      <c r="P211" s="22">
        <f>P12-P148</f>
        <v>15544697.749999983</v>
      </c>
      <c r="Q211" s="14"/>
      <c r="R211" s="21">
        <f>IF(P$12=0,0,P211/P$12)</f>
        <v>0.54289082031448332</v>
      </c>
      <c r="S211" s="14"/>
      <c r="T211" s="22">
        <f>T12-T148</f>
        <v>20194001.270000014</v>
      </c>
      <c r="U211" s="14"/>
      <c r="V211" s="21">
        <f>IF(T$12=0,0,T211/T$12)</f>
        <v>0.56505954611477027</v>
      </c>
      <c r="W211" s="15"/>
      <c r="X211" s="22">
        <f>+P211-T211</f>
        <v>-4649303.5200000312</v>
      </c>
      <c r="Y211" s="15"/>
      <c r="Z211" s="21">
        <f>IF(T211=0,0,X211/T211)</f>
        <v>-0.23023191183547093</v>
      </c>
    </row>
    <row r="212" spans="1:26" x14ac:dyDescent="0.35">
      <c r="A212" s="9"/>
      <c r="B212" s="10"/>
      <c r="C212" s="9"/>
      <c r="D212" s="1"/>
      <c r="E212" s="1"/>
      <c r="F212" s="5"/>
      <c r="G212" s="1"/>
      <c r="H212" s="1"/>
      <c r="I212" s="1"/>
      <c r="J212" s="5"/>
      <c r="K212" s="1"/>
      <c r="L212" s="1"/>
      <c r="M212" s="1"/>
      <c r="N212" s="5"/>
      <c r="O212" s="37"/>
      <c r="P212" s="1"/>
      <c r="Q212" s="1"/>
      <c r="R212" s="5"/>
      <c r="S212" s="1"/>
      <c r="T212" s="1"/>
      <c r="U212" s="1"/>
      <c r="V212" s="5"/>
      <c r="W212" s="1"/>
      <c r="X212" s="1"/>
      <c r="Y212" s="1"/>
      <c r="Z212" s="5"/>
    </row>
    <row r="213" spans="1:26" s="23" customFormat="1" x14ac:dyDescent="0.35">
      <c r="A213" s="10"/>
      <c r="B213" s="29" t="s">
        <v>9</v>
      </c>
      <c r="C213" s="10"/>
      <c r="D213" s="20">
        <f>SUM(OSRRefD22x_0)</f>
        <v>631533.30999999994</v>
      </c>
      <c r="E213" s="20"/>
      <c r="F213" s="36">
        <f t="shared" ref="F213:F223" si="41">IF(D$12=0,0,D213/D$12)</f>
        <v>1.0804258025194273</v>
      </c>
      <c r="G213" s="20"/>
      <c r="H213" s="20">
        <f>SUM(OSRRefH22x_0)</f>
        <v>929457.78000000014</v>
      </c>
      <c r="I213" s="20"/>
      <c r="J213" s="36">
        <f t="shared" ref="J213:J223" si="42">IF(H$12=0,0,H213/H$12)</f>
        <v>1.1897347709207888</v>
      </c>
      <c r="K213" s="4"/>
      <c r="L213" s="20">
        <f t="shared" ref="L213:L223" si="43">+D213-H213</f>
        <v>-297924.4700000002</v>
      </c>
      <c r="M213" s="4"/>
      <c r="N213" s="36">
        <f t="shared" ref="N213:N223" si="44">IF(H213=0,0,L213/H213)</f>
        <v>-0.32053577516990622</v>
      </c>
      <c r="O213" s="10"/>
      <c r="P213" s="20">
        <f>SUM(OSRRefP22x_0)</f>
        <v>15683074.869999999</v>
      </c>
      <c r="Q213" s="20"/>
      <c r="R213" s="36">
        <f t="shared" ref="R213:R223" si="45">IF(P$12=0,0,P213/P$12)</f>
        <v>0.5477235722532956</v>
      </c>
      <c r="S213" s="20"/>
      <c r="T213" s="20">
        <f>SUM(OSRRefT22x_0)</f>
        <v>17375009.999999996</v>
      </c>
      <c r="U213" s="20"/>
      <c r="V213" s="36">
        <f t="shared" ref="V213:V223" si="46">IF(T$12=0,0,T213/T$12)</f>
        <v>0.48617978839711073</v>
      </c>
      <c r="W213" s="4"/>
      <c r="X213" s="20">
        <f t="shared" ref="X213:X223" si="47">+P213-T213</f>
        <v>-1691935.1299999971</v>
      </c>
      <c r="Y213" s="4"/>
      <c r="Z213" s="36">
        <f t="shared" ref="Z213:Z223" si="48">IF(T213=0,0,X213/T213)</f>
        <v>-9.7377505394241351E-2</v>
      </c>
    </row>
    <row r="214" spans="1:26" s="25" customFormat="1" outlineLevel="1" collapsed="1" x14ac:dyDescent="0.35">
      <c r="A214" s="26"/>
      <c r="B214" s="12" t="str">
        <f>CONCATENATE("     ","*Benefits                                         ")</f>
        <v xml:space="preserve">     *Benefits                                         </v>
      </c>
      <c r="C214" s="12"/>
      <c r="D214" s="1">
        <f>SUM(OSRRefD22_0x_0)</f>
        <v>124944.92</v>
      </c>
      <c r="E214" s="1"/>
      <c r="F214" s="5">
        <f t="shared" si="41"/>
        <v>0.2137554952750246</v>
      </c>
      <c r="G214" s="1"/>
      <c r="H214" s="1">
        <f>SUM(OSRRefH22_0x_0)</f>
        <v>166828.98999999996</v>
      </c>
      <c r="I214" s="1"/>
      <c r="J214" s="5">
        <f t="shared" si="42"/>
        <v>0.21354627877836097</v>
      </c>
      <c r="K214" s="1"/>
      <c r="L214" s="1">
        <f t="shared" si="43"/>
        <v>-41884.069999999963</v>
      </c>
      <c r="M214" s="1"/>
      <c r="N214" s="5">
        <f t="shared" si="44"/>
        <v>-0.25105990271834633</v>
      </c>
      <c r="O214" s="12"/>
      <c r="P214" s="1">
        <f>SUM(OSRRefP22_0x_0)</f>
        <v>2384695.2200000002</v>
      </c>
      <c r="Q214" s="1"/>
      <c r="R214" s="5">
        <f t="shared" si="45"/>
        <v>8.3284291853524692E-2</v>
      </c>
      <c r="S214" s="1"/>
      <c r="T214" s="1">
        <f>SUM(OSRRefT22_0x_0)</f>
        <v>2602175.7899999996</v>
      </c>
      <c r="U214" s="1"/>
      <c r="V214" s="5">
        <f t="shared" si="46"/>
        <v>7.2812923558276191E-2</v>
      </c>
      <c r="W214" s="1"/>
      <c r="X214" s="1">
        <f t="shared" si="47"/>
        <v>-217480.56999999937</v>
      </c>
      <c r="Y214" s="1"/>
      <c r="Z214" s="5">
        <f t="shared" si="48"/>
        <v>-8.3576432782044824E-2</v>
      </c>
    </row>
    <row r="215" spans="1:26" s="24" customFormat="1" hidden="1" outlineLevel="2" x14ac:dyDescent="0.35">
      <c r="A215" s="27"/>
      <c r="B215" s="11" t="str">
        <f>CONCATENATE("          ", "6111", " - ", "F.I.C.A.")</f>
        <v xml:space="preserve">          6111 - F.I.C.A.</v>
      </c>
      <c r="C215" s="11"/>
      <c r="D215" s="7">
        <v>19443.18</v>
      </c>
      <c r="E215" s="2"/>
      <c r="F215" s="6">
        <f t="shared" si="41"/>
        <v>3.3263349727395503E-2</v>
      </c>
      <c r="G215" s="2"/>
      <c r="H215" s="7">
        <v>37054.339999999997</v>
      </c>
      <c r="I215" s="2"/>
      <c r="J215" s="6">
        <f t="shared" si="42"/>
        <v>4.7430703857813762E-2</v>
      </c>
      <c r="K215" s="2"/>
      <c r="L215" s="7">
        <f t="shared" si="43"/>
        <v>-17611.159999999996</v>
      </c>
      <c r="M215" s="2"/>
      <c r="N215" s="6">
        <f t="shared" si="44"/>
        <v>-0.47527927902642436</v>
      </c>
      <c r="O215" s="11"/>
      <c r="P215" s="7">
        <v>440016.67</v>
      </c>
      <c r="Q215" s="2"/>
      <c r="R215" s="6">
        <f t="shared" si="45"/>
        <v>1.5367362863542814E-2</v>
      </c>
      <c r="S215" s="2"/>
      <c r="T215" s="7">
        <v>450393.31</v>
      </c>
      <c r="U215" s="2"/>
      <c r="V215" s="6">
        <f t="shared" si="46"/>
        <v>1.2602704928012952E-2</v>
      </c>
      <c r="W215" s="2"/>
      <c r="X215" s="7">
        <f t="shared" si="47"/>
        <v>-10376.640000000014</v>
      </c>
      <c r="Y215" s="2"/>
      <c r="Z215" s="6">
        <f t="shared" si="48"/>
        <v>-2.3039063346655869E-2</v>
      </c>
    </row>
    <row r="216" spans="1:26" s="24" customFormat="1" hidden="1" outlineLevel="2" x14ac:dyDescent="0.35">
      <c r="A216" s="27"/>
      <c r="B216" s="11" t="str">
        <f>CONCATENATE("          ", "6112", " - ", "COMPENSATION INSURANCE")</f>
        <v xml:space="preserve">          6112 - COMPENSATION INSURANCE</v>
      </c>
      <c r="C216" s="11"/>
      <c r="D216" s="7">
        <v>6228.02</v>
      </c>
      <c r="E216" s="2"/>
      <c r="F216" s="6">
        <f t="shared" si="41"/>
        <v>1.0654882965091809E-2</v>
      </c>
      <c r="G216" s="2"/>
      <c r="H216" s="7">
        <v>17863.88</v>
      </c>
      <c r="I216" s="2"/>
      <c r="J216" s="6">
        <f t="shared" si="42"/>
        <v>2.2866320167395295E-2</v>
      </c>
      <c r="K216" s="2"/>
      <c r="L216" s="7">
        <f t="shared" si="43"/>
        <v>-11635.86</v>
      </c>
      <c r="M216" s="2"/>
      <c r="N216" s="6">
        <f t="shared" si="44"/>
        <v>-0.65136241398845041</v>
      </c>
      <c r="O216" s="11"/>
      <c r="P216" s="7">
        <v>207129.35</v>
      </c>
      <c r="Q216" s="2"/>
      <c r="R216" s="6">
        <f t="shared" si="45"/>
        <v>7.2338893004661887E-3</v>
      </c>
      <c r="S216" s="2"/>
      <c r="T216" s="7">
        <v>203688.43</v>
      </c>
      <c r="U216" s="2"/>
      <c r="V216" s="6">
        <f t="shared" si="46"/>
        <v>5.6995188950302597E-3</v>
      </c>
      <c r="W216" s="2"/>
      <c r="X216" s="7">
        <f t="shared" si="47"/>
        <v>3440.9200000000128</v>
      </c>
      <c r="Y216" s="2"/>
      <c r="Z216" s="6">
        <f t="shared" si="48"/>
        <v>1.6893055732227956E-2</v>
      </c>
    </row>
    <row r="217" spans="1:26" s="24" customFormat="1" hidden="1" outlineLevel="2" x14ac:dyDescent="0.35">
      <c r="A217" s="27"/>
      <c r="B217" s="11" t="str">
        <f>CONCATENATE("          ", "6113", " - ", "GROUP INSURANCE")</f>
        <v xml:space="preserve">          6113 - GROUP INSURANCE</v>
      </c>
      <c r="C217" s="11"/>
      <c r="D217" s="7">
        <v>75665.010000000009</v>
      </c>
      <c r="E217" s="2"/>
      <c r="F217" s="6">
        <f t="shared" si="41"/>
        <v>0.12944753326137381</v>
      </c>
      <c r="G217" s="2"/>
      <c r="H217" s="7">
        <v>95347.76</v>
      </c>
      <c r="I217" s="2"/>
      <c r="J217" s="6">
        <f t="shared" si="42"/>
        <v>0.12204808851178837</v>
      </c>
      <c r="K217" s="2"/>
      <c r="L217" s="7">
        <f t="shared" si="43"/>
        <v>-19682.749999999985</v>
      </c>
      <c r="M217" s="2"/>
      <c r="N217" s="6">
        <f t="shared" si="44"/>
        <v>-0.20643117363218588</v>
      </c>
      <c r="O217" s="11"/>
      <c r="P217" s="7">
        <v>1104113.71</v>
      </c>
      <c r="Q217" s="2"/>
      <c r="R217" s="6">
        <f t="shared" si="45"/>
        <v>3.8560620951434588E-2</v>
      </c>
      <c r="S217" s="2"/>
      <c r="T217" s="7">
        <v>1134746.5199999998</v>
      </c>
      <c r="U217" s="2"/>
      <c r="V217" s="6">
        <f t="shared" si="46"/>
        <v>3.1751971537165032E-2</v>
      </c>
      <c r="W217" s="2"/>
      <c r="X217" s="7">
        <f t="shared" si="47"/>
        <v>-30632.809999999823</v>
      </c>
      <c r="Y217" s="2"/>
      <c r="Z217" s="6">
        <f t="shared" si="48"/>
        <v>-2.6995288780440437E-2</v>
      </c>
    </row>
    <row r="218" spans="1:26" s="24" customFormat="1" hidden="1" outlineLevel="2" x14ac:dyDescent="0.35">
      <c r="A218" s="27"/>
      <c r="B218" s="11" t="str">
        <f>CONCATENATE("          ", "6114", " - ", "STATE UNEMPLOYMENT INSURANCE")</f>
        <v xml:space="preserve">          6114 - STATE UNEMPLOYMENT INSURANCE</v>
      </c>
      <c r="C218" s="11"/>
      <c r="D218" s="7">
        <v>-20622.75</v>
      </c>
      <c r="E218" s="2"/>
      <c r="F218" s="6">
        <f t="shared" si="41"/>
        <v>-3.528135549795073E-2</v>
      </c>
      <c r="G218" s="2"/>
      <c r="H218" s="7">
        <v>1923.28</v>
      </c>
      <c r="I218" s="2"/>
      <c r="J218" s="6">
        <f t="shared" si="42"/>
        <v>2.461858020292793E-3</v>
      </c>
      <c r="K218" s="2"/>
      <c r="L218" s="7">
        <f t="shared" si="43"/>
        <v>-22546.03</v>
      </c>
      <c r="M218" s="2"/>
      <c r="N218" s="6">
        <f t="shared" si="44"/>
        <v>-11.722697683124661</v>
      </c>
      <c r="O218" s="11"/>
      <c r="P218" s="7">
        <v>0</v>
      </c>
      <c r="Q218" s="2"/>
      <c r="R218" s="6">
        <f t="shared" si="45"/>
        <v>0</v>
      </c>
      <c r="S218" s="2"/>
      <c r="T218" s="7">
        <v>23093.550000000003</v>
      </c>
      <c r="U218" s="2"/>
      <c r="V218" s="6">
        <f t="shared" si="46"/>
        <v>6.4619342678583203E-4</v>
      </c>
      <c r="W218" s="2"/>
      <c r="X218" s="7">
        <f t="shared" si="47"/>
        <v>-23093.550000000003</v>
      </c>
      <c r="Y218" s="2"/>
      <c r="Z218" s="6">
        <f t="shared" si="48"/>
        <v>-1</v>
      </c>
    </row>
    <row r="219" spans="1:26" s="24" customFormat="1" hidden="1" outlineLevel="2" x14ac:dyDescent="0.35">
      <c r="A219" s="27"/>
      <c r="B219" s="11" t="str">
        <f>CONCATENATE("          ", "6115", " - ", "P.E.R.S.")</f>
        <v xml:space="preserve">          6115 - P.E.R.S.</v>
      </c>
      <c r="C219" s="11"/>
      <c r="D219" s="7">
        <v>13005.81</v>
      </c>
      <c r="E219" s="2"/>
      <c r="F219" s="6">
        <f t="shared" si="41"/>
        <v>2.225031124116825E-2</v>
      </c>
      <c r="G219" s="2"/>
      <c r="H219" s="7"/>
      <c r="I219" s="2"/>
      <c r="J219" s="6">
        <f t="shared" si="42"/>
        <v>0</v>
      </c>
      <c r="K219" s="2"/>
      <c r="L219" s="7">
        <f t="shared" si="43"/>
        <v>13005.81</v>
      </c>
      <c r="M219" s="2"/>
      <c r="N219" s="6">
        <f t="shared" si="44"/>
        <v>0</v>
      </c>
      <c r="O219" s="11"/>
      <c r="P219" s="7">
        <v>238902.88000000003</v>
      </c>
      <c r="Q219" s="2"/>
      <c r="R219" s="6">
        <f t="shared" si="45"/>
        <v>8.3435639974854276E-3</v>
      </c>
      <c r="S219" s="2"/>
      <c r="T219" s="7">
        <v>218978.95</v>
      </c>
      <c r="U219" s="2"/>
      <c r="V219" s="6">
        <f t="shared" si="46"/>
        <v>6.1273714129903532E-3</v>
      </c>
      <c r="W219" s="2"/>
      <c r="X219" s="7">
        <f t="shared" si="47"/>
        <v>19923.930000000022</v>
      </c>
      <c r="Y219" s="2"/>
      <c r="Z219" s="6">
        <f t="shared" si="48"/>
        <v>9.0985594734105821E-2</v>
      </c>
    </row>
    <row r="220" spans="1:26" s="24" customFormat="1" hidden="1" outlineLevel="2" x14ac:dyDescent="0.35">
      <c r="A220" s="27"/>
      <c r="B220" s="11" t="str">
        <f>CONCATENATE("          ", "6117", " - ", "RETIREMENT STAFF HOURLY")</f>
        <v xml:space="preserve">          6117 - RETIREMENT STAFF HOURLY</v>
      </c>
      <c r="C220" s="11"/>
      <c r="D220" s="7">
        <v>1829.61</v>
      </c>
      <c r="E220" s="2"/>
      <c r="F220" s="6">
        <f t="shared" si="41"/>
        <v>3.1300927777626955E-3</v>
      </c>
      <c r="G220" s="2"/>
      <c r="H220" s="7">
        <v>1710.78</v>
      </c>
      <c r="I220" s="2"/>
      <c r="J220" s="6">
        <f t="shared" si="42"/>
        <v>2.1898514329460632E-3</v>
      </c>
      <c r="K220" s="2"/>
      <c r="L220" s="7">
        <f t="shared" si="43"/>
        <v>118.82999999999993</v>
      </c>
      <c r="M220" s="2"/>
      <c r="N220" s="6">
        <f t="shared" si="44"/>
        <v>6.9459544769052667E-2</v>
      </c>
      <c r="O220" s="11"/>
      <c r="P220" s="7">
        <v>26345.710000000003</v>
      </c>
      <c r="Q220" s="2"/>
      <c r="R220" s="6">
        <f t="shared" si="45"/>
        <v>9.2011078913821292E-4</v>
      </c>
      <c r="S220" s="2"/>
      <c r="T220" s="7">
        <v>24045.75</v>
      </c>
      <c r="U220" s="2"/>
      <c r="V220" s="6">
        <f t="shared" si="46"/>
        <v>6.7283746293382433E-4</v>
      </c>
      <c r="W220" s="2"/>
      <c r="X220" s="7">
        <f t="shared" si="47"/>
        <v>2299.9600000000028</v>
      </c>
      <c r="Y220" s="2"/>
      <c r="Z220" s="6">
        <f t="shared" si="48"/>
        <v>9.5649335121591253E-2</v>
      </c>
    </row>
    <row r="221" spans="1:26" s="24" customFormat="1" hidden="1" outlineLevel="2" x14ac:dyDescent="0.35">
      <c r="A221" s="27"/>
      <c r="B221" s="11" t="str">
        <f>CONCATENATE("          ", "6118", " - ", "VACATION")</f>
        <v xml:space="preserve">          6118 - VACATION</v>
      </c>
      <c r="C221" s="11"/>
      <c r="D221" s="7">
        <v>15121.36</v>
      </c>
      <c r="E221" s="2"/>
      <c r="F221" s="6">
        <f t="shared" si="41"/>
        <v>2.5869589544192322E-2</v>
      </c>
      <c r="G221" s="2"/>
      <c r="H221" s="7">
        <v>17922.550000000003</v>
      </c>
      <c r="I221" s="2"/>
      <c r="J221" s="6">
        <f t="shared" si="42"/>
        <v>2.2941419586122981E-2</v>
      </c>
      <c r="K221" s="2"/>
      <c r="L221" s="7">
        <f t="shared" si="43"/>
        <v>-2801.1900000000023</v>
      </c>
      <c r="M221" s="2"/>
      <c r="N221" s="6">
        <f t="shared" si="44"/>
        <v>-0.15629416572976512</v>
      </c>
      <c r="O221" s="11"/>
      <c r="P221" s="7">
        <v>270045.75</v>
      </c>
      <c r="Q221" s="2"/>
      <c r="R221" s="6">
        <f t="shared" si="45"/>
        <v>9.4312132083713262E-3</v>
      </c>
      <c r="S221" s="2"/>
      <c r="T221" s="7">
        <v>265930.34000000003</v>
      </c>
      <c r="U221" s="2"/>
      <c r="V221" s="6">
        <f t="shared" si="46"/>
        <v>7.4411442888131715E-3</v>
      </c>
      <c r="W221" s="2"/>
      <c r="X221" s="7">
        <f t="shared" si="47"/>
        <v>4115.4099999999744</v>
      </c>
      <c r="Y221" s="2"/>
      <c r="Z221" s="6">
        <f t="shared" si="48"/>
        <v>1.5475518889645965E-2</v>
      </c>
    </row>
    <row r="222" spans="1:26" s="24" customFormat="1" hidden="1" outlineLevel="2" x14ac:dyDescent="0.35">
      <c r="A222" s="27"/>
      <c r="B222" s="11" t="str">
        <f>CONCATENATE("          ", "6119", " - ", "SICK LEAVE")</f>
        <v xml:space="preserve">          6119 - SICK LEAVE</v>
      </c>
      <c r="C222" s="11"/>
      <c r="D222" s="7">
        <v>10164.280000000001</v>
      </c>
      <c r="E222" s="2"/>
      <c r="F222" s="6">
        <f t="shared" si="41"/>
        <v>1.7389027945386073E-2</v>
      </c>
      <c r="G222" s="2"/>
      <c r="H222" s="7">
        <v>-13009.93</v>
      </c>
      <c r="I222" s="2"/>
      <c r="J222" s="6">
        <f t="shared" si="42"/>
        <v>-1.6653113698446308E-2</v>
      </c>
      <c r="K222" s="2"/>
      <c r="L222" s="7">
        <f t="shared" si="43"/>
        <v>23174.21</v>
      </c>
      <c r="M222" s="2"/>
      <c r="N222" s="6">
        <f t="shared" si="44"/>
        <v>-1.781270921519178</v>
      </c>
      <c r="O222" s="11"/>
      <c r="P222" s="7">
        <v>2276.19</v>
      </c>
      <c r="Q222" s="2"/>
      <c r="R222" s="6">
        <f t="shared" si="45"/>
        <v>7.9494801131892387E-5</v>
      </c>
      <c r="S222" s="2"/>
      <c r="T222" s="7">
        <v>174207.29</v>
      </c>
      <c r="U222" s="2"/>
      <c r="V222" s="6">
        <f t="shared" si="46"/>
        <v>4.8745907708504415E-3</v>
      </c>
      <c r="W222" s="2"/>
      <c r="X222" s="7">
        <f t="shared" si="47"/>
        <v>-171931.1</v>
      </c>
      <c r="Y222" s="2"/>
      <c r="Z222" s="6">
        <f t="shared" si="48"/>
        <v>-0.98693401407024928</v>
      </c>
    </row>
    <row r="223" spans="1:26" s="24" customFormat="1" hidden="1" outlineLevel="2" x14ac:dyDescent="0.35">
      <c r="A223" s="27"/>
      <c r="B223" s="11" t="str">
        <f>CONCATENATE("          ", "6156", " - ", "EMPLOYEE MEALS")</f>
        <v xml:space="preserve">          6156 - EMPLOYEE MEALS</v>
      </c>
      <c r="C223" s="11"/>
      <c r="D223" s="7">
        <v>4110.3999999999996</v>
      </c>
      <c r="E223" s="2"/>
      <c r="F223" s="6">
        <f t="shared" si="41"/>
        <v>7.0320633106048733E-3</v>
      </c>
      <c r="G223" s="2"/>
      <c r="H223" s="7">
        <v>8016.33</v>
      </c>
      <c r="I223" s="2"/>
      <c r="J223" s="6">
        <f t="shared" si="42"/>
        <v>1.026115090044805E-2</v>
      </c>
      <c r="K223" s="2"/>
      <c r="L223" s="7">
        <f t="shared" si="43"/>
        <v>-3905.9300000000003</v>
      </c>
      <c r="M223" s="2"/>
      <c r="N223" s="6">
        <f t="shared" si="44"/>
        <v>-0.48724665775984777</v>
      </c>
      <c r="O223" s="11"/>
      <c r="P223" s="7">
        <v>95864.960000000006</v>
      </c>
      <c r="Q223" s="2"/>
      <c r="R223" s="6">
        <f t="shared" si="45"/>
        <v>3.3480359419542386E-3</v>
      </c>
      <c r="S223" s="2"/>
      <c r="T223" s="7">
        <v>107091.65000000001</v>
      </c>
      <c r="U223" s="2"/>
      <c r="V223" s="6">
        <f t="shared" si="46"/>
        <v>2.9965908356943366E-3</v>
      </c>
      <c r="W223" s="2"/>
      <c r="X223" s="7">
        <f t="shared" si="47"/>
        <v>-11226.690000000002</v>
      </c>
      <c r="Y223" s="2"/>
      <c r="Z223" s="6">
        <f t="shared" si="48"/>
        <v>-0.1048325429667019</v>
      </c>
    </row>
    <row r="224" spans="1:26" s="25" customFormat="1" outlineLevel="1" collapsed="1" x14ac:dyDescent="0.35">
      <c r="A224" s="26"/>
      <c r="B224" s="12" t="str">
        <f>CONCATENATE("     ","*Payroll                                          ")</f>
        <v xml:space="preserve">     *Payroll                                          </v>
      </c>
      <c r="C224" s="12"/>
      <c r="D224" s="1">
        <f>SUM(OSRRefD22_1x_0)</f>
        <v>218574.53999999998</v>
      </c>
      <c r="E224" s="1"/>
      <c r="F224" s="5">
        <f t="shared" ref="F224:F231" si="49">IF(D$12=0,0,D224/D$12)</f>
        <v>0.37393684394860288</v>
      </c>
      <c r="G224" s="1"/>
      <c r="H224" s="1">
        <f>SUM(OSRRefH22_1x_0)</f>
        <v>464137.8</v>
      </c>
      <c r="I224" s="1"/>
      <c r="J224" s="5">
        <f t="shared" ref="J224:J231" si="50">IF(H$12=0,0,H224/H$12)</f>
        <v>0.59411077193703066</v>
      </c>
      <c r="K224" s="1"/>
      <c r="L224" s="1">
        <f t="shared" ref="L224:L231" si="51">+D224-H224</f>
        <v>-245563.26</v>
      </c>
      <c r="M224" s="1"/>
      <c r="N224" s="5">
        <f t="shared" ref="N224:N231" si="52">IF(H224=0,0,L224/H224)</f>
        <v>-0.52907403792580565</v>
      </c>
      <c r="O224" s="12"/>
      <c r="P224" s="1">
        <f>SUM(OSRRefP22_1x_0)</f>
        <v>7467063.79</v>
      </c>
      <c r="Q224" s="1"/>
      <c r="R224" s="5">
        <f t="shared" ref="R224:R231" si="53">IF(P$12=0,0,P224/P$12)</f>
        <v>0.26078348073983482</v>
      </c>
      <c r="S224" s="1"/>
      <c r="T224" s="1">
        <f>SUM(OSRRefT22_1x_0)</f>
        <v>8137296.8600000003</v>
      </c>
      <c r="U224" s="1"/>
      <c r="V224" s="5">
        <f t="shared" ref="V224:V231" si="54">IF(T$12=0,0,T224/T$12)</f>
        <v>0.22769421516990634</v>
      </c>
      <c r="W224" s="1"/>
      <c r="X224" s="1">
        <f t="shared" ref="X224:X231" si="55">+P224-T224</f>
        <v>-670233.0700000003</v>
      </c>
      <c r="Y224" s="1"/>
      <c r="Z224" s="5">
        <f t="shared" ref="Z224:Z231" si="56">IF(T224=0,0,X224/T224)</f>
        <v>-8.236556703425961E-2</v>
      </c>
    </row>
    <row r="225" spans="1:26" s="24" customFormat="1" hidden="1" outlineLevel="2" x14ac:dyDescent="0.35">
      <c r="A225" s="27"/>
      <c r="B225" s="11" t="str">
        <f>CONCATENATE("          ", "6001", " - ", "ADMINISTRATIVE SALARIES")</f>
        <v xml:space="preserve">          6001 - ADMINISTRATIVE SALARIES</v>
      </c>
      <c r="C225" s="11"/>
      <c r="D225" s="7">
        <v>16260.06</v>
      </c>
      <c r="E225" s="2"/>
      <c r="F225" s="6">
        <f t="shared" si="49"/>
        <v>2.7817675008328602E-2</v>
      </c>
      <c r="G225" s="2"/>
      <c r="H225" s="7">
        <v>32234.79</v>
      </c>
      <c r="I225" s="2"/>
      <c r="J225" s="6">
        <f t="shared" si="50"/>
        <v>4.1261530455239968E-2</v>
      </c>
      <c r="K225" s="2"/>
      <c r="L225" s="7">
        <f t="shared" si="51"/>
        <v>-15974.730000000001</v>
      </c>
      <c r="M225" s="2"/>
      <c r="N225" s="6">
        <f t="shared" si="52"/>
        <v>-0.49557419173507883</v>
      </c>
      <c r="O225" s="11"/>
      <c r="P225" s="7">
        <v>380567.82</v>
      </c>
      <c r="Q225" s="2"/>
      <c r="R225" s="6">
        <f t="shared" si="53"/>
        <v>1.3291141410909379E-2</v>
      </c>
      <c r="S225" s="2"/>
      <c r="T225" s="7">
        <v>423848.64</v>
      </c>
      <c r="U225" s="2"/>
      <c r="V225" s="6">
        <f t="shared" si="54"/>
        <v>1.1859943799031093E-2</v>
      </c>
      <c r="W225" s="2"/>
      <c r="X225" s="7">
        <f t="shared" si="55"/>
        <v>-43280.820000000007</v>
      </c>
      <c r="Y225" s="2"/>
      <c r="Z225" s="6">
        <f t="shared" si="56"/>
        <v>-0.10211385838114287</v>
      </c>
    </row>
    <row r="226" spans="1:26" s="24" customFormat="1" hidden="1" outlineLevel="2" x14ac:dyDescent="0.35">
      <c r="A226" s="27"/>
      <c r="B226" s="11" t="str">
        <f>CONCATENATE("          ", "6002", " - ", "STAFF SALARIES")</f>
        <v xml:space="preserve">          6002 - STAFF SALARIES</v>
      </c>
      <c r="C226" s="11"/>
      <c r="D226" s="7">
        <v>110167.96</v>
      </c>
      <c r="E226" s="2"/>
      <c r="F226" s="6">
        <f t="shared" si="49"/>
        <v>0.18847510449595792</v>
      </c>
      <c r="G226" s="2"/>
      <c r="H226" s="7">
        <v>154165.29999999999</v>
      </c>
      <c r="I226" s="2"/>
      <c r="J226" s="6">
        <f t="shared" si="50"/>
        <v>0.19733636301310495</v>
      </c>
      <c r="K226" s="2"/>
      <c r="L226" s="7">
        <f t="shared" si="51"/>
        <v>-43997.339999999982</v>
      </c>
      <c r="M226" s="2"/>
      <c r="N226" s="6">
        <f t="shared" si="52"/>
        <v>-0.28539068130117468</v>
      </c>
      <c r="O226" s="11"/>
      <c r="P226" s="7">
        <v>1994775.85</v>
      </c>
      <c r="Q226" s="2"/>
      <c r="R226" s="6">
        <f t="shared" si="53"/>
        <v>6.9666552220355768E-2</v>
      </c>
      <c r="S226" s="2"/>
      <c r="T226" s="7">
        <v>2100090.5299999998</v>
      </c>
      <c r="U226" s="2"/>
      <c r="V226" s="6">
        <f t="shared" si="54"/>
        <v>5.876379751667344E-2</v>
      </c>
      <c r="W226" s="2"/>
      <c r="X226" s="7">
        <f t="shared" si="55"/>
        <v>-105314.6799999997</v>
      </c>
      <c r="Y226" s="2"/>
      <c r="Z226" s="6">
        <f t="shared" si="56"/>
        <v>-5.0147685776193524E-2</v>
      </c>
    </row>
    <row r="227" spans="1:26" s="24" customFormat="1" hidden="1" outlineLevel="2" x14ac:dyDescent="0.35">
      <c r="A227" s="27"/>
      <c r="B227" s="11" t="str">
        <f>CONCATENATE("          ", "6004", " - ", "STAFF HOURLY")</f>
        <v xml:space="preserve">          6004 - STAFF HOURLY</v>
      </c>
      <c r="C227" s="11"/>
      <c r="D227" s="7">
        <v>52322.8</v>
      </c>
      <c r="E227" s="2"/>
      <c r="F227" s="6">
        <f t="shared" si="49"/>
        <v>8.9513731556081333E-2</v>
      </c>
      <c r="G227" s="2"/>
      <c r="H227" s="7">
        <v>62475.5</v>
      </c>
      <c r="I227" s="2"/>
      <c r="J227" s="6">
        <f t="shared" si="50"/>
        <v>7.9970576695438209E-2</v>
      </c>
      <c r="K227" s="2"/>
      <c r="L227" s="7">
        <f t="shared" si="51"/>
        <v>-10152.699999999997</v>
      </c>
      <c r="M227" s="2"/>
      <c r="N227" s="6">
        <f t="shared" si="52"/>
        <v>-0.16250690270586066</v>
      </c>
      <c r="O227" s="11"/>
      <c r="P227" s="7">
        <v>1006687.3599999999</v>
      </c>
      <c r="Q227" s="2"/>
      <c r="R227" s="6">
        <f t="shared" si="53"/>
        <v>3.5158054242040319E-2</v>
      </c>
      <c r="S227" s="2"/>
      <c r="T227" s="7">
        <v>920474.11</v>
      </c>
      <c r="U227" s="2"/>
      <c r="V227" s="6">
        <f t="shared" si="54"/>
        <v>2.5756296429459258E-2</v>
      </c>
      <c r="W227" s="2"/>
      <c r="X227" s="7">
        <f t="shared" si="55"/>
        <v>86213.249999999884</v>
      </c>
      <c r="Y227" s="2"/>
      <c r="Z227" s="6">
        <f t="shared" si="56"/>
        <v>9.3661786967587701E-2</v>
      </c>
    </row>
    <row r="228" spans="1:26" s="24" customFormat="1" hidden="1" outlineLevel="2" x14ac:dyDescent="0.35">
      <c r="A228" s="27"/>
      <c r="B228" s="11" t="str">
        <f>CONCATENATE("          ", "6005", " - ", "TEMPORARY WAGES-HOURLY")</f>
        <v xml:space="preserve">          6005 - TEMPORARY WAGES-HOURLY</v>
      </c>
      <c r="C228" s="11"/>
      <c r="D228" s="7">
        <v>20064.68</v>
      </c>
      <c r="E228" s="2"/>
      <c r="F228" s="6">
        <f t="shared" si="49"/>
        <v>3.4326610565158476E-2</v>
      </c>
      <c r="G228" s="2"/>
      <c r="H228" s="7">
        <v>92276</v>
      </c>
      <c r="I228" s="2"/>
      <c r="J228" s="6">
        <f t="shared" si="50"/>
        <v>0.11811614048944395</v>
      </c>
      <c r="K228" s="2"/>
      <c r="L228" s="7">
        <f t="shared" si="51"/>
        <v>-72211.320000000007</v>
      </c>
      <c r="M228" s="2"/>
      <c r="N228" s="6">
        <f t="shared" si="52"/>
        <v>-0.78255797823919548</v>
      </c>
      <c r="O228" s="11"/>
      <c r="P228" s="7">
        <v>1218146.98</v>
      </c>
      <c r="Q228" s="2"/>
      <c r="R228" s="6">
        <f t="shared" si="53"/>
        <v>4.2543176063736018E-2</v>
      </c>
      <c r="S228" s="2"/>
      <c r="T228" s="7">
        <v>1337160.7</v>
      </c>
      <c r="U228" s="2"/>
      <c r="V228" s="6">
        <f t="shared" si="54"/>
        <v>3.7415834936436444E-2</v>
      </c>
      <c r="W228" s="2"/>
      <c r="X228" s="7">
        <f t="shared" si="55"/>
        <v>-119013.71999999997</v>
      </c>
      <c r="Y228" s="2"/>
      <c r="Z228" s="6">
        <f t="shared" si="56"/>
        <v>-8.9004799497921214E-2</v>
      </c>
    </row>
    <row r="229" spans="1:26" s="24" customFormat="1" hidden="1" outlineLevel="2" x14ac:dyDescent="0.35">
      <c r="A229" s="27"/>
      <c r="B229" s="11" t="str">
        <f>CONCATENATE("          ", "6006", " - ", "TEMPORARY PART TIME")</f>
        <v xml:space="preserve">          6006 - TEMPORARY PART TIME</v>
      </c>
      <c r="C229" s="11"/>
      <c r="D229" s="7">
        <v>2246.59</v>
      </c>
      <c r="E229" s="2"/>
      <c r="F229" s="6">
        <f t="shared" si="49"/>
        <v>3.8434612478035726E-3</v>
      </c>
      <c r="G229" s="2"/>
      <c r="H229" s="7">
        <v>15805.289999999999</v>
      </c>
      <c r="I229" s="2"/>
      <c r="J229" s="6">
        <f t="shared" si="50"/>
        <v>2.0231261152590094E-2</v>
      </c>
      <c r="K229" s="2"/>
      <c r="L229" s="7">
        <f t="shared" si="51"/>
        <v>-13558.699999999999</v>
      </c>
      <c r="M229" s="2"/>
      <c r="N229" s="6">
        <f t="shared" si="52"/>
        <v>-0.8578583499575142</v>
      </c>
      <c r="O229" s="11"/>
      <c r="P229" s="7">
        <v>114083.83</v>
      </c>
      <c r="Q229" s="2"/>
      <c r="R229" s="6">
        <f t="shared" si="53"/>
        <v>3.9843208950986597E-3</v>
      </c>
      <c r="S229" s="2"/>
      <c r="T229" s="7">
        <v>170801.86000000002</v>
      </c>
      <c r="U229" s="2"/>
      <c r="V229" s="6">
        <f t="shared" si="54"/>
        <v>4.7793015458772658E-3</v>
      </c>
      <c r="W229" s="2"/>
      <c r="X229" s="7">
        <f t="shared" si="55"/>
        <v>-56718.030000000013</v>
      </c>
      <c r="Y229" s="2"/>
      <c r="Z229" s="6">
        <f t="shared" si="56"/>
        <v>-0.33206915896583333</v>
      </c>
    </row>
    <row r="230" spans="1:26" s="24" customFormat="1" hidden="1" outlineLevel="2" x14ac:dyDescent="0.35">
      <c r="A230" s="27"/>
      <c r="B230" s="11" t="str">
        <f>CONCATENATE("          ", "6007", " - ", "STUDENT HOURLY")</f>
        <v xml:space="preserve">          6007 - STUDENT HOURLY</v>
      </c>
      <c r="C230" s="11"/>
      <c r="D230" s="7">
        <v>17512.449999999997</v>
      </c>
      <c r="E230" s="2"/>
      <c r="F230" s="6">
        <f t="shared" si="49"/>
        <v>2.996026107527304E-2</v>
      </c>
      <c r="G230" s="2"/>
      <c r="H230" s="7">
        <v>99881.73000000001</v>
      </c>
      <c r="I230" s="2"/>
      <c r="J230" s="6">
        <f t="shared" si="50"/>
        <v>0.12785171066158818</v>
      </c>
      <c r="K230" s="2"/>
      <c r="L230" s="7">
        <f t="shared" si="51"/>
        <v>-82369.280000000013</v>
      </c>
      <c r="M230" s="2"/>
      <c r="N230" s="6">
        <f t="shared" si="52"/>
        <v>-0.82466813500326841</v>
      </c>
      <c r="O230" s="11"/>
      <c r="P230" s="7">
        <v>2511655.41</v>
      </c>
      <c r="Q230" s="2"/>
      <c r="R230" s="6">
        <f t="shared" si="53"/>
        <v>8.7718313203112061E-2</v>
      </c>
      <c r="S230" s="2"/>
      <c r="T230" s="7">
        <v>2835895.79</v>
      </c>
      <c r="U230" s="2"/>
      <c r="V230" s="6">
        <f t="shared" si="54"/>
        <v>7.9352772464502605E-2</v>
      </c>
      <c r="W230" s="2"/>
      <c r="X230" s="7">
        <f t="shared" si="55"/>
        <v>-324240.37999999989</v>
      </c>
      <c r="Y230" s="2"/>
      <c r="Z230" s="6">
        <f t="shared" si="56"/>
        <v>-0.11433437756893031</v>
      </c>
    </row>
    <row r="231" spans="1:26" s="24" customFormat="1" hidden="1" outlineLevel="2" x14ac:dyDescent="0.35">
      <c r="A231" s="27"/>
      <c r="B231" s="11" t="str">
        <f>CONCATENATE("          ", "6008", " - ", "STUDENT HOURLY-FICA EXEMPT")</f>
        <v xml:space="preserve">          6008 - STUDENT HOURLY-FICA EXEMPT</v>
      </c>
      <c r="C231" s="11"/>
      <c r="D231" s="7"/>
      <c r="E231" s="2"/>
      <c r="F231" s="6">
        <f t="shared" si="49"/>
        <v>0</v>
      </c>
      <c r="G231" s="2"/>
      <c r="H231" s="7">
        <v>7299.19</v>
      </c>
      <c r="I231" s="2"/>
      <c r="J231" s="6">
        <f t="shared" si="50"/>
        <v>9.3431894696253022E-3</v>
      </c>
      <c r="K231" s="2"/>
      <c r="L231" s="7">
        <f t="shared" si="51"/>
        <v>-7299.19</v>
      </c>
      <c r="M231" s="2"/>
      <c r="N231" s="6">
        <f t="shared" si="52"/>
        <v>-1</v>
      </c>
      <c r="O231" s="11"/>
      <c r="P231" s="7">
        <v>241146.53999999998</v>
      </c>
      <c r="Q231" s="2"/>
      <c r="R231" s="6">
        <f t="shared" si="53"/>
        <v>8.4219227045826284E-3</v>
      </c>
      <c r="S231" s="2"/>
      <c r="T231" s="7">
        <v>349025.23000000004</v>
      </c>
      <c r="U231" s="2"/>
      <c r="V231" s="6">
        <f t="shared" si="54"/>
        <v>9.7662684779262262E-3</v>
      </c>
      <c r="W231" s="2"/>
      <c r="X231" s="7">
        <f t="shared" si="55"/>
        <v>-107878.69000000006</v>
      </c>
      <c r="Y231" s="2"/>
      <c r="Z231" s="6">
        <f t="shared" si="56"/>
        <v>-0.3090856497680699</v>
      </c>
    </row>
    <row r="232" spans="1:26" s="25" customFormat="1" outlineLevel="1" collapsed="1" x14ac:dyDescent="0.35">
      <c r="A232" s="26"/>
      <c r="B232" s="12" t="str">
        <f>CONCATENATE("     ","Advertising/Promo                                 ")</f>
        <v xml:space="preserve">     Advertising/Promo                                 </v>
      </c>
      <c r="C232" s="12"/>
      <c r="D232" s="1">
        <f>SUM(OSRRefD22_2x_0)</f>
        <v>-2380.7399999999998</v>
      </c>
      <c r="E232" s="1"/>
      <c r="F232" s="5">
        <f t="shared" ref="F232:F236" si="57">IF(D$12=0,0,D232/D$12)</f>
        <v>-4.0729647737664087E-3</v>
      </c>
      <c r="G232" s="1"/>
      <c r="H232" s="1">
        <f>SUM(OSRRefH22_2x_0)</f>
        <v>15424.74</v>
      </c>
      <c r="I232" s="1"/>
      <c r="J232" s="5">
        <f t="shared" ref="J232:J236" si="58">IF(H$12=0,0,H232/H$12)</f>
        <v>1.9744145355814577E-2</v>
      </c>
      <c r="K232" s="1"/>
      <c r="L232" s="1">
        <f t="shared" ref="L232:L236" si="59">+D232-H232</f>
        <v>-17805.48</v>
      </c>
      <c r="M232" s="1"/>
      <c r="N232" s="5">
        <f t="shared" ref="N232:N236" si="60">IF(H232=0,0,L232/H232)</f>
        <v>-1.1543455513674785</v>
      </c>
      <c r="O232" s="12"/>
      <c r="P232" s="1">
        <f>SUM(OSRRefP22_2x_0)</f>
        <v>87492.22</v>
      </c>
      <c r="Q232" s="1"/>
      <c r="R232" s="5">
        <f t="shared" ref="R232:R236" si="61">IF(P$12=0,0,P232/P$12)</f>
        <v>3.0556221710348335E-3</v>
      </c>
      <c r="S232" s="1"/>
      <c r="T232" s="1">
        <f>SUM(OSRRefT22_2x_0)</f>
        <v>142165.71</v>
      </c>
      <c r="U232" s="1"/>
      <c r="V232" s="5">
        <f t="shared" ref="V232:V236" si="62">IF(T$12=0,0,T232/T$12)</f>
        <v>3.9780175553927747E-3</v>
      </c>
      <c r="W232" s="1"/>
      <c r="X232" s="1">
        <f t="shared" ref="X232:X236" si="63">+P232-T232</f>
        <v>-54673.489999999991</v>
      </c>
      <c r="Y232" s="1"/>
      <c r="Z232" s="5">
        <f t="shared" ref="Z232:Z236" si="64">IF(T232=0,0,X232/T232)</f>
        <v>-0.38457578835290163</v>
      </c>
    </row>
    <row r="233" spans="1:26" s="24" customFormat="1" hidden="1" outlineLevel="2" x14ac:dyDescent="0.35">
      <c r="A233" s="27"/>
      <c r="B233" s="11" t="str">
        <f>CONCATENATE("          ", "6362", " - ", "ADVERTISING EXPENSE")</f>
        <v xml:space="preserve">          6362 - ADVERTISING EXPENSE</v>
      </c>
      <c r="C233" s="11"/>
      <c r="D233" s="7">
        <v>-2380.7399999999998</v>
      </c>
      <c r="E233" s="2"/>
      <c r="F233" s="6">
        <f t="shared" si="57"/>
        <v>-4.0729647737664087E-3</v>
      </c>
      <c r="G233" s="2"/>
      <c r="H233" s="7">
        <v>15424.74</v>
      </c>
      <c r="I233" s="2"/>
      <c r="J233" s="6">
        <f t="shared" si="58"/>
        <v>1.9744145355814577E-2</v>
      </c>
      <c r="K233" s="2"/>
      <c r="L233" s="7">
        <f t="shared" si="59"/>
        <v>-17805.48</v>
      </c>
      <c r="M233" s="2"/>
      <c r="N233" s="6">
        <f t="shared" si="60"/>
        <v>-1.1543455513674785</v>
      </c>
      <c r="O233" s="11"/>
      <c r="P233" s="7">
        <v>87492.22</v>
      </c>
      <c r="Q233" s="2"/>
      <c r="R233" s="6">
        <f t="shared" si="61"/>
        <v>3.0556221710348335E-3</v>
      </c>
      <c r="S233" s="2"/>
      <c r="T233" s="7">
        <v>142165.71</v>
      </c>
      <c r="U233" s="2"/>
      <c r="V233" s="6">
        <f t="shared" si="62"/>
        <v>3.9780175553927747E-3</v>
      </c>
      <c r="W233" s="2"/>
      <c r="X233" s="7">
        <f t="shared" si="63"/>
        <v>-54673.489999999991</v>
      </c>
      <c r="Y233" s="2"/>
      <c r="Z233" s="6">
        <f t="shared" si="64"/>
        <v>-0.38457578835290163</v>
      </c>
    </row>
    <row r="234" spans="1:26" s="25" customFormat="1" outlineLevel="1" collapsed="1" x14ac:dyDescent="0.35">
      <c r="A234" s="26"/>
      <c r="B234" s="12" t="str">
        <f>CONCATENATE("     ","Bad Debts/Over/Short                              ")</f>
        <v xml:space="preserve">     Bad Debts/Over/Short                              </v>
      </c>
      <c r="C234" s="12"/>
      <c r="D234" s="1">
        <f>SUM(OSRRefD22_3x_0)</f>
        <v>0</v>
      </c>
      <c r="E234" s="1"/>
      <c r="F234" s="5">
        <f t="shared" si="57"/>
        <v>0</v>
      </c>
      <c r="G234" s="1"/>
      <c r="H234" s="1">
        <f>SUM(OSRRefH22_3x_0)</f>
        <v>12223.56</v>
      </c>
      <c r="I234" s="1"/>
      <c r="J234" s="5">
        <f t="shared" si="58"/>
        <v>1.5646535721543495E-2</v>
      </c>
      <c r="K234" s="1"/>
      <c r="L234" s="1">
        <f t="shared" si="59"/>
        <v>-12223.56</v>
      </c>
      <c r="M234" s="1"/>
      <c r="N234" s="5">
        <f t="shared" si="60"/>
        <v>-1</v>
      </c>
      <c r="O234" s="12"/>
      <c r="P234" s="1">
        <f>SUM(OSRRefP22_3x_0)</f>
        <v>-656.94</v>
      </c>
      <c r="Q234" s="1"/>
      <c r="R234" s="5">
        <f t="shared" si="61"/>
        <v>-2.2943302033479363E-5</v>
      </c>
      <c r="S234" s="1"/>
      <c r="T234" s="1">
        <f>SUM(OSRRefT22_3x_0)</f>
        <v>12691.53</v>
      </c>
      <c r="U234" s="1"/>
      <c r="V234" s="5">
        <f t="shared" si="62"/>
        <v>3.5512873775817017E-4</v>
      </c>
      <c r="W234" s="1"/>
      <c r="X234" s="1">
        <f t="shared" si="63"/>
        <v>-13348.470000000001</v>
      </c>
      <c r="Y234" s="1"/>
      <c r="Z234" s="5">
        <f t="shared" si="64"/>
        <v>-1.0517620806947625</v>
      </c>
    </row>
    <row r="235" spans="1:26" s="24" customFormat="1" hidden="1" outlineLevel="2" x14ac:dyDescent="0.35">
      <c r="A235" s="27"/>
      <c r="B235" s="11" t="str">
        <f>CONCATENATE("          ", "6272", " - ", "CASH (OVER/SHORT)")</f>
        <v xml:space="preserve">          6272 - CASH (OVER/SHORT)</v>
      </c>
      <c r="C235" s="11"/>
      <c r="D235" s="7"/>
      <c r="E235" s="2"/>
      <c r="F235" s="6">
        <f t="shared" si="57"/>
        <v>0</v>
      </c>
      <c r="G235" s="2"/>
      <c r="H235" s="7">
        <v>12223.56</v>
      </c>
      <c r="I235" s="2"/>
      <c r="J235" s="6">
        <f t="shared" si="58"/>
        <v>1.5646535721543495E-2</v>
      </c>
      <c r="K235" s="2"/>
      <c r="L235" s="7">
        <f t="shared" si="59"/>
        <v>-12223.56</v>
      </c>
      <c r="M235" s="2"/>
      <c r="N235" s="6">
        <f t="shared" si="60"/>
        <v>-1</v>
      </c>
      <c r="O235" s="11"/>
      <c r="P235" s="7">
        <v>-701.74</v>
      </c>
      <c r="Q235" s="2"/>
      <c r="R235" s="6">
        <f t="shared" si="61"/>
        <v>-2.45079197019116E-5</v>
      </c>
      <c r="S235" s="2"/>
      <c r="T235" s="7">
        <v>12691.53</v>
      </c>
      <c r="U235" s="2"/>
      <c r="V235" s="6">
        <f t="shared" si="62"/>
        <v>3.5512873775817017E-4</v>
      </c>
      <c r="W235" s="2"/>
      <c r="X235" s="7">
        <f t="shared" si="63"/>
        <v>-13393.27</v>
      </c>
      <c r="Y235" s="2"/>
      <c r="Z235" s="6">
        <f t="shared" si="64"/>
        <v>-1.0552919939518719</v>
      </c>
    </row>
    <row r="236" spans="1:26" s="24" customFormat="1" hidden="1" outlineLevel="2" x14ac:dyDescent="0.35">
      <c r="A236" s="27"/>
      <c r="B236" s="11" t="str">
        <f>CONCATENATE("          ", "6342", " - ", "BAD DEBT")</f>
        <v xml:space="preserve">          6342 - BAD DEBT</v>
      </c>
      <c r="C236" s="11"/>
      <c r="D236" s="7"/>
      <c r="E236" s="2"/>
      <c r="F236" s="6">
        <f t="shared" si="57"/>
        <v>0</v>
      </c>
      <c r="G236" s="2"/>
      <c r="H236" s="7"/>
      <c r="I236" s="2"/>
      <c r="J236" s="6">
        <f t="shared" si="58"/>
        <v>0</v>
      </c>
      <c r="K236" s="2"/>
      <c r="L236" s="7">
        <f t="shared" si="59"/>
        <v>0</v>
      </c>
      <c r="M236" s="2"/>
      <c r="N236" s="6">
        <f t="shared" si="60"/>
        <v>0</v>
      </c>
      <c r="O236" s="11"/>
      <c r="P236" s="7">
        <v>44.8</v>
      </c>
      <c r="Q236" s="2"/>
      <c r="R236" s="6">
        <f t="shared" si="61"/>
        <v>1.5646176684322392E-6</v>
      </c>
      <c r="S236" s="2"/>
      <c r="T236" s="7"/>
      <c r="U236" s="2"/>
      <c r="V236" s="6">
        <f t="shared" si="62"/>
        <v>0</v>
      </c>
      <c r="W236" s="2"/>
      <c r="X236" s="7">
        <f t="shared" si="63"/>
        <v>44.8</v>
      </c>
      <c r="Y236" s="2"/>
      <c r="Z236" s="6">
        <f t="shared" si="64"/>
        <v>0</v>
      </c>
    </row>
    <row r="237" spans="1:26" s="25" customFormat="1" outlineLevel="1" collapsed="1" x14ac:dyDescent="0.35">
      <c r="A237" s="26"/>
      <c r="B237" s="12" t="str">
        <f>CONCATENATE("     ","Bank/card Fees                                    ")</f>
        <v xml:space="preserve">     Bank/card Fees                                    </v>
      </c>
      <c r="C237" s="12"/>
      <c r="D237" s="1">
        <f>SUM(OSRRefD22_4x_0)</f>
        <v>4205.91</v>
      </c>
      <c r="E237" s="1"/>
      <c r="F237" s="5">
        <f t="shared" ref="F237:F242" si="65">IF(D$12=0,0,D237/D$12)</f>
        <v>7.1954616092609345E-3</v>
      </c>
      <c r="G237" s="1"/>
      <c r="H237" s="1">
        <f>SUM(OSRRefH22_4x_0)</f>
        <v>15304.190000000002</v>
      </c>
      <c r="I237" s="1"/>
      <c r="J237" s="5">
        <f t="shared" ref="J237:J242" si="66">IF(H$12=0,0,H237/H$12)</f>
        <v>1.9589837618851528E-2</v>
      </c>
      <c r="K237" s="1"/>
      <c r="L237" s="1">
        <f t="shared" ref="L237:L242" si="67">+D237-H237</f>
        <v>-11098.280000000002</v>
      </c>
      <c r="M237" s="1"/>
      <c r="N237" s="5">
        <f t="shared" ref="N237:N242" si="68">IF(H237=0,0,L237/H237)</f>
        <v>-0.72517918295577888</v>
      </c>
      <c r="O237" s="12"/>
      <c r="P237" s="1">
        <f>SUM(OSRRefP22_4x_0)</f>
        <v>409031.82</v>
      </c>
      <c r="Q237" s="1"/>
      <c r="R237" s="5">
        <f t="shared" ref="R237:R242" si="69">IF(P$12=0,0,P237/P$12)</f>
        <v>1.4285232422388291E-2</v>
      </c>
      <c r="S237" s="1"/>
      <c r="T237" s="1">
        <f>SUM(OSRRefT22_4x_0)</f>
        <v>523862.27</v>
      </c>
      <c r="U237" s="1"/>
      <c r="V237" s="5">
        <f t="shared" ref="V237:V242" si="70">IF(T$12=0,0,T237/T$12)</f>
        <v>1.4658480632692018E-2</v>
      </c>
      <c r="W237" s="1"/>
      <c r="X237" s="1">
        <f t="shared" ref="X237:X242" si="71">+P237-T237</f>
        <v>-114830.45000000001</v>
      </c>
      <c r="Y237" s="1"/>
      <c r="Z237" s="5">
        <f t="shared" ref="Z237:Z242" si="72">IF(T237=0,0,X237/T237)</f>
        <v>-0.21919969537031175</v>
      </c>
    </row>
    <row r="238" spans="1:26" s="24" customFormat="1" hidden="1" outlineLevel="2" x14ac:dyDescent="0.35">
      <c r="A238" s="27"/>
      <c r="B238" s="11" t="str">
        <f>CONCATENATE("          ", "6381", " - ", "BANK/CREDIT CARD FEES")</f>
        <v xml:space="preserve">          6381 - BANK/CREDIT CARD FEES</v>
      </c>
      <c r="C238" s="11"/>
      <c r="D238" s="7">
        <v>4205.91</v>
      </c>
      <c r="E238" s="2"/>
      <c r="F238" s="6">
        <f t="shared" si="65"/>
        <v>7.1954616092609345E-3</v>
      </c>
      <c r="G238" s="2"/>
      <c r="H238" s="7">
        <v>15304.190000000002</v>
      </c>
      <c r="I238" s="2"/>
      <c r="J238" s="6">
        <f t="shared" si="66"/>
        <v>1.9589837618851528E-2</v>
      </c>
      <c r="K238" s="2"/>
      <c r="L238" s="7">
        <f t="shared" si="67"/>
        <v>-11098.280000000002</v>
      </c>
      <c r="M238" s="2"/>
      <c r="N238" s="6">
        <f t="shared" si="68"/>
        <v>-0.72517918295577888</v>
      </c>
      <c r="O238" s="11"/>
      <c r="P238" s="7">
        <v>409031.82</v>
      </c>
      <c r="Q238" s="2"/>
      <c r="R238" s="6">
        <f t="shared" si="69"/>
        <v>1.4285232422388291E-2</v>
      </c>
      <c r="S238" s="2"/>
      <c r="T238" s="7">
        <v>523862.27</v>
      </c>
      <c r="U238" s="2"/>
      <c r="V238" s="6">
        <f t="shared" si="70"/>
        <v>1.4658480632692018E-2</v>
      </c>
      <c r="W238" s="2"/>
      <c r="X238" s="7">
        <f t="shared" si="71"/>
        <v>-114830.45000000001</v>
      </c>
      <c r="Y238" s="2"/>
      <c r="Z238" s="6">
        <f t="shared" si="72"/>
        <v>-0.21919969537031175</v>
      </c>
    </row>
    <row r="239" spans="1:26" s="25" customFormat="1" outlineLevel="1" collapsed="1" x14ac:dyDescent="0.35">
      <c r="A239" s="26"/>
      <c r="B239" s="12" t="str">
        <f>CONCATENATE("     ","Depreciation                                      ")</f>
        <v xml:space="preserve">     Depreciation                                      </v>
      </c>
      <c r="C239" s="12"/>
      <c r="D239" s="1">
        <f>SUM(OSRRefD22_5x_0)</f>
        <v>77570.97</v>
      </c>
      <c r="E239" s="1"/>
      <c r="F239" s="5">
        <f t="shared" si="65"/>
        <v>0.1327082454517885</v>
      </c>
      <c r="G239" s="1"/>
      <c r="H239" s="1">
        <f>SUM(OSRRefH22_5x_0)</f>
        <v>80526.060000000012</v>
      </c>
      <c r="I239" s="1"/>
      <c r="J239" s="5">
        <f t="shared" si="66"/>
        <v>0.10307585304977887</v>
      </c>
      <c r="K239" s="1"/>
      <c r="L239" s="1">
        <f t="shared" si="67"/>
        <v>-2955.0900000000111</v>
      </c>
      <c r="M239" s="1"/>
      <c r="N239" s="5">
        <f t="shared" si="68"/>
        <v>-3.669731264636579E-2</v>
      </c>
      <c r="O239" s="12"/>
      <c r="P239" s="1">
        <f>SUM(OSRRefP22_5x_0)</f>
        <v>944656.55</v>
      </c>
      <c r="Q239" s="1"/>
      <c r="R239" s="5">
        <f t="shared" si="69"/>
        <v>3.2991659123442929E-2</v>
      </c>
      <c r="S239" s="1"/>
      <c r="T239" s="1">
        <f>SUM(OSRRefT22_5x_0)</f>
        <v>933141.33000000007</v>
      </c>
      <c r="U239" s="1"/>
      <c r="V239" s="5">
        <f t="shared" si="70"/>
        <v>2.6110744935628732E-2</v>
      </c>
      <c r="W239" s="1"/>
      <c r="X239" s="1">
        <f t="shared" si="71"/>
        <v>11515.219999999972</v>
      </c>
      <c r="Y239" s="1"/>
      <c r="Z239" s="5">
        <f t="shared" si="72"/>
        <v>1.2340274329077217E-2</v>
      </c>
    </row>
    <row r="240" spans="1:26" s="24" customFormat="1" hidden="1" outlineLevel="2" x14ac:dyDescent="0.35">
      <c r="A240" s="27"/>
      <c r="B240" s="11" t="str">
        <f>CONCATENATE("          ", "6321", " - ", "BUILDING DEPRECIATION")</f>
        <v xml:space="preserve">          6321 - BUILDING DEPRECIATION</v>
      </c>
      <c r="C240" s="11"/>
      <c r="D240" s="7">
        <v>45504.62</v>
      </c>
      <c r="E240" s="2"/>
      <c r="F240" s="6">
        <f t="shared" si="65"/>
        <v>7.784920415653386E-2</v>
      </c>
      <c r="G240" s="2"/>
      <c r="H240" s="7">
        <v>48197.4</v>
      </c>
      <c r="I240" s="2"/>
      <c r="J240" s="6">
        <f t="shared" si="66"/>
        <v>6.1694166084636598E-2</v>
      </c>
      <c r="K240" s="2"/>
      <c r="L240" s="7">
        <f t="shared" si="67"/>
        <v>-2692.7799999999988</v>
      </c>
      <c r="M240" s="2"/>
      <c r="N240" s="6">
        <f t="shared" si="68"/>
        <v>-5.5869818703913464E-2</v>
      </c>
      <c r="O240" s="11"/>
      <c r="P240" s="7">
        <v>546224.51</v>
      </c>
      <c r="Q240" s="2"/>
      <c r="R240" s="6">
        <f t="shared" si="69"/>
        <v>1.9076618733855858E-2</v>
      </c>
      <c r="S240" s="2"/>
      <c r="T240" s="7">
        <v>561869.34000000008</v>
      </c>
      <c r="U240" s="2"/>
      <c r="V240" s="6">
        <f t="shared" si="70"/>
        <v>1.5721977531410018E-2</v>
      </c>
      <c r="W240" s="2"/>
      <c r="X240" s="7">
        <f t="shared" si="71"/>
        <v>-15644.830000000075</v>
      </c>
      <c r="Y240" s="2"/>
      <c r="Z240" s="6">
        <f t="shared" si="72"/>
        <v>-2.7844249340959006E-2</v>
      </c>
    </row>
    <row r="241" spans="1:26" s="24" customFormat="1" hidden="1" outlineLevel="2" x14ac:dyDescent="0.35">
      <c r="A241" s="27"/>
      <c r="B241" s="11" t="str">
        <f>CONCATENATE("          ", "6322", " - ", "EQUIPMENT DEPRECIATION EXPENSE")</f>
        <v xml:space="preserve">          6322 - EQUIPMENT DEPRECIATION EXPENSE</v>
      </c>
      <c r="C241" s="11"/>
      <c r="D241" s="7">
        <v>32066.350000000002</v>
      </c>
      <c r="E241" s="2"/>
      <c r="F241" s="6">
        <f t="shared" si="65"/>
        <v>5.4859041295254631E-2</v>
      </c>
      <c r="G241" s="2"/>
      <c r="H241" s="7">
        <v>31904.42</v>
      </c>
      <c r="I241" s="2"/>
      <c r="J241" s="6">
        <f t="shared" si="66"/>
        <v>4.0838646614008253E-2</v>
      </c>
      <c r="K241" s="2"/>
      <c r="L241" s="7">
        <f t="shared" si="67"/>
        <v>161.93000000000393</v>
      </c>
      <c r="M241" s="2"/>
      <c r="N241" s="6">
        <f t="shared" si="68"/>
        <v>5.0754723013301589E-3</v>
      </c>
      <c r="O241" s="11"/>
      <c r="P241" s="7">
        <v>394189.56</v>
      </c>
      <c r="Q241" s="2"/>
      <c r="R241" s="6">
        <f t="shared" si="69"/>
        <v>1.3766873890346658E-2</v>
      </c>
      <c r="S241" s="2"/>
      <c r="T241" s="7">
        <v>366181</v>
      </c>
      <c r="U241" s="2"/>
      <c r="V241" s="6">
        <f t="shared" si="70"/>
        <v>1.0246313590325556E-2</v>
      </c>
      <c r="W241" s="2"/>
      <c r="X241" s="7">
        <f t="shared" si="71"/>
        <v>28008.559999999998</v>
      </c>
      <c r="Y241" s="2"/>
      <c r="Z241" s="6">
        <f t="shared" si="72"/>
        <v>7.6488294040378935E-2</v>
      </c>
    </row>
    <row r="242" spans="1:26" s="24" customFormat="1" hidden="1" outlineLevel="2" x14ac:dyDescent="0.35">
      <c r="A242" s="27"/>
      <c r="B242" s="11" t="str">
        <f>CONCATENATE("          ", "6326", " - ", "VEHICLES DEPRECIATION EXPENSE")</f>
        <v xml:space="preserve">          6326 - VEHICLES DEPRECIATION EXPENSE</v>
      </c>
      <c r="C242" s="11"/>
      <c r="D242" s="7"/>
      <c r="E242" s="2"/>
      <c r="F242" s="6">
        <f t="shared" si="65"/>
        <v>0</v>
      </c>
      <c r="G242" s="2"/>
      <c r="H242" s="7">
        <v>424.24</v>
      </c>
      <c r="I242" s="2"/>
      <c r="J242" s="6">
        <f t="shared" si="66"/>
        <v>5.4304035113400778E-4</v>
      </c>
      <c r="K242" s="2"/>
      <c r="L242" s="7">
        <f t="shared" si="67"/>
        <v>-424.24</v>
      </c>
      <c r="M242" s="2"/>
      <c r="N242" s="6">
        <f t="shared" si="68"/>
        <v>-1</v>
      </c>
      <c r="O242" s="11"/>
      <c r="P242" s="7">
        <v>4242.4799999999996</v>
      </c>
      <c r="Q242" s="2"/>
      <c r="R242" s="6">
        <f t="shared" si="69"/>
        <v>1.4816649924041084E-4</v>
      </c>
      <c r="S242" s="2"/>
      <c r="T242" s="7">
        <v>5090.99</v>
      </c>
      <c r="U242" s="2"/>
      <c r="V242" s="6">
        <f t="shared" si="70"/>
        <v>1.4245381389316075E-4</v>
      </c>
      <c r="W242" s="2"/>
      <c r="X242" s="7">
        <f t="shared" si="71"/>
        <v>-848.51000000000022</v>
      </c>
      <c r="Y242" s="2"/>
      <c r="Z242" s="6">
        <f t="shared" si="72"/>
        <v>-0.16666895829691283</v>
      </c>
    </row>
    <row r="243" spans="1:26" s="25" customFormat="1" outlineLevel="1" collapsed="1" x14ac:dyDescent="0.35">
      <c r="A243" s="26"/>
      <c r="B243" s="12" t="str">
        <f>CONCATENATE("     ","Discounts and Markdowns                           ")</f>
        <v xml:space="preserve">     Discounts and Markdowns                           </v>
      </c>
      <c r="C243" s="12"/>
      <c r="D243" s="1">
        <f>SUM(OSRRefD22_6x_0)</f>
        <v>42286.42</v>
      </c>
      <c r="E243" s="1"/>
      <c r="F243" s="5">
        <f t="shared" ref="F243:F245" si="73">IF(D$12=0,0,D243/D$12)</f>
        <v>7.2343514650357182E-2</v>
      </c>
      <c r="G243" s="1"/>
      <c r="H243" s="1">
        <f>SUM(OSRRefH22_6x_0)</f>
        <v>16619.829999999998</v>
      </c>
      <c r="I243" s="1"/>
      <c r="J243" s="5">
        <f t="shared" ref="J243:J245" si="74">IF(H$12=0,0,H243/H$12)</f>
        <v>2.1273897602742588E-2</v>
      </c>
      <c r="K243" s="1"/>
      <c r="L243" s="1">
        <f t="shared" ref="L243:L245" si="75">+D243-H243</f>
        <v>25666.59</v>
      </c>
      <c r="M243" s="1"/>
      <c r="N243" s="5">
        <f t="shared" ref="N243:N245" si="76">IF(H243=0,0,L243/H243)</f>
        <v>1.5443352910348664</v>
      </c>
      <c r="O243" s="12"/>
      <c r="P243" s="1">
        <f>SUM(OSRRefP22_6x_0)</f>
        <v>464181.86000000004</v>
      </c>
      <c r="Q243" s="1"/>
      <c r="R243" s="5">
        <f t="shared" ref="R243:R245" si="77">IF(P$12=0,0,P243/P$12)</f>
        <v>1.6211320078610272E-2</v>
      </c>
      <c r="S243" s="1"/>
      <c r="T243" s="1">
        <f>SUM(OSRRefT22_6x_0)</f>
        <v>447374.7</v>
      </c>
      <c r="U243" s="1"/>
      <c r="V243" s="5">
        <f t="shared" ref="V243:V245" si="78">IF(T$12=0,0,T243/T$12)</f>
        <v>1.2518239527932412E-2</v>
      </c>
      <c r="W243" s="1"/>
      <c r="X243" s="1">
        <f t="shared" ref="X243:X245" si="79">+P243-T243</f>
        <v>16807.160000000033</v>
      </c>
      <c r="Y243" s="1"/>
      <c r="Z243" s="5">
        <f t="shared" ref="Z243:Z245" si="80">IF(T243=0,0,X243/T243)</f>
        <v>3.7568418598548446E-2</v>
      </c>
    </row>
    <row r="244" spans="1:26" s="24" customFormat="1" hidden="1" outlineLevel="2" x14ac:dyDescent="0.35">
      <c r="A244" s="27"/>
      <c r="B244" s="11" t="str">
        <f>CONCATENATE("          ", "6382", " - ", "DISCOUNTS/MARK DOWNS")</f>
        <v xml:space="preserve">          6382 - DISCOUNTS/MARK DOWNS</v>
      </c>
      <c r="C244" s="11"/>
      <c r="D244" s="7">
        <v>42289.279999999999</v>
      </c>
      <c r="E244" s="2"/>
      <c r="F244" s="6">
        <f t="shared" si="73"/>
        <v>7.2348407532088474E-2</v>
      </c>
      <c r="G244" s="2"/>
      <c r="H244" s="7">
        <v>16666.769999999997</v>
      </c>
      <c r="I244" s="2"/>
      <c r="J244" s="6">
        <f t="shared" si="74"/>
        <v>2.133398225784873E-2</v>
      </c>
      <c r="K244" s="2"/>
      <c r="L244" s="7">
        <f t="shared" si="75"/>
        <v>25622.510000000002</v>
      </c>
      <c r="M244" s="2"/>
      <c r="N244" s="6">
        <f t="shared" si="76"/>
        <v>1.5373410684853759</v>
      </c>
      <c r="O244" s="11"/>
      <c r="P244" s="7">
        <v>467416.34</v>
      </c>
      <c r="Q244" s="2"/>
      <c r="R244" s="6">
        <f t="shared" si="77"/>
        <v>1.6324282680310959E-2</v>
      </c>
      <c r="S244" s="2"/>
      <c r="T244" s="7">
        <v>451997.8</v>
      </c>
      <c r="U244" s="2"/>
      <c r="V244" s="6">
        <f t="shared" si="78"/>
        <v>1.2647601052313617E-2</v>
      </c>
      <c r="W244" s="2"/>
      <c r="X244" s="7">
        <f t="shared" si="79"/>
        <v>15418.540000000037</v>
      </c>
      <c r="Y244" s="2"/>
      <c r="Z244" s="6">
        <f t="shared" si="80"/>
        <v>3.411198019105411E-2</v>
      </c>
    </row>
    <row r="245" spans="1:26" s="24" customFormat="1" hidden="1" outlineLevel="2" x14ac:dyDescent="0.35">
      <c r="A245" s="27"/>
      <c r="B245" s="11" t="str">
        <f>CONCATENATE("          ", "9175", " - ", "EARNED DISCOUNTS")</f>
        <v xml:space="preserve">          9175 - EARNED DISCOUNTS</v>
      </c>
      <c r="C245" s="11"/>
      <c r="D245" s="7">
        <v>-2.86</v>
      </c>
      <c r="E245" s="2"/>
      <c r="F245" s="6">
        <f t="shared" si="73"/>
        <v>-4.8928817312986419E-6</v>
      </c>
      <c r="G245" s="2"/>
      <c r="H245" s="7">
        <v>-46.94</v>
      </c>
      <c r="I245" s="2"/>
      <c r="J245" s="6">
        <f t="shared" si="74"/>
        <v>-6.0084655106143516E-5</v>
      </c>
      <c r="K245" s="2"/>
      <c r="L245" s="7">
        <f t="shared" si="75"/>
        <v>44.08</v>
      </c>
      <c r="M245" s="2"/>
      <c r="N245" s="6">
        <f t="shared" si="76"/>
        <v>-0.93907115466553048</v>
      </c>
      <c r="O245" s="11"/>
      <c r="P245" s="7">
        <v>-3234.48</v>
      </c>
      <c r="Q245" s="2"/>
      <c r="R245" s="6">
        <f t="shared" si="77"/>
        <v>-1.1296260170068549E-4</v>
      </c>
      <c r="S245" s="2"/>
      <c r="T245" s="7">
        <v>-4623.1000000000004</v>
      </c>
      <c r="U245" s="2"/>
      <c r="V245" s="6">
        <f t="shared" si="78"/>
        <v>-1.2936152438120514E-4</v>
      </c>
      <c r="W245" s="2"/>
      <c r="X245" s="7">
        <f t="shared" si="79"/>
        <v>1388.6200000000003</v>
      </c>
      <c r="Y245" s="2"/>
      <c r="Z245" s="6">
        <f t="shared" si="80"/>
        <v>-0.30036555557958949</v>
      </c>
    </row>
    <row r="246" spans="1:26" s="25" customFormat="1" outlineLevel="1" collapsed="1" x14ac:dyDescent="0.35">
      <c r="A246" s="26"/>
      <c r="B246" s="12" t="str">
        <f>CONCATENATE("     ","Donations                                         ")</f>
        <v xml:space="preserve">     Donations                                         </v>
      </c>
      <c r="C246" s="12"/>
      <c r="D246" s="1">
        <f>SUM(OSRRefD22_7x_0)</f>
        <v>0</v>
      </c>
      <c r="E246" s="1"/>
      <c r="F246" s="5">
        <f t="shared" ref="F246:F254" si="81">IF(D$12=0,0,D246/D$12)</f>
        <v>0</v>
      </c>
      <c r="G246" s="1"/>
      <c r="H246" s="1">
        <f>SUM(OSRRefH22_7x_0)</f>
        <v>674.49</v>
      </c>
      <c r="I246" s="1"/>
      <c r="J246" s="5">
        <f t="shared" ref="J246:J254" si="82">IF(H$12=0,0,H246/H$12)</f>
        <v>8.6336810870350962E-4</v>
      </c>
      <c r="K246" s="1"/>
      <c r="L246" s="1">
        <f t="shared" ref="L246:L254" si="83">+D246-H246</f>
        <v>-674.49</v>
      </c>
      <c r="M246" s="1"/>
      <c r="N246" s="5">
        <f t="shared" ref="N246:N254" si="84">IF(H246=0,0,L246/H246)</f>
        <v>-1</v>
      </c>
      <c r="O246" s="12"/>
      <c r="P246" s="1">
        <f>SUM(OSRRefP22_7x_0)</f>
        <v>151321.84000000003</v>
      </c>
      <c r="Q246" s="1"/>
      <c r="R246" s="5">
        <f t="shared" ref="R246:R254" si="85">IF(P$12=0,0,P246/P$12)</f>
        <v>5.2848398322249204E-3</v>
      </c>
      <c r="S246" s="1"/>
      <c r="T246" s="1">
        <f>SUM(OSRRefT22_7x_0)</f>
        <v>144945.67000000001</v>
      </c>
      <c r="U246" s="1"/>
      <c r="V246" s="5">
        <f t="shared" ref="V246:V254" si="86">IF(T$12=0,0,T246/T$12)</f>
        <v>4.0558051575036481E-3</v>
      </c>
      <c r="W246" s="1"/>
      <c r="X246" s="1">
        <f t="shared" ref="X246:X254" si="87">+P246-T246</f>
        <v>6376.1700000000128</v>
      </c>
      <c r="Y246" s="1"/>
      <c r="Z246" s="5">
        <f t="shared" ref="Z246:Z254" si="88">IF(T246=0,0,X246/T246)</f>
        <v>4.399006883061779E-2</v>
      </c>
    </row>
    <row r="247" spans="1:26" s="24" customFormat="1" hidden="1" outlineLevel="2" x14ac:dyDescent="0.35">
      <c r="A247" s="27"/>
      <c r="B247" s="11" t="str">
        <f>CONCATENATE("          ", "6399", " - ", "DONATION-ON CAMPUS")</f>
        <v xml:space="preserve">          6399 - DONATION-ON CAMPUS</v>
      </c>
      <c r="C247" s="11"/>
      <c r="D247" s="7"/>
      <c r="E247" s="2"/>
      <c r="F247" s="6">
        <f t="shared" si="81"/>
        <v>0</v>
      </c>
      <c r="G247" s="2"/>
      <c r="H247" s="7">
        <v>674.49</v>
      </c>
      <c r="I247" s="2"/>
      <c r="J247" s="6">
        <f t="shared" si="82"/>
        <v>8.6336810870350962E-4</v>
      </c>
      <c r="K247" s="2"/>
      <c r="L247" s="7">
        <f t="shared" si="83"/>
        <v>-674.49</v>
      </c>
      <c r="M247" s="2"/>
      <c r="N247" s="6">
        <f t="shared" si="84"/>
        <v>-1</v>
      </c>
      <c r="O247" s="11"/>
      <c r="P247" s="7">
        <v>151321.84000000003</v>
      </c>
      <c r="Q247" s="2"/>
      <c r="R247" s="6">
        <f t="shared" si="85"/>
        <v>5.2848398322249204E-3</v>
      </c>
      <c r="S247" s="2"/>
      <c r="T247" s="7">
        <v>144945.67000000001</v>
      </c>
      <c r="U247" s="2"/>
      <c r="V247" s="6">
        <f t="shared" si="86"/>
        <v>4.0558051575036481E-3</v>
      </c>
      <c r="W247" s="2"/>
      <c r="X247" s="7">
        <f t="shared" si="87"/>
        <v>6376.1700000000128</v>
      </c>
      <c r="Y247" s="2"/>
      <c r="Z247" s="6">
        <f t="shared" si="88"/>
        <v>4.399006883061779E-2</v>
      </c>
    </row>
    <row r="248" spans="1:26" s="25" customFormat="1" outlineLevel="1" collapsed="1" x14ac:dyDescent="0.35">
      <c r="A248" s="26"/>
      <c r="B248" s="12" t="str">
        <f>CONCATENATE("     ","Employees' Appreciation                           ")</f>
        <v xml:space="preserve">     Employees' Appreciation                           </v>
      </c>
      <c r="C248" s="12"/>
      <c r="D248" s="1">
        <f>SUM(OSRRefD22_8x_0)</f>
        <v>57</v>
      </c>
      <c r="E248" s="1"/>
      <c r="F248" s="5">
        <f t="shared" si="81"/>
        <v>9.751547506434358E-5</v>
      </c>
      <c r="G248" s="1"/>
      <c r="H248" s="1">
        <f>SUM(OSRRefH22_8x_0)</f>
        <v>1512.03</v>
      </c>
      <c r="I248" s="1"/>
      <c r="J248" s="5">
        <f t="shared" si="82"/>
        <v>1.935445271839416E-3</v>
      </c>
      <c r="K248" s="1"/>
      <c r="L248" s="1">
        <f t="shared" si="83"/>
        <v>-1455.03</v>
      </c>
      <c r="M248" s="1"/>
      <c r="N248" s="5">
        <f t="shared" si="84"/>
        <v>-0.96230233527112552</v>
      </c>
      <c r="O248" s="12"/>
      <c r="P248" s="1">
        <f>SUM(OSRRefP22_8x_0)</f>
        <v>5310.59</v>
      </c>
      <c r="Q248" s="1"/>
      <c r="R248" s="5">
        <f t="shared" si="85"/>
        <v>1.854697085669546E-4</v>
      </c>
      <c r="S248" s="1"/>
      <c r="T248" s="1">
        <f>SUM(OSRRefT22_8x_0)</f>
        <v>12804.79</v>
      </c>
      <c r="U248" s="1"/>
      <c r="V248" s="5">
        <f t="shared" si="86"/>
        <v>3.5829792861526074E-4</v>
      </c>
      <c r="W248" s="1"/>
      <c r="X248" s="1">
        <f t="shared" si="87"/>
        <v>-7494.2000000000007</v>
      </c>
      <c r="Y248" s="1"/>
      <c r="Z248" s="5">
        <f t="shared" si="88"/>
        <v>-0.58526535772941224</v>
      </c>
    </row>
    <row r="249" spans="1:26" s="24" customFormat="1" hidden="1" outlineLevel="2" x14ac:dyDescent="0.35">
      <c r="A249" s="27"/>
      <c r="B249" s="11" t="str">
        <f>CONCATENATE("          ", "6277", " - ", "EMPLOYEE APPRECIATION")</f>
        <v xml:space="preserve">          6277 - EMPLOYEE APPRECIATION</v>
      </c>
      <c r="C249" s="11"/>
      <c r="D249" s="7">
        <v>57</v>
      </c>
      <c r="E249" s="2"/>
      <c r="F249" s="6">
        <f t="shared" si="81"/>
        <v>9.751547506434358E-5</v>
      </c>
      <c r="G249" s="2"/>
      <c r="H249" s="7">
        <v>1512.03</v>
      </c>
      <c r="I249" s="2"/>
      <c r="J249" s="6">
        <f t="shared" si="82"/>
        <v>1.935445271839416E-3</v>
      </c>
      <c r="K249" s="2"/>
      <c r="L249" s="7">
        <f t="shared" si="83"/>
        <v>-1455.03</v>
      </c>
      <c r="M249" s="2"/>
      <c r="N249" s="6">
        <f t="shared" si="84"/>
        <v>-0.96230233527112552</v>
      </c>
      <c r="O249" s="11"/>
      <c r="P249" s="7">
        <v>5310.59</v>
      </c>
      <c r="Q249" s="2"/>
      <c r="R249" s="6">
        <f t="shared" si="85"/>
        <v>1.854697085669546E-4</v>
      </c>
      <c r="S249" s="2"/>
      <c r="T249" s="7">
        <v>12804.79</v>
      </c>
      <c r="U249" s="2"/>
      <c r="V249" s="6">
        <f t="shared" si="86"/>
        <v>3.5829792861526074E-4</v>
      </c>
      <c r="W249" s="2"/>
      <c r="X249" s="7">
        <f t="shared" si="87"/>
        <v>-7494.2000000000007</v>
      </c>
      <c r="Y249" s="2"/>
      <c r="Z249" s="6">
        <f t="shared" si="88"/>
        <v>-0.58526535772941224</v>
      </c>
    </row>
    <row r="250" spans="1:26" s="25" customFormat="1" outlineLevel="1" collapsed="1" x14ac:dyDescent="0.35">
      <c r="A250" s="26"/>
      <c r="B250" s="12" t="str">
        <f>CONCATENATE("     ","Equipment Rental                                  ")</f>
        <v xml:space="preserve">     Equipment Rental                                  </v>
      </c>
      <c r="C250" s="12"/>
      <c r="D250" s="1">
        <f>SUM(OSRRefD22_9x_0)</f>
        <v>4178.84</v>
      </c>
      <c r="E250" s="1"/>
      <c r="F250" s="5">
        <f t="shared" si="81"/>
        <v>7.149150312594413E-3</v>
      </c>
      <c r="G250" s="1"/>
      <c r="H250" s="1">
        <f>SUM(OSRRefH22_9x_0)</f>
        <v>6477.28</v>
      </c>
      <c r="I250" s="1"/>
      <c r="J250" s="5">
        <f t="shared" si="82"/>
        <v>8.2911191910081221E-3</v>
      </c>
      <c r="K250" s="1"/>
      <c r="L250" s="1">
        <f t="shared" si="83"/>
        <v>-2298.4399999999996</v>
      </c>
      <c r="M250" s="1"/>
      <c r="N250" s="5">
        <f t="shared" si="84"/>
        <v>-0.35484647876886588</v>
      </c>
      <c r="O250" s="12"/>
      <c r="P250" s="1">
        <f>SUM(OSRRefP22_9x_0)</f>
        <v>55112.009999999995</v>
      </c>
      <c r="Q250" s="1"/>
      <c r="R250" s="5">
        <f t="shared" si="85"/>
        <v>1.9247594774288897E-3</v>
      </c>
      <c r="S250" s="1"/>
      <c r="T250" s="1">
        <f>SUM(OSRRefT22_9x_0)</f>
        <v>71108.490000000005</v>
      </c>
      <c r="U250" s="1"/>
      <c r="V250" s="5">
        <f t="shared" si="86"/>
        <v>1.9897260848447326E-3</v>
      </c>
      <c r="W250" s="1"/>
      <c r="X250" s="1">
        <f t="shared" si="87"/>
        <v>-15996.48000000001</v>
      </c>
      <c r="Y250" s="1"/>
      <c r="Z250" s="5">
        <f t="shared" si="88"/>
        <v>-0.22495879184046813</v>
      </c>
    </row>
    <row r="251" spans="1:26" s="24" customFormat="1" hidden="1" outlineLevel="2" x14ac:dyDescent="0.35">
      <c r="A251" s="27"/>
      <c r="B251" s="11" t="str">
        <f>CONCATENATE("          ", "6351", " - ", "EQUIPMENT RENTAL")</f>
        <v xml:space="preserve">          6351 - EQUIPMENT RENTAL</v>
      </c>
      <c r="C251" s="11"/>
      <c r="D251" s="7">
        <v>4178.84</v>
      </c>
      <c r="E251" s="2"/>
      <c r="F251" s="6">
        <f t="shared" si="81"/>
        <v>7.149150312594413E-3</v>
      </c>
      <c r="G251" s="2"/>
      <c r="H251" s="7">
        <v>6477.28</v>
      </c>
      <c r="I251" s="2"/>
      <c r="J251" s="6">
        <f t="shared" si="82"/>
        <v>8.2911191910081221E-3</v>
      </c>
      <c r="K251" s="2"/>
      <c r="L251" s="7">
        <f t="shared" si="83"/>
        <v>-2298.4399999999996</v>
      </c>
      <c r="M251" s="2"/>
      <c r="N251" s="6">
        <f t="shared" si="84"/>
        <v>-0.35484647876886588</v>
      </c>
      <c r="O251" s="11"/>
      <c r="P251" s="7">
        <v>55112.009999999995</v>
      </c>
      <c r="Q251" s="2"/>
      <c r="R251" s="6">
        <f t="shared" si="85"/>
        <v>1.9247594774288897E-3</v>
      </c>
      <c r="S251" s="2"/>
      <c r="T251" s="7">
        <v>71108.490000000005</v>
      </c>
      <c r="U251" s="2"/>
      <c r="V251" s="6">
        <f t="shared" si="86"/>
        <v>1.9897260848447326E-3</v>
      </c>
      <c r="W251" s="2"/>
      <c r="X251" s="7">
        <f t="shared" si="87"/>
        <v>-15996.48000000001</v>
      </c>
      <c r="Y251" s="2"/>
      <c r="Z251" s="6">
        <f t="shared" si="88"/>
        <v>-0.22495879184046813</v>
      </c>
    </row>
    <row r="252" spans="1:26" s="25" customFormat="1" outlineLevel="1" collapsed="1" x14ac:dyDescent="0.35">
      <c r="A252" s="26"/>
      <c r="B252" s="12" t="str">
        <f>CONCATENATE("     ","Freight out/Postage                               ")</f>
        <v xml:space="preserve">     Freight out/Postage                               </v>
      </c>
      <c r="C252" s="12"/>
      <c r="D252" s="1">
        <f>SUM(OSRRefD22_10x_0)</f>
        <v>25801.239999999998</v>
      </c>
      <c r="E252" s="1"/>
      <c r="F252" s="5">
        <f t="shared" si="81"/>
        <v>4.4140704839458665E-2</v>
      </c>
      <c r="G252" s="1"/>
      <c r="H252" s="1">
        <f>SUM(OSRRefH22_10x_0)</f>
        <v>2270.0199999999995</v>
      </c>
      <c r="I252" s="1"/>
      <c r="J252" s="5">
        <f t="shared" si="82"/>
        <v>2.905695968982699E-3</v>
      </c>
      <c r="K252" s="1"/>
      <c r="L252" s="1">
        <f t="shared" si="83"/>
        <v>23531.219999999998</v>
      </c>
      <c r="M252" s="1"/>
      <c r="N252" s="5">
        <f t="shared" si="84"/>
        <v>10.366084880309426</v>
      </c>
      <c r="O252" s="12"/>
      <c r="P252" s="1">
        <f>SUM(OSRRefP22_10x_0)</f>
        <v>42245.960000000006</v>
      </c>
      <c r="Q252" s="1"/>
      <c r="R252" s="5">
        <f t="shared" si="85"/>
        <v>1.4754190945509298E-3</v>
      </c>
      <c r="S252" s="1"/>
      <c r="T252" s="1">
        <f>SUM(OSRRefT22_10x_0)</f>
        <v>353.10000000000582</v>
      </c>
      <c r="U252" s="1"/>
      <c r="V252" s="5">
        <f t="shared" si="86"/>
        <v>9.8802868765556209E-6</v>
      </c>
      <c r="W252" s="1"/>
      <c r="X252" s="1">
        <f t="shared" si="87"/>
        <v>41892.86</v>
      </c>
      <c r="Y252" s="1"/>
      <c r="Z252" s="5">
        <f t="shared" si="88"/>
        <v>118.64304729538179</v>
      </c>
    </row>
    <row r="253" spans="1:26" s="24" customFormat="1" hidden="1" outlineLevel="2" x14ac:dyDescent="0.35">
      <c r="A253" s="27"/>
      <c r="B253" s="11" t="str">
        <f>CONCATENATE("          ", "6305", " - ", "FREIGHT OUT")</f>
        <v xml:space="preserve">          6305 - FREIGHT OUT</v>
      </c>
      <c r="C253" s="11"/>
      <c r="D253" s="7">
        <v>32899.67</v>
      </c>
      <c r="E253" s="2"/>
      <c r="F253" s="6">
        <f t="shared" si="81"/>
        <v>5.6284683324739161E-2</v>
      </c>
      <c r="G253" s="2"/>
      <c r="H253" s="7">
        <v>9452.4</v>
      </c>
      <c r="I253" s="2"/>
      <c r="J253" s="6">
        <f t="shared" si="82"/>
        <v>1.2099365017582254E-2</v>
      </c>
      <c r="K253" s="2"/>
      <c r="L253" s="7">
        <f t="shared" si="83"/>
        <v>23447.269999999997</v>
      </c>
      <c r="M253" s="2"/>
      <c r="N253" s="6">
        <f t="shared" si="84"/>
        <v>2.4805626084380683</v>
      </c>
      <c r="O253" s="11"/>
      <c r="P253" s="7">
        <v>103262.63</v>
      </c>
      <c r="Q253" s="2"/>
      <c r="R253" s="6">
        <f t="shared" si="85"/>
        <v>3.6063958791692193E-3</v>
      </c>
      <c r="S253" s="2"/>
      <c r="T253" s="7">
        <v>81494.540000000008</v>
      </c>
      <c r="U253" s="2"/>
      <c r="V253" s="6">
        <f t="shared" si="86"/>
        <v>2.2803439084478159E-3</v>
      </c>
      <c r="W253" s="2"/>
      <c r="X253" s="7">
        <f t="shared" si="87"/>
        <v>21768.089999999997</v>
      </c>
      <c r="Y253" s="2"/>
      <c r="Z253" s="6">
        <f t="shared" si="88"/>
        <v>0.26711102363422129</v>
      </c>
    </row>
    <row r="254" spans="1:26" s="24" customFormat="1" hidden="1" outlineLevel="2" x14ac:dyDescent="0.35">
      <c r="A254" s="27"/>
      <c r="B254" s="11" t="str">
        <f>CONCATENATE("          ", "6307", " - ", "POSTAGE")</f>
        <v xml:space="preserve">          6307 - POSTAGE</v>
      </c>
      <c r="C254" s="11"/>
      <c r="D254" s="7">
        <v>-7098.43</v>
      </c>
      <c r="E254" s="2"/>
      <c r="F254" s="6">
        <f t="shared" si="81"/>
        <v>-1.2143978485280498E-2</v>
      </c>
      <c r="G254" s="2"/>
      <c r="H254" s="7">
        <v>-7182.38</v>
      </c>
      <c r="I254" s="2"/>
      <c r="J254" s="6">
        <f t="shared" si="82"/>
        <v>-9.1936690485995547E-3</v>
      </c>
      <c r="K254" s="2"/>
      <c r="L254" s="7">
        <f t="shared" si="83"/>
        <v>83.949999999999818</v>
      </c>
      <c r="M254" s="2"/>
      <c r="N254" s="6">
        <f t="shared" si="84"/>
        <v>-1.1688326153726177E-2</v>
      </c>
      <c r="O254" s="11"/>
      <c r="P254" s="7">
        <v>-61016.67</v>
      </c>
      <c r="Q254" s="2"/>
      <c r="R254" s="6">
        <f t="shared" si="85"/>
        <v>-2.1309767846182893E-3</v>
      </c>
      <c r="S254" s="2"/>
      <c r="T254" s="7">
        <v>-81141.440000000002</v>
      </c>
      <c r="U254" s="2"/>
      <c r="V254" s="6">
        <f t="shared" si="86"/>
        <v>-2.2704636215712605E-3</v>
      </c>
      <c r="W254" s="2"/>
      <c r="X254" s="7">
        <f t="shared" si="87"/>
        <v>20124.770000000004</v>
      </c>
      <c r="Y254" s="2"/>
      <c r="Z254" s="6">
        <f t="shared" si="88"/>
        <v>-0.24802086332212003</v>
      </c>
    </row>
    <row r="255" spans="1:26" s="25" customFormat="1" outlineLevel="1" collapsed="1" x14ac:dyDescent="0.35">
      <c r="A255" s="26"/>
      <c r="B255" s="12" t="str">
        <f>CONCATENATE("     ","General                                           ")</f>
        <v xml:space="preserve">     General                                           </v>
      </c>
      <c r="C255" s="12"/>
      <c r="D255" s="1">
        <f>SUM(OSRRefD22_11x_0)</f>
        <v>2960.82</v>
      </c>
      <c r="E255" s="1"/>
      <c r="F255" s="5">
        <f t="shared" ref="F255:F257" si="89">IF(D$12=0,0,D255/D$12)</f>
        <v>5.0653643663159604E-3</v>
      </c>
      <c r="G255" s="1"/>
      <c r="H255" s="1">
        <f>SUM(OSRRefH22_11x_0)</f>
        <v>904.64</v>
      </c>
      <c r="I255" s="1"/>
      <c r="J255" s="5">
        <f t="shared" ref="J255:J257" si="90">IF(H$12=0,0,H255/H$12)</f>
        <v>1.157967243187509E-3</v>
      </c>
      <c r="K255" s="1"/>
      <c r="L255" s="1">
        <f t="shared" ref="L255:L257" si="91">+D255-H255</f>
        <v>2056.1800000000003</v>
      </c>
      <c r="M255" s="1"/>
      <c r="N255" s="5">
        <f t="shared" ref="N255:N257" si="92">IF(H255=0,0,L255/H255)</f>
        <v>2.2729262469048463</v>
      </c>
      <c r="O255" s="12"/>
      <c r="P255" s="1">
        <f>SUM(OSRRefP22_11x_0)</f>
        <v>105025.13</v>
      </c>
      <c r="Q255" s="1"/>
      <c r="R255" s="5">
        <f t="shared" ref="R255:R257" si="93">IF(P$12=0,0,P255/P$12)</f>
        <v>3.6679503131114475E-3</v>
      </c>
      <c r="S255" s="1"/>
      <c r="T255" s="1">
        <f>SUM(OSRRefT22_11x_0)</f>
        <v>105850.22</v>
      </c>
      <c r="U255" s="1"/>
      <c r="V255" s="5">
        <f t="shared" ref="V255:V257" si="94">IF(T$12=0,0,T255/T$12)</f>
        <v>2.9618536945525574E-3</v>
      </c>
      <c r="W255" s="1"/>
      <c r="X255" s="1">
        <f t="shared" ref="X255:X257" si="95">+P255-T255</f>
        <v>-825.08999999999651</v>
      </c>
      <c r="Y255" s="1"/>
      <c r="Z255" s="5">
        <f t="shared" ref="Z255:Z257" si="96">IF(T255=0,0,X255/T255)</f>
        <v>-7.7948822402069311E-3</v>
      </c>
    </row>
    <row r="256" spans="1:26" s="24" customFormat="1" hidden="1" outlineLevel="2" x14ac:dyDescent="0.35">
      <c r="A256" s="27"/>
      <c r="B256" s="11" t="str">
        <f>CONCATENATE("          ", "6269", " - ", "ENTERTAINMENT")</f>
        <v xml:space="preserve">          6269 - ENTERTAINMENT</v>
      </c>
      <c r="C256" s="11"/>
      <c r="D256" s="7"/>
      <c r="E256" s="2"/>
      <c r="F256" s="6">
        <f t="shared" si="89"/>
        <v>0</v>
      </c>
      <c r="G256" s="2"/>
      <c r="H256" s="7"/>
      <c r="I256" s="2"/>
      <c r="J256" s="6">
        <f t="shared" si="90"/>
        <v>0</v>
      </c>
      <c r="K256" s="2"/>
      <c r="L256" s="7">
        <f t="shared" si="91"/>
        <v>0</v>
      </c>
      <c r="M256" s="2"/>
      <c r="N256" s="6">
        <f t="shared" si="92"/>
        <v>0</v>
      </c>
      <c r="O256" s="11"/>
      <c r="P256" s="7">
        <v>10050</v>
      </c>
      <c r="Q256" s="2"/>
      <c r="R256" s="6">
        <f t="shared" si="93"/>
        <v>3.5099124035142869E-4</v>
      </c>
      <c r="S256" s="2"/>
      <c r="T256" s="7">
        <v>10824.27</v>
      </c>
      <c r="U256" s="2"/>
      <c r="V256" s="6">
        <f t="shared" si="94"/>
        <v>3.0287990039448584E-4</v>
      </c>
      <c r="W256" s="2"/>
      <c r="X256" s="7">
        <f t="shared" si="95"/>
        <v>-774.27000000000044</v>
      </c>
      <c r="Y256" s="2"/>
      <c r="Z256" s="6">
        <f t="shared" si="96"/>
        <v>-7.1530920791887151E-2</v>
      </c>
    </row>
    <row r="257" spans="1:26" s="24" customFormat="1" hidden="1" outlineLevel="2" x14ac:dyDescent="0.35">
      <c r="A257" s="27"/>
      <c r="B257" s="11" t="str">
        <f>CONCATENATE("          ", "6279", " - ", "GENERAL EXPENSE")</f>
        <v xml:space="preserve">          6279 - GENERAL EXPENSE</v>
      </c>
      <c r="C257" s="11"/>
      <c r="D257" s="7">
        <v>2960.82</v>
      </c>
      <c r="E257" s="2"/>
      <c r="F257" s="6">
        <f t="shared" si="89"/>
        <v>5.0653643663159604E-3</v>
      </c>
      <c r="G257" s="2"/>
      <c r="H257" s="7">
        <v>904.64</v>
      </c>
      <c r="I257" s="2"/>
      <c r="J257" s="6">
        <f t="shared" si="90"/>
        <v>1.157967243187509E-3</v>
      </c>
      <c r="K257" s="2"/>
      <c r="L257" s="7">
        <f t="shared" si="91"/>
        <v>2056.1800000000003</v>
      </c>
      <c r="M257" s="2"/>
      <c r="N257" s="6">
        <f t="shared" si="92"/>
        <v>2.2729262469048463</v>
      </c>
      <c r="O257" s="11"/>
      <c r="P257" s="7">
        <v>94975.13</v>
      </c>
      <c r="Q257" s="2"/>
      <c r="R257" s="6">
        <f t="shared" si="93"/>
        <v>3.3169590727600189E-3</v>
      </c>
      <c r="S257" s="2"/>
      <c r="T257" s="7">
        <v>95025.95</v>
      </c>
      <c r="U257" s="2"/>
      <c r="V257" s="6">
        <f t="shared" si="94"/>
        <v>2.6589737941580716E-3</v>
      </c>
      <c r="W257" s="2"/>
      <c r="X257" s="7">
        <f t="shared" si="95"/>
        <v>-50.819999999992433</v>
      </c>
      <c r="Y257" s="2"/>
      <c r="Z257" s="6">
        <f t="shared" si="96"/>
        <v>-5.3480128322834378E-4</v>
      </c>
    </row>
    <row r="258" spans="1:26" s="25" customFormat="1" outlineLevel="1" collapsed="1" x14ac:dyDescent="0.35">
      <c r="A258" s="26"/>
      <c r="B258" s="12" t="str">
        <f>CONCATENATE("     ","Insurance                                         ")</f>
        <v xml:space="preserve">     Insurance                                         </v>
      </c>
      <c r="C258" s="12"/>
      <c r="D258" s="1">
        <f>SUM(OSRRefD22_12x_0)</f>
        <v>8563.32</v>
      </c>
      <c r="E258" s="1"/>
      <c r="F258" s="5">
        <f t="shared" ref="F258:F299" si="97">IF(D$12=0,0,D258/D$12)</f>
        <v>1.4650109086456045E-2</v>
      </c>
      <c r="G258" s="1"/>
      <c r="H258" s="1">
        <f>SUM(OSRRefH22_12x_0)</f>
        <v>8064.85</v>
      </c>
      <c r="I258" s="1"/>
      <c r="J258" s="5">
        <f t="shared" ref="J258:J299" si="98">IF(H$12=0,0,H258/H$12)</f>
        <v>1.0323258004533055E-2</v>
      </c>
      <c r="K258" s="1"/>
      <c r="L258" s="1">
        <f t="shared" ref="L258:L299" si="99">+D258-H258</f>
        <v>498.46999999999935</v>
      </c>
      <c r="M258" s="1"/>
      <c r="N258" s="5">
        <f t="shared" ref="N258:N299" si="100">IF(H258=0,0,L258/H258)</f>
        <v>6.180772116034388E-2</v>
      </c>
      <c r="O258" s="12"/>
      <c r="P258" s="1">
        <f>SUM(OSRRefP22_12x_0)</f>
        <v>108520.84</v>
      </c>
      <c r="Q258" s="1"/>
      <c r="R258" s="5">
        <f t="shared" ref="R258:R299" si="101">IF(P$12=0,0,P258/P$12)</f>
        <v>3.7900362423461628E-3</v>
      </c>
      <c r="S258" s="1"/>
      <c r="T258" s="1">
        <f>SUM(OSRRefT22_12x_0)</f>
        <v>87015.96</v>
      </c>
      <c r="U258" s="1"/>
      <c r="V258" s="5">
        <f t="shared" ref="V258:V299" si="102">IF(T$12=0,0,T258/T$12)</f>
        <v>2.4348418228232077E-3</v>
      </c>
      <c r="W258" s="1"/>
      <c r="X258" s="1">
        <f t="shared" ref="X258:X299" si="103">+P258-T258</f>
        <v>21504.87999999999</v>
      </c>
      <c r="Y258" s="1"/>
      <c r="Z258" s="5">
        <f t="shared" ref="Z258:Z299" si="104">IF(T258=0,0,X258/T258)</f>
        <v>0.24713719184388691</v>
      </c>
    </row>
    <row r="259" spans="1:26" s="24" customFormat="1" hidden="1" outlineLevel="2" x14ac:dyDescent="0.35">
      <c r="A259" s="27"/>
      <c r="B259" s="11" t="str">
        <f>CONCATENATE("          ", "6314", " - ", "LIABILITY INSURANCE")</f>
        <v xml:space="preserve">          6314 - LIABILITY INSURANCE</v>
      </c>
      <c r="C259" s="11"/>
      <c r="D259" s="7">
        <v>8563.32</v>
      </c>
      <c r="E259" s="2"/>
      <c r="F259" s="6">
        <f t="shared" si="97"/>
        <v>1.4650109086456045E-2</v>
      </c>
      <c r="G259" s="2"/>
      <c r="H259" s="7">
        <v>8064.85</v>
      </c>
      <c r="I259" s="2"/>
      <c r="J259" s="6">
        <f t="shared" si="98"/>
        <v>1.0323258004533055E-2</v>
      </c>
      <c r="K259" s="2"/>
      <c r="L259" s="7">
        <f t="shared" si="99"/>
        <v>498.46999999999935</v>
      </c>
      <c r="M259" s="2"/>
      <c r="N259" s="6">
        <f t="shared" si="100"/>
        <v>6.180772116034388E-2</v>
      </c>
      <c r="O259" s="11"/>
      <c r="P259" s="7">
        <v>108520.84</v>
      </c>
      <c r="Q259" s="2"/>
      <c r="R259" s="6">
        <f t="shared" si="101"/>
        <v>3.7900362423461628E-3</v>
      </c>
      <c r="S259" s="2"/>
      <c r="T259" s="7">
        <v>87015.96</v>
      </c>
      <c r="U259" s="2"/>
      <c r="V259" s="6">
        <f t="shared" si="102"/>
        <v>2.4348418228232077E-3</v>
      </c>
      <c r="W259" s="2"/>
      <c r="X259" s="7">
        <f t="shared" si="103"/>
        <v>21504.87999999999</v>
      </c>
      <c r="Y259" s="2"/>
      <c r="Z259" s="6">
        <f t="shared" si="104"/>
        <v>0.24713719184388691</v>
      </c>
    </row>
    <row r="260" spans="1:26" s="25" customFormat="1" outlineLevel="1" collapsed="1" x14ac:dyDescent="0.35">
      <c r="A260" s="26"/>
      <c r="B260" s="12" t="str">
        <f>CONCATENATE("     ","Interest                                          ")</f>
        <v xml:space="preserve">     Interest                                          </v>
      </c>
      <c r="C260" s="12"/>
      <c r="D260" s="1">
        <f>SUM(OSRRefD22_13x_0)</f>
        <v>11929</v>
      </c>
      <c r="E260" s="1"/>
      <c r="F260" s="5">
        <f t="shared" si="97"/>
        <v>2.0408107053378151E-2</v>
      </c>
      <c r="G260" s="1"/>
      <c r="H260" s="1">
        <f>SUM(OSRRefH22_13x_0)</f>
        <v>-579.77</v>
      </c>
      <c r="I260" s="1"/>
      <c r="J260" s="5">
        <f t="shared" si="98"/>
        <v>-7.4212357245182848E-4</v>
      </c>
      <c r="K260" s="1"/>
      <c r="L260" s="1">
        <f t="shared" si="99"/>
        <v>12508.77</v>
      </c>
      <c r="M260" s="1"/>
      <c r="N260" s="5">
        <f t="shared" si="100"/>
        <v>-21.575400589889096</v>
      </c>
      <c r="O260" s="12"/>
      <c r="P260" s="1">
        <f>SUM(OSRRefP22_13x_0)</f>
        <v>139548.05000000002</v>
      </c>
      <c r="Q260" s="1"/>
      <c r="R260" s="5">
        <f t="shared" si="101"/>
        <v>4.8736460853853929E-3</v>
      </c>
      <c r="S260" s="1"/>
      <c r="T260" s="1">
        <f>SUM(OSRRefT22_13x_0)</f>
        <v>131525.22999999998</v>
      </c>
      <c r="U260" s="1"/>
      <c r="V260" s="5">
        <f t="shared" si="102"/>
        <v>3.68028038489079E-3</v>
      </c>
      <c r="W260" s="1"/>
      <c r="X260" s="1">
        <f t="shared" si="103"/>
        <v>8022.8200000000361</v>
      </c>
      <c r="Y260" s="1"/>
      <c r="Z260" s="5">
        <f t="shared" si="104"/>
        <v>6.0998334692135017E-2</v>
      </c>
    </row>
    <row r="261" spans="1:26" s="24" customFormat="1" hidden="1" outlineLevel="2" x14ac:dyDescent="0.35">
      <c r="A261" s="27"/>
      <c r="B261" s="11" t="str">
        <f>CONCATENATE("          ", "6401", " - ", "INTEREST EXPENSE")</f>
        <v xml:space="preserve">          6401 - INTEREST EXPENSE</v>
      </c>
      <c r="C261" s="11"/>
      <c r="D261" s="7">
        <v>11929</v>
      </c>
      <c r="E261" s="2"/>
      <c r="F261" s="6">
        <f t="shared" si="97"/>
        <v>2.0408107053378151E-2</v>
      </c>
      <c r="G261" s="2"/>
      <c r="H261" s="7">
        <v>-579.77</v>
      </c>
      <c r="I261" s="2"/>
      <c r="J261" s="6">
        <f t="shared" si="98"/>
        <v>-7.4212357245182848E-4</v>
      </c>
      <c r="K261" s="2"/>
      <c r="L261" s="7">
        <f t="shared" si="99"/>
        <v>12508.77</v>
      </c>
      <c r="M261" s="2"/>
      <c r="N261" s="6">
        <f t="shared" si="100"/>
        <v>-21.575400589889096</v>
      </c>
      <c r="O261" s="11"/>
      <c r="P261" s="7">
        <v>139548.05000000002</v>
      </c>
      <c r="Q261" s="2"/>
      <c r="R261" s="6">
        <f t="shared" si="101"/>
        <v>4.8736460853853929E-3</v>
      </c>
      <c r="S261" s="2"/>
      <c r="T261" s="7">
        <v>131525.22999999998</v>
      </c>
      <c r="U261" s="2"/>
      <c r="V261" s="6">
        <f t="shared" si="102"/>
        <v>3.68028038489079E-3</v>
      </c>
      <c r="W261" s="2"/>
      <c r="X261" s="7">
        <f t="shared" si="103"/>
        <v>8022.8200000000361</v>
      </c>
      <c r="Y261" s="2"/>
      <c r="Z261" s="6">
        <f t="shared" si="104"/>
        <v>6.0998334692135017E-2</v>
      </c>
    </row>
    <row r="262" spans="1:26" s="25" customFormat="1" outlineLevel="1" collapsed="1" x14ac:dyDescent="0.35">
      <c r="A262" s="26"/>
      <c r="B262" s="12" t="str">
        <f>CONCATENATE("     ","Inventory Adjustment                              ")</f>
        <v xml:space="preserve">     Inventory Adjustment                              </v>
      </c>
      <c r="C262" s="12"/>
      <c r="D262" s="1">
        <f>SUM(OSRRefD22_14x_0)</f>
        <v>-53350</v>
      </c>
      <c r="E262" s="1"/>
      <c r="F262" s="5">
        <f t="shared" si="97"/>
        <v>-9.127106306460929E-2</v>
      </c>
      <c r="G262" s="1"/>
      <c r="H262" s="1">
        <f>SUM(OSRRefH22_14x_0)</f>
        <v>-110900</v>
      </c>
      <c r="I262" s="1"/>
      <c r="J262" s="5">
        <f t="shared" si="98"/>
        <v>-0.14195543782001099</v>
      </c>
      <c r="K262" s="1"/>
      <c r="L262" s="1">
        <f t="shared" si="99"/>
        <v>57550</v>
      </c>
      <c r="M262" s="1"/>
      <c r="N262" s="5">
        <f t="shared" si="100"/>
        <v>-0.51893597835888183</v>
      </c>
      <c r="O262" s="12"/>
      <c r="P262" s="1">
        <f>SUM(OSRRefP22_14x_0)</f>
        <v>7.2759576141834259E-12</v>
      </c>
      <c r="Q262" s="1"/>
      <c r="R262" s="5">
        <f t="shared" si="101"/>
        <v>2.541091928106132E-19</v>
      </c>
      <c r="S262" s="1"/>
      <c r="T262" s="1">
        <f>SUM(OSRRefT22_14x_0)</f>
        <v>0</v>
      </c>
      <c r="U262" s="1"/>
      <c r="V262" s="5">
        <f t="shared" si="102"/>
        <v>0</v>
      </c>
      <c r="W262" s="1"/>
      <c r="X262" s="1">
        <f t="shared" si="103"/>
        <v>7.2759576141834259E-12</v>
      </c>
      <c r="Y262" s="1"/>
      <c r="Z262" s="5">
        <f t="shared" si="104"/>
        <v>0</v>
      </c>
    </row>
    <row r="263" spans="1:26" s="24" customFormat="1" hidden="1" outlineLevel="2" x14ac:dyDescent="0.35">
      <c r="A263" s="27"/>
      <c r="B263" s="11" t="str">
        <f>CONCATENATE("          ", "6408", " - ", "INVENTORY ADJUSTMENT")</f>
        <v xml:space="preserve">          6408 - INVENTORY ADJUSTMENT</v>
      </c>
      <c r="C263" s="11"/>
      <c r="D263" s="7">
        <v>-53350</v>
      </c>
      <c r="E263" s="2"/>
      <c r="F263" s="6">
        <f t="shared" si="97"/>
        <v>-9.127106306460929E-2</v>
      </c>
      <c r="G263" s="2"/>
      <c r="H263" s="7">
        <v>-110900</v>
      </c>
      <c r="I263" s="2"/>
      <c r="J263" s="6">
        <f t="shared" si="98"/>
        <v>-0.14195543782001099</v>
      </c>
      <c r="K263" s="2"/>
      <c r="L263" s="7">
        <f t="shared" si="99"/>
        <v>57550</v>
      </c>
      <c r="M263" s="2"/>
      <c r="N263" s="6">
        <f t="shared" si="100"/>
        <v>-0.51893597835888183</v>
      </c>
      <c r="O263" s="11"/>
      <c r="P263" s="7">
        <v>0</v>
      </c>
      <c r="Q263" s="2"/>
      <c r="R263" s="6">
        <f t="shared" si="101"/>
        <v>0</v>
      </c>
      <c r="S263" s="2"/>
      <c r="T263" s="7">
        <v>0</v>
      </c>
      <c r="U263" s="2"/>
      <c r="V263" s="6">
        <f t="shared" si="102"/>
        <v>0</v>
      </c>
      <c r="W263" s="2"/>
      <c r="X263" s="7">
        <f t="shared" si="103"/>
        <v>0</v>
      </c>
      <c r="Y263" s="2"/>
      <c r="Z263" s="6">
        <f t="shared" si="104"/>
        <v>0</v>
      </c>
    </row>
    <row r="264" spans="1:26" s="24" customFormat="1" hidden="1" outlineLevel="2" x14ac:dyDescent="0.35">
      <c r="A264" s="27"/>
      <c r="B264" s="11" t="str">
        <f>CONCATENATE("          ", "7700", " - ", "INV. SHRINKAGE @ RETAIL-CONTRA")</f>
        <v xml:space="preserve">          7700 - INV. SHRINKAGE @ RETAIL-CONTRA</v>
      </c>
      <c r="C264" s="11"/>
      <c r="D264" s="7">
        <v>-99781</v>
      </c>
      <c r="E264" s="2"/>
      <c r="F264" s="6">
        <f t="shared" si="97"/>
        <v>-0.1707051160946538</v>
      </c>
      <c r="G264" s="2"/>
      <c r="H264" s="7">
        <v>166740</v>
      </c>
      <c r="I264" s="2"/>
      <c r="J264" s="6">
        <f t="shared" si="98"/>
        <v>0.21343236881973521</v>
      </c>
      <c r="K264" s="2"/>
      <c r="L264" s="7">
        <f t="shared" si="99"/>
        <v>-266521</v>
      </c>
      <c r="M264" s="2"/>
      <c r="N264" s="6">
        <f t="shared" si="100"/>
        <v>-1.5984226940146335</v>
      </c>
      <c r="O264" s="11"/>
      <c r="P264" s="7">
        <v>-99781</v>
      </c>
      <c r="Q264" s="2"/>
      <c r="R264" s="6">
        <f t="shared" si="101"/>
        <v>-3.4848016869160107E-3</v>
      </c>
      <c r="S264" s="2"/>
      <c r="T264" s="7">
        <v>166740</v>
      </c>
      <c r="U264" s="2"/>
      <c r="V264" s="6">
        <f t="shared" si="102"/>
        <v>4.6656443891159921E-3</v>
      </c>
      <c r="W264" s="2"/>
      <c r="X264" s="7">
        <f t="shared" si="103"/>
        <v>-266521</v>
      </c>
      <c r="Y264" s="2"/>
      <c r="Z264" s="6">
        <f t="shared" si="104"/>
        <v>-1.5984226940146335</v>
      </c>
    </row>
    <row r="265" spans="1:26" s="24" customFormat="1" hidden="1" outlineLevel="2" x14ac:dyDescent="0.35">
      <c r="A265" s="27"/>
      <c r="B265" s="11" t="str">
        <f>CONCATENATE("          ", "7701", " - ", "INV. SHRINKAGE-NEW TEXT")</f>
        <v xml:space="preserve">          7701 - INV. SHRINKAGE-NEW TEXT</v>
      </c>
      <c r="C265" s="11"/>
      <c r="D265" s="7">
        <v>-4346</v>
      </c>
      <c r="E265" s="2"/>
      <c r="F265" s="6">
        <f t="shared" si="97"/>
        <v>-7.4351272742041608E-3</v>
      </c>
      <c r="G265" s="2"/>
      <c r="H265" s="7">
        <v>-79917</v>
      </c>
      <c r="I265" s="2"/>
      <c r="J265" s="6">
        <f t="shared" si="98"/>
        <v>-0.10229623736935815</v>
      </c>
      <c r="K265" s="2"/>
      <c r="L265" s="7">
        <f t="shared" si="99"/>
        <v>75571</v>
      </c>
      <c r="M265" s="2"/>
      <c r="N265" s="6">
        <f t="shared" si="100"/>
        <v>-0.94561857927599879</v>
      </c>
      <c r="O265" s="11"/>
      <c r="P265" s="7">
        <v>-4346</v>
      </c>
      <c r="Q265" s="2"/>
      <c r="R265" s="6">
        <f t="shared" si="101"/>
        <v>-1.5178188363853821E-4</v>
      </c>
      <c r="S265" s="2"/>
      <c r="T265" s="7">
        <v>-79917</v>
      </c>
      <c r="U265" s="2"/>
      <c r="V265" s="6">
        <f t="shared" si="102"/>
        <v>-2.2362018870395991E-3</v>
      </c>
      <c r="W265" s="2"/>
      <c r="X265" s="7">
        <f t="shared" si="103"/>
        <v>75571</v>
      </c>
      <c r="Y265" s="2"/>
      <c r="Z265" s="6">
        <f t="shared" si="104"/>
        <v>-0.94561857927599879</v>
      </c>
    </row>
    <row r="266" spans="1:26" s="24" customFormat="1" hidden="1" outlineLevel="2" x14ac:dyDescent="0.35">
      <c r="A266" s="27"/>
      <c r="B266" s="11" t="str">
        <f>CONCATENATE("          ", "7702", " - ", "INV. SHRINKAGE-USED TEXT")</f>
        <v xml:space="preserve">          7702 - INV. SHRINKAGE-USED TEXT</v>
      </c>
      <c r="C266" s="11"/>
      <c r="D266" s="7">
        <v>-29494</v>
      </c>
      <c r="E266" s="2"/>
      <c r="F266" s="6">
        <f t="shared" si="97"/>
        <v>-5.0458270553469291E-2</v>
      </c>
      <c r="G266" s="2"/>
      <c r="H266" s="7">
        <v>-5215</v>
      </c>
      <c r="I266" s="2"/>
      <c r="J266" s="6">
        <f t="shared" si="98"/>
        <v>-6.6753616612385694E-3</v>
      </c>
      <c r="K266" s="2"/>
      <c r="L266" s="7">
        <f t="shared" si="99"/>
        <v>-24279</v>
      </c>
      <c r="M266" s="2"/>
      <c r="N266" s="6">
        <f t="shared" si="100"/>
        <v>4.6556088207094914</v>
      </c>
      <c r="O266" s="11"/>
      <c r="P266" s="7">
        <v>-29494</v>
      </c>
      <c r="Q266" s="2"/>
      <c r="R266" s="6">
        <f t="shared" si="101"/>
        <v>-1.0300632480522425E-3</v>
      </c>
      <c r="S266" s="2"/>
      <c r="T266" s="7">
        <v>-5215</v>
      </c>
      <c r="U266" s="2"/>
      <c r="V266" s="6">
        <f t="shared" si="102"/>
        <v>-1.4592380646059674E-4</v>
      </c>
      <c r="W266" s="2"/>
      <c r="X266" s="7">
        <f t="shared" si="103"/>
        <v>-24279</v>
      </c>
      <c r="Y266" s="2"/>
      <c r="Z266" s="6">
        <f t="shared" si="104"/>
        <v>4.6556088207094914</v>
      </c>
    </row>
    <row r="267" spans="1:26" s="24" customFormat="1" hidden="1" outlineLevel="2" x14ac:dyDescent="0.35">
      <c r="A267" s="27"/>
      <c r="B267" s="11" t="str">
        <f>CONCATENATE("          ", "7703", " - ", "INV. SHRINKAGE-RENTAL TEXT")</f>
        <v xml:space="preserve">          7703 - INV. SHRINKAGE-RENTAL TEXT</v>
      </c>
      <c r="C267" s="11"/>
      <c r="D267" s="7">
        <v>526</v>
      </c>
      <c r="E267" s="2"/>
      <c r="F267" s="6">
        <f t="shared" si="97"/>
        <v>8.9987964708499509E-4</v>
      </c>
      <c r="G267" s="2"/>
      <c r="H267" s="7">
        <v>30858</v>
      </c>
      <c r="I267" s="2"/>
      <c r="J267" s="6">
        <f t="shared" si="98"/>
        <v>3.9499196575743009E-2</v>
      </c>
      <c r="K267" s="2"/>
      <c r="L267" s="7">
        <f t="shared" si="99"/>
        <v>-30332</v>
      </c>
      <c r="M267" s="2"/>
      <c r="N267" s="6">
        <f t="shared" si="100"/>
        <v>-0.98295417719878153</v>
      </c>
      <c r="O267" s="11"/>
      <c r="P267" s="7">
        <v>526</v>
      </c>
      <c r="Q267" s="2"/>
      <c r="R267" s="6">
        <f t="shared" si="101"/>
        <v>1.837028780346781E-5</v>
      </c>
      <c r="S267" s="2"/>
      <c r="T267" s="7">
        <v>30858</v>
      </c>
      <c r="U267" s="2"/>
      <c r="V267" s="6">
        <f t="shared" si="102"/>
        <v>8.6345480724086176E-4</v>
      </c>
      <c r="W267" s="2"/>
      <c r="X267" s="7">
        <f t="shared" si="103"/>
        <v>-30332</v>
      </c>
      <c r="Y267" s="2"/>
      <c r="Z267" s="6">
        <f t="shared" si="104"/>
        <v>-0.98295417719878153</v>
      </c>
    </row>
    <row r="268" spans="1:26" s="24" customFormat="1" hidden="1" outlineLevel="2" x14ac:dyDescent="0.35">
      <c r="A268" s="27"/>
      <c r="B268" s="11" t="str">
        <f>CONCATENATE("          ", "7704", " - ", "INV. SHRINKAGE-DIGITAL TEXT")</f>
        <v xml:space="preserve">          7704 - INV. SHRINKAGE-DIGITAL TEXT</v>
      </c>
      <c r="C268" s="11"/>
      <c r="D268" s="7">
        <v>816</v>
      </c>
      <c r="E268" s="2"/>
      <c r="F268" s="6">
        <f t="shared" si="97"/>
        <v>1.3960110114474449E-3</v>
      </c>
      <c r="G268" s="2"/>
      <c r="H268" s="7">
        <v>-37301</v>
      </c>
      <c r="I268" s="2"/>
      <c r="J268" s="6">
        <f t="shared" si="98"/>
        <v>-4.7746436304095856E-2</v>
      </c>
      <c r="K268" s="2"/>
      <c r="L268" s="7">
        <f t="shared" si="99"/>
        <v>38117</v>
      </c>
      <c r="M268" s="2"/>
      <c r="N268" s="6">
        <f t="shared" si="100"/>
        <v>-1.0218760891128924</v>
      </c>
      <c r="O268" s="11"/>
      <c r="P268" s="7">
        <v>816</v>
      </c>
      <c r="Q268" s="2"/>
      <c r="R268" s="6">
        <f t="shared" si="101"/>
        <v>2.849839324644436E-5</v>
      </c>
      <c r="S268" s="2"/>
      <c r="T268" s="7">
        <v>-37301</v>
      </c>
      <c r="U268" s="2"/>
      <c r="V268" s="6">
        <f t="shared" si="102"/>
        <v>-1.0437399625669644E-3</v>
      </c>
      <c r="W268" s="2"/>
      <c r="X268" s="7">
        <f t="shared" si="103"/>
        <v>38117</v>
      </c>
      <c r="Y268" s="2"/>
      <c r="Z268" s="6">
        <f t="shared" si="104"/>
        <v>-1.0218760891128924</v>
      </c>
    </row>
    <row r="269" spans="1:26" s="24" customFormat="1" hidden="1" outlineLevel="2" x14ac:dyDescent="0.35">
      <c r="A269" s="27"/>
      <c r="B269" s="11" t="str">
        <f>CONCATENATE("          ", "7711", " - ", "INV. SHRINKAGE-NO VALUE TEXT")</f>
        <v xml:space="preserve">          7711 - INV. SHRINKAGE-NO VALUE TEXT</v>
      </c>
      <c r="C269" s="11"/>
      <c r="D269" s="7">
        <v>-1126</v>
      </c>
      <c r="E269" s="2"/>
      <c r="F269" s="6">
        <f t="shared" si="97"/>
        <v>-1.9263583319728223E-3</v>
      </c>
      <c r="G269" s="2"/>
      <c r="H269" s="7">
        <v>-2516</v>
      </c>
      <c r="I269" s="2"/>
      <c r="J269" s="6">
        <f t="shared" si="98"/>
        <v>-3.2205579941852812E-3</v>
      </c>
      <c r="K269" s="2"/>
      <c r="L269" s="7">
        <f t="shared" si="99"/>
        <v>1390</v>
      </c>
      <c r="M269" s="2"/>
      <c r="N269" s="6">
        <f t="shared" si="100"/>
        <v>-0.55246422893481717</v>
      </c>
      <c r="O269" s="11"/>
      <c r="P269" s="7">
        <v>-1126</v>
      </c>
      <c r="Q269" s="2"/>
      <c r="R269" s="6">
        <f t="shared" si="101"/>
        <v>-3.9324988719971013E-5</v>
      </c>
      <c r="S269" s="2"/>
      <c r="T269" s="7">
        <v>-2516</v>
      </c>
      <c r="U269" s="2"/>
      <c r="V269" s="6">
        <f t="shared" si="102"/>
        <v>-7.0401590998055879E-5</v>
      </c>
      <c r="W269" s="2"/>
      <c r="X269" s="7">
        <f t="shared" si="103"/>
        <v>1390</v>
      </c>
      <c r="Y269" s="2"/>
      <c r="Z269" s="6">
        <f t="shared" si="104"/>
        <v>-0.55246422893481717</v>
      </c>
    </row>
    <row r="270" spans="1:26" s="24" customFormat="1" hidden="1" outlineLevel="2" x14ac:dyDescent="0.35">
      <c r="A270" s="27"/>
      <c r="B270" s="11" t="str">
        <f>CONCATENATE("          ", "7713", " - ", "INV. SHRINKAGE-TRADE BOOKS")</f>
        <v xml:space="preserve">          7713 - INV. SHRINKAGE-TRADE BOOKS</v>
      </c>
      <c r="C270" s="11"/>
      <c r="D270" s="7">
        <v>-385</v>
      </c>
      <c r="E270" s="2"/>
      <c r="F270" s="6">
        <f t="shared" si="97"/>
        <v>-6.5865715613635568E-4</v>
      </c>
      <c r="G270" s="2"/>
      <c r="H270" s="7">
        <v>749</v>
      </c>
      <c r="I270" s="2"/>
      <c r="J270" s="6">
        <f t="shared" si="98"/>
        <v>9.5874321845976771E-4</v>
      </c>
      <c r="K270" s="2"/>
      <c r="L270" s="7">
        <f t="shared" si="99"/>
        <v>-1134</v>
      </c>
      <c r="M270" s="2"/>
      <c r="N270" s="6">
        <f t="shared" si="100"/>
        <v>-1.514018691588785</v>
      </c>
      <c r="O270" s="11"/>
      <c r="P270" s="7">
        <v>-385</v>
      </c>
      <c r="Q270" s="2"/>
      <c r="R270" s="6">
        <f t="shared" si="101"/>
        <v>-1.3445933088089558E-5</v>
      </c>
      <c r="S270" s="2"/>
      <c r="T270" s="7">
        <v>749</v>
      </c>
      <c r="U270" s="2"/>
      <c r="V270" s="6">
        <f t="shared" si="102"/>
        <v>2.0958184283602485E-5</v>
      </c>
      <c r="W270" s="2"/>
      <c r="X270" s="7">
        <f t="shared" si="103"/>
        <v>-1134</v>
      </c>
      <c r="Y270" s="2"/>
      <c r="Z270" s="6">
        <f t="shared" si="104"/>
        <v>-1.514018691588785</v>
      </c>
    </row>
    <row r="271" spans="1:26" s="24" customFormat="1" hidden="1" outlineLevel="2" x14ac:dyDescent="0.35">
      <c r="A271" s="27"/>
      <c r="B271" s="11" t="str">
        <f>CONCATENATE("          ", "7714", " - ", "INV. SHRINKAGE-REMAINDERS")</f>
        <v xml:space="preserve">          7714 - INV. SHRINKAGE-REMAINDERS</v>
      </c>
      <c r="C271" s="11"/>
      <c r="D271" s="7">
        <v>204</v>
      </c>
      <c r="E271" s="2"/>
      <c r="F271" s="6">
        <f t="shared" si="97"/>
        <v>3.4900275286186124E-4</v>
      </c>
      <c r="G271" s="2"/>
      <c r="H271" s="7">
        <v>-23</v>
      </c>
      <c r="I271" s="2"/>
      <c r="J271" s="6">
        <f t="shared" si="98"/>
        <v>-2.9440712983410758E-5</v>
      </c>
      <c r="K271" s="2"/>
      <c r="L271" s="7">
        <f t="shared" si="99"/>
        <v>227</v>
      </c>
      <c r="M271" s="2"/>
      <c r="N271" s="6">
        <f t="shared" si="100"/>
        <v>-9.8695652173913047</v>
      </c>
      <c r="O271" s="11"/>
      <c r="P271" s="7">
        <v>204</v>
      </c>
      <c r="Q271" s="2"/>
      <c r="R271" s="6">
        <f t="shared" si="101"/>
        <v>7.1245983116110901E-6</v>
      </c>
      <c r="S271" s="2"/>
      <c r="T271" s="7">
        <v>-23</v>
      </c>
      <c r="U271" s="2"/>
      <c r="V271" s="6">
        <f t="shared" si="102"/>
        <v>-6.4357575236696548E-7</v>
      </c>
      <c r="W271" s="2"/>
      <c r="X271" s="7">
        <f t="shared" si="103"/>
        <v>227</v>
      </c>
      <c r="Y271" s="2"/>
      <c r="Z271" s="6">
        <f t="shared" si="104"/>
        <v>-9.8695652173913047</v>
      </c>
    </row>
    <row r="272" spans="1:26" s="24" customFormat="1" hidden="1" outlineLevel="2" x14ac:dyDescent="0.35">
      <c r="A272" s="27"/>
      <c r="B272" s="11" t="str">
        <f>CONCATENATE("          ", "7717", " - ", "INV. SHRINKAGE-DORM/HOUSEWARES")</f>
        <v xml:space="preserve">          7717 - INV. SHRINKAGE-DORM/HOUSEWARES</v>
      </c>
      <c r="C272" s="11"/>
      <c r="D272" s="7">
        <v>-254</v>
      </c>
      <c r="E272" s="2"/>
      <c r="F272" s="6">
        <f t="shared" si="97"/>
        <v>-4.3454264326918017E-4</v>
      </c>
      <c r="G272" s="2"/>
      <c r="H272" s="7">
        <v>-22</v>
      </c>
      <c r="I272" s="2"/>
      <c r="J272" s="6">
        <f t="shared" si="98"/>
        <v>-2.8160681984132027E-5</v>
      </c>
      <c r="K272" s="2"/>
      <c r="L272" s="7">
        <f t="shared" si="99"/>
        <v>-232</v>
      </c>
      <c r="M272" s="2"/>
      <c r="N272" s="6">
        <f t="shared" si="100"/>
        <v>10.545454545454545</v>
      </c>
      <c r="O272" s="11"/>
      <c r="P272" s="7">
        <v>-254</v>
      </c>
      <c r="Q272" s="2"/>
      <c r="R272" s="6">
        <f t="shared" si="101"/>
        <v>-8.8708233879863564E-6</v>
      </c>
      <c r="S272" s="2"/>
      <c r="T272" s="7">
        <v>-22</v>
      </c>
      <c r="U272" s="2"/>
      <c r="V272" s="6">
        <f t="shared" si="102"/>
        <v>-6.1559419791622781E-7</v>
      </c>
      <c r="W272" s="2"/>
      <c r="X272" s="7">
        <f t="shared" si="103"/>
        <v>-232</v>
      </c>
      <c r="Y272" s="2"/>
      <c r="Z272" s="6">
        <f t="shared" si="104"/>
        <v>10.545454545454545</v>
      </c>
    </row>
    <row r="273" spans="1:26" s="24" customFormat="1" hidden="1" outlineLevel="2" x14ac:dyDescent="0.35">
      <c r="A273" s="27"/>
      <c r="B273" s="11" t="str">
        <f>CONCATENATE("          ", "7718", " - ", "INV. SHRINKAGE-STUDY GUIDES")</f>
        <v xml:space="preserve">          7718 - INV. SHRINKAGE-STUDY GUIDES</v>
      </c>
      <c r="C273" s="11"/>
      <c r="D273" s="7">
        <v>458</v>
      </c>
      <c r="E273" s="2"/>
      <c r="F273" s="6">
        <f t="shared" si="97"/>
        <v>7.8354539613104135E-4</v>
      </c>
      <c r="G273" s="2"/>
      <c r="H273" s="7">
        <v>-1534</v>
      </c>
      <c r="I273" s="2"/>
      <c r="J273" s="6">
        <f t="shared" si="98"/>
        <v>-1.9635675528935697E-3</v>
      </c>
      <c r="K273" s="2"/>
      <c r="L273" s="7">
        <f t="shared" si="99"/>
        <v>1992</v>
      </c>
      <c r="M273" s="2"/>
      <c r="N273" s="6">
        <f t="shared" si="100"/>
        <v>-1.2985658409387224</v>
      </c>
      <c r="O273" s="11"/>
      <c r="P273" s="7">
        <v>458</v>
      </c>
      <c r="Q273" s="2"/>
      <c r="R273" s="6">
        <f t="shared" si="101"/>
        <v>1.5995421699597447E-5</v>
      </c>
      <c r="S273" s="2"/>
      <c r="T273" s="7">
        <v>-1534</v>
      </c>
      <c r="U273" s="2"/>
      <c r="V273" s="6">
        <f t="shared" si="102"/>
        <v>-4.2923704527431527E-5</v>
      </c>
      <c r="W273" s="2"/>
      <c r="X273" s="7">
        <f t="shared" si="103"/>
        <v>1992</v>
      </c>
      <c r="Y273" s="2"/>
      <c r="Z273" s="6">
        <f t="shared" si="104"/>
        <v>-1.2985658409387224</v>
      </c>
    </row>
    <row r="274" spans="1:26" s="24" customFormat="1" hidden="1" outlineLevel="2" x14ac:dyDescent="0.35">
      <c r="A274" s="27"/>
      <c r="B274" s="11" t="str">
        <f>CONCATENATE("          ", "7719", " - ", "INV. SHRINKAGE-BOOK RELATED")</f>
        <v xml:space="preserve">          7719 - INV. SHRINKAGE-BOOK RELATED</v>
      </c>
      <c r="C274" s="11"/>
      <c r="D274" s="7">
        <v>-43</v>
      </c>
      <c r="E274" s="2"/>
      <c r="F274" s="6">
        <f t="shared" si="97"/>
        <v>-7.356430575029428E-5</v>
      </c>
      <c r="G274" s="2"/>
      <c r="H274" s="7">
        <v>-43</v>
      </c>
      <c r="I274" s="2"/>
      <c r="J274" s="6">
        <f t="shared" si="98"/>
        <v>-5.5041332968985328E-5</v>
      </c>
      <c r="K274" s="2"/>
      <c r="L274" s="7">
        <f t="shared" si="99"/>
        <v>0</v>
      </c>
      <c r="M274" s="2"/>
      <c r="N274" s="6">
        <f t="shared" si="100"/>
        <v>0</v>
      </c>
      <c r="O274" s="11"/>
      <c r="P274" s="7">
        <v>-43</v>
      </c>
      <c r="Q274" s="2"/>
      <c r="R274" s="6">
        <f t="shared" si="101"/>
        <v>-1.5017535656827297E-6</v>
      </c>
      <c r="S274" s="2"/>
      <c r="T274" s="7">
        <v>-43</v>
      </c>
      <c r="U274" s="2"/>
      <c r="V274" s="6">
        <f t="shared" si="102"/>
        <v>-1.2032068413817181E-6</v>
      </c>
      <c r="W274" s="2"/>
      <c r="X274" s="7">
        <f t="shared" si="103"/>
        <v>0</v>
      </c>
      <c r="Y274" s="2"/>
      <c r="Z274" s="6">
        <f t="shared" si="104"/>
        <v>0</v>
      </c>
    </row>
    <row r="275" spans="1:26" s="24" customFormat="1" hidden="1" outlineLevel="2" x14ac:dyDescent="0.35">
      <c r="A275" s="27"/>
      <c r="B275" s="11" t="str">
        <f>CONCATENATE("          ", "7725", " - ", "INV. SHRINKAGE-TEST FORMS")</f>
        <v xml:space="preserve">          7725 - INV. SHRINKAGE-TEST FORMS</v>
      </c>
      <c r="C275" s="11"/>
      <c r="D275" s="7">
        <v>3987</v>
      </c>
      <c r="E275" s="2"/>
      <c r="F275" s="6">
        <f t="shared" si="97"/>
        <v>6.8209508610796114E-3</v>
      </c>
      <c r="G275" s="2"/>
      <c r="H275" s="7">
        <v>95</v>
      </c>
      <c r="I275" s="2"/>
      <c r="J275" s="6">
        <f t="shared" si="98"/>
        <v>1.2160294493147922E-4</v>
      </c>
      <c r="K275" s="2"/>
      <c r="L275" s="7">
        <f t="shared" si="99"/>
        <v>3892</v>
      </c>
      <c r="M275" s="2"/>
      <c r="N275" s="6">
        <f t="shared" si="100"/>
        <v>40.968421052631577</v>
      </c>
      <c r="O275" s="11"/>
      <c r="P275" s="7">
        <v>3987</v>
      </c>
      <c r="Q275" s="2"/>
      <c r="R275" s="6">
        <f t="shared" si="101"/>
        <v>1.392439875901638E-4</v>
      </c>
      <c r="S275" s="2"/>
      <c r="T275" s="7">
        <v>95</v>
      </c>
      <c r="U275" s="2"/>
      <c r="V275" s="6">
        <f t="shared" si="102"/>
        <v>2.6582476728200748E-6</v>
      </c>
      <c r="W275" s="2"/>
      <c r="X275" s="7">
        <f t="shared" si="103"/>
        <v>3892</v>
      </c>
      <c r="Y275" s="2"/>
      <c r="Z275" s="6">
        <f t="shared" si="104"/>
        <v>40.968421052631577</v>
      </c>
    </row>
    <row r="276" spans="1:26" s="24" customFormat="1" hidden="1" outlineLevel="2" x14ac:dyDescent="0.35">
      <c r="A276" s="27"/>
      <c r="B276" s="11" t="str">
        <f>CONCATENATE("          ", "7726", " - ", "INV. SHRINKAGE-WRITING INSTRUM")</f>
        <v xml:space="preserve">          7726 - INV. SHRINKAGE-WRITING INSTRUM</v>
      </c>
      <c r="C276" s="11"/>
      <c r="D276" s="7">
        <v>9153</v>
      </c>
      <c r="E276" s="2"/>
      <c r="F276" s="6">
        <f t="shared" si="97"/>
        <v>1.5658932337963803E-2</v>
      </c>
      <c r="G276" s="2"/>
      <c r="H276" s="7">
        <v>1467</v>
      </c>
      <c r="I276" s="2"/>
      <c r="J276" s="6">
        <f t="shared" si="98"/>
        <v>1.8778054759418948E-3</v>
      </c>
      <c r="K276" s="2"/>
      <c r="L276" s="7">
        <f t="shared" si="99"/>
        <v>7686</v>
      </c>
      <c r="M276" s="2"/>
      <c r="N276" s="6">
        <f t="shared" si="100"/>
        <v>5.2392638036809815</v>
      </c>
      <c r="O276" s="11"/>
      <c r="P276" s="7">
        <v>9153</v>
      </c>
      <c r="Q276" s="2"/>
      <c r="R276" s="6">
        <f t="shared" si="101"/>
        <v>3.196639624812564E-4</v>
      </c>
      <c r="S276" s="2"/>
      <c r="T276" s="7">
        <v>1467</v>
      </c>
      <c r="U276" s="2"/>
      <c r="V276" s="6">
        <f t="shared" si="102"/>
        <v>4.1048940379232102E-5</v>
      </c>
      <c r="W276" s="2"/>
      <c r="X276" s="7">
        <f t="shared" si="103"/>
        <v>7686</v>
      </c>
      <c r="Y276" s="2"/>
      <c r="Z276" s="6">
        <f t="shared" si="104"/>
        <v>5.2392638036809815</v>
      </c>
    </row>
    <row r="277" spans="1:26" s="24" customFormat="1" hidden="1" outlineLevel="2" x14ac:dyDescent="0.35">
      <c r="A277" s="27"/>
      <c r="B277" s="11" t="str">
        <f>CONCATENATE("          ", "7727", " - ", "INV. SHRINKAGE-SCHOOL SUPPLIES")</f>
        <v xml:space="preserve">          7727 - INV. SHRINKAGE-SCHOOL SUPPLIES</v>
      </c>
      <c r="C277" s="11"/>
      <c r="D277" s="7">
        <v>9822</v>
      </c>
      <c r="E277" s="2"/>
      <c r="F277" s="6">
        <f t="shared" si="97"/>
        <v>1.680345607161373E-2</v>
      </c>
      <c r="G277" s="2"/>
      <c r="H277" s="7">
        <v>1404</v>
      </c>
      <c r="I277" s="2"/>
      <c r="J277" s="6">
        <f t="shared" si="98"/>
        <v>1.7971635229873349E-3</v>
      </c>
      <c r="K277" s="2"/>
      <c r="L277" s="7">
        <f t="shared" si="99"/>
        <v>8418</v>
      </c>
      <c r="M277" s="2"/>
      <c r="N277" s="6">
        <f t="shared" si="100"/>
        <v>5.9957264957264957</v>
      </c>
      <c r="O277" s="11"/>
      <c r="P277" s="7">
        <v>9822</v>
      </c>
      <c r="Q277" s="2"/>
      <c r="R277" s="6">
        <f t="shared" si="101"/>
        <v>3.4302845400315749E-4</v>
      </c>
      <c r="S277" s="2"/>
      <c r="T277" s="7">
        <v>1404</v>
      </c>
      <c r="U277" s="2"/>
      <c r="V277" s="6">
        <f t="shared" si="102"/>
        <v>3.9286102448835632E-5</v>
      </c>
      <c r="W277" s="2"/>
      <c r="X277" s="7">
        <f t="shared" si="103"/>
        <v>8418</v>
      </c>
      <c r="Y277" s="2"/>
      <c r="Z277" s="6">
        <f t="shared" si="104"/>
        <v>5.9957264957264957</v>
      </c>
    </row>
    <row r="278" spans="1:26" s="24" customFormat="1" hidden="1" outlineLevel="2" x14ac:dyDescent="0.35">
      <c r="A278" s="27"/>
      <c r="B278" s="11" t="str">
        <f>CONCATENATE("          ", "7728", " - ", "INV. SHRINKAGE-ART/TECH")</f>
        <v xml:space="preserve">          7728 - INV. SHRINKAGE-ART/TECH</v>
      </c>
      <c r="C278" s="11"/>
      <c r="D278" s="7">
        <v>8990</v>
      </c>
      <c r="E278" s="2"/>
      <c r="F278" s="6">
        <f t="shared" si="97"/>
        <v>1.5380072295235943E-2</v>
      </c>
      <c r="G278" s="2"/>
      <c r="H278" s="7">
        <v>4009</v>
      </c>
      <c r="I278" s="2"/>
      <c r="J278" s="6">
        <f t="shared" si="98"/>
        <v>5.1316442761084229E-3</v>
      </c>
      <c r="K278" s="2"/>
      <c r="L278" s="7">
        <f t="shared" si="99"/>
        <v>4981</v>
      </c>
      <c r="M278" s="2"/>
      <c r="N278" s="6">
        <f t="shared" si="100"/>
        <v>1.242454477425792</v>
      </c>
      <c r="O278" s="11"/>
      <c r="P278" s="7">
        <v>8990</v>
      </c>
      <c r="Q278" s="2"/>
      <c r="R278" s="6">
        <f t="shared" si="101"/>
        <v>3.1397126873227305E-4</v>
      </c>
      <c r="S278" s="2"/>
      <c r="T278" s="7">
        <v>4009</v>
      </c>
      <c r="U278" s="2"/>
      <c r="V278" s="6">
        <f t="shared" si="102"/>
        <v>1.1217805179300716E-4</v>
      </c>
      <c r="W278" s="2"/>
      <c r="X278" s="7">
        <f t="shared" si="103"/>
        <v>4981</v>
      </c>
      <c r="Y278" s="2"/>
      <c r="Z278" s="6">
        <f t="shared" si="104"/>
        <v>1.242454477425792</v>
      </c>
    </row>
    <row r="279" spans="1:26" s="24" customFormat="1" hidden="1" outlineLevel="2" x14ac:dyDescent="0.35">
      <c r="A279" s="27"/>
      <c r="B279" s="11" t="str">
        <f>CONCATENATE("          ", "7731", " - ", "INV. SHRINKAGE-FOOD")</f>
        <v xml:space="preserve">          7731 - INV. SHRINKAGE-FOOD</v>
      </c>
      <c r="C279" s="11"/>
      <c r="D279" s="7">
        <v>6964</v>
      </c>
      <c r="E279" s="2"/>
      <c r="F279" s="6">
        <f t="shared" si="97"/>
        <v>1.1913995935931379E-2</v>
      </c>
      <c r="G279" s="2"/>
      <c r="H279" s="7">
        <v>-237</v>
      </c>
      <c r="I279" s="2"/>
      <c r="J279" s="6">
        <f t="shared" si="98"/>
        <v>-3.0336734682905866E-4</v>
      </c>
      <c r="K279" s="2"/>
      <c r="L279" s="7">
        <f t="shared" si="99"/>
        <v>7201</v>
      </c>
      <c r="M279" s="2"/>
      <c r="N279" s="6">
        <f t="shared" si="100"/>
        <v>-30.383966244725737</v>
      </c>
      <c r="O279" s="11"/>
      <c r="P279" s="7">
        <v>6964</v>
      </c>
      <c r="Q279" s="2"/>
      <c r="R279" s="6">
        <f t="shared" si="101"/>
        <v>2.4321422863754721E-4</v>
      </c>
      <c r="S279" s="2"/>
      <c r="T279" s="7">
        <v>-237</v>
      </c>
      <c r="U279" s="2"/>
      <c r="V279" s="6">
        <f t="shared" si="102"/>
        <v>-6.6316284048248181E-6</v>
      </c>
      <c r="W279" s="2"/>
      <c r="X279" s="7">
        <f t="shared" si="103"/>
        <v>7201</v>
      </c>
      <c r="Y279" s="2"/>
      <c r="Z279" s="6">
        <f t="shared" si="104"/>
        <v>-30.383966244725737</v>
      </c>
    </row>
    <row r="280" spans="1:26" s="24" customFormat="1" hidden="1" outlineLevel="2" x14ac:dyDescent="0.35">
      <c r="A280" s="27"/>
      <c r="B280" s="11" t="str">
        <f>CONCATENATE("          ", "7732", " - ", "INV. SHRINKAGE-JUICE")</f>
        <v xml:space="preserve">          7732 - INV. SHRINKAGE-JUICE</v>
      </c>
      <c r="C280" s="11"/>
      <c r="D280" s="7">
        <v>-1942</v>
      </c>
      <c r="E280" s="2"/>
      <c r="F280" s="6">
        <f t="shared" si="97"/>
        <v>-3.322369343420267E-3</v>
      </c>
      <c r="G280" s="2"/>
      <c r="H280" s="7">
        <v>-181</v>
      </c>
      <c r="I280" s="2"/>
      <c r="J280" s="6">
        <f t="shared" si="98"/>
        <v>-2.3168561086944986E-4</v>
      </c>
      <c r="K280" s="2"/>
      <c r="L280" s="7">
        <f t="shared" si="99"/>
        <v>-1761</v>
      </c>
      <c r="M280" s="2"/>
      <c r="N280" s="6">
        <f t="shared" si="100"/>
        <v>9.7292817679558006</v>
      </c>
      <c r="O280" s="11"/>
      <c r="P280" s="7">
        <v>-1942</v>
      </c>
      <c r="Q280" s="2"/>
      <c r="R280" s="6">
        <f t="shared" si="101"/>
        <v>-6.782338196641537E-5</v>
      </c>
      <c r="S280" s="2"/>
      <c r="T280" s="7">
        <v>-181</v>
      </c>
      <c r="U280" s="2"/>
      <c r="V280" s="6">
        <f t="shared" si="102"/>
        <v>-5.0646613555835113E-6</v>
      </c>
      <c r="W280" s="2"/>
      <c r="X280" s="7">
        <f t="shared" si="103"/>
        <v>-1761</v>
      </c>
      <c r="Y280" s="2"/>
      <c r="Z280" s="6">
        <f t="shared" si="104"/>
        <v>9.7292817679558006</v>
      </c>
    </row>
    <row r="281" spans="1:26" s="24" customFormat="1" hidden="1" outlineLevel="2" x14ac:dyDescent="0.35">
      <c r="A281" s="27"/>
      <c r="B281" s="11" t="str">
        <f>CONCATENATE("          ", "7733", " - ", "INV. SHRINKAGE-CANDY")</f>
        <v xml:space="preserve">          7733 - INV. SHRINKAGE-CANDY</v>
      </c>
      <c r="C281" s="11"/>
      <c r="D281" s="7">
        <v>2710</v>
      </c>
      <c r="E281" s="2"/>
      <c r="F281" s="6">
        <f t="shared" si="97"/>
        <v>4.6362620600766853E-3</v>
      </c>
      <c r="G281" s="2"/>
      <c r="H281" s="7">
        <v>-289</v>
      </c>
      <c r="I281" s="2"/>
      <c r="J281" s="6">
        <f t="shared" si="98"/>
        <v>-3.6992895879155255E-4</v>
      </c>
      <c r="K281" s="2"/>
      <c r="L281" s="7">
        <f t="shared" si="99"/>
        <v>2999</v>
      </c>
      <c r="M281" s="2"/>
      <c r="N281" s="6">
        <f t="shared" si="100"/>
        <v>-10.377162629757786</v>
      </c>
      <c r="O281" s="11"/>
      <c r="P281" s="7">
        <v>2710</v>
      </c>
      <c r="Q281" s="2"/>
      <c r="R281" s="6">
        <f t="shared" si="101"/>
        <v>9.464539913953948E-5</v>
      </c>
      <c r="S281" s="2"/>
      <c r="T281" s="7">
        <v>-289</v>
      </c>
      <c r="U281" s="2"/>
      <c r="V281" s="6">
        <f t="shared" si="102"/>
        <v>-8.0866692362631746E-6</v>
      </c>
      <c r="W281" s="2"/>
      <c r="X281" s="7">
        <f t="shared" si="103"/>
        <v>2999</v>
      </c>
      <c r="Y281" s="2"/>
      <c r="Z281" s="6">
        <f t="shared" si="104"/>
        <v>-10.377162629757786</v>
      </c>
    </row>
    <row r="282" spans="1:26" s="24" customFormat="1" hidden="1" outlineLevel="2" x14ac:dyDescent="0.35">
      <c r="A282" s="27"/>
      <c r="B282" s="11" t="str">
        <f>CONCATENATE("          ", "7734", " - ", "INV. SHRINKAGE-SODA")</f>
        <v xml:space="preserve">          7734 - INV. SHRINKAGE-SODA</v>
      </c>
      <c r="C282" s="11"/>
      <c r="D282" s="7">
        <v>1253</v>
      </c>
      <c r="E282" s="2"/>
      <c r="F282" s="6">
        <f t="shared" si="97"/>
        <v>2.1436296536074123E-3</v>
      </c>
      <c r="G282" s="2"/>
      <c r="H282" s="7">
        <v>478</v>
      </c>
      <c r="I282" s="2"/>
      <c r="J282" s="6">
        <f t="shared" si="98"/>
        <v>6.1185481765523226E-4</v>
      </c>
      <c r="K282" s="2"/>
      <c r="L282" s="7">
        <f t="shared" si="99"/>
        <v>775</v>
      </c>
      <c r="M282" s="2"/>
      <c r="N282" s="6">
        <f t="shared" si="100"/>
        <v>1.6213389121338913</v>
      </c>
      <c r="O282" s="11"/>
      <c r="P282" s="7">
        <v>1253</v>
      </c>
      <c r="Q282" s="2"/>
      <c r="R282" s="6">
        <f t="shared" si="101"/>
        <v>4.3760400413964194E-5</v>
      </c>
      <c r="S282" s="2"/>
      <c r="T282" s="7">
        <v>478</v>
      </c>
      <c r="U282" s="2"/>
      <c r="V282" s="6">
        <f t="shared" si="102"/>
        <v>1.3375183027452587E-5</v>
      </c>
      <c r="W282" s="2"/>
      <c r="X282" s="7">
        <f t="shared" si="103"/>
        <v>775</v>
      </c>
      <c r="Y282" s="2"/>
      <c r="Z282" s="6">
        <f t="shared" si="104"/>
        <v>1.6213389121338913</v>
      </c>
    </row>
    <row r="283" spans="1:26" s="24" customFormat="1" hidden="1" outlineLevel="2" x14ac:dyDescent="0.35">
      <c r="A283" s="27"/>
      <c r="B283" s="11" t="str">
        <f>CONCATENATE("          ", "7735", " - ", "INV. SHRINKAGE-HEALTH/BEAUTY")</f>
        <v xml:space="preserve">          7735 - INV. SHRINKAGE-HEALTH/BEAUTY</v>
      </c>
      <c r="C283" s="11"/>
      <c r="D283" s="7">
        <v>369</v>
      </c>
      <c r="E283" s="2"/>
      <c r="F283" s="6">
        <f t="shared" si="97"/>
        <v>6.3128439120601362E-4</v>
      </c>
      <c r="G283" s="2"/>
      <c r="H283" s="7">
        <v>-288</v>
      </c>
      <c r="I283" s="2"/>
      <c r="J283" s="6">
        <f t="shared" si="98"/>
        <v>-3.6864892779227385E-4</v>
      </c>
      <c r="K283" s="2"/>
      <c r="L283" s="7">
        <f t="shared" si="99"/>
        <v>657</v>
      </c>
      <c r="M283" s="2"/>
      <c r="N283" s="6">
        <f t="shared" si="100"/>
        <v>-2.28125</v>
      </c>
      <c r="O283" s="11"/>
      <c r="P283" s="7">
        <v>369</v>
      </c>
      <c r="Q283" s="2"/>
      <c r="R283" s="6">
        <f t="shared" si="101"/>
        <v>1.2887141063649472E-5</v>
      </c>
      <c r="S283" s="2"/>
      <c r="T283" s="7">
        <v>-288</v>
      </c>
      <c r="U283" s="2"/>
      <c r="V283" s="6">
        <f t="shared" si="102"/>
        <v>-8.0586876818124377E-6</v>
      </c>
      <c r="W283" s="2"/>
      <c r="X283" s="7">
        <f t="shared" si="103"/>
        <v>657</v>
      </c>
      <c r="Y283" s="2"/>
      <c r="Z283" s="6">
        <f t="shared" si="104"/>
        <v>-2.28125</v>
      </c>
    </row>
    <row r="284" spans="1:26" s="24" customFormat="1" hidden="1" outlineLevel="2" x14ac:dyDescent="0.35">
      <c r="A284" s="27"/>
      <c r="B284" s="11" t="str">
        <f>CONCATENATE("          ", "7737", " - ", "INV. SHRINKAGE-WATER")</f>
        <v xml:space="preserve">          7737 - INV. SHRINKAGE-WATER</v>
      </c>
      <c r="C284" s="11"/>
      <c r="D284" s="7">
        <v>763</v>
      </c>
      <c r="E284" s="2"/>
      <c r="F284" s="6">
        <f t="shared" si="97"/>
        <v>1.3053387276156867E-3</v>
      </c>
      <c r="G284" s="2"/>
      <c r="H284" s="7">
        <v>-128</v>
      </c>
      <c r="I284" s="2"/>
      <c r="J284" s="6">
        <f t="shared" si="98"/>
        <v>-1.6384396790767726E-4</v>
      </c>
      <c r="K284" s="2"/>
      <c r="L284" s="7">
        <f t="shared" si="99"/>
        <v>891</v>
      </c>
      <c r="M284" s="2"/>
      <c r="N284" s="6">
        <f t="shared" si="100"/>
        <v>-6.9609375</v>
      </c>
      <c r="O284" s="11"/>
      <c r="P284" s="7">
        <v>763</v>
      </c>
      <c r="Q284" s="2"/>
      <c r="R284" s="6">
        <f t="shared" si="101"/>
        <v>2.6647394665486575E-5</v>
      </c>
      <c r="S284" s="2"/>
      <c r="T284" s="7">
        <v>-128</v>
      </c>
      <c r="U284" s="2"/>
      <c r="V284" s="6">
        <f t="shared" si="102"/>
        <v>-3.5816389696944166E-6</v>
      </c>
      <c r="W284" s="2"/>
      <c r="X284" s="7">
        <f t="shared" si="103"/>
        <v>891</v>
      </c>
      <c r="Y284" s="2"/>
      <c r="Z284" s="6">
        <f t="shared" si="104"/>
        <v>-6.9609375</v>
      </c>
    </row>
    <row r="285" spans="1:26" s="24" customFormat="1" hidden="1" outlineLevel="2" x14ac:dyDescent="0.35">
      <c r="A285" s="27"/>
      <c r="B285" s="11" t="str">
        <f>CONCATENATE("          ", "7740", " - ", "INV. SHRINKAGE-LOGO CLOTHING")</f>
        <v xml:space="preserve">          7740 - INV. SHRINKAGE-LOGO CLOTHING</v>
      </c>
      <c r="C285" s="11"/>
      <c r="D285" s="7">
        <v>62007.000000000007</v>
      </c>
      <c r="E285" s="2"/>
      <c r="F285" s="6">
        <f t="shared" si="97"/>
        <v>0.10608143968973251</v>
      </c>
      <c r="G285" s="2"/>
      <c r="H285" s="7">
        <v>-33861</v>
      </c>
      <c r="I285" s="2"/>
      <c r="J285" s="6">
        <f t="shared" si="98"/>
        <v>-4.3343129666577031E-2</v>
      </c>
      <c r="K285" s="2"/>
      <c r="L285" s="7">
        <f t="shared" si="99"/>
        <v>95868</v>
      </c>
      <c r="M285" s="2"/>
      <c r="N285" s="6">
        <f t="shared" si="100"/>
        <v>-2.8312217595463807</v>
      </c>
      <c r="O285" s="11"/>
      <c r="P285" s="7">
        <v>62007.000000000007</v>
      </c>
      <c r="Q285" s="2"/>
      <c r="R285" s="6">
        <f t="shared" si="101"/>
        <v>2.1655635662160243E-3</v>
      </c>
      <c r="S285" s="2"/>
      <c r="T285" s="7">
        <v>-33861</v>
      </c>
      <c r="U285" s="2"/>
      <c r="V285" s="6">
        <f t="shared" si="102"/>
        <v>-9.4748341525642684E-4</v>
      </c>
      <c r="W285" s="2"/>
      <c r="X285" s="7">
        <f t="shared" si="103"/>
        <v>95868</v>
      </c>
      <c r="Y285" s="2"/>
      <c r="Z285" s="6">
        <f t="shared" si="104"/>
        <v>-2.8312217595463807</v>
      </c>
    </row>
    <row r="286" spans="1:26" s="24" customFormat="1" hidden="1" outlineLevel="2" x14ac:dyDescent="0.35">
      <c r="A286" s="27"/>
      <c r="B286" s="11" t="str">
        <f>CONCATENATE("          ", "7741", " - ", "INV. SHRINKAGE-LOGO GIFTS")</f>
        <v xml:space="preserve">          7741 - INV. SHRINKAGE-LOGO GIFTS</v>
      </c>
      <c r="C286" s="11"/>
      <c r="D286" s="7">
        <v>30707</v>
      </c>
      <c r="E286" s="2"/>
      <c r="F286" s="6">
        <f t="shared" si="97"/>
        <v>5.2533468294750842E-2</v>
      </c>
      <c r="G286" s="2"/>
      <c r="H286" s="7">
        <v>-30911</v>
      </c>
      <c r="I286" s="2"/>
      <c r="J286" s="6">
        <f t="shared" si="98"/>
        <v>-3.9567038218704782E-2</v>
      </c>
      <c r="K286" s="2"/>
      <c r="L286" s="7">
        <f t="shared" si="99"/>
        <v>61618</v>
      </c>
      <c r="M286" s="2"/>
      <c r="N286" s="6">
        <f t="shared" si="100"/>
        <v>-1.9934004076218821</v>
      </c>
      <c r="O286" s="11"/>
      <c r="P286" s="7">
        <v>30707</v>
      </c>
      <c r="Q286" s="2"/>
      <c r="R286" s="6">
        <f t="shared" si="101"/>
        <v>1.0724266684051067E-3</v>
      </c>
      <c r="S286" s="2"/>
      <c r="T286" s="7">
        <v>-30911</v>
      </c>
      <c r="U286" s="2"/>
      <c r="V286" s="6">
        <f t="shared" si="102"/>
        <v>-8.6493782962675085E-4</v>
      </c>
      <c r="W286" s="2"/>
      <c r="X286" s="7">
        <f t="shared" si="103"/>
        <v>61618</v>
      </c>
      <c r="Y286" s="2"/>
      <c r="Z286" s="6">
        <f t="shared" si="104"/>
        <v>-1.9934004076218821</v>
      </c>
    </row>
    <row r="287" spans="1:26" s="24" customFormat="1" hidden="1" outlineLevel="2" x14ac:dyDescent="0.35">
      <c r="A287" s="27"/>
      <c r="B287" s="11" t="str">
        <f>CONCATENATE("          ", "7742", " - ", "INV. SHRINKAGE-EVERYDAY GIFTS")</f>
        <v xml:space="preserve">          7742 - INV. SHRINKAGE-EVERYDAY GIFTS</v>
      </c>
      <c r="C287" s="11"/>
      <c r="D287" s="7">
        <v>26197</v>
      </c>
      <c r="E287" s="2"/>
      <c r="F287" s="6">
        <f t="shared" si="97"/>
        <v>4.481777018001068E-2</v>
      </c>
      <c r="G287" s="2"/>
      <c r="H287" s="7">
        <v>10301</v>
      </c>
      <c r="I287" s="2"/>
      <c r="J287" s="6">
        <f t="shared" si="98"/>
        <v>1.3185599323570184E-2</v>
      </c>
      <c r="K287" s="2"/>
      <c r="L287" s="7">
        <f t="shared" si="99"/>
        <v>15896</v>
      </c>
      <c r="M287" s="2"/>
      <c r="N287" s="6">
        <f t="shared" si="100"/>
        <v>1.5431511503737501</v>
      </c>
      <c r="O287" s="11"/>
      <c r="P287" s="7">
        <v>26197</v>
      </c>
      <c r="Q287" s="2"/>
      <c r="R287" s="6">
        <f t="shared" si="101"/>
        <v>9.1491716651605746E-4</v>
      </c>
      <c r="S287" s="2"/>
      <c r="T287" s="7">
        <v>10301</v>
      </c>
      <c r="U287" s="2"/>
      <c r="V287" s="6">
        <f t="shared" si="102"/>
        <v>2.8823799239704833E-4</v>
      </c>
      <c r="W287" s="2"/>
      <c r="X287" s="7">
        <f t="shared" si="103"/>
        <v>15896</v>
      </c>
      <c r="Y287" s="2"/>
      <c r="Z287" s="6">
        <f t="shared" si="104"/>
        <v>1.5431511503737501</v>
      </c>
    </row>
    <row r="288" spans="1:26" s="24" customFormat="1" hidden="1" outlineLevel="2" x14ac:dyDescent="0.35">
      <c r="A288" s="27"/>
      <c r="B288" s="11" t="str">
        <f>CONCATENATE("          ", "7743", " - ", "INV. SHRINKAGE-CARDS")</f>
        <v xml:space="preserve">          7743 - INV. SHRINKAGE-CARDS</v>
      </c>
      <c r="C288" s="11"/>
      <c r="D288" s="7">
        <v>-12818</v>
      </c>
      <c r="E288" s="2"/>
      <c r="F288" s="6">
        <f t="shared" si="97"/>
        <v>-2.1929006304820281E-2</v>
      </c>
      <c r="G288" s="2"/>
      <c r="H288" s="7">
        <v>-1135</v>
      </c>
      <c r="I288" s="2"/>
      <c r="J288" s="6">
        <f t="shared" si="98"/>
        <v>-1.452835184181357E-3</v>
      </c>
      <c r="K288" s="2"/>
      <c r="L288" s="7">
        <f t="shared" si="99"/>
        <v>-11683</v>
      </c>
      <c r="M288" s="2"/>
      <c r="N288" s="6">
        <f t="shared" si="100"/>
        <v>10.293392070484581</v>
      </c>
      <c r="O288" s="11"/>
      <c r="P288" s="7">
        <v>-12818</v>
      </c>
      <c r="Q288" s="2"/>
      <c r="R288" s="6">
        <f t="shared" si="101"/>
        <v>-4.476622605795635E-4</v>
      </c>
      <c r="S288" s="2"/>
      <c r="T288" s="7">
        <v>-1135</v>
      </c>
      <c r="U288" s="2"/>
      <c r="V288" s="6">
        <f t="shared" si="102"/>
        <v>-3.1759064301587213E-5</v>
      </c>
      <c r="W288" s="2"/>
      <c r="X288" s="7">
        <f t="shared" si="103"/>
        <v>-11683</v>
      </c>
      <c r="Y288" s="2"/>
      <c r="Z288" s="6">
        <f t="shared" si="104"/>
        <v>10.293392070484581</v>
      </c>
    </row>
    <row r="289" spans="1:26" s="24" customFormat="1" hidden="1" outlineLevel="2" x14ac:dyDescent="0.35">
      <c r="A289" s="27"/>
      <c r="B289" s="11" t="str">
        <f>CONCATENATE("          ", "7744", " - ", "INV. SHRINKAGE-ACCESSORIES")</f>
        <v xml:space="preserve">          7744 - INV. SHRINKAGE-ACCESSORIES</v>
      </c>
      <c r="C289" s="11"/>
      <c r="D289" s="7">
        <v>-16780</v>
      </c>
      <c r="E289" s="2"/>
      <c r="F289" s="6">
        <f t="shared" si="97"/>
        <v>-2.8707187220696231E-2</v>
      </c>
      <c r="G289" s="2"/>
      <c r="H289" s="7">
        <v>-141</v>
      </c>
      <c r="I289" s="2"/>
      <c r="J289" s="6">
        <f t="shared" si="98"/>
        <v>-1.8048437089830072E-4</v>
      </c>
      <c r="K289" s="2"/>
      <c r="L289" s="7">
        <f t="shared" si="99"/>
        <v>-16639</v>
      </c>
      <c r="M289" s="2"/>
      <c r="N289" s="6">
        <f t="shared" si="100"/>
        <v>118.00709219858156</v>
      </c>
      <c r="O289" s="11"/>
      <c r="P289" s="7">
        <v>-16780</v>
      </c>
      <c r="Q289" s="2"/>
      <c r="R289" s="6">
        <f t="shared" si="101"/>
        <v>-5.8603313563153965E-4</v>
      </c>
      <c r="S289" s="2"/>
      <c r="T289" s="7">
        <v>-141</v>
      </c>
      <c r="U289" s="2"/>
      <c r="V289" s="6">
        <f t="shared" si="102"/>
        <v>-3.9453991775540055E-6</v>
      </c>
      <c r="W289" s="2"/>
      <c r="X289" s="7">
        <f t="shared" si="103"/>
        <v>-16639</v>
      </c>
      <c r="Y289" s="2"/>
      <c r="Z289" s="6">
        <f t="shared" si="104"/>
        <v>118.00709219858156</v>
      </c>
    </row>
    <row r="290" spans="1:26" s="24" customFormat="1" hidden="1" outlineLevel="2" x14ac:dyDescent="0.35">
      <c r="A290" s="27"/>
      <c r="B290" s="11" t="str">
        <f>CONCATENATE("          ", "7745", " - ", "INV. SHRINKAGE-SPECIAL ORDERS")</f>
        <v xml:space="preserve">          7745 - INV. SHRINKAGE-SPECIAL ORDERS</v>
      </c>
      <c r="C290" s="11"/>
      <c r="D290" s="7">
        <v>44531</v>
      </c>
      <c r="E290" s="2"/>
      <c r="F290" s="6">
        <f t="shared" si="97"/>
        <v>7.6183537194566386E-2</v>
      </c>
      <c r="G290" s="2"/>
      <c r="H290" s="7">
        <v>-740</v>
      </c>
      <c r="I290" s="2"/>
      <c r="J290" s="6">
        <f t="shared" si="98"/>
        <v>-9.4722293946625919E-4</v>
      </c>
      <c r="K290" s="2"/>
      <c r="L290" s="7">
        <f t="shared" si="99"/>
        <v>45271</v>
      </c>
      <c r="M290" s="2"/>
      <c r="N290" s="6">
        <f t="shared" si="100"/>
        <v>-61.17702702702703</v>
      </c>
      <c r="O290" s="11"/>
      <c r="P290" s="7">
        <v>44531</v>
      </c>
      <c r="Q290" s="2"/>
      <c r="R290" s="6">
        <f t="shared" si="101"/>
        <v>1.5552229775213403E-3</v>
      </c>
      <c r="S290" s="2"/>
      <c r="T290" s="7">
        <v>-740</v>
      </c>
      <c r="U290" s="2"/>
      <c r="V290" s="6">
        <f t="shared" si="102"/>
        <v>-2.0706350293545846E-5</v>
      </c>
      <c r="W290" s="2"/>
      <c r="X290" s="7">
        <f t="shared" si="103"/>
        <v>45271</v>
      </c>
      <c r="Y290" s="2"/>
      <c r="Z290" s="6">
        <f t="shared" si="104"/>
        <v>-61.17702702702703</v>
      </c>
    </row>
    <row r="291" spans="1:26" s="24" customFormat="1" hidden="1" outlineLevel="2" x14ac:dyDescent="0.35">
      <c r="A291" s="27"/>
      <c r="B291" s="11" t="str">
        <f>CONCATENATE("          ", "7781", " - ", "INV. SHRINKAGE-ELECTRONICS")</f>
        <v xml:space="preserve">          7781 - INV. SHRINKAGE-ELECTRONICS</v>
      </c>
      <c r="C291" s="11"/>
      <c r="D291" s="7">
        <v>-18533</v>
      </c>
      <c r="E291" s="2"/>
      <c r="F291" s="6">
        <f t="shared" si="97"/>
        <v>-3.1706215778376831E-2</v>
      </c>
      <c r="G291" s="2"/>
      <c r="H291" s="7">
        <v>4453</v>
      </c>
      <c r="I291" s="2"/>
      <c r="J291" s="6">
        <f t="shared" si="98"/>
        <v>5.6999780397881785E-3</v>
      </c>
      <c r="K291" s="2"/>
      <c r="L291" s="7">
        <f t="shared" si="99"/>
        <v>-22986</v>
      </c>
      <c r="M291" s="2"/>
      <c r="N291" s="6">
        <f t="shared" si="100"/>
        <v>-5.1619133168650349</v>
      </c>
      <c r="O291" s="11"/>
      <c r="P291" s="7">
        <v>-18533</v>
      </c>
      <c r="Q291" s="2"/>
      <c r="R291" s="6">
        <f t="shared" si="101"/>
        <v>-6.4725578680925654E-4</v>
      </c>
      <c r="S291" s="2"/>
      <c r="T291" s="7">
        <v>4453</v>
      </c>
      <c r="U291" s="2"/>
      <c r="V291" s="6">
        <f t="shared" si="102"/>
        <v>1.2460186196913467E-4</v>
      </c>
      <c r="W291" s="2"/>
      <c r="X291" s="7">
        <f t="shared" si="103"/>
        <v>-22986</v>
      </c>
      <c r="Y291" s="2"/>
      <c r="Z291" s="6">
        <f t="shared" si="104"/>
        <v>-5.1619133168650349</v>
      </c>
    </row>
    <row r="292" spans="1:26" s="24" customFormat="1" hidden="1" outlineLevel="2" x14ac:dyDescent="0.35">
      <c r="A292" s="27"/>
      <c r="B292" s="11" t="str">
        <f>CONCATENATE("          ", "7782", " - ", "INV. SHRINKAGE-COMPUTER HARDWA")</f>
        <v xml:space="preserve">          7782 - INV. SHRINKAGE-COMPUTER HARDWA</v>
      </c>
      <c r="C292" s="11"/>
      <c r="D292" s="7">
        <v>-30194</v>
      </c>
      <c r="E292" s="2"/>
      <c r="F292" s="6">
        <f t="shared" si="97"/>
        <v>-5.1655829019171755E-2</v>
      </c>
      <c r="G292" s="2"/>
      <c r="H292" s="7">
        <v>-30478</v>
      </c>
      <c r="I292" s="2"/>
      <c r="J292" s="6">
        <f t="shared" si="98"/>
        <v>-3.9012784796017087E-2</v>
      </c>
      <c r="K292" s="2"/>
      <c r="L292" s="7">
        <f t="shared" si="99"/>
        <v>284</v>
      </c>
      <c r="M292" s="2"/>
      <c r="N292" s="6">
        <f t="shared" si="100"/>
        <v>-9.3181967320690329E-3</v>
      </c>
      <c r="O292" s="11"/>
      <c r="P292" s="7">
        <v>-30194</v>
      </c>
      <c r="Q292" s="2"/>
      <c r="R292" s="6">
        <f t="shared" si="101"/>
        <v>-1.0545103991214963E-3</v>
      </c>
      <c r="S292" s="2"/>
      <c r="T292" s="7">
        <v>-30478</v>
      </c>
      <c r="U292" s="2"/>
      <c r="V292" s="6">
        <f t="shared" si="102"/>
        <v>-8.5282181654958145E-4</v>
      </c>
      <c r="W292" s="2"/>
      <c r="X292" s="7">
        <f t="shared" si="103"/>
        <v>284</v>
      </c>
      <c r="Y292" s="2"/>
      <c r="Z292" s="6">
        <f t="shared" si="104"/>
        <v>-9.3181967320690329E-3</v>
      </c>
    </row>
    <row r="293" spans="1:26" s="24" customFormat="1" hidden="1" outlineLevel="2" x14ac:dyDescent="0.35">
      <c r="A293" s="27"/>
      <c r="B293" s="11" t="str">
        <f>CONCATENATE("          ", "7783", " - ", "INV. SHRINKAGE-COMPUTER EQUIPM")</f>
        <v xml:space="preserve">          7783 - INV. SHRINKAGE-COMPUTER EQUIPM</v>
      </c>
      <c r="C293" s="11"/>
      <c r="D293" s="7">
        <v>2995</v>
      </c>
      <c r="E293" s="2"/>
      <c r="F293" s="6">
        <f t="shared" si="97"/>
        <v>5.1238394353984038E-3</v>
      </c>
      <c r="G293" s="2"/>
      <c r="H293" s="7">
        <v>9125</v>
      </c>
      <c r="I293" s="2"/>
      <c r="J293" s="6">
        <f t="shared" si="98"/>
        <v>1.1680282868418398E-2</v>
      </c>
      <c r="K293" s="2"/>
      <c r="L293" s="7">
        <f t="shared" si="99"/>
        <v>-6130</v>
      </c>
      <c r="M293" s="2"/>
      <c r="N293" s="6">
        <f t="shared" si="100"/>
        <v>-0.67178082191780819</v>
      </c>
      <c r="O293" s="11"/>
      <c r="P293" s="7">
        <v>2995</v>
      </c>
      <c r="Q293" s="2"/>
      <c r="R293" s="6">
        <f t="shared" si="101"/>
        <v>1.045988820748785E-4</v>
      </c>
      <c r="S293" s="2"/>
      <c r="T293" s="7">
        <v>9125</v>
      </c>
      <c r="U293" s="2"/>
      <c r="V293" s="6">
        <f t="shared" si="102"/>
        <v>2.5533168436298086E-4</v>
      </c>
      <c r="W293" s="2"/>
      <c r="X293" s="7">
        <f t="shared" si="103"/>
        <v>-6130</v>
      </c>
      <c r="Y293" s="2"/>
      <c r="Z293" s="6">
        <f t="shared" si="104"/>
        <v>-0.67178082191780819</v>
      </c>
    </row>
    <row r="294" spans="1:26" s="24" customFormat="1" hidden="1" outlineLevel="2" x14ac:dyDescent="0.35">
      <c r="A294" s="27"/>
      <c r="B294" s="11" t="str">
        <f>CONCATENATE("          ", "7784", " - ", "INV. SHRINKAGE-SOFTWARE LICENS")</f>
        <v xml:space="preserve">          7784 - INV. SHRINKAGE-SOFTWARE LICENS</v>
      </c>
      <c r="C294" s="11"/>
      <c r="D294" s="7">
        <v>1394</v>
      </c>
      <c r="E294" s="2"/>
      <c r="F294" s="6">
        <f t="shared" si="97"/>
        <v>2.3848521445560518E-3</v>
      </c>
      <c r="G294" s="2"/>
      <c r="H294" s="7">
        <v>-357</v>
      </c>
      <c r="I294" s="2"/>
      <c r="J294" s="6">
        <f t="shared" si="98"/>
        <v>-4.5697106674250608E-4</v>
      </c>
      <c r="K294" s="2"/>
      <c r="L294" s="7">
        <f t="shared" si="99"/>
        <v>1751</v>
      </c>
      <c r="M294" s="2"/>
      <c r="N294" s="6">
        <f t="shared" si="100"/>
        <v>-4.9047619047619051</v>
      </c>
      <c r="O294" s="11"/>
      <c r="P294" s="7">
        <v>1394</v>
      </c>
      <c r="Q294" s="2"/>
      <c r="R294" s="6">
        <f t="shared" si="101"/>
        <v>4.8684755129342448E-5</v>
      </c>
      <c r="S294" s="2"/>
      <c r="T294" s="7">
        <v>-357</v>
      </c>
      <c r="U294" s="2"/>
      <c r="V294" s="6">
        <f t="shared" si="102"/>
        <v>-9.9894149389133347E-6</v>
      </c>
      <c r="W294" s="2"/>
      <c r="X294" s="7">
        <f t="shared" si="103"/>
        <v>1751</v>
      </c>
      <c r="Y294" s="2"/>
      <c r="Z294" s="6">
        <f t="shared" si="104"/>
        <v>-4.9047619047619051</v>
      </c>
    </row>
    <row r="295" spans="1:26" s="24" customFormat="1" hidden="1" outlineLevel="2" x14ac:dyDescent="0.35">
      <c r="A295" s="27"/>
      <c r="B295" s="11" t="str">
        <f>CONCATENATE("          ", "7785", " - ", "INV. SHRINKAGE-SOFTWARE")</f>
        <v xml:space="preserve">          7785 - INV. SHRINKAGE-SOFTWARE</v>
      </c>
      <c r="C295" s="11"/>
      <c r="D295" s="7">
        <v>-3743</v>
      </c>
      <c r="E295" s="2"/>
      <c r="F295" s="6">
        <f t="shared" si="97"/>
        <v>-6.4035161958918944E-3</v>
      </c>
      <c r="G295" s="2"/>
      <c r="H295" s="7">
        <v>-72</v>
      </c>
      <c r="I295" s="2"/>
      <c r="J295" s="6">
        <f t="shared" si="98"/>
        <v>-9.2162231948068462E-5</v>
      </c>
      <c r="K295" s="2"/>
      <c r="L295" s="7">
        <f t="shared" si="99"/>
        <v>-3671</v>
      </c>
      <c r="M295" s="2"/>
      <c r="N295" s="6">
        <f t="shared" si="100"/>
        <v>50.986111111111114</v>
      </c>
      <c r="O295" s="11"/>
      <c r="P295" s="7">
        <v>-3743</v>
      </c>
      <c r="Q295" s="2"/>
      <c r="R295" s="6">
        <f t="shared" si="101"/>
        <v>-1.3072240921745251E-4</v>
      </c>
      <c r="S295" s="2"/>
      <c r="T295" s="7">
        <v>-72</v>
      </c>
      <c r="U295" s="2"/>
      <c r="V295" s="6">
        <f t="shared" si="102"/>
        <v>-2.0146719204531094E-6</v>
      </c>
      <c r="W295" s="2"/>
      <c r="X295" s="7">
        <f t="shared" si="103"/>
        <v>-3671</v>
      </c>
      <c r="Y295" s="2"/>
      <c r="Z295" s="6">
        <f t="shared" si="104"/>
        <v>50.986111111111114</v>
      </c>
    </row>
    <row r="296" spans="1:26" s="24" customFormat="1" hidden="1" outlineLevel="2" x14ac:dyDescent="0.35">
      <c r="A296" s="27"/>
      <c r="B296" s="11" t="str">
        <f>CONCATENATE("          ", "7786", " - ", "INV. SHRINKAGE-COMPUTER SUPPLI")</f>
        <v xml:space="preserve">          7786 - INV. SHRINKAGE-COMPUTER SUPPLI</v>
      </c>
      <c r="C296" s="11"/>
      <c r="D296" s="7">
        <v>5038</v>
      </c>
      <c r="E296" s="2"/>
      <c r="F296" s="6">
        <f t="shared" si="97"/>
        <v>8.6189993574414554E-3</v>
      </c>
      <c r="G296" s="2"/>
      <c r="H296" s="7">
        <v>248</v>
      </c>
      <c r="I296" s="2"/>
      <c r="J296" s="6">
        <f t="shared" si="98"/>
        <v>3.1744768782112471E-4</v>
      </c>
      <c r="K296" s="2"/>
      <c r="L296" s="7">
        <f t="shared" si="99"/>
        <v>4790</v>
      </c>
      <c r="M296" s="2"/>
      <c r="N296" s="6">
        <f t="shared" si="100"/>
        <v>19.31451612903226</v>
      </c>
      <c r="O296" s="11"/>
      <c r="P296" s="7">
        <v>5038</v>
      </c>
      <c r="Q296" s="2"/>
      <c r="R296" s="6">
        <f t="shared" si="101"/>
        <v>1.7594963869557191E-4</v>
      </c>
      <c r="S296" s="2"/>
      <c r="T296" s="7">
        <v>248</v>
      </c>
      <c r="U296" s="2"/>
      <c r="V296" s="6">
        <f t="shared" si="102"/>
        <v>6.9394255037829319E-6</v>
      </c>
      <c r="W296" s="2"/>
      <c r="X296" s="7">
        <f t="shared" si="103"/>
        <v>4790</v>
      </c>
      <c r="Y296" s="2"/>
      <c r="Z296" s="6">
        <f t="shared" si="104"/>
        <v>19.31451612903226</v>
      </c>
    </row>
    <row r="297" spans="1:26" s="24" customFormat="1" hidden="1" outlineLevel="2" x14ac:dyDescent="0.35">
      <c r="A297" s="27"/>
      <c r="B297" s="11" t="str">
        <f>CONCATENATE("          ", "7788", " - ", "INV. SHRINKAGE-MUSIC")</f>
        <v xml:space="preserve">          7788 - INV. SHRINKAGE-MUSIC</v>
      </c>
      <c r="C297" s="11"/>
      <c r="D297" s="7">
        <v>152</v>
      </c>
      <c r="E297" s="2"/>
      <c r="F297" s="6">
        <f t="shared" si="97"/>
        <v>2.6004126683824955E-4</v>
      </c>
      <c r="G297" s="2"/>
      <c r="H297" s="7">
        <v>-467</v>
      </c>
      <c r="I297" s="2"/>
      <c r="J297" s="6">
        <f t="shared" si="98"/>
        <v>-5.9777447666316621E-4</v>
      </c>
      <c r="K297" s="2"/>
      <c r="L297" s="7">
        <f t="shared" si="99"/>
        <v>619</v>
      </c>
      <c r="M297" s="2"/>
      <c r="N297" s="6">
        <f t="shared" si="100"/>
        <v>-1.3254817987152034</v>
      </c>
      <c r="O297" s="11"/>
      <c r="P297" s="7">
        <v>152</v>
      </c>
      <c r="Q297" s="2"/>
      <c r="R297" s="6">
        <f t="shared" si="101"/>
        <v>5.3085242321808118E-6</v>
      </c>
      <c r="S297" s="2"/>
      <c r="T297" s="7">
        <v>-467</v>
      </c>
      <c r="U297" s="2"/>
      <c r="V297" s="6">
        <f t="shared" si="102"/>
        <v>-1.3067385928494473E-5</v>
      </c>
      <c r="W297" s="2"/>
      <c r="X297" s="7">
        <f t="shared" si="103"/>
        <v>619</v>
      </c>
      <c r="Y297" s="2"/>
      <c r="Z297" s="6">
        <f t="shared" si="104"/>
        <v>-1.3254817987152034</v>
      </c>
    </row>
    <row r="298" spans="1:26" s="24" customFormat="1" hidden="1" outlineLevel="2" x14ac:dyDescent="0.35">
      <c r="A298" s="27"/>
      <c r="B298" s="11" t="str">
        <f>CONCATENATE("          ", "7792", " - ", "INV. SHRINKAGE-GRAD MERCH")</f>
        <v xml:space="preserve">          7792 - INV. SHRINKAGE-GRAD MERCH</v>
      </c>
      <c r="C298" s="11"/>
      <c r="D298" s="7">
        <v>535</v>
      </c>
      <c r="E298" s="2"/>
      <c r="F298" s="6">
        <f t="shared" si="97"/>
        <v>9.1527682735831253E-4</v>
      </c>
      <c r="G298" s="2"/>
      <c r="H298" s="7">
        <v>-3925</v>
      </c>
      <c r="I298" s="2"/>
      <c r="J298" s="6">
        <f t="shared" si="98"/>
        <v>-5.02412167216901E-3</v>
      </c>
      <c r="K298" s="2"/>
      <c r="L298" s="7">
        <f t="shared" si="99"/>
        <v>4460</v>
      </c>
      <c r="M298" s="2"/>
      <c r="N298" s="6">
        <f t="shared" si="100"/>
        <v>-1.1363057324840764</v>
      </c>
      <c r="O298" s="11"/>
      <c r="P298" s="7">
        <v>535</v>
      </c>
      <c r="Q298" s="2"/>
      <c r="R298" s="6">
        <f t="shared" si="101"/>
        <v>1.8684608317215359E-5</v>
      </c>
      <c r="S298" s="2"/>
      <c r="T298" s="7">
        <v>-3925</v>
      </c>
      <c r="U298" s="2"/>
      <c r="V298" s="6">
        <f t="shared" si="102"/>
        <v>-1.0982760121914519E-4</v>
      </c>
      <c r="W298" s="2"/>
      <c r="X298" s="7">
        <f t="shared" si="103"/>
        <v>4460</v>
      </c>
      <c r="Y298" s="2"/>
      <c r="Z298" s="6">
        <f t="shared" si="104"/>
        <v>-1.1363057324840764</v>
      </c>
    </row>
    <row r="299" spans="1:26" s="24" customFormat="1" hidden="1" outlineLevel="2" x14ac:dyDescent="0.35">
      <c r="A299" s="27"/>
      <c r="B299" s="11" t="str">
        <f>CONCATENATE("          ", "7795", " - ", "INV. SHRINKAGE-CUSTOMER SERVIC")</f>
        <v xml:space="preserve">          7795 - INV. SHRINKAGE-CUSTOMER SERVIC</v>
      </c>
      <c r="C299" s="11"/>
      <c r="D299" s="7">
        <v>-132</v>
      </c>
      <c r="E299" s="2"/>
      <c r="F299" s="6">
        <f t="shared" si="97"/>
        <v>-2.2582531067532195E-4</v>
      </c>
      <c r="G299" s="2"/>
      <c r="H299" s="7">
        <v>-146</v>
      </c>
      <c r="I299" s="2"/>
      <c r="J299" s="6">
        <f t="shared" si="98"/>
        <v>-1.8688452589469436E-4</v>
      </c>
      <c r="K299" s="2"/>
      <c r="L299" s="7">
        <f t="shared" si="99"/>
        <v>14</v>
      </c>
      <c r="M299" s="2"/>
      <c r="N299" s="6">
        <f t="shared" si="100"/>
        <v>-9.5890410958904104E-2</v>
      </c>
      <c r="O299" s="11"/>
      <c r="P299" s="7">
        <v>-132</v>
      </c>
      <c r="Q299" s="2"/>
      <c r="R299" s="6">
        <f t="shared" si="101"/>
        <v>-4.6100342016307056E-6</v>
      </c>
      <c r="S299" s="2"/>
      <c r="T299" s="7">
        <v>-146</v>
      </c>
      <c r="U299" s="2"/>
      <c r="V299" s="6">
        <f t="shared" si="102"/>
        <v>-4.0853069498076944E-6</v>
      </c>
      <c r="W299" s="2"/>
      <c r="X299" s="7">
        <f t="shared" si="103"/>
        <v>14</v>
      </c>
      <c r="Y299" s="2"/>
      <c r="Z299" s="6">
        <f t="shared" si="104"/>
        <v>-9.5890410958904104E-2</v>
      </c>
    </row>
    <row r="300" spans="1:26" s="25" customFormat="1" outlineLevel="1" collapsed="1" x14ac:dyDescent="0.35">
      <c r="A300" s="26"/>
      <c r="B300" s="12" t="str">
        <f>CONCATENATE("     ","Professional Services                             ")</f>
        <v xml:space="preserve">     Professional Services                             </v>
      </c>
      <c r="C300" s="12"/>
      <c r="D300" s="1">
        <f>SUM(OSRRefD22_15x_0)</f>
        <v>8441.9599999999991</v>
      </c>
      <c r="E300" s="1"/>
      <c r="F300" s="5">
        <f t="shared" ref="F300:F310" si="105">IF(D$12=0,0,D300/D$12)</f>
        <v>1.44424866644594E-2</v>
      </c>
      <c r="G300" s="1"/>
      <c r="H300" s="1">
        <f>SUM(OSRRefH22_15x_0)</f>
        <v>0</v>
      </c>
      <c r="I300" s="1"/>
      <c r="J300" s="5">
        <f t="shared" ref="J300:J310" si="106">IF(H$12=0,0,H300/H$12)</f>
        <v>0</v>
      </c>
      <c r="K300" s="1"/>
      <c r="L300" s="1">
        <f t="shared" ref="L300:L310" si="107">+D300-H300</f>
        <v>8441.9599999999991</v>
      </c>
      <c r="M300" s="1"/>
      <c r="N300" s="5">
        <f t="shared" ref="N300:N310" si="108">IF(H300=0,0,L300/H300)</f>
        <v>0</v>
      </c>
      <c r="O300" s="12"/>
      <c r="P300" s="1">
        <f>SUM(OSRRefP22_15x_0)</f>
        <v>17696.52</v>
      </c>
      <c r="Q300" s="1"/>
      <c r="R300" s="5">
        <f t="shared" ref="R300:R310" si="109">IF(P$12=0,0,P300/P$12)</f>
        <v>6.1804213977152884E-4</v>
      </c>
      <c r="S300" s="1"/>
      <c r="T300" s="1">
        <f>SUM(OSRRefT22_15x_0)</f>
        <v>9956.43</v>
      </c>
      <c r="U300" s="1"/>
      <c r="V300" s="5">
        <f t="shared" ref="V300:V310" si="110">IF(T$12=0,0,T300/T$12)</f>
        <v>2.7859638817995767E-4</v>
      </c>
      <c r="W300" s="1"/>
      <c r="X300" s="1">
        <f t="shared" ref="X300:X310" si="111">+P300-T300</f>
        <v>7740.09</v>
      </c>
      <c r="Y300" s="1"/>
      <c r="Z300" s="5">
        <f t="shared" ref="Z300:Z310" si="112">IF(T300=0,0,X300/T300)</f>
        <v>0.77739611487249949</v>
      </c>
    </row>
    <row r="301" spans="1:26" s="24" customFormat="1" hidden="1" outlineLevel="2" x14ac:dyDescent="0.35">
      <c r="A301" s="27"/>
      <c r="B301" s="11" t="str">
        <f>CONCATENATE("          ", "6336", " - ", "PROFESSIONAL SERVICES")</f>
        <v xml:space="preserve">          6336 - PROFESSIONAL SERVICES</v>
      </c>
      <c r="C301" s="11"/>
      <c r="D301" s="7">
        <v>8441.9599999999991</v>
      </c>
      <c r="E301" s="2"/>
      <c r="F301" s="6">
        <f t="shared" si="105"/>
        <v>1.44424866644594E-2</v>
      </c>
      <c r="G301" s="2"/>
      <c r="H301" s="7"/>
      <c r="I301" s="2"/>
      <c r="J301" s="6">
        <f t="shared" si="106"/>
        <v>0</v>
      </c>
      <c r="K301" s="2"/>
      <c r="L301" s="7">
        <f t="shared" si="107"/>
        <v>8441.9599999999991</v>
      </c>
      <c r="M301" s="2"/>
      <c r="N301" s="6">
        <f t="shared" si="108"/>
        <v>0</v>
      </c>
      <c r="O301" s="11"/>
      <c r="P301" s="7">
        <v>17696.52</v>
      </c>
      <c r="Q301" s="2"/>
      <c r="R301" s="6">
        <f t="shared" si="109"/>
        <v>6.1804213977152884E-4</v>
      </c>
      <c r="S301" s="2"/>
      <c r="T301" s="7">
        <v>9956.43</v>
      </c>
      <c r="U301" s="2"/>
      <c r="V301" s="6">
        <f t="shared" si="110"/>
        <v>2.7859638817995767E-4</v>
      </c>
      <c r="W301" s="2"/>
      <c r="X301" s="7">
        <f t="shared" si="111"/>
        <v>7740.09</v>
      </c>
      <c r="Y301" s="2"/>
      <c r="Z301" s="6">
        <f t="shared" si="112"/>
        <v>0.77739611487249949</v>
      </c>
    </row>
    <row r="302" spans="1:26" s="25" customFormat="1" outlineLevel="1" collapsed="1" x14ac:dyDescent="0.35">
      <c r="A302" s="26"/>
      <c r="B302" s="12" t="str">
        <f>CONCATENATE("     ","R/H Commissions                                   ")</f>
        <v xml:space="preserve">     R/H Commissions                                   </v>
      </c>
      <c r="C302" s="12"/>
      <c r="D302" s="1">
        <f>SUM(OSRRefD22_16x_0)</f>
        <v>-11146.03</v>
      </c>
      <c r="E302" s="1"/>
      <c r="F302" s="5">
        <f t="shared" si="105"/>
        <v>-1.9068603693533779E-2</v>
      </c>
      <c r="G302" s="1"/>
      <c r="H302" s="1">
        <f>SUM(OSRRefH22_16x_0)</f>
        <v>12590.86</v>
      </c>
      <c r="I302" s="1"/>
      <c r="J302" s="5">
        <f t="shared" si="106"/>
        <v>1.6116691107578573E-2</v>
      </c>
      <c r="K302" s="1"/>
      <c r="L302" s="1">
        <f t="shared" si="107"/>
        <v>-23736.89</v>
      </c>
      <c r="M302" s="1"/>
      <c r="N302" s="5">
        <f t="shared" si="108"/>
        <v>-1.8852477114351203</v>
      </c>
      <c r="O302" s="12"/>
      <c r="P302" s="1">
        <f>SUM(OSRRefP22_16x_0)</f>
        <v>703130.05</v>
      </c>
      <c r="Q302" s="1"/>
      <c r="R302" s="5">
        <f t="shared" si="109"/>
        <v>2.4556466505259909E-2</v>
      </c>
      <c r="S302" s="1"/>
      <c r="T302" s="1">
        <f>SUM(OSRRefT22_16x_0)</f>
        <v>853864.66</v>
      </c>
      <c r="U302" s="1"/>
      <c r="V302" s="5">
        <f t="shared" si="110"/>
        <v>2.3892460477350573E-2</v>
      </c>
      <c r="W302" s="1"/>
      <c r="X302" s="1">
        <f t="shared" si="111"/>
        <v>-150734.60999999999</v>
      </c>
      <c r="Y302" s="1"/>
      <c r="Z302" s="5">
        <f t="shared" si="112"/>
        <v>-0.17653220359301436</v>
      </c>
    </row>
    <row r="303" spans="1:26" s="24" customFormat="1" hidden="1" outlineLevel="2" x14ac:dyDescent="0.35">
      <c r="A303" s="27"/>
      <c r="B303" s="11" t="str">
        <f>CONCATENATE("          ", "6387", " - ", "COMMISSION DUE HOUSING")</f>
        <v xml:space="preserve">          6387 - COMMISSION DUE HOUSING</v>
      </c>
      <c r="C303" s="11"/>
      <c r="D303" s="7">
        <v>-11146.03</v>
      </c>
      <c r="E303" s="2"/>
      <c r="F303" s="6">
        <f t="shared" si="105"/>
        <v>-1.9068603693533779E-2</v>
      </c>
      <c r="G303" s="2"/>
      <c r="H303" s="7">
        <v>12590.86</v>
      </c>
      <c r="I303" s="2"/>
      <c r="J303" s="6">
        <f t="shared" si="106"/>
        <v>1.6116691107578573E-2</v>
      </c>
      <c r="K303" s="2"/>
      <c r="L303" s="7">
        <f t="shared" si="107"/>
        <v>-23736.89</v>
      </c>
      <c r="M303" s="2"/>
      <c r="N303" s="6">
        <f t="shared" si="108"/>
        <v>-1.8852477114351203</v>
      </c>
      <c r="O303" s="11"/>
      <c r="P303" s="7">
        <v>703130.05</v>
      </c>
      <c r="Q303" s="2"/>
      <c r="R303" s="6">
        <f t="shared" si="109"/>
        <v>2.4556466505259909E-2</v>
      </c>
      <c r="S303" s="2"/>
      <c r="T303" s="7">
        <v>853864.66</v>
      </c>
      <c r="U303" s="2"/>
      <c r="V303" s="6">
        <f t="shared" si="110"/>
        <v>2.3892460477350573E-2</v>
      </c>
      <c r="W303" s="2"/>
      <c r="X303" s="7">
        <f t="shared" si="111"/>
        <v>-150734.60999999999</v>
      </c>
      <c r="Y303" s="2"/>
      <c r="Z303" s="6">
        <f t="shared" si="112"/>
        <v>-0.17653220359301436</v>
      </c>
    </row>
    <row r="304" spans="1:26" s="25" customFormat="1" outlineLevel="1" collapsed="1" x14ac:dyDescent="0.35">
      <c r="A304" s="26"/>
      <c r="B304" s="12" t="str">
        <f>CONCATENATE("     ","Rent                                              ")</f>
        <v xml:space="preserve">     Rent                                              </v>
      </c>
      <c r="C304" s="12"/>
      <c r="D304" s="1">
        <f>SUM(OSRRefD22_17x_0)</f>
        <v>9900</v>
      </c>
      <c r="E304" s="1"/>
      <c r="F304" s="5">
        <f t="shared" si="105"/>
        <v>1.6936898300649147E-2</v>
      </c>
      <c r="G304" s="1"/>
      <c r="H304" s="1">
        <f>SUM(OSRRefH22_17x_0)</f>
        <v>9900</v>
      </c>
      <c r="I304" s="1"/>
      <c r="J304" s="5">
        <f t="shared" si="106"/>
        <v>1.2672306892859413E-2</v>
      </c>
      <c r="K304" s="1"/>
      <c r="L304" s="1">
        <f t="shared" si="107"/>
        <v>0</v>
      </c>
      <c r="M304" s="1"/>
      <c r="N304" s="5">
        <f t="shared" si="108"/>
        <v>0</v>
      </c>
      <c r="O304" s="12"/>
      <c r="P304" s="1">
        <f>SUM(OSRRefP22_17x_0)</f>
        <v>118800</v>
      </c>
      <c r="Q304" s="1"/>
      <c r="R304" s="5">
        <f t="shared" si="109"/>
        <v>4.1490307814676351E-3</v>
      </c>
      <c r="S304" s="1"/>
      <c r="T304" s="1">
        <f>SUM(OSRRefT22_17x_0)</f>
        <v>118901.08</v>
      </c>
      <c r="U304" s="1"/>
      <c r="V304" s="5">
        <f t="shared" si="110"/>
        <v>3.3270370442715111E-3</v>
      </c>
      <c r="W304" s="1"/>
      <c r="X304" s="1">
        <f t="shared" si="111"/>
        <v>-101.08000000000175</v>
      </c>
      <c r="Y304" s="1"/>
      <c r="Z304" s="5">
        <f t="shared" si="112"/>
        <v>-8.5011843458446083E-4</v>
      </c>
    </row>
    <row r="305" spans="1:26" s="24" customFormat="1" hidden="1" outlineLevel="2" x14ac:dyDescent="0.35">
      <c r="A305" s="27"/>
      <c r="B305" s="11" t="str">
        <f>CONCATENATE("          ", "6273", " - ", "RENT")</f>
        <v xml:space="preserve">          6273 - RENT</v>
      </c>
      <c r="C305" s="11"/>
      <c r="D305" s="7">
        <v>9900</v>
      </c>
      <c r="E305" s="2"/>
      <c r="F305" s="6">
        <f t="shared" si="105"/>
        <v>1.6936898300649147E-2</v>
      </c>
      <c r="G305" s="2"/>
      <c r="H305" s="7">
        <v>9900</v>
      </c>
      <c r="I305" s="2"/>
      <c r="J305" s="6">
        <f t="shared" si="106"/>
        <v>1.2672306892859413E-2</v>
      </c>
      <c r="K305" s="2"/>
      <c r="L305" s="7">
        <f t="shared" si="107"/>
        <v>0</v>
      </c>
      <c r="M305" s="2"/>
      <c r="N305" s="6">
        <f t="shared" si="108"/>
        <v>0</v>
      </c>
      <c r="O305" s="11"/>
      <c r="P305" s="7">
        <v>118800</v>
      </c>
      <c r="Q305" s="2"/>
      <c r="R305" s="6">
        <f t="shared" si="109"/>
        <v>4.1490307814676351E-3</v>
      </c>
      <c r="S305" s="2"/>
      <c r="T305" s="7">
        <v>118901.08</v>
      </c>
      <c r="U305" s="2"/>
      <c r="V305" s="6">
        <f t="shared" si="110"/>
        <v>3.3270370442715111E-3</v>
      </c>
      <c r="W305" s="2"/>
      <c r="X305" s="7">
        <f t="shared" si="111"/>
        <v>-101.08000000000175</v>
      </c>
      <c r="Y305" s="2"/>
      <c r="Z305" s="6">
        <f t="shared" si="112"/>
        <v>-8.5011843458446083E-4</v>
      </c>
    </row>
    <row r="306" spans="1:26" s="25" customFormat="1" outlineLevel="1" collapsed="1" x14ac:dyDescent="0.35">
      <c r="A306" s="26"/>
      <c r="B306" s="12" t="str">
        <f>CONCATENATE("     ","Repair and Maintenance                            ")</f>
        <v xml:space="preserve">     Repair and Maintenance                            </v>
      </c>
      <c r="C306" s="12"/>
      <c r="D306" s="1">
        <f>SUM(OSRRefD22_18x_0)</f>
        <v>35187.649999999994</v>
      </c>
      <c r="E306" s="1"/>
      <c r="F306" s="5">
        <f t="shared" si="105"/>
        <v>6.0198954493821906E-2</v>
      </c>
      <c r="G306" s="1"/>
      <c r="H306" s="1">
        <f>SUM(OSRRefH22_18x_0)</f>
        <v>78524.570000000007</v>
      </c>
      <c r="I306" s="1"/>
      <c r="J306" s="5">
        <f t="shared" si="106"/>
        <v>0.10051388380503248</v>
      </c>
      <c r="K306" s="1"/>
      <c r="L306" s="1">
        <f t="shared" si="107"/>
        <v>-43336.920000000013</v>
      </c>
      <c r="M306" s="1"/>
      <c r="N306" s="5">
        <f t="shared" si="108"/>
        <v>-0.55188993712413847</v>
      </c>
      <c r="O306" s="12"/>
      <c r="P306" s="1">
        <f>SUM(OSRRefP22_18x_0)</f>
        <v>596377.39999999991</v>
      </c>
      <c r="Q306" s="1"/>
      <c r="R306" s="5">
        <f t="shared" si="109"/>
        <v>2.0828183417269663E-2</v>
      </c>
      <c r="S306" s="1"/>
      <c r="T306" s="1">
        <f>SUM(OSRRefT22_18x_0)</f>
        <v>727698.59000000008</v>
      </c>
      <c r="U306" s="1"/>
      <c r="V306" s="5">
        <f t="shared" si="110"/>
        <v>2.0362137719809999E-2</v>
      </c>
      <c r="W306" s="1"/>
      <c r="X306" s="1">
        <f t="shared" si="111"/>
        <v>-131321.19000000018</v>
      </c>
      <c r="Y306" s="1"/>
      <c r="Z306" s="5">
        <f t="shared" si="112"/>
        <v>-0.18046096530158201</v>
      </c>
    </row>
    <row r="307" spans="1:26" s="24" customFormat="1" hidden="1" outlineLevel="2" x14ac:dyDescent="0.35">
      <c r="A307" s="27"/>
      <c r="B307" s="11" t="str">
        <f>CONCATENATE("          ", "6371", " - ", "COMPUTER SOFTWARE MAINTENANCE")</f>
        <v xml:space="preserve">          6371 - COMPUTER SOFTWARE MAINTENANCE</v>
      </c>
      <c r="C307" s="11"/>
      <c r="D307" s="7">
        <v>12181.05</v>
      </c>
      <c r="E307" s="2"/>
      <c r="F307" s="6">
        <f t="shared" si="105"/>
        <v>2.0839313640921443E-2</v>
      </c>
      <c r="G307" s="2"/>
      <c r="H307" s="7">
        <v>45175</v>
      </c>
      <c r="I307" s="2"/>
      <c r="J307" s="6">
        <f t="shared" si="106"/>
        <v>5.7825400392416564E-2</v>
      </c>
      <c r="K307" s="2"/>
      <c r="L307" s="7">
        <f t="shared" si="107"/>
        <v>-32993.949999999997</v>
      </c>
      <c r="M307" s="2"/>
      <c r="N307" s="6">
        <f t="shared" si="108"/>
        <v>-0.73035860542335351</v>
      </c>
      <c r="O307" s="11"/>
      <c r="P307" s="7">
        <v>104343.41</v>
      </c>
      <c r="Q307" s="2"/>
      <c r="R307" s="6">
        <f t="shared" si="109"/>
        <v>3.6441415819301166E-3</v>
      </c>
      <c r="S307" s="2"/>
      <c r="T307" s="7">
        <v>173107.04</v>
      </c>
      <c r="U307" s="2"/>
      <c r="V307" s="6">
        <f t="shared" si="110"/>
        <v>4.8438040655660172E-3</v>
      </c>
      <c r="W307" s="2"/>
      <c r="X307" s="7">
        <f t="shared" si="111"/>
        <v>-68763.63</v>
      </c>
      <c r="Y307" s="2"/>
      <c r="Z307" s="6">
        <f t="shared" si="112"/>
        <v>-0.39723185146022949</v>
      </c>
    </row>
    <row r="308" spans="1:26" s="24" customFormat="1" hidden="1" outlineLevel="2" x14ac:dyDescent="0.35">
      <c r="A308" s="27"/>
      <c r="B308" s="11" t="str">
        <f>CONCATENATE("          ", "6372", " - ", "COMPUTER HARDWARE MAINTENANCE")</f>
        <v xml:space="preserve">          6372 - COMPUTER HARDWARE MAINTENANCE</v>
      </c>
      <c r="C308" s="11"/>
      <c r="D308" s="7">
        <v>-2</v>
      </c>
      <c r="E308" s="2"/>
      <c r="F308" s="6">
        <f t="shared" si="105"/>
        <v>-3.4215956162927568E-6</v>
      </c>
      <c r="G308" s="2"/>
      <c r="H308" s="7"/>
      <c r="I308" s="2"/>
      <c r="J308" s="6">
        <f t="shared" si="106"/>
        <v>0</v>
      </c>
      <c r="K308" s="2"/>
      <c r="L308" s="7">
        <f t="shared" si="107"/>
        <v>-2</v>
      </c>
      <c r="M308" s="2"/>
      <c r="N308" s="6">
        <f t="shared" si="108"/>
        <v>0</v>
      </c>
      <c r="O308" s="11"/>
      <c r="P308" s="7">
        <v>8193.19</v>
      </c>
      <c r="Q308" s="2"/>
      <c r="R308" s="6">
        <f t="shared" si="109"/>
        <v>2.8614307667014152E-4</v>
      </c>
      <c r="S308" s="2"/>
      <c r="T308" s="7">
        <v>932.75</v>
      </c>
      <c r="U308" s="2"/>
      <c r="V308" s="6">
        <f t="shared" si="110"/>
        <v>2.6099794913925525E-5</v>
      </c>
      <c r="W308" s="2"/>
      <c r="X308" s="7">
        <f t="shared" si="111"/>
        <v>7260.4400000000005</v>
      </c>
      <c r="Y308" s="2"/>
      <c r="Z308" s="6">
        <f t="shared" si="112"/>
        <v>7.7839077995175563</v>
      </c>
    </row>
    <row r="309" spans="1:26" s="24" customFormat="1" hidden="1" outlineLevel="2" x14ac:dyDescent="0.35">
      <c r="A309" s="27"/>
      <c r="B309" s="11" t="str">
        <f>CONCATENATE("          ", "6373", " - ", "MAINTENANCE CONTRACTS")</f>
        <v xml:space="preserve">          6373 - MAINTENANCE CONTRACTS</v>
      </c>
      <c r="C309" s="11"/>
      <c r="D309" s="7">
        <v>20672.96</v>
      </c>
      <c r="E309" s="2"/>
      <c r="F309" s="6">
        <f t="shared" si="105"/>
        <v>3.5367254655897754E-2</v>
      </c>
      <c r="G309" s="2"/>
      <c r="H309" s="7">
        <v>11054.65</v>
      </c>
      <c r="I309" s="2"/>
      <c r="J309" s="6">
        <f t="shared" si="106"/>
        <v>1.4150294686176597E-2</v>
      </c>
      <c r="K309" s="2"/>
      <c r="L309" s="7">
        <f t="shared" si="107"/>
        <v>9618.31</v>
      </c>
      <c r="M309" s="2"/>
      <c r="N309" s="6">
        <f t="shared" si="108"/>
        <v>0.87006915641833982</v>
      </c>
      <c r="O309" s="11"/>
      <c r="P309" s="7">
        <v>311305.74</v>
      </c>
      <c r="Q309" s="2"/>
      <c r="R309" s="6">
        <f t="shared" si="109"/>
        <v>1.0872197792151182E-2</v>
      </c>
      <c r="S309" s="2"/>
      <c r="T309" s="7">
        <v>337160.99</v>
      </c>
      <c r="U309" s="2"/>
      <c r="V309" s="6">
        <f t="shared" si="110"/>
        <v>9.4342886003496058E-3</v>
      </c>
      <c r="W309" s="2"/>
      <c r="X309" s="7">
        <f t="shared" si="111"/>
        <v>-25855.25</v>
      </c>
      <c r="Y309" s="2"/>
      <c r="Z309" s="6">
        <f t="shared" si="112"/>
        <v>-7.6685176419727566E-2</v>
      </c>
    </row>
    <row r="310" spans="1:26" s="24" customFormat="1" hidden="1" outlineLevel="2" x14ac:dyDescent="0.35">
      <c r="A310" s="27"/>
      <c r="B310" s="11" t="str">
        <f>CONCATENATE("          ", "6375", " - ", "OUTSIDE REPAIRS &amp; MAINTENANCE")</f>
        <v xml:space="preserve">          6375 - OUTSIDE REPAIRS &amp; MAINTENANCE</v>
      </c>
      <c r="C310" s="11"/>
      <c r="D310" s="7">
        <v>2335.64</v>
      </c>
      <c r="E310" s="2"/>
      <c r="F310" s="6">
        <f t="shared" si="105"/>
        <v>3.9958077926190074E-3</v>
      </c>
      <c r="G310" s="2"/>
      <c r="H310" s="7">
        <v>22294.92</v>
      </c>
      <c r="I310" s="2"/>
      <c r="J310" s="6">
        <f t="shared" si="106"/>
        <v>2.8538188726439311E-2</v>
      </c>
      <c r="K310" s="2"/>
      <c r="L310" s="7">
        <f t="shared" si="107"/>
        <v>-19959.28</v>
      </c>
      <c r="M310" s="2"/>
      <c r="N310" s="6">
        <f t="shared" si="108"/>
        <v>-0.89523891541212086</v>
      </c>
      <c r="O310" s="11"/>
      <c r="P310" s="7">
        <v>172535.06</v>
      </c>
      <c r="Q310" s="2"/>
      <c r="R310" s="6">
        <f t="shared" si="109"/>
        <v>6.0257009665182258E-3</v>
      </c>
      <c r="S310" s="2"/>
      <c r="T310" s="7">
        <v>216497.81</v>
      </c>
      <c r="U310" s="2"/>
      <c r="V310" s="6">
        <f t="shared" si="110"/>
        <v>6.0579452589804494E-3</v>
      </c>
      <c r="W310" s="2"/>
      <c r="X310" s="7">
        <f t="shared" si="111"/>
        <v>-43962.75</v>
      </c>
      <c r="Y310" s="2"/>
      <c r="Z310" s="6">
        <f t="shared" si="112"/>
        <v>-0.20306325500475039</v>
      </c>
    </row>
    <row r="311" spans="1:26" s="25" customFormat="1" outlineLevel="1" collapsed="1" x14ac:dyDescent="0.35">
      <c r="A311" s="26"/>
      <c r="B311" s="12" t="str">
        <f>CONCATENATE("     ","Royalty &amp; Commissions                             ")</f>
        <v xml:space="preserve">     Royalty &amp; Commissions                             </v>
      </c>
      <c r="C311" s="12"/>
      <c r="D311" s="1">
        <f>SUM(OSRRefD22_19x_0)</f>
        <v>0</v>
      </c>
      <c r="E311" s="1"/>
      <c r="F311" s="5">
        <f t="shared" ref="F311:F314" si="113">IF(D$12=0,0,D311/D$12)</f>
        <v>0</v>
      </c>
      <c r="G311" s="1"/>
      <c r="H311" s="1">
        <f>SUM(OSRRefH22_19x_0)</f>
        <v>21098.800000000003</v>
      </c>
      <c r="I311" s="1"/>
      <c r="J311" s="5">
        <f t="shared" ref="J311:J314" si="114">IF(H$12=0,0,H311/H$12)</f>
        <v>2.7007118047582043E-2</v>
      </c>
      <c r="K311" s="1"/>
      <c r="L311" s="1">
        <f t="shared" ref="L311:L314" si="115">+D311-H311</f>
        <v>-21098.800000000003</v>
      </c>
      <c r="M311" s="1"/>
      <c r="N311" s="5">
        <f t="shared" ref="N311:N314" si="116">IF(H311=0,0,L311/H311)</f>
        <v>-1</v>
      </c>
      <c r="O311" s="12"/>
      <c r="P311" s="1">
        <f>SUM(OSRRefP22_19x_0)</f>
        <v>381769.01</v>
      </c>
      <c r="Q311" s="1"/>
      <c r="R311" s="5">
        <f t="shared" ref="R311:R314" si="117">IF(P$12=0,0,P311/P$12)</f>
        <v>1.3333092372899202E-2</v>
      </c>
      <c r="S311" s="1"/>
      <c r="T311" s="1">
        <f>SUM(OSRRefT22_19x_0)</f>
        <v>648244.34000000008</v>
      </c>
      <c r="U311" s="1"/>
      <c r="V311" s="5">
        <f t="shared" ref="V311:V314" si="118">IF(T$12=0,0,T311/T$12)</f>
        <v>1.813888429709248E-2</v>
      </c>
      <c r="W311" s="1"/>
      <c r="X311" s="1">
        <f t="shared" ref="X311:X314" si="119">+P311-T311</f>
        <v>-266475.33000000007</v>
      </c>
      <c r="Y311" s="1"/>
      <c r="Z311" s="5">
        <f t="shared" ref="Z311:Z314" si="120">IF(T311=0,0,X311/T311)</f>
        <v>-0.41107235891947785</v>
      </c>
    </row>
    <row r="312" spans="1:26" s="24" customFormat="1" hidden="1" outlineLevel="2" x14ac:dyDescent="0.35">
      <c r="A312" s="27"/>
      <c r="B312" s="11" t="str">
        <f>CONCATENATE("          ", "6253", " - ", "ROYALTY DUE ATHLETICS-LRG")</f>
        <v xml:space="preserve">          6253 - ROYALTY DUE ATHLETICS-LRG</v>
      </c>
      <c r="C312" s="11"/>
      <c r="D312" s="7"/>
      <c r="E312" s="2"/>
      <c r="F312" s="6">
        <f t="shared" si="113"/>
        <v>0</v>
      </c>
      <c r="G312" s="2"/>
      <c r="H312" s="7"/>
      <c r="I312" s="2"/>
      <c r="J312" s="6">
        <f t="shared" si="114"/>
        <v>0</v>
      </c>
      <c r="K312" s="2"/>
      <c r="L312" s="7">
        <f t="shared" si="115"/>
        <v>0</v>
      </c>
      <c r="M312" s="2"/>
      <c r="N312" s="6">
        <f t="shared" si="116"/>
        <v>0</v>
      </c>
      <c r="O312" s="11"/>
      <c r="P312" s="7">
        <v>32870.44</v>
      </c>
      <c r="Q312" s="2"/>
      <c r="R312" s="6">
        <f t="shared" si="117"/>
        <v>1.1479837319897728E-3</v>
      </c>
      <c r="S312" s="2"/>
      <c r="T312" s="7">
        <v>41365.990000000005</v>
      </c>
      <c r="U312" s="2"/>
      <c r="V312" s="6">
        <f t="shared" si="118"/>
        <v>1.1574847015936684E-3</v>
      </c>
      <c r="W312" s="2"/>
      <c r="X312" s="7">
        <f t="shared" si="119"/>
        <v>-8495.5500000000029</v>
      </c>
      <c r="Y312" s="2"/>
      <c r="Z312" s="6">
        <f t="shared" si="120"/>
        <v>-0.20537523700025073</v>
      </c>
    </row>
    <row r="313" spans="1:26" s="24" customFormat="1" hidden="1" outlineLevel="2" x14ac:dyDescent="0.35">
      <c r="A313" s="27"/>
      <c r="B313" s="11" t="str">
        <f>CONCATENATE("          ", "6254", " - ", "ROYALTY &amp; COMMISSIONS")</f>
        <v xml:space="preserve">          6254 - ROYALTY &amp; COMMISSIONS</v>
      </c>
      <c r="C313" s="11"/>
      <c r="D313" s="7"/>
      <c r="E313" s="2"/>
      <c r="F313" s="6">
        <f t="shared" si="113"/>
        <v>0</v>
      </c>
      <c r="G313" s="2"/>
      <c r="H313" s="7">
        <v>15323.310000000001</v>
      </c>
      <c r="I313" s="2"/>
      <c r="J313" s="6">
        <f t="shared" si="114"/>
        <v>1.9614311811557737E-2</v>
      </c>
      <c r="K313" s="2"/>
      <c r="L313" s="7">
        <f t="shared" si="115"/>
        <v>-15323.310000000001</v>
      </c>
      <c r="M313" s="2"/>
      <c r="N313" s="6">
        <f t="shared" si="116"/>
        <v>-1</v>
      </c>
      <c r="O313" s="11"/>
      <c r="P313" s="7">
        <v>161620.87</v>
      </c>
      <c r="Q313" s="2"/>
      <c r="R313" s="6">
        <f t="shared" si="117"/>
        <v>5.6445283211917427E-3</v>
      </c>
      <c r="S313" s="2"/>
      <c r="T313" s="7">
        <v>351103.17000000004</v>
      </c>
      <c r="U313" s="2"/>
      <c r="V313" s="6">
        <f t="shared" si="118"/>
        <v>9.8244124691815923E-3</v>
      </c>
      <c r="W313" s="2"/>
      <c r="X313" s="7">
        <f t="shared" si="119"/>
        <v>-189482.30000000005</v>
      </c>
      <c r="Y313" s="2"/>
      <c r="Z313" s="6">
        <f t="shared" si="120"/>
        <v>-0.53967698440318845</v>
      </c>
    </row>
    <row r="314" spans="1:26" s="24" customFormat="1" hidden="1" outlineLevel="2" x14ac:dyDescent="0.35">
      <c r="A314" s="27"/>
      <c r="B314" s="11" t="str">
        <f>CONCATENATE("          ", "6259", " - ", "ROYALTY &amp; COMMISSIONS")</f>
        <v xml:space="preserve">          6259 - ROYALTY &amp; COMMISSIONS</v>
      </c>
      <c r="C314" s="11"/>
      <c r="D314" s="7"/>
      <c r="E314" s="2"/>
      <c r="F314" s="6">
        <f t="shared" si="113"/>
        <v>0</v>
      </c>
      <c r="G314" s="2"/>
      <c r="H314" s="7">
        <v>5775.49</v>
      </c>
      <c r="I314" s="2"/>
      <c r="J314" s="6">
        <f t="shared" si="114"/>
        <v>7.3928062360243034E-3</v>
      </c>
      <c r="K314" s="2"/>
      <c r="L314" s="7">
        <f t="shared" si="115"/>
        <v>-5775.49</v>
      </c>
      <c r="M314" s="2"/>
      <c r="N314" s="6">
        <f t="shared" si="116"/>
        <v>-1</v>
      </c>
      <c r="O314" s="11"/>
      <c r="P314" s="7">
        <v>187277.7</v>
      </c>
      <c r="Q314" s="2"/>
      <c r="R314" s="6">
        <f t="shared" si="117"/>
        <v>6.5405803197176879E-3</v>
      </c>
      <c r="S314" s="2"/>
      <c r="T314" s="7">
        <v>255775.18</v>
      </c>
      <c r="U314" s="2"/>
      <c r="V314" s="6">
        <f t="shared" si="118"/>
        <v>7.156987126317218E-3</v>
      </c>
      <c r="W314" s="2"/>
      <c r="X314" s="7">
        <f t="shared" si="119"/>
        <v>-68497.479999999981</v>
      </c>
      <c r="Y314" s="2"/>
      <c r="Z314" s="6">
        <f t="shared" si="120"/>
        <v>-0.26780346709168568</v>
      </c>
    </row>
    <row r="315" spans="1:26" s="25" customFormat="1" outlineLevel="1" collapsed="1" x14ac:dyDescent="0.35">
      <c r="A315" s="26"/>
      <c r="B315" s="12" t="str">
        <f>CONCATENATE("     ","Services                                          ")</f>
        <v xml:space="preserve">     Services                                          </v>
      </c>
      <c r="C315" s="12"/>
      <c r="D315" s="1">
        <f>SUM(OSRRefD22_20x_0)</f>
        <v>36962.33</v>
      </c>
      <c r="E315" s="1"/>
      <c r="F315" s="5">
        <f t="shared" ref="F315:F320" si="121">IF(D$12=0,0,D315/D$12)</f>
        <v>6.3235073147983129E-2</v>
      </c>
      <c r="G315" s="1"/>
      <c r="H315" s="1">
        <f>SUM(OSRRefH22_20x_0)</f>
        <v>41859.130000000005</v>
      </c>
      <c r="I315" s="1"/>
      <c r="J315" s="5">
        <f t="shared" ref="J315:J320" si="122">IF(H$12=0,0,H315/H$12)</f>
        <v>5.3580984002838214E-2</v>
      </c>
      <c r="K315" s="1"/>
      <c r="L315" s="1">
        <f t="shared" ref="L315:L320" si="123">+D315-H315</f>
        <v>-4896.8000000000029</v>
      </c>
      <c r="M315" s="1"/>
      <c r="N315" s="5">
        <f t="shared" ref="N315:N320" si="124">IF(H315=0,0,L315/H315)</f>
        <v>-0.11698284221387312</v>
      </c>
      <c r="O315" s="12"/>
      <c r="P315" s="1">
        <f>SUM(OSRRefP22_20x_0)</f>
        <v>505649.15</v>
      </c>
      <c r="Q315" s="1"/>
      <c r="R315" s="5">
        <f t="shared" ref="R315:R320" si="125">IF(P$12=0,0,P315/P$12)</f>
        <v>1.7659544511556779E-2</v>
      </c>
      <c r="S315" s="1"/>
      <c r="T315" s="1">
        <f>SUM(OSRRefT22_20x_0)</f>
        <v>545991.74</v>
      </c>
      <c r="U315" s="1"/>
      <c r="V315" s="5">
        <f t="shared" ref="V315:V320" si="126">IF(T$12=0,0,T315/T$12)</f>
        <v>1.5277697602462982E-2</v>
      </c>
      <c r="W315" s="1"/>
      <c r="X315" s="1">
        <f t="shared" ref="X315:X320" si="127">+P315-T315</f>
        <v>-40342.589999999967</v>
      </c>
      <c r="Y315" s="1"/>
      <c r="Z315" s="5">
        <f t="shared" ref="Z315:Z320" si="128">IF(T315=0,0,X315/T315)</f>
        <v>-7.3888645275109785E-2</v>
      </c>
    </row>
    <row r="316" spans="1:26" s="24" customFormat="1" hidden="1" outlineLevel="2" x14ac:dyDescent="0.35">
      <c r="A316" s="27"/>
      <c r="B316" s="11" t="str">
        <f>CONCATENATE("          ", "6282", " - ", "JANITORIAL/EXTERMINATOR EXPENS")</f>
        <v xml:space="preserve">          6282 - JANITORIAL/EXTERMINATOR EXPENS</v>
      </c>
      <c r="C316" s="11"/>
      <c r="D316" s="7">
        <v>4889.2299999999996</v>
      </c>
      <c r="E316" s="2"/>
      <c r="F316" s="6">
        <f t="shared" si="121"/>
        <v>8.3644839675235168E-3</v>
      </c>
      <c r="G316" s="2"/>
      <c r="H316" s="7">
        <v>892.59</v>
      </c>
      <c r="I316" s="2"/>
      <c r="J316" s="6">
        <f t="shared" si="122"/>
        <v>1.1425428696462004E-3</v>
      </c>
      <c r="K316" s="2"/>
      <c r="L316" s="7">
        <f t="shared" si="123"/>
        <v>3996.6399999999994</v>
      </c>
      <c r="M316" s="2"/>
      <c r="N316" s="6">
        <f t="shared" si="124"/>
        <v>4.4775764908860722</v>
      </c>
      <c r="O316" s="11"/>
      <c r="P316" s="7">
        <v>44969.91</v>
      </c>
      <c r="Q316" s="2"/>
      <c r="R316" s="6">
        <f t="shared" si="125"/>
        <v>1.5705516904867779E-3</v>
      </c>
      <c r="S316" s="2"/>
      <c r="T316" s="7">
        <v>40641.64</v>
      </c>
      <c r="U316" s="2"/>
      <c r="V316" s="6">
        <f t="shared" si="126"/>
        <v>1.1372162626272764E-3</v>
      </c>
      <c r="W316" s="2"/>
      <c r="X316" s="7">
        <f t="shared" si="127"/>
        <v>4328.2700000000041</v>
      </c>
      <c r="Y316" s="2"/>
      <c r="Z316" s="6">
        <f t="shared" si="128"/>
        <v>0.10649840902089591</v>
      </c>
    </row>
    <row r="317" spans="1:26" s="24" customFormat="1" hidden="1" outlineLevel="2" x14ac:dyDescent="0.35">
      <c r="A317" s="27"/>
      <c r="B317" s="11" t="str">
        <f>CONCATENATE("          ", "6283", " - ", "PLANT SERVICE")</f>
        <v xml:space="preserve">          6283 - PLANT SERVICE</v>
      </c>
      <c r="C317" s="11"/>
      <c r="D317" s="7"/>
      <c r="E317" s="2"/>
      <c r="F317" s="6">
        <f t="shared" si="121"/>
        <v>0</v>
      </c>
      <c r="G317" s="2"/>
      <c r="H317" s="7">
        <v>380.44</v>
      </c>
      <c r="I317" s="2"/>
      <c r="J317" s="6">
        <f t="shared" si="122"/>
        <v>4.8697499336559951E-4</v>
      </c>
      <c r="K317" s="2"/>
      <c r="L317" s="7">
        <f t="shared" si="123"/>
        <v>-380.44</v>
      </c>
      <c r="M317" s="2"/>
      <c r="N317" s="6">
        <f t="shared" si="124"/>
        <v>-1</v>
      </c>
      <c r="O317" s="11"/>
      <c r="P317" s="7">
        <v>2340</v>
      </c>
      <c r="Q317" s="2"/>
      <c r="R317" s="6">
        <f t="shared" si="125"/>
        <v>8.1723333574362499E-5</v>
      </c>
      <c r="S317" s="2"/>
      <c r="T317" s="7">
        <v>4341.9399999999996</v>
      </c>
      <c r="U317" s="2"/>
      <c r="V317" s="6">
        <f t="shared" si="126"/>
        <v>1.2149423053183574E-4</v>
      </c>
      <c r="W317" s="2"/>
      <c r="X317" s="7">
        <f t="shared" si="127"/>
        <v>-2001.9399999999996</v>
      </c>
      <c r="Y317" s="2"/>
      <c r="Z317" s="6">
        <f t="shared" si="128"/>
        <v>-0.46107039710359882</v>
      </c>
    </row>
    <row r="318" spans="1:26" s="24" customFormat="1" hidden="1" outlineLevel="2" x14ac:dyDescent="0.35">
      <c r="A318" s="27"/>
      <c r="B318" s="11" t="str">
        <f>CONCATENATE("          ", "6284", " - ", "TRASH REMOVAL EXPENSE")</f>
        <v xml:space="preserve">          6284 - TRASH REMOVAL EXPENSE</v>
      </c>
      <c r="C318" s="11"/>
      <c r="D318" s="7">
        <v>5551.82</v>
      </c>
      <c r="E318" s="2"/>
      <c r="F318" s="6">
        <f t="shared" si="121"/>
        <v>9.4980414872232258E-3</v>
      </c>
      <c r="G318" s="2"/>
      <c r="H318" s="7">
        <v>4557.46</v>
      </c>
      <c r="I318" s="2"/>
      <c r="J318" s="6">
        <f t="shared" si="122"/>
        <v>5.8336900779728347E-3</v>
      </c>
      <c r="K318" s="2"/>
      <c r="L318" s="7">
        <f t="shared" si="123"/>
        <v>994.35999999999967</v>
      </c>
      <c r="M318" s="2"/>
      <c r="N318" s="6">
        <f t="shared" si="124"/>
        <v>0.21818293523146659</v>
      </c>
      <c r="O318" s="11"/>
      <c r="P318" s="7">
        <v>58753.84</v>
      </c>
      <c r="Q318" s="2"/>
      <c r="R318" s="6">
        <f t="shared" si="125"/>
        <v>2.0519485748268043E-3</v>
      </c>
      <c r="S318" s="2"/>
      <c r="T318" s="7">
        <v>64049.52</v>
      </c>
      <c r="U318" s="2"/>
      <c r="V318" s="6">
        <f t="shared" si="126"/>
        <v>1.7922051314236088E-3</v>
      </c>
      <c r="W318" s="2"/>
      <c r="X318" s="7">
        <f t="shared" si="127"/>
        <v>-5295.68</v>
      </c>
      <c r="Y318" s="2"/>
      <c r="Z318" s="6">
        <f t="shared" si="128"/>
        <v>-8.268102555647569E-2</v>
      </c>
    </row>
    <row r="319" spans="1:26" s="24" customFormat="1" hidden="1" outlineLevel="2" x14ac:dyDescent="0.35">
      <c r="A319" s="27"/>
      <c r="B319" s="11" t="str">
        <f>CONCATENATE("          ", "6285", " - ", "JANITORIAL SERVICES")</f>
        <v xml:space="preserve">          6285 - JANITORIAL SERVICES</v>
      </c>
      <c r="C319" s="11"/>
      <c r="D319" s="7">
        <v>25849.710000000003</v>
      </c>
      <c r="E319" s="2"/>
      <c r="F319" s="6">
        <f t="shared" si="121"/>
        <v>4.4223627209219525E-2</v>
      </c>
      <c r="G319" s="2"/>
      <c r="H319" s="7">
        <v>30304.799999999999</v>
      </c>
      <c r="I319" s="2"/>
      <c r="J319" s="6">
        <f t="shared" si="122"/>
        <v>3.8791083426942014E-2</v>
      </c>
      <c r="K319" s="2"/>
      <c r="L319" s="7">
        <f t="shared" si="123"/>
        <v>-4455.0899999999965</v>
      </c>
      <c r="M319" s="2"/>
      <c r="N319" s="6">
        <f t="shared" si="124"/>
        <v>-0.14700938465193622</v>
      </c>
      <c r="O319" s="11"/>
      <c r="P319" s="7">
        <v>324178.06</v>
      </c>
      <c r="Q319" s="2"/>
      <c r="R319" s="6">
        <f t="shared" si="125"/>
        <v>1.1321757151653719E-2</v>
      </c>
      <c r="S319" s="2"/>
      <c r="T319" s="7">
        <v>339914.37</v>
      </c>
      <c r="U319" s="2"/>
      <c r="V319" s="6">
        <f t="shared" si="126"/>
        <v>9.5113324527431771E-3</v>
      </c>
      <c r="W319" s="2"/>
      <c r="X319" s="7">
        <f t="shared" si="127"/>
        <v>-15736.309999999998</v>
      </c>
      <c r="Y319" s="2"/>
      <c r="Z319" s="6">
        <f t="shared" si="128"/>
        <v>-4.6294924218708372E-2</v>
      </c>
    </row>
    <row r="320" spans="1:26" s="24" customFormat="1" hidden="1" outlineLevel="2" x14ac:dyDescent="0.35">
      <c r="A320" s="27"/>
      <c r="B320" s="11" t="str">
        <f>CONCATENATE("          ", "6286", " - ", "LAUNDRY EXPENSE")</f>
        <v xml:space="preserve">          6286 - LAUNDRY EXPENSE</v>
      </c>
      <c r="C320" s="11"/>
      <c r="D320" s="7">
        <v>671.57</v>
      </c>
      <c r="E320" s="2"/>
      <c r="F320" s="6">
        <f t="shared" si="121"/>
        <v>1.1489204840168636E-3</v>
      </c>
      <c r="G320" s="2"/>
      <c r="H320" s="7">
        <v>5723.84</v>
      </c>
      <c r="I320" s="2"/>
      <c r="J320" s="6">
        <f t="shared" si="122"/>
        <v>7.3266926349115583E-3</v>
      </c>
      <c r="K320" s="2"/>
      <c r="L320" s="7">
        <f t="shared" si="123"/>
        <v>-5052.2700000000004</v>
      </c>
      <c r="M320" s="2"/>
      <c r="N320" s="6">
        <f t="shared" si="124"/>
        <v>-0.88267142338010851</v>
      </c>
      <c r="O320" s="11"/>
      <c r="P320" s="7">
        <v>75407.34</v>
      </c>
      <c r="Q320" s="2"/>
      <c r="R320" s="6">
        <f t="shared" si="125"/>
        <v>2.6335637610151144E-3</v>
      </c>
      <c r="S320" s="2"/>
      <c r="T320" s="7">
        <v>97044.26999999999</v>
      </c>
      <c r="U320" s="2"/>
      <c r="V320" s="6">
        <f t="shared" si="126"/>
        <v>2.715449525137084E-3</v>
      </c>
      <c r="W320" s="2"/>
      <c r="X320" s="7">
        <f t="shared" si="127"/>
        <v>-21636.929999999993</v>
      </c>
      <c r="Y320" s="2"/>
      <c r="Z320" s="6">
        <f t="shared" si="128"/>
        <v>-0.22295937719970479</v>
      </c>
    </row>
    <row r="321" spans="1:26" s="25" customFormat="1" outlineLevel="1" collapsed="1" x14ac:dyDescent="0.35">
      <c r="A321" s="26"/>
      <c r="B321" s="12" t="str">
        <f>CONCATENATE("     ","Subscriptions &amp; Dues                              ")</f>
        <v xml:space="preserve">     Subscriptions &amp; Dues                              </v>
      </c>
      <c r="C321" s="12"/>
      <c r="D321" s="1">
        <f>SUM(OSRRefD22_21x_0)</f>
        <v>1101.25</v>
      </c>
      <c r="E321" s="1"/>
      <c r="F321" s="5">
        <f t="shared" ref="F321:F323" si="129">IF(D$12=0,0,D321/D$12)</f>
        <v>1.8840160862211993E-3</v>
      </c>
      <c r="G321" s="1"/>
      <c r="H321" s="1">
        <f>SUM(OSRRefH22_21x_0)</f>
        <v>10509.95</v>
      </c>
      <c r="I321" s="1"/>
      <c r="J321" s="5">
        <f t="shared" ref="J321:J323" si="130">IF(H$12=0,0,H321/H$12)</f>
        <v>1.3453061800869474E-2</v>
      </c>
      <c r="K321" s="1"/>
      <c r="L321" s="1">
        <f t="shared" ref="L321:L323" si="131">+D321-H321</f>
        <v>-9408.7000000000007</v>
      </c>
      <c r="M321" s="1"/>
      <c r="N321" s="5">
        <f t="shared" ref="N321:N323" si="132">IF(H321=0,0,L321/H321)</f>
        <v>-0.89521834071522699</v>
      </c>
      <c r="O321" s="12"/>
      <c r="P321" s="1">
        <f>SUM(OSRRefP22_21x_0)</f>
        <v>14025.349999999999</v>
      </c>
      <c r="Q321" s="1"/>
      <c r="R321" s="5">
        <f t="shared" ref="R321:R323" si="133">IF(P$12=0,0,P321/P$12)</f>
        <v>4.8982835749879705E-4</v>
      </c>
      <c r="S321" s="1"/>
      <c r="T321" s="1">
        <f>SUM(OSRRefT22_21x_0)</f>
        <v>30681.549999999996</v>
      </c>
      <c r="U321" s="1"/>
      <c r="V321" s="5">
        <f t="shared" ref="V321:V323" si="134">IF(T$12=0,0,T321/T$12)</f>
        <v>8.5851746195802906E-4</v>
      </c>
      <c r="W321" s="1"/>
      <c r="X321" s="1">
        <f t="shared" ref="X321:X323" si="135">+P321-T321</f>
        <v>-16656.199999999997</v>
      </c>
      <c r="Y321" s="1"/>
      <c r="Z321" s="5">
        <f t="shared" ref="Z321:Z323" si="136">IF(T321=0,0,X321/T321)</f>
        <v>-0.54287348585713557</v>
      </c>
    </row>
    <row r="322" spans="1:26" s="24" customFormat="1" hidden="1" outlineLevel="2" x14ac:dyDescent="0.35">
      <c r="A322" s="27"/>
      <c r="B322" s="11" t="str">
        <f>CONCATENATE("          ", "6258", " - ", "MEMBERSHIP DUES")</f>
        <v xml:space="preserve">          6258 - MEMBERSHIP DUES</v>
      </c>
      <c r="C322" s="11"/>
      <c r="D322" s="7">
        <v>1101.25</v>
      </c>
      <c r="E322" s="2"/>
      <c r="F322" s="6">
        <f t="shared" si="129"/>
        <v>1.8840160862211993E-3</v>
      </c>
      <c r="G322" s="2"/>
      <c r="H322" s="7">
        <v>7576.1</v>
      </c>
      <c r="I322" s="2"/>
      <c r="J322" s="6">
        <f t="shared" si="130"/>
        <v>9.6976428536355765E-3</v>
      </c>
      <c r="K322" s="2"/>
      <c r="L322" s="7">
        <f t="shared" si="131"/>
        <v>-6474.85</v>
      </c>
      <c r="M322" s="2"/>
      <c r="N322" s="6">
        <f t="shared" si="132"/>
        <v>-0.85464157020102693</v>
      </c>
      <c r="O322" s="11"/>
      <c r="P322" s="7">
        <v>6251.16</v>
      </c>
      <c r="Q322" s="2"/>
      <c r="R322" s="6">
        <f t="shared" si="133"/>
        <v>2.183186469686803E-4</v>
      </c>
      <c r="S322" s="2"/>
      <c r="T322" s="7">
        <v>12028.94</v>
      </c>
      <c r="U322" s="2"/>
      <c r="V322" s="6">
        <f t="shared" si="134"/>
        <v>3.3658843959465595E-4</v>
      </c>
      <c r="W322" s="2"/>
      <c r="X322" s="7">
        <f t="shared" si="135"/>
        <v>-5777.7800000000007</v>
      </c>
      <c r="Y322" s="2"/>
      <c r="Z322" s="6">
        <f t="shared" si="136"/>
        <v>-0.48032328700617016</v>
      </c>
    </row>
    <row r="323" spans="1:26" s="24" customFormat="1" hidden="1" outlineLevel="2" x14ac:dyDescent="0.35">
      <c r="A323" s="27"/>
      <c r="B323" s="11" t="str">
        <f>CONCATENATE("          ", "6275", " - ", "SUBSCRIPTIONS")</f>
        <v xml:space="preserve">          6275 - SUBSCRIPTIONS</v>
      </c>
      <c r="C323" s="11"/>
      <c r="D323" s="7"/>
      <c r="E323" s="2"/>
      <c r="F323" s="6">
        <f t="shared" si="129"/>
        <v>0</v>
      </c>
      <c r="G323" s="2"/>
      <c r="H323" s="7">
        <v>2933.85</v>
      </c>
      <c r="I323" s="2"/>
      <c r="J323" s="6">
        <f t="shared" si="130"/>
        <v>3.7554189472338976E-3</v>
      </c>
      <c r="K323" s="2"/>
      <c r="L323" s="7">
        <f t="shared" si="131"/>
        <v>-2933.85</v>
      </c>
      <c r="M323" s="2"/>
      <c r="N323" s="6">
        <f t="shared" si="132"/>
        <v>-1</v>
      </c>
      <c r="O323" s="11"/>
      <c r="P323" s="7">
        <v>7774.19</v>
      </c>
      <c r="Q323" s="2"/>
      <c r="R323" s="6">
        <f t="shared" si="133"/>
        <v>2.7150971053011675E-4</v>
      </c>
      <c r="S323" s="2"/>
      <c r="T323" s="7">
        <v>18652.609999999997</v>
      </c>
      <c r="U323" s="2"/>
      <c r="V323" s="6">
        <f t="shared" si="134"/>
        <v>5.2192902236337317E-4</v>
      </c>
      <c r="W323" s="2"/>
      <c r="X323" s="7">
        <f t="shared" si="135"/>
        <v>-10878.419999999998</v>
      </c>
      <c r="Y323" s="2"/>
      <c r="Z323" s="6">
        <f t="shared" si="136"/>
        <v>-0.58321167922344375</v>
      </c>
    </row>
    <row r="324" spans="1:26" s="25" customFormat="1" outlineLevel="1" collapsed="1" x14ac:dyDescent="0.35">
      <c r="A324" s="26"/>
      <c r="B324" s="12" t="str">
        <f>CONCATENATE("     ","Supplies                                          ")</f>
        <v xml:space="preserve">     Supplies                                          </v>
      </c>
      <c r="C324" s="12"/>
      <c r="D324" s="1">
        <f>SUM(OSRRefD22_22x_0)</f>
        <v>60504.98</v>
      </c>
      <c r="E324" s="1"/>
      <c r="F324" s="5">
        <f t="shared" ref="F324:F334" si="137">IF(D$12=0,0,D324/D$12)</f>
        <v>0.10351178716594048</v>
      </c>
      <c r="G324" s="1"/>
      <c r="H324" s="1">
        <f>SUM(OSRRefH22_22x_0)</f>
        <v>41849.129999999997</v>
      </c>
      <c r="I324" s="1"/>
      <c r="J324" s="5">
        <f t="shared" ref="J324:J334" si="138">IF(H$12=0,0,H324/H$12)</f>
        <v>5.3568183692845418E-2</v>
      </c>
      <c r="K324" s="1"/>
      <c r="L324" s="1">
        <f t="shared" ref="L324:L334" si="139">+D324-H324</f>
        <v>18655.850000000006</v>
      </c>
      <c r="M324" s="1"/>
      <c r="N324" s="5">
        <f t="shared" ref="N324:N334" si="140">IF(H324=0,0,L324/H324)</f>
        <v>0.44578823980331267</v>
      </c>
      <c r="O324" s="12"/>
      <c r="P324" s="1">
        <f>SUM(OSRRefP22_22x_0)</f>
        <v>593315.59000000008</v>
      </c>
      <c r="Q324" s="1"/>
      <c r="R324" s="5">
        <f t="shared" ref="R324:R334" si="141">IF(P$12=0,0,P324/P$12)</f>
        <v>2.0721251229247738E-2</v>
      </c>
      <c r="S324" s="1"/>
      <c r="T324" s="1">
        <f>SUM(OSRRefT22_22x_0)</f>
        <v>743963.25</v>
      </c>
      <c r="U324" s="1"/>
      <c r="V324" s="5">
        <f t="shared" ref="V324:V334" si="142">IF(T$12=0,0,T324/T$12)</f>
        <v>2.0817248189222731E-2</v>
      </c>
      <c r="W324" s="1"/>
      <c r="X324" s="1">
        <f t="shared" ref="X324:X334" si="143">+P324-T324</f>
        <v>-150647.65999999992</v>
      </c>
      <c r="Y324" s="1"/>
      <c r="Z324" s="5">
        <f t="shared" ref="Z324:Z334" si="144">IF(T324=0,0,X324/T324)</f>
        <v>-0.20249341617344663</v>
      </c>
    </row>
    <row r="325" spans="1:26" s="24" customFormat="1" hidden="1" outlineLevel="2" x14ac:dyDescent="0.35">
      <c r="A325" s="27"/>
      <c r="B325" s="11" t="str">
        <f>CONCATENATE("          ", "6234", " - ", "EXPENDABLE SUPPLIES &amp; EQUIPMEN")</f>
        <v xml:space="preserve">          6234 - EXPENDABLE SUPPLIES &amp; EQUIPMEN</v>
      </c>
      <c r="C325" s="11"/>
      <c r="D325" s="7">
        <v>5404.9</v>
      </c>
      <c r="E325" s="2"/>
      <c r="F325" s="6">
        <f t="shared" si="137"/>
        <v>9.2466910732503602E-3</v>
      </c>
      <c r="G325" s="2"/>
      <c r="H325" s="7">
        <v>717.22</v>
      </c>
      <c r="I325" s="2"/>
      <c r="J325" s="6">
        <f t="shared" si="138"/>
        <v>9.1806383330268976E-4</v>
      </c>
      <c r="K325" s="2"/>
      <c r="L325" s="7">
        <f t="shared" si="139"/>
        <v>4687.6799999999994</v>
      </c>
      <c r="M325" s="2"/>
      <c r="N325" s="6">
        <f t="shared" si="140"/>
        <v>6.535902512478736</v>
      </c>
      <c r="O325" s="11"/>
      <c r="P325" s="7">
        <v>25858.02</v>
      </c>
      <c r="Q325" s="2"/>
      <c r="R325" s="6">
        <f t="shared" si="141"/>
        <v>9.0307845898826371E-4</v>
      </c>
      <c r="S325" s="2"/>
      <c r="T325" s="7">
        <v>13312.17</v>
      </c>
      <c r="U325" s="2"/>
      <c r="V325" s="6">
        <f t="shared" si="142"/>
        <v>3.7249520971247599E-4</v>
      </c>
      <c r="W325" s="2"/>
      <c r="X325" s="7">
        <f t="shared" si="143"/>
        <v>12545.85</v>
      </c>
      <c r="Y325" s="2"/>
      <c r="Z325" s="6">
        <f t="shared" si="144"/>
        <v>0.9424346293654603</v>
      </c>
    </row>
    <row r="326" spans="1:26" s="24" customFormat="1" hidden="1" outlineLevel="2" x14ac:dyDescent="0.35">
      <c r="A326" s="27"/>
      <c r="B326" s="11" t="str">
        <f>CONCATENATE("          ", "6235", " - ", "COVID-19 EXPENSES")</f>
        <v xml:space="preserve">          6235 - COVID-19 EXPENSES</v>
      </c>
      <c r="C326" s="11"/>
      <c r="D326" s="7">
        <v>3541.44</v>
      </c>
      <c r="E326" s="2"/>
      <c r="F326" s="6">
        <f t="shared" si="137"/>
        <v>6.0586877896819111E-3</v>
      </c>
      <c r="G326" s="2"/>
      <c r="H326" s="7"/>
      <c r="I326" s="2"/>
      <c r="J326" s="6">
        <f t="shared" si="138"/>
        <v>0</v>
      </c>
      <c r="K326" s="2"/>
      <c r="L326" s="7">
        <f t="shared" si="139"/>
        <v>3541.44</v>
      </c>
      <c r="M326" s="2"/>
      <c r="N326" s="6">
        <f t="shared" si="140"/>
        <v>0</v>
      </c>
      <c r="O326" s="11"/>
      <c r="P326" s="7">
        <v>7042.55</v>
      </c>
      <c r="Q326" s="2"/>
      <c r="R326" s="6">
        <f t="shared" si="141"/>
        <v>2.4595754823253277E-4</v>
      </c>
      <c r="S326" s="2"/>
      <c r="T326" s="7"/>
      <c r="U326" s="2"/>
      <c r="V326" s="6">
        <f t="shared" si="142"/>
        <v>0</v>
      </c>
      <c r="W326" s="2"/>
      <c r="X326" s="7">
        <f t="shared" si="143"/>
        <v>7042.55</v>
      </c>
      <c r="Y326" s="2"/>
      <c r="Z326" s="6">
        <f t="shared" si="144"/>
        <v>0</v>
      </c>
    </row>
    <row r="327" spans="1:26" s="24" customFormat="1" hidden="1" outlineLevel="2" x14ac:dyDescent="0.35">
      <c r="A327" s="27"/>
      <c r="B327" s="11" t="str">
        <f>CONCATENATE("          ", "6237", " - ", "JANITORIAL SUPPLIES")</f>
        <v xml:space="preserve">          6237 - JANITORIAL SUPPLIES</v>
      </c>
      <c r="C327" s="11"/>
      <c r="D327" s="7">
        <v>4102.6400000000003</v>
      </c>
      <c r="E327" s="2"/>
      <c r="F327" s="6">
        <f t="shared" si="137"/>
        <v>7.0187875196136588E-3</v>
      </c>
      <c r="G327" s="2"/>
      <c r="H327" s="7">
        <v>12010.2</v>
      </c>
      <c r="I327" s="2"/>
      <c r="J327" s="6">
        <f t="shared" si="138"/>
        <v>1.5373428307537388E-2</v>
      </c>
      <c r="K327" s="2"/>
      <c r="L327" s="7">
        <f t="shared" si="139"/>
        <v>-7907.56</v>
      </c>
      <c r="M327" s="2"/>
      <c r="N327" s="6">
        <f t="shared" si="140"/>
        <v>-0.65840369019666611</v>
      </c>
      <c r="O327" s="11"/>
      <c r="P327" s="7">
        <v>136514.57999999999</v>
      </c>
      <c r="Q327" s="2"/>
      <c r="R327" s="6">
        <f t="shared" si="141"/>
        <v>4.7677036577367495E-3</v>
      </c>
      <c r="S327" s="2"/>
      <c r="T327" s="7">
        <v>175171.22</v>
      </c>
      <c r="U327" s="2"/>
      <c r="V327" s="6">
        <f t="shared" si="142"/>
        <v>4.9015630306321403E-3</v>
      </c>
      <c r="W327" s="2"/>
      <c r="X327" s="7">
        <f t="shared" si="143"/>
        <v>-38656.640000000014</v>
      </c>
      <c r="Y327" s="2"/>
      <c r="Z327" s="6">
        <f t="shared" si="144"/>
        <v>-0.22067917321121594</v>
      </c>
    </row>
    <row r="328" spans="1:26" s="24" customFormat="1" hidden="1" outlineLevel="2" x14ac:dyDescent="0.35">
      <c r="A328" s="27"/>
      <c r="B328" s="11" t="str">
        <f>CONCATENATE("          ", "6239", " - ", "KITCHEN SUPPLIES")</f>
        <v xml:space="preserve">          6239 - KITCHEN SUPPLIES</v>
      </c>
      <c r="C328" s="11"/>
      <c r="D328" s="7">
        <v>349.26</v>
      </c>
      <c r="E328" s="2"/>
      <c r="F328" s="6">
        <f t="shared" si="137"/>
        <v>5.975132424732041E-4</v>
      </c>
      <c r="G328" s="2"/>
      <c r="H328" s="7">
        <v>13751.03</v>
      </c>
      <c r="I328" s="2"/>
      <c r="J328" s="6">
        <f t="shared" si="138"/>
        <v>1.7601744672011775E-2</v>
      </c>
      <c r="K328" s="2"/>
      <c r="L328" s="7">
        <f t="shared" si="139"/>
        <v>-13401.77</v>
      </c>
      <c r="M328" s="2"/>
      <c r="N328" s="6">
        <f t="shared" si="140"/>
        <v>-0.9746011753301389</v>
      </c>
      <c r="O328" s="11"/>
      <c r="P328" s="7">
        <v>73164.59</v>
      </c>
      <c r="Q328" s="2"/>
      <c r="R328" s="6">
        <f t="shared" si="141"/>
        <v>2.555236835214302E-3</v>
      </c>
      <c r="S328" s="2"/>
      <c r="T328" s="7">
        <v>99880.86</v>
      </c>
      <c r="U328" s="2"/>
      <c r="V328" s="6">
        <f t="shared" si="142"/>
        <v>2.7948217226765023E-3</v>
      </c>
      <c r="W328" s="2"/>
      <c r="X328" s="7">
        <f t="shared" si="143"/>
        <v>-26716.270000000004</v>
      </c>
      <c r="Y328" s="2"/>
      <c r="Z328" s="6">
        <f t="shared" si="144"/>
        <v>-0.26748137731293065</v>
      </c>
    </row>
    <row r="329" spans="1:26" s="24" customFormat="1" hidden="1" outlineLevel="2" x14ac:dyDescent="0.35">
      <c r="A329" s="27"/>
      <c r="B329" s="11" t="str">
        <f>CONCATENATE("          ", "6241", " - ", "OFFICE EXPENSE")</f>
        <v xml:space="preserve">          6241 - OFFICE EXPENSE</v>
      </c>
      <c r="C329" s="11"/>
      <c r="D329" s="7">
        <v>40583.32</v>
      </c>
      <c r="E329" s="2"/>
      <c r="F329" s="6">
        <f t="shared" si="137"/>
        <v>6.9429854903303084E-2</v>
      </c>
      <c r="G329" s="2"/>
      <c r="H329" s="7">
        <v>7222.61</v>
      </c>
      <c r="I329" s="2"/>
      <c r="J329" s="6">
        <f t="shared" si="138"/>
        <v>9.2451646957005373E-3</v>
      </c>
      <c r="K329" s="2"/>
      <c r="L329" s="7">
        <f t="shared" si="139"/>
        <v>33360.71</v>
      </c>
      <c r="M329" s="2"/>
      <c r="N329" s="6">
        <f t="shared" si="140"/>
        <v>4.618927229907194</v>
      </c>
      <c r="O329" s="11"/>
      <c r="P329" s="7">
        <v>139188.92000000001</v>
      </c>
      <c r="Q329" s="2"/>
      <c r="R329" s="6">
        <f t="shared" si="141"/>
        <v>4.8611036491518194E-3</v>
      </c>
      <c r="S329" s="2"/>
      <c r="T329" s="7">
        <v>150197.01999999999</v>
      </c>
      <c r="U329" s="2"/>
      <c r="V329" s="6">
        <f t="shared" si="142"/>
        <v>4.2027460934685283E-3</v>
      </c>
      <c r="W329" s="2"/>
      <c r="X329" s="7">
        <f t="shared" si="143"/>
        <v>-11008.099999999977</v>
      </c>
      <c r="Y329" s="2"/>
      <c r="Z329" s="6">
        <f t="shared" si="144"/>
        <v>-7.3291067958605155E-2</v>
      </c>
    </row>
    <row r="330" spans="1:26" s="24" customFormat="1" hidden="1" outlineLevel="2" x14ac:dyDescent="0.35">
      <c r="A330" s="27"/>
      <c r="B330" s="11" t="str">
        <f>CONCATENATE("          ", "6243", " - ", "PAPER SUPPLIES")</f>
        <v xml:space="preserve">          6243 - PAPER SUPPLIES</v>
      </c>
      <c r="C330" s="11"/>
      <c r="D330" s="7">
        <v>1368.33</v>
      </c>
      <c r="E330" s="2"/>
      <c r="F330" s="6">
        <f t="shared" si="137"/>
        <v>2.3409359648209338E-3</v>
      </c>
      <c r="G330" s="2"/>
      <c r="H330" s="7">
        <v>5783.75</v>
      </c>
      <c r="I330" s="2"/>
      <c r="J330" s="6">
        <f t="shared" si="138"/>
        <v>7.4033792920783466E-3</v>
      </c>
      <c r="K330" s="2"/>
      <c r="L330" s="7">
        <f t="shared" si="139"/>
        <v>-4415.42</v>
      </c>
      <c r="M330" s="2"/>
      <c r="N330" s="6">
        <f t="shared" si="140"/>
        <v>-0.76341819753620055</v>
      </c>
      <c r="O330" s="11"/>
      <c r="P330" s="7">
        <v>113380.86</v>
      </c>
      <c r="Q330" s="2"/>
      <c r="R330" s="6">
        <f t="shared" si="141"/>
        <v>3.9597700182598698E-3</v>
      </c>
      <c r="S330" s="2"/>
      <c r="T330" s="7">
        <v>170011.50999999998</v>
      </c>
      <c r="U330" s="2"/>
      <c r="V330" s="6">
        <f t="shared" si="142"/>
        <v>4.7571863243171244E-3</v>
      </c>
      <c r="W330" s="2"/>
      <c r="X330" s="7">
        <f t="shared" si="143"/>
        <v>-56630.64999999998</v>
      </c>
      <c r="Y330" s="2"/>
      <c r="Z330" s="6">
        <f t="shared" si="144"/>
        <v>-0.33309891783209256</v>
      </c>
    </row>
    <row r="331" spans="1:26" s="24" customFormat="1" hidden="1" outlineLevel="2" x14ac:dyDescent="0.35">
      <c r="A331" s="27"/>
      <c r="B331" s="11" t="str">
        <f>CONCATENATE("          ", "6245", " - ", "PRINTING")</f>
        <v xml:space="preserve">          6245 - PRINTING</v>
      </c>
      <c r="C331" s="11"/>
      <c r="D331" s="7">
        <v>158.76</v>
      </c>
      <c r="E331" s="2"/>
      <c r="F331" s="6">
        <f t="shared" si="137"/>
        <v>2.7160626002131901E-4</v>
      </c>
      <c r="G331" s="2"/>
      <c r="H331" s="7">
        <v>854.68</v>
      </c>
      <c r="I331" s="2"/>
      <c r="J331" s="6">
        <f t="shared" si="138"/>
        <v>1.0940168944635438E-3</v>
      </c>
      <c r="K331" s="2"/>
      <c r="L331" s="7">
        <f t="shared" si="139"/>
        <v>-695.92</v>
      </c>
      <c r="M331" s="2"/>
      <c r="N331" s="6">
        <f t="shared" si="140"/>
        <v>-0.81424626760892971</v>
      </c>
      <c r="O331" s="11"/>
      <c r="P331" s="7">
        <v>12954.34</v>
      </c>
      <c r="Q331" s="2"/>
      <c r="R331" s="6">
        <f t="shared" si="141"/>
        <v>4.5242386711782359E-4</v>
      </c>
      <c r="S331" s="2"/>
      <c r="T331" s="7">
        <v>19126.82</v>
      </c>
      <c r="U331" s="2"/>
      <c r="V331" s="6">
        <f t="shared" si="142"/>
        <v>5.3519815529945751E-4</v>
      </c>
      <c r="W331" s="2"/>
      <c r="X331" s="7">
        <f t="shared" si="143"/>
        <v>-6172.48</v>
      </c>
      <c r="Y331" s="2"/>
      <c r="Z331" s="6">
        <f t="shared" si="144"/>
        <v>-0.32271334178917349</v>
      </c>
    </row>
    <row r="332" spans="1:26" s="24" customFormat="1" hidden="1" outlineLevel="2" x14ac:dyDescent="0.35">
      <c r="A332" s="27"/>
      <c r="B332" s="11" t="str">
        <f>CONCATENATE("          ", "6246", " - ", "REPLACEMENTS")</f>
        <v xml:space="preserve">          6246 - REPLACEMENTS</v>
      </c>
      <c r="C332" s="11"/>
      <c r="D332" s="7"/>
      <c r="E332" s="2"/>
      <c r="F332" s="6">
        <f t="shared" si="137"/>
        <v>0</v>
      </c>
      <c r="G332" s="2"/>
      <c r="H332" s="7"/>
      <c r="I332" s="2"/>
      <c r="J332" s="6">
        <f t="shared" si="138"/>
        <v>0</v>
      </c>
      <c r="K332" s="2"/>
      <c r="L332" s="7">
        <f t="shared" si="139"/>
        <v>0</v>
      </c>
      <c r="M332" s="2"/>
      <c r="N332" s="6">
        <f t="shared" si="140"/>
        <v>0</v>
      </c>
      <c r="O332" s="11"/>
      <c r="P332" s="7">
        <v>25.87</v>
      </c>
      <c r="Q332" s="2"/>
      <c r="R332" s="6">
        <f t="shared" si="141"/>
        <v>9.0349685451656329E-7</v>
      </c>
      <c r="S332" s="2"/>
      <c r="T332" s="7"/>
      <c r="U332" s="2"/>
      <c r="V332" s="6">
        <f t="shared" si="142"/>
        <v>0</v>
      </c>
      <c r="W332" s="2"/>
      <c r="X332" s="7">
        <f t="shared" si="143"/>
        <v>25.87</v>
      </c>
      <c r="Y332" s="2"/>
      <c r="Z332" s="6">
        <f t="shared" si="144"/>
        <v>0</v>
      </c>
    </row>
    <row r="333" spans="1:26" s="24" customFormat="1" hidden="1" outlineLevel="2" x14ac:dyDescent="0.35">
      <c r="A333" s="27"/>
      <c r="B333" s="11" t="str">
        <f>CONCATENATE("          ", "6247", " - ", "STORE SUPPLIES")</f>
        <v xml:space="preserve">          6247 - STORE SUPPLIES</v>
      </c>
      <c r="C333" s="11"/>
      <c r="D333" s="7">
        <v>4996.33</v>
      </c>
      <c r="E333" s="2"/>
      <c r="F333" s="6">
        <f t="shared" si="137"/>
        <v>8.5477104127759957E-3</v>
      </c>
      <c r="G333" s="2"/>
      <c r="H333" s="7">
        <v>1509.64</v>
      </c>
      <c r="I333" s="2"/>
      <c r="J333" s="6">
        <f t="shared" si="138"/>
        <v>1.93238599775114E-3</v>
      </c>
      <c r="K333" s="2"/>
      <c r="L333" s="7">
        <f t="shared" si="139"/>
        <v>3486.6899999999996</v>
      </c>
      <c r="M333" s="2"/>
      <c r="N333" s="6">
        <f t="shared" si="140"/>
        <v>2.309616862298296</v>
      </c>
      <c r="O333" s="11"/>
      <c r="P333" s="7">
        <v>80350.680000000008</v>
      </c>
      <c r="Q333" s="2"/>
      <c r="R333" s="6">
        <f t="shared" si="141"/>
        <v>2.8062074463960935E-3</v>
      </c>
      <c r="S333" s="2"/>
      <c r="T333" s="7">
        <v>92867.520000000004</v>
      </c>
      <c r="U333" s="2"/>
      <c r="V333" s="6">
        <f t="shared" si="142"/>
        <v>2.5985775675849659E-3</v>
      </c>
      <c r="W333" s="2"/>
      <c r="X333" s="7">
        <f t="shared" si="143"/>
        <v>-12516.839999999997</v>
      </c>
      <c r="Y333" s="2"/>
      <c r="Z333" s="6">
        <f t="shared" si="144"/>
        <v>-0.13478167609084421</v>
      </c>
    </row>
    <row r="334" spans="1:26" s="24" customFormat="1" hidden="1" outlineLevel="2" x14ac:dyDescent="0.35">
      <c r="A334" s="27"/>
      <c r="B334" s="11" t="str">
        <f>CONCATENATE("          ", "6248", " - ", "UNIFORMS")</f>
        <v xml:space="preserve">          6248 - UNIFORMS</v>
      </c>
      <c r="C334" s="11"/>
      <c r="D334" s="7"/>
      <c r="E334" s="2"/>
      <c r="F334" s="6">
        <f t="shared" si="137"/>
        <v>0</v>
      </c>
      <c r="G334" s="2"/>
      <c r="H334" s="7"/>
      <c r="I334" s="2"/>
      <c r="J334" s="6">
        <f t="shared" si="138"/>
        <v>0</v>
      </c>
      <c r="K334" s="2"/>
      <c r="L334" s="7">
        <f t="shared" si="139"/>
        <v>0</v>
      </c>
      <c r="M334" s="2"/>
      <c r="N334" s="6">
        <f t="shared" si="140"/>
        <v>0</v>
      </c>
      <c r="O334" s="11"/>
      <c r="P334" s="7">
        <v>4835.18</v>
      </c>
      <c r="Q334" s="2"/>
      <c r="R334" s="6">
        <f t="shared" si="141"/>
        <v>1.688662512957633E-4</v>
      </c>
      <c r="S334" s="2"/>
      <c r="T334" s="7">
        <v>23396.129999999997</v>
      </c>
      <c r="U334" s="2"/>
      <c r="V334" s="6">
        <f t="shared" si="142"/>
        <v>6.5466008553153611E-4</v>
      </c>
      <c r="W334" s="2"/>
      <c r="X334" s="7">
        <f t="shared" si="143"/>
        <v>-18560.949999999997</v>
      </c>
      <c r="Y334" s="2"/>
      <c r="Z334" s="6">
        <f t="shared" si="144"/>
        <v>-0.79333419672398808</v>
      </c>
    </row>
    <row r="335" spans="1:26" s="25" customFormat="1" outlineLevel="1" collapsed="1" x14ac:dyDescent="0.35">
      <c r="A335" s="26"/>
      <c r="B335" s="12" t="str">
        <f>CONCATENATE("     ","Telephone/Data Lines                              ")</f>
        <v xml:space="preserve">     Telephone/Data Lines                              </v>
      </c>
      <c r="C335" s="12"/>
      <c r="D335" s="1">
        <f>SUM(OSRRefD22_23x_0)</f>
        <v>1910.13</v>
      </c>
      <c r="E335" s="1"/>
      <c r="F335" s="5">
        <f t="shared" ref="F335:F337" si="145">IF(D$12=0,0,D335/D$12)</f>
        <v>3.2678462172746423E-3</v>
      </c>
      <c r="G335" s="1"/>
      <c r="H335" s="1">
        <f>SUM(OSRRefH22_23x_0)</f>
        <v>7347.86</v>
      </c>
      <c r="I335" s="1"/>
      <c r="J335" s="5">
        <f t="shared" ref="J335:J337" si="146">IF(H$12=0,0,H335/H$12)</f>
        <v>9.4054885783601983E-3</v>
      </c>
      <c r="K335" s="1"/>
      <c r="L335" s="1">
        <f t="shared" ref="L335:L337" si="147">+D335-H335</f>
        <v>-5437.73</v>
      </c>
      <c r="M335" s="1"/>
      <c r="N335" s="5">
        <f t="shared" ref="N335:N337" si="148">IF(H335=0,0,L335/H335)</f>
        <v>-0.7400426790929604</v>
      </c>
      <c r="O335" s="12"/>
      <c r="P335" s="1">
        <f>SUM(OSRRefP22_23x_0)</f>
        <v>66671.990000000005</v>
      </c>
      <c r="Q335" s="1"/>
      <c r="R335" s="5">
        <f t="shared" ref="R335:R337" si="149">IF(P$12=0,0,P335/P$12)</f>
        <v>2.328486016596821E-3</v>
      </c>
      <c r="S335" s="1"/>
      <c r="T335" s="1">
        <f>SUM(OSRRefT22_23x_0)</f>
        <v>77910.989999999991</v>
      </c>
      <c r="U335" s="1"/>
      <c r="V335" s="5">
        <f t="shared" ref="V335:V337" si="150">IF(T$12=0,0,T335/T$12)</f>
        <v>2.1800706089958747E-3</v>
      </c>
      <c r="W335" s="1"/>
      <c r="X335" s="1">
        <f t="shared" ref="X335:X337" si="151">+P335-T335</f>
        <v>-11238.999999999985</v>
      </c>
      <c r="Y335" s="1"/>
      <c r="Z335" s="5">
        <f t="shared" ref="Z335:Z337" si="152">IF(T335=0,0,X335/T335)</f>
        <v>-0.14425436000749042</v>
      </c>
    </row>
    <row r="336" spans="1:26" s="24" customFormat="1" hidden="1" outlineLevel="2" x14ac:dyDescent="0.35">
      <c r="A336" s="27"/>
      <c r="B336" s="11" t="str">
        <f>CONCATENATE("          ", "6303", " - ", "DATA PHONE LINES")</f>
        <v xml:space="preserve">          6303 - DATA PHONE LINES</v>
      </c>
      <c r="C336" s="11"/>
      <c r="D336" s="7"/>
      <c r="E336" s="2"/>
      <c r="F336" s="6">
        <f t="shared" si="145"/>
        <v>0</v>
      </c>
      <c r="G336" s="2"/>
      <c r="H336" s="7">
        <v>295</v>
      </c>
      <c r="I336" s="2"/>
      <c r="J336" s="6">
        <f t="shared" si="146"/>
        <v>3.7760914478722496E-4</v>
      </c>
      <c r="K336" s="2"/>
      <c r="L336" s="7">
        <f t="shared" si="147"/>
        <v>-295</v>
      </c>
      <c r="M336" s="2"/>
      <c r="N336" s="6">
        <f t="shared" si="148"/>
        <v>-1</v>
      </c>
      <c r="O336" s="11"/>
      <c r="P336" s="7">
        <v>2950</v>
      </c>
      <c r="Q336" s="2"/>
      <c r="R336" s="6">
        <f t="shared" si="149"/>
        <v>1.0302727950614077E-4</v>
      </c>
      <c r="S336" s="2"/>
      <c r="T336" s="7">
        <v>3540</v>
      </c>
      <c r="U336" s="2"/>
      <c r="V336" s="6">
        <f t="shared" si="150"/>
        <v>9.9054702755611208E-5</v>
      </c>
      <c r="W336" s="2"/>
      <c r="X336" s="7">
        <f t="shared" si="151"/>
        <v>-590</v>
      </c>
      <c r="Y336" s="2"/>
      <c r="Z336" s="6">
        <f t="shared" si="152"/>
        <v>-0.16666666666666666</v>
      </c>
    </row>
    <row r="337" spans="1:26" s="24" customFormat="1" hidden="1" outlineLevel="2" x14ac:dyDescent="0.35">
      <c r="A337" s="27"/>
      <c r="B337" s="11" t="str">
        <f>CONCATENATE("          ", "6309", " - ", "TELEPHONE")</f>
        <v xml:space="preserve">          6309 - TELEPHONE</v>
      </c>
      <c r="C337" s="11"/>
      <c r="D337" s="7">
        <v>1910.13</v>
      </c>
      <c r="E337" s="2"/>
      <c r="F337" s="6">
        <f t="shared" si="145"/>
        <v>3.2678462172746423E-3</v>
      </c>
      <c r="G337" s="2"/>
      <c r="H337" s="7">
        <v>7052.86</v>
      </c>
      <c r="I337" s="2"/>
      <c r="J337" s="6">
        <f t="shared" si="146"/>
        <v>9.0278794335729735E-3</v>
      </c>
      <c r="K337" s="2"/>
      <c r="L337" s="7">
        <f t="shared" si="147"/>
        <v>-5142.7299999999996</v>
      </c>
      <c r="M337" s="2"/>
      <c r="N337" s="6">
        <f t="shared" si="148"/>
        <v>-0.7291694433180298</v>
      </c>
      <c r="O337" s="11"/>
      <c r="P337" s="7">
        <v>63721.990000000005</v>
      </c>
      <c r="Q337" s="2"/>
      <c r="R337" s="6">
        <f t="shared" si="149"/>
        <v>2.2254587370906802E-3</v>
      </c>
      <c r="S337" s="2"/>
      <c r="T337" s="7">
        <v>74370.989999999991</v>
      </c>
      <c r="U337" s="2"/>
      <c r="V337" s="6">
        <f t="shared" si="150"/>
        <v>2.0810159062402637E-3</v>
      </c>
      <c r="W337" s="2"/>
      <c r="X337" s="7">
        <f t="shared" si="151"/>
        <v>-10648.999999999985</v>
      </c>
      <c r="Y337" s="2"/>
      <c r="Z337" s="6">
        <f t="shared" si="152"/>
        <v>-0.14318755202801506</v>
      </c>
    </row>
    <row r="338" spans="1:26" s="25" customFormat="1" outlineLevel="1" collapsed="1" x14ac:dyDescent="0.35">
      <c r="A338" s="26"/>
      <c r="B338" s="12" t="str">
        <f>CONCATENATE("     ","Training                                          ")</f>
        <v xml:space="preserve">     Training                                          </v>
      </c>
      <c r="C338" s="12"/>
      <c r="D338" s="1">
        <f>SUM(OSRRefD22_24x_0)</f>
        <v>494</v>
      </c>
      <c r="E338" s="1"/>
      <c r="F338" s="5">
        <f t="shared" ref="F338:F343" si="153">IF(D$12=0,0,D338/D$12)</f>
        <v>8.4513411722431098E-4</v>
      </c>
      <c r="G338" s="1"/>
      <c r="H338" s="1">
        <f>SUM(OSRRefH22_24x_0)</f>
        <v>5354.37</v>
      </c>
      <c r="I338" s="1"/>
      <c r="J338" s="5">
        <f t="shared" ref="J338:J343" si="154">IF(H$12=0,0,H338/H$12)</f>
        <v>6.8537595816080456E-3</v>
      </c>
      <c r="K338" s="1"/>
      <c r="L338" s="1">
        <f t="shared" ref="L338:L343" si="155">+D338-H338</f>
        <v>-4860.37</v>
      </c>
      <c r="M338" s="1"/>
      <c r="N338" s="5">
        <f t="shared" ref="N338:N343" si="156">IF(H338=0,0,L338/H338)</f>
        <v>-0.90773891232768744</v>
      </c>
      <c r="O338" s="12"/>
      <c r="P338" s="1">
        <f>SUM(OSRRefP22_24x_0)</f>
        <v>38044.239999999998</v>
      </c>
      <c r="Q338" s="1"/>
      <c r="R338" s="5">
        <f t="shared" ref="R338:R343" si="157">IF(P$12=0,0,P338/P$12)</f>
        <v>1.3286761179927798E-3</v>
      </c>
      <c r="S338" s="1"/>
      <c r="T338" s="1">
        <f>SUM(OSRRefT22_24x_0)</f>
        <v>43479.08</v>
      </c>
      <c r="U338" s="1"/>
      <c r="V338" s="5">
        <f t="shared" ref="V338:V343" si="158">IF(T$12=0,0,T338/T$12)</f>
        <v>1.2166122444879776E-3</v>
      </c>
      <c r="W338" s="1"/>
      <c r="X338" s="1">
        <f t="shared" ref="X338:X343" si="159">+P338-T338</f>
        <v>-5434.8400000000038</v>
      </c>
      <c r="Y338" s="1"/>
      <c r="Z338" s="5">
        <f t="shared" ref="Z338:Z343" si="160">IF(T338=0,0,X338/T338)</f>
        <v>-0.12499896501949911</v>
      </c>
    </row>
    <row r="339" spans="1:26" s="24" customFormat="1" hidden="1" outlineLevel="2" x14ac:dyDescent="0.35">
      <c r="A339" s="27"/>
      <c r="B339" s="11" t="str">
        <f>CONCATENATE("          ", "6376", " - ", "TRAINING")</f>
        <v xml:space="preserve">          6376 - TRAINING</v>
      </c>
      <c r="C339" s="11"/>
      <c r="D339" s="7">
        <v>494</v>
      </c>
      <c r="E339" s="2"/>
      <c r="F339" s="6">
        <f t="shared" si="153"/>
        <v>8.4513411722431098E-4</v>
      </c>
      <c r="G339" s="2"/>
      <c r="H339" s="7">
        <v>5354.37</v>
      </c>
      <c r="I339" s="2"/>
      <c r="J339" s="6">
        <f t="shared" si="154"/>
        <v>6.8537595816080456E-3</v>
      </c>
      <c r="K339" s="2"/>
      <c r="L339" s="7">
        <f t="shared" si="155"/>
        <v>-4860.37</v>
      </c>
      <c r="M339" s="2"/>
      <c r="N339" s="6">
        <f t="shared" si="156"/>
        <v>-0.90773891232768744</v>
      </c>
      <c r="O339" s="11"/>
      <c r="P339" s="7">
        <v>38044.239999999998</v>
      </c>
      <c r="Q339" s="2"/>
      <c r="R339" s="6">
        <f t="shared" si="157"/>
        <v>1.3286761179927798E-3</v>
      </c>
      <c r="S339" s="2"/>
      <c r="T339" s="7">
        <v>43479.08</v>
      </c>
      <c r="U339" s="2"/>
      <c r="V339" s="6">
        <f t="shared" si="158"/>
        <v>1.2166122444879776E-3</v>
      </c>
      <c r="W339" s="2"/>
      <c r="X339" s="7">
        <f t="shared" si="159"/>
        <v>-5434.8400000000038</v>
      </c>
      <c r="Y339" s="2"/>
      <c r="Z339" s="6">
        <f t="shared" si="160"/>
        <v>-0.12499896501949911</v>
      </c>
    </row>
    <row r="340" spans="1:26" s="25" customFormat="1" outlineLevel="1" collapsed="1" x14ac:dyDescent="0.35">
      <c r="A340" s="26"/>
      <c r="B340" s="12" t="str">
        <f>CONCATENATE("     ","Travel                                            ")</f>
        <v xml:space="preserve">     Travel                                            </v>
      </c>
      <c r="C340" s="12"/>
      <c r="D340" s="1">
        <f>SUM(OSRRefD22_25x_0)</f>
        <v>0</v>
      </c>
      <c r="E340" s="1"/>
      <c r="F340" s="5">
        <f t="shared" si="153"/>
        <v>0</v>
      </c>
      <c r="G340" s="1"/>
      <c r="H340" s="1">
        <f>SUM(OSRRefH22_25x_0)</f>
        <v>647.16</v>
      </c>
      <c r="I340" s="1"/>
      <c r="J340" s="5">
        <f t="shared" si="154"/>
        <v>8.2838486149322196E-4</v>
      </c>
      <c r="K340" s="1"/>
      <c r="L340" s="1">
        <f t="shared" si="155"/>
        <v>-647.16</v>
      </c>
      <c r="M340" s="1"/>
      <c r="N340" s="5">
        <f t="shared" si="156"/>
        <v>-1</v>
      </c>
      <c r="O340" s="12"/>
      <c r="P340" s="1">
        <f>SUM(OSRRefP22_25x_0)</f>
        <v>9441.3100000000013</v>
      </c>
      <c r="Q340" s="1"/>
      <c r="R340" s="5">
        <f t="shared" si="157"/>
        <v>3.2973304551665151E-4</v>
      </c>
      <c r="S340" s="1"/>
      <c r="T340" s="1">
        <f>SUM(OSRRefT22_25x_0)</f>
        <v>12571.97</v>
      </c>
      <c r="U340" s="1"/>
      <c r="V340" s="5">
        <f t="shared" si="158"/>
        <v>3.5178326310803996E-4</v>
      </c>
      <c r="W340" s="1"/>
      <c r="X340" s="1">
        <f t="shared" si="159"/>
        <v>-3130.659999999998</v>
      </c>
      <c r="Y340" s="1"/>
      <c r="Z340" s="5">
        <f t="shared" si="160"/>
        <v>-0.24901904792964016</v>
      </c>
    </row>
    <row r="341" spans="1:26" s="24" customFormat="1" hidden="1" outlineLevel="2" x14ac:dyDescent="0.35">
      <c r="A341" s="27"/>
      <c r="B341" s="11" t="str">
        <f>CONCATENATE("          ", "6292", " - ", "TRAVEL/CONFERENCE")</f>
        <v xml:space="preserve">          6292 - TRAVEL/CONFERENCE</v>
      </c>
      <c r="C341" s="11"/>
      <c r="D341" s="7"/>
      <c r="E341" s="2"/>
      <c r="F341" s="6">
        <f t="shared" si="153"/>
        <v>0</v>
      </c>
      <c r="G341" s="2"/>
      <c r="H341" s="7">
        <v>326.18</v>
      </c>
      <c r="I341" s="2"/>
      <c r="J341" s="6">
        <f t="shared" si="154"/>
        <v>4.1752051134473571E-4</v>
      </c>
      <c r="K341" s="2"/>
      <c r="L341" s="7">
        <f t="shared" si="155"/>
        <v>-326.18</v>
      </c>
      <c r="M341" s="2"/>
      <c r="N341" s="6">
        <f t="shared" si="156"/>
        <v>-1</v>
      </c>
      <c r="O341" s="11"/>
      <c r="P341" s="7">
        <v>7216.54</v>
      </c>
      <c r="Q341" s="2"/>
      <c r="R341" s="6">
        <f t="shared" si="157"/>
        <v>2.5203406225330342E-4</v>
      </c>
      <c r="S341" s="2"/>
      <c r="T341" s="7">
        <v>7504.69</v>
      </c>
      <c r="U341" s="2"/>
      <c r="V341" s="6">
        <f t="shared" si="158"/>
        <v>2.0999289187090617E-4</v>
      </c>
      <c r="W341" s="2"/>
      <c r="X341" s="7">
        <f t="shared" si="159"/>
        <v>-288.14999999999964</v>
      </c>
      <c r="Y341" s="2"/>
      <c r="Z341" s="6">
        <f t="shared" si="160"/>
        <v>-3.8395989707769362E-2</v>
      </c>
    </row>
    <row r="342" spans="1:26" s="24" customFormat="1" hidden="1" outlineLevel="2" x14ac:dyDescent="0.35">
      <c r="A342" s="27"/>
      <c r="B342" s="11" t="str">
        <f>CONCATENATE("          ", "6294", " - ", "TRAVEL OPERATIONAL")</f>
        <v xml:space="preserve">          6294 - TRAVEL OPERATIONAL</v>
      </c>
      <c r="C342" s="11"/>
      <c r="D342" s="7"/>
      <c r="E342" s="2"/>
      <c r="F342" s="6">
        <f t="shared" si="153"/>
        <v>0</v>
      </c>
      <c r="G342" s="2"/>
      <c r="H342" s="7">
        <v>141.72999999999999</v>
      </c>
      <c r="I342" s="2"/>
      <c r="J342" s="6">
        <f t="shared" si="154"/>
        <v>1.814187935277742E-4</v>
      </c>
      <c r="K342" s="2"/>
      <c r="L342" s="7">
        <f t="shared" si="155"/>
        <v>-141.72999999999999</v>
      </c>
      <c r="M342" s="2"/>
      <c r="N342" s="6">
        <f t="shared" si="156"/>
        <v>-1</v>
      </c>
      <c r="O342" s="11"/>
      <c r="P342" s="7">
        <v>418.6</v>
      </c>
      <c r="Q342" s="2"/>
      <c r="R342" s="6">
        <f t="shared" si="157"/>
        <v>1.4619396339413737E-5</v>
      </c>
      <c r="S342" s="2"/>
      <c r="T342" s="7">
        <v>2953.09</v>
      </c>
      <c r="U342" s="2"/>
      <c r="V342" s="6">
        <f t="shared" si="158"/>
        <v>8.2632048632928797E-5</v>
      </c>
      <c r="W342" s="2"/>
      <c r="X342" s="7">
        <f t="shared" si="159"/>
        <v>-2534.4900000000002</v>
      </c>
      <c r="Y342" s="2"/>
      <c r="Z342" s="6">
        <f t="shared" si="160"/>
        <v>-0.85825017185388863</v>
      </c>
    </row>
    <row r="343" spans="1:26" s="24" customFormat="1" hidden="1" outlineLevel="2" x14ac:dyDescent="0.35">
      <c r="A343" s="27"/>
      <c r="B343" s="11" t="str">
        <f>CONCATENATE("          ", "6298", " - ", "VEHICLE MILEAGE")</f>
        <v xml:space="preserve">          6298 - VEHICLE MILEAGE</v>
      </c>
      <c r="C343" s="11"/>
      <c r="D343" s="7"/>
      <c r="E343" s="2"/>
      <c r="F343" s="6">
        <f t="shared" si="153"/>
        <v>0</v>
      </c>
      <c r="G343" s="2"/>
      <c r="H343" s="7">
        <v>179.25</v>
      </c>
      <c r="I343" s="2"/>
      <c r="J343" s="6">
        <f t="shared" si="154"/>
        <v>2.2944555662071211E-4</v>
      </c>
      <c r="K343" s="2"/>
      <c r="L343" s="7">
        <f t="shared" si="155"/>
        <v>-179.25</v>
      </c>
      <c r="M343" s="2"/>
      <c r="N343" s="6">
        <f t="shared" si="156"/>
        <v>-1</v>
      </c>
      <c r="O343" s="11"/>
      <c r="P343" s="7">
        <v>1806.17</v>
      </c>
      <c r="Q343" s="2"/>
      <c r="R343" s="6">
        <f t="shared" si="157"/>
        <v>6.3079586923934323E-5</v>
      </c>
      <c r="S343" s="2"/>
      <c r="T343" s="7">
        <v>2114.19</v>
      </c>
      <c r="U343" s="2"/>
      <c r="V343" s="6">
        <f t="shared" si="158"/>
        <v>5.9158322604204992E-5</v>
      </c>
      <c r="W343" s="2"/>
      <c r="X343" s="7">
        <f t="shared" si="159"/>
        <v>-308.02</v>
      </c>
      <c r="Y343" s="2"/>
      <c r="Z343" s="6">
        <f t="shared" si="160"/>
        <v>-0.1456917306391573</v>
      </c>
    </row>
    <row r="344" spans="1:26" s="25" customFormat="1" outlineLevel="1" collapsed="1" x14ac:dyDescent="0.35">
      <c r="A344" s="26"/>
      <c r="B344" s="12" t="str">
        <f>CONCATENATE("     ","Utilities                                         ")</f>
        <v xml:space="preserve">     Utilities                                         </v>
      </c>
      <c r="C344" s="12"/>
      <c r="D344" s="1">
        <f>SUM(OSRRefD22_26x_0)</f>
        <v>22834.799999999999</v>
      </c>
      <c r="E344" s="1"/>
      <c r="F344" s="5">
        <f t="shared" ref="F344:F345" si="161">IF(D$12=0,0,D344/D$12)</f>
        <v>3.9065725789460923E-2</v>
      </c>
      <c r="G344" s="1"/>
      <c r="H344" s="1">
        <f>SUM(OSRRefH22_26x_0)</f>
        <v>20287.240000000002</v>
      </c>
      <c r="I344" s="1"/>
      <c r="J344" s="5">
        <f t="shared" ref="J344:J345" si="162">IF(H$12=0,0,H344/H$12)</f>
        <v>2.5968296089807396E-2</v>
      </c>
      <c r="K344" s="1"/>
      <c r="L344" s="1">
        <f t="shared" ref="L344:L345" si="163">+D344-H344</f>
        <v>2547.5599999999977</v>
      </c>
      <c r="M344" s="1"/>
      <c r="N344" s="5">
        <f t="shared" ref="N344:N345" si="164">IF(H344=0,0,L344/H344)</f>
        <v>0.12557449904471962</v>
      </c>
      <c r="O344" s="12"/>
      <c r="P344" s="1">
        <f>SUM(OSRRefP22_26x_0)</f>
        <v>274605.32</v>
      </c>
      <c r="Q344" s="1"/>
      <c r="R344" s="5">
        <f t="shared" ref="R344:R345" si="165">IF(P$12=0,0,P344/P$12)</f>
        <v>9.5904539178010943E-3</v>
      </c>
      <c r="S344" s="1"/>
      <c r="T344" s="1">
        <f>SUM(OSRRefT22_26x_0)</f>
        <v>209434.66999999998</v>
      </c>
      <c r="U344" s="1"/>
      <c r="V344" s="5">
        <f t="shared" ref="V344:V345" si="166">IF(T$12=0,0,T344/T$12)</f>
        <v>5.8603076224772663E-3</v>
      </c>
      <c r="W344" s="1"/>
      <c r="X344" s="1">
        <f t="shared" ref="X344:X345" si="167">+P344-T344</f>
        <v>65170.650000000023</v>
      </c>
      <c r="Y344" s="1"/>
      <c r="Z344" s="5">
        <f t="shared" ref="Z344:Z345" si="168">IF(T344=0,0,X344/T344)</f>
        <v>0.31117412413140588</v>
      </c>
    </row>
    <row r="345" spans="1:26" s="24" customFormat="1" hidden="1" outlineLevel="2" x14ac:dyDescent="0.35">
      <c r="A345" s="27"/>
      <c r="B345" s="11" t="str">
        <f>CONCATENATE("          ", "6274", " - ", "UTILITIES")</f>
        <v xml:space="preserve">          6274 - UTILITIES</v>
      </c>
      <c r="C345" s="11"/>
      <c r="D345" s="7">
        <v>22834.799999999999</v>
      </c>
      <c r="E345" s="2"/>
      <c r="F345" s="6">
        <f t="shared" si="161"/>
        <v>3.9065725789460923E-2</v>
      </c>
      <c r="G345" s="2"/>
      <c r="H345" s="7">
        <v>20287.240000000002</v>
      </c>
      <c r="I345" s="2"/>
      <c r="J345" s="6">
        <f t="shared" si="162"/>
        <v>2.5968296089807396E-2</v>
      </c>
      <c r="K345" s="2"/>
      <c r="L345" s="7">
        <f t="shared" si="163"/>
        <v>2547.5599999999977</v>
      </c>
      <c r="M345" s="2"/>
      <c r="N345" s="6">
        <f t="shared" si="164"/>
        <v>0.12557449904471962</v>
      </c>
      <c r="O345" s="11"/>
      <c r="P345" s="7">
        <v>274605.32</v>
      </c>
      <c r="Q345" s="2"/>
      <c r="R345" s="6">
        <f t="shared" si="165"/>
        <v>9.5904539178010943E-3</v>
      </c>
      <c r="S345" s="2"/>
      <c r="T345" s="7">
        <v>209434.66999999998</v>
      </c>
      <c r="U345" s="2"/>
      <c r="V345" s="6">
        <f t="shared" si="166"/>
        <v>5.8603076224772663E-3</v>
      </c>
      <c r="W345" s="2"/>
      <c r="X345" s="7">
        <f t="shared" si="167"/>
        <v>65170.650000000023</v>
      </c>
      <c r="Y345" s="2"/>
      <c r="Z345" s="6">
        <f t="shared" si="168"/>
        <v>0.31117412413140588</v>
      </c>
    </row>
    <row r="346" spans="1:26" s="56" customFormat="1" x14ac:dyDescent="0.35">
      <c r="A346" s="37"/>
      <c r="B346" s="37"/>
      <c r="C346" s="37"/>
      <c r="D346" s="1"/>
      <c r="E346" s="1"/>
      <c r="F346" s="5"/>
      <c r="G346" s="1"/>
      <c r="H346" s="1"/>
      <c r="I346" s="1"/>
      <c r="J346" s="5"/>
      <c r="K346" s="1"/>
      <c r="L346" s="1"/>
      <c r="M346" s="1"/>
      <c r="N346" s="5"/>
      <c r="O346" s="37"/>
      <c r="P346" s="1"/>
      <c r="Q346" s="1"/>
      <c r="R346" s="5"/>
      <c r="S346" s="1"/>
      <c r="T346" s="1"/>
      <c r="U346" s="1"/>
      <c r="V346" s="5"/>
      <c r="W346" s="1"/>
      <c r="X346" s="1"/>
      <c r="Y346" s="1"/>
      <c r="Z346" s="5"/>
    </row>
    <row r="347" spans="1:26" s="23" customFormat="1" collapsed="1" x14ac:dyDescent="0.35">
      <c r="A347" s="10"/>
      <c r="B347" s="29" t="s">
        <v>0</v>
      </c>
      <c r="C347" s="10"/>
      <c r="D347" s="4">
        <f>SUM(OSRRefD25x_0)</f>
        <v>82049.190000000017</v>
      </c>
      <c r="E347" s="4"/>
      <c r="F347" s="13">
        <f t="shared" ref="F347:F360" si="169">IF(D$12=0,0,D347/D$12)</f>
        <v>0.14036957441218578</v>
      </c>
      <c r="G347" s="4"/>
      <c r="H347" s="4">
        <f>SUM(OSRRefH25x_0)</f>
        <v>198937.77000000002</v>
      </c>
      <c r="I347" s="4"/>
      <c r="J347" s="13">
        <f t="shared" ref="J347:J360" si="170">IF(H$12=0,0,H347/H$12)</f>
        <v>0.25464651252738191</v>
      </c>
      <c r="K347" s="4"/>
      <c r="L347" s="4">
        <f t="shared" ref="L347:L360" si="171">+D347-H347</f>
        <v>-116888.58</v>
      </c>
      <c r="M347" s="4"/>
      <c r="N347" s="13">
        <f t="shared" ref="N347:N360" si="172">IF(H347=0,0,L347/H347)</f>
        <v>-0.58756353808530171</v>
      </c>
      <c r="O347" s="10"/>
      <c r="P347" s="4">
        <f>SUM(OSRRefP25x_0)</f>
        <v>1972386.5100000002</v>
      </c>
      <c r="Q347" s="4"/>
      <c r="R347" s="13">
        <f t="shared" ref="R347:R360" si="173">IF(P$12=0,0,P347/P$12)</f>
        <v>6.8884615681325936E-2</v>
      </c>
      <c r="S347" s="4"/>
      <c r="T347" s="4">
        <f>SUM(OSRRefT25x_0)</f>
        <v>2116306.59</v>
      </c>
      <c r="U347" s="4"/>
      <c r="V347" s="13">
        <f t="shared" ref="V347:V360" si="174">IF(T$12=0,0,T347/T$12)</f>
        <v>5.9217548082539873E-2</v>
      </c>
      <c r="W347" s="4"/>
      <c r="X347" s="4">
        <f t="shared" ref="X347:X360" si="175">+P347-T347</f>
        <v>-143920.07999999961</v>
      </c>
      <c r="Y347" s="4"/>
      <c r="Z347" s="13">
        <f t="shared" ref="Z347:Z360" si="176">IF(T347=0,0,X347/T347)</f>
        <v>-6.8005307302851439E-2</v>
      </c>
    </row>
    <row r="348" spans="1:26" s="24" customFormat="1" hidden="1" outlineLevel="1" x14ac:dyDescent="0.35">
      <c r="A348" s="44"/>
      <c r="B348" s="11" t="str">
        <f>CONCATENATE("          ", "4098", " - ", "TAXABLE SALES-GRAD RENTALS")</f>
        <v xml:space="preserve">          4098 - TAXABLE SALES-GRAD RENTALS</v>
      </c>
      <c r="C348" s="11"/>
      <c r="D348" s="2">
        <f>0</f>
        <v>0</v>
      </c>
      <c r="E348" s="2"/>
      <c r="F348" s="19">
        <f t="shared" si="169"/>
        <v>0</v>
      </c>
      <c r="G348" s="2"/>
      <c r="H348" s="2">
        <f>--8835</f>
        <v>8835</v>
      </c>
      <c r="I348" s="2"/>
      <c r="J348" s="19">
        <f t="shared" si="170"/>
        <v>1.1309073878627568E-2</v>
      </c>
      <c r="K348" s="2"/>
      <c r="L348" s="2">
        <f t="shared" si="171"/>
        <v>-8835</v>
      </c>
      <c r="M348" s="2"/>
      <c r="N348" s="19">
        <f t="shared" si="172"/>
        <v>-1</v>
      </c>
      <c r="O348" s="11"/>
      <c r="P348" s="2">
        <f>--1946.85</f>
        <v>1946.85</v>
      </c>
      <c r="Q348" s="2"/>
      <c r="R348" s="19">
        <f t="shared" si="173"/>
        <v>6.7992765798823777E-5</v>
      </c>
      <c r="S348" s="2"/>
      <c r="T348" s="2">
        <f>--86267.28</f>
        <v>86267.28</v>
      </c>
      <c r="U348" s="2"/>
      <c r="V348" s="19">
        <f t="shared" si="174"/>
        <v>2.4138925926370292E-3</v>
      </c>
      <c r="W348" s="2"/>
      <c r="X348" s="2">
        <f t="shared" si="175"/>
        <v>-84320.43</v>
      </c>
      <c r="Y348" s="2"/>
      <c r="Z348" s="19">
        <f t="shared" si="176"/>
        <v>-0.9774323474670813</v>
      </c>
    </row>
    <row r="349" spans="1:26" s="24" customFormat="1" hidden="1" outlineLevel="1" x14ac:dyDescent="0.35">
      <c r="A349" s="44"/>
      <c r="B349" s="11" t="str">
        <f>CONCATENATE("          ", "4187", " - ", "NON-TAXABLE SALES-COMPUTER REP")</f>
        <v xml:space="preserve">          4187 - NON-TAXABLE SALES-COMPUTER REP</v>
      </c>
      <c r="C349" s="11"/>
      <c r="D349" s="2">
        <f>--166.52</f>
        <v>166.52</v>
      </c>
      <c r="E349" s="2"/>
      <c r="F349" s="19">
        <f t="shared" si="169"/>
        <v>2.8488205101253499E-4</v>
      </c>
      <c r="G349" s="2"/>
      <c r="H349" s="2">
        <f>--561.46</f>
        <v>561.46</v>
      </c>
      <c r="I349" s="2"/>
      <c r="J349" s="19">
        <f t="shared" si="170"/>
        <v>7.1868620485503502E-4</v>
      </c>
      <c r="K349" s="2"/>
      <c r="L349" s="2">
        <f t="shared" si="171"/>
        <v>-394.94000000000005</v>
      </c>
      <c r="M349" s="2"/>
      <c r="N349" s="19">
        <f t="shared" si="172"/>
        <v>-0.70341609375556591</v>
      </c>
      <c r="O349" s="11"/>
      <c r="P349" s="2">
        <f>--16449.71</f>
        <v>16449.71</v>
      </c>
      <c r="Q349" s="2"/>
      <c r="R349" s="19">
        <f t="shared" si="173"/>
        <v>5.7449792202201992E-4</v>
      </c>
      <c r="S349" s="2"/>
      <c r="T349" s="2">
        <f>--7817.04</f>
        <v>7817.04</v>
      </c>
      <c r="U349" s="2"/>
      <c r="V349" s="19">
        <f t="shared" si="174"/>
        <v>2.1873293040359409E-4</v>
      </c>
      <c r="W349" s="2"/>
      <c r="X349" s="2">
        <f t="shared" si="175"/>
        <v>8632.6699999999983</v>
      </c>
      <c r="Y349" s="2"/>
      <c r="Z349" s="19">
        <f t="shared" si="176"/>
        <v>1.1043400059357504</v>
      </c>
    </row>
    <row r="350" spans="1:26" s="24" customFormat="1" hidden="1" outlineLevel="1" x14ac:dyDescent="0.35">
      <c r="A350" s="44"/>
      <c r="B350" s="11" t="str">
        <f>CONCATENATE("          ", "4197", " - ", "NON-TAXABLE SALES-RETURNED CHE")</f>
        <v xml:space="preserve">          4197 - NON-TAXABLE SALES-RETURNED CHE</v>
      </c>
      <c r="C350" s="11"/>
      <c r="D350" s="2">
        <f t="shared" ref="D350:D353" si="177">0</f>
        <v>0</v>
      </c>
      <c r="E350" s="2"/>
      <c r="F350" s="19">
        <f t="shared" si="169"/>
        <v>0</v>
      </c>
      <c r="G350" s="2"/>
      <c r="H350" s="2">
        <f>0</f>
        <v>0</v>
      </c>
      <c r="I350" s="2"/>
      <c r="J350" s="19">
        <f t="shared" si="170"/>
        <v>0</v>
      </c>
      <c r="K350" s="2"/>
      <c r="L350" s="2">
        <f t="shared" si="171"/>
        <v>0</v>
      </c>
      <c r="M350" s="2"/>
      <c r="N350" s="19">
        <f t="shared" si="172"/>
        <v>0</v>
      </c>
      <c r="O350" s="11"/>
      <c r="P350" s="2">
        <f>--30</f>
        <v>30</v>
      </c>
      <c r="Q350" s="2"/>
      <c r="R350" s="19">
        <f t="shared" si="173"/>
        <v>1.0477350458251603E-6</v>
      </c>
      <c r="S350" s="2"/>
      <c r="T350" s="2">
        <f>--335</f>
        <v>335</v>
      </c>
      <c r="U350" s="2"/>
      <c r="V350" s="19">
        <f t="shared" si="174"/>
        <v>9.3738207409971054E-6</v>
      </c>
      <c r="W350" s="2"/>
      <c r="X350" s="2">
        <f t="shared" si="175"/>
        <v>-305</v>
      </c>
      <c r="Y350" s="2"/>
      <c r="Z350" s="19">
        <f t="shared" si="176"/>
        <v>-0.91044776119402981</v>
      </c>
    </row>
    <row r="351" spans="1:26" s="24" customFormat="1" hidden="1" outlineLevel="1" x14ac:dyDescent="0.35">
      <c r="A351" s="44"/>
      <c r="B351" s="11" t="str">
        <f>CONCATENATE("          ", "4198", " - ", "NON-TAXABLE SALES-GRAD RENTALS")</f>
        <v xml:space="preserve">          4198 - NON-TAXABLE SALES-GRAD RENTALS</v>
      </c>
      <c r="C351" s="11"/>
      <c r="D351" s="2">
        <f t="shared" si="177"/>
        <v>0</v>
      </c>
      <c r="E351" s="2"/>
      <c r="F351" s="19">
        <f t="shared" si="169"/>
        <v>0</v>
      </c>
      <c r="G351" s="2"/>
      <c r="H351" s="2">
        <f>--63293.56</f>
        <v>63293.56</v>
      </c>
      <c r="I351" s="2"/>
      <c r="J351" s="19">
        <f t="shared" si="170"/>
        <v>8.1017718854708168E-2</v>
      </c>
      <c r="K351" s="2"/>
      <c r="L351" s="2">
        <f t="shared" si="171"/>
        <v>-63293.56</v>
      </c>
      <c r="M351" s="2"/>
      <c r="N351" s="19">
        <f t="shared" si="172"/>
        <v>-1</v>
      </c>
      <c r="O351" s="11"/>
      <c r="P351" s="2">
        <f>--163.76</f>
        <v>163.76</v>
      </c>
      <c r="Q351" s="2"/>
      <c r="R351" s="19">
        <f t="shared" si="173"/>
        <v>5.7192363701442749E-6</v>
      </c>
      <c r="S351" s="2"/>
      <c r="T351" s="2">
        <f>--449104.41</f>
        <v>449104.41</v>
      </c>
      <c r="U351" s="2"/>
      <c r="V351" s="19">
        <f t="shared" si="174"/>
        <v>1.2566639502481396E-2</v>
      </c>
      <c r="W351" s="2"/>
      <c r="X351" s="2">
        <f t="shared" si="175"/>
        <v>-448940.64999999997</v>
      </c>
      <c r="Y351" s="2"/>
      <c r="Z351" s="19">
        <f t="shared" si="176"/>
        <v>-0.99963536318870705</v>
      </c>
    </row>
    <row r="352" spans="1:26" s="24" customFormat="1" hidden="1" outlineLevel="1" x14ac:dyDescent="0.35">
      <c r="A352" s="44"/>
      <c r="B352" s="11" t="str">
        <f>CONCATENATE("          ", "4387", " - ", "SALES RETURN NON TAXABLE-COMPU")</f>
        <v xml:space="preserve">          4387 - SALES RETURN NON TAXABLE-COMPU</v>
      </c>
      <c r="C352" s="11"/>
      <c r="D352" s="2">
        <f t="shared" si="177"/>
        <v>0</v>
      </c>
      <c r="E352" s="2"/>
      <c r="F352" s="19">
        <f t="shared" si="169"/>
        <v>0</v>
      </c>
      <c r="G352" s="2"/>
      <c r="H352" s="2">
        <f>--95.44</f>
        <v>95.44</v>
      </c>
      <c r="I352" s="2"/>
      <c r="J352" s="19">
        <f t="shared" si="170"/>
        <v>1.2216615857116187E-4</v>
      </c>
      <c r="K352" s="2"/>
      <c r="L352" s="2">
        <f t="shared" si="171"/>
        <v>-95.44</v>
      </c>
      <c r="M352" s="2"/>
      <c r="N352" s="19">
        <f t="shared" si="172"/>
        <v>-1</v>
      </c>
      <c r="O352" s="11"/>
      <c r="P352" s="2">
        <f>-7889</f>
        <v>-7889</v>
      </c>
      <c r="Q352" s="2"/>
      <c r="R352" s="19">
        <f t="shared" si="173"/>
        <v>-2.7551939255048968E-4</v>
      </c>
      <c r="S352" s="2"/>
      <c r="T352" s="2">
        <f>--95.44</f>
        <v>95.44</v>
      </c>
      <c r="U352" s="2"/>
      <c r="V352" s="19">
        <f t="shared" si="174"/>
        <v>2.6705595567783993E-6</v>
      </c>
      <c r="W352" s="2"/>
      <c r="X352" s="2">
        <f t="shared" si="175"/>
        <v>-7984.44</v>
      </c>
      <c r="Y352" s="2"/>
      <c r="Z352" s="19">
        <f t="shared" si="176"/>
        <v>-83.65926236378877</v>
      </c>
    </row>
    <row r="353" spans="1:26" s="24" customFormat="1" hidden="1" outlineLevel="1" x14ac:dyDescent="0.35">
      <c r="A353" s="44"/>
      <c r="B353" s="11" t="str">
        <f>CONCATENATE("          ", "5087", " - ", "PURCHASES @ COST-COMPUTER REPA")</f>
        <v xml:space="preserve">          5087 - PURCHASES @ COST-COMPUTER REPA</v>
      </c>
      <c r="C353" s="11"/>
      <c r="D353" s="2">
        <f t="shared" si="177"/>
        <v>0</v>
      </c>
      <c r="E353" s="2"/>
      <c r="F353" s="19">
        <f t="shared" si="169"/>
        <v>0</v>
      </c>
      <c r="G353" s="2"/>
      <c r="H353" s="2">
        <f>-72.06</f>
        <v>-72.06</v>
      </c>
      <c r="I353" s="2"/>
      <c r="J353" s="19">
        <f t="shared" si="170"/>
        <v>-9.2239033808025182E-5</v>
      </c>
      <c r="K353" s="2"/>
      <c r="L353" s="2">
        <f t="shared" si="171"/>
        <v>72.06</v>
      </c>
      <c r="M353" s="2"/>
      <c r="N353" s="19">
        <f t="shared" si="172"/>
        <v>-1</v>
      </c>
      <c r="O353" s="11"/>
      <c r="P353" s="2">
        <f>-72.06</f>
        <v>-72.06</v>
      </c>
      <c r="Q353" s="2"/>
      <c r="R353" s="19">
        <f t="shared" si="173"/>
        <v>-2.516659580072035E-6</v>
      </c>
      <c r="S353" s="2"/>
      <c r="T353" s="2">
        <f>-312.26</f>
        <v>-312.26</v>
      </c>
      <c r="U353" s="2"/>
      <c r="V353" s="19">
        <f t="shared" si="174"/>
        <v>-8.7375201927873317E-6</v>
      </c>
      <c r="W353" s="2"/>
      <c r="X353" s="2">
        <f t="shared" si="175"/>
        <v>240.2</v>
      </c>
      <c r="Y353" s="2"/>
      <c r="Z353" s="19">
        <f t="shared" si="176"/>
        <v>-0.76923076923076916</v>
      </c>
    </row>
    <row r="354" spans="1:26" s="24" customFormat="1" hidden="1" outlineLevel="1" x14ac:dyDescent="0.35">
      <c r="A354" s="44"/>
      <c r="B354" s="11" t="str">
        <f>CONCATENATE("          ", "9150", " - ", "MISC. INCOME")</f>
        <v xml:space="preserve">          9150 - MISC. INCOME</v>
      </c>
      <c r="C354" s="11"/>
      <c r="D354" s="2">
        <f>--73508.24</f>
        <v>73508.240000000005</v>
      </c>
      <c r="E354" s="2"/>
      <c r="F354" s="19">
        <f t="shared" si="169"/>
        <v>0.12575773587269795</v>
      </c>
      <c r="G354" s="2"/>
      <c r="H354" s="2">
        <f>--113631.37</f>
        <v>113631.37</v>
      </c>
      <c r="I354" s="2"/>
      <c r="J354" s="19">
        <f t="shared" si="170"/>
        <v>0.14545167609051093</v>
      </c>
      <c r="K354" s="2"/>
      <c r="L354" s="2">
        <f t="shared" si="171"/>
        <v>-40123.12999999999</v>
      </c>
      <c r="M354" s="2"/>
      <c r="N354" s="19">
        <f t="shared" si="172"/>
        <v>-0.35309906058511831</v>
      </c>
      <c r="O354" s="11"/>
      <c r="P354" s="2">
        <f>--889242.05</f>
        <v>889242.05</v>
      </c>
      <c r="Q354" s="2"/>
      <c r="R354" s="19">
        <f t="shared" si="173"/>
        <v>3.1056335333546986E-2</v>
      </c>
      <c r="S354" s="2"/>
      <c r="T354" s="2">
        <f>--1108413.01</f>
        <v>1108413.01</v>
      </c>
      <c r="U354" s="2"/>
      <c r="V354" s="19">
        <f t="shared" si="174"/>
        <v>3.1015118993220993E-2</v>
      </c>
      <c r="W354" s="2"/>
      <c r="X354" s="2">
        <f t="shared" si="175"/>
        <v>-219170.95999999996</v>
      </c>
      <c r="Y354" s="2"/>
      <c r="Z354" s="19">
        <f t="shared" si="176"/>
        <v>-0.1977340197405297</v>
      </c>
    </row>
    <row r="355" spans="1:26" s="24" customFormat="1" hidden="1" outlineLevel="1" x14ac:dyDescent="0.35">
      <c r="A355" s="44"/>
      <c r="B355" s="11" t="str">
        <f>CONCATENATE("          ", "9151", " - ", "MISC. INCOME")</f>
        <v xml:space="preserve">          9151 - MISC. INCOME</v>
      </c>
      <c r="C355" s="11"/>
      <c r="D355" s="2">
        <f>-18698.07</f>
        <v>-18698.07</v>
      </c>
      <c r="E355" s="2"/>
      <c r="F355" s="19">
        <f t="shared" si="169"/>
        <v>-3.1988617172567554E-2</v>
      </c>
      <c r="G355" s="2"/>
      <c r="H355" s="2">
        <f>0</f>
        <v>0</v>
      </c>
      <c r="I355" s="2"/>
      <c r="J355" s="19">
        <f t="shared" si="170"/>
        <v>0</v>
      </c>
      <c r="K355" s="2"/>
      <c r="L355" s="2">
        <f t="shared" si="171"/>
        <v>-18698.07</v>
      </c>
      <c r="M355" s="2"/>
      <c r="N355" s="19">
        <f t="shared" si="172"/>
        <v>0</v>
      </c>
      <c r="O355" s="11"/>
      <c r="P355" s="2">
        <f>--150694.63</f>
        <v>150694.63</v>
      </c>
      <c r="Q355" s="2"/>
      <c r="R355" s="19">
        <f t="shared" si="173"/>
        <v>5.2629348356218525E-3</v>
      </c>
      <c r="S355" s="2"/>
      <c r="T355" s="2">
        <f>--498.26</f>
        <v>498.26</v>
      </c>
      <c r="U355" s="2"/>
      <c r="V355" s="19">
        <f t="shared" si="174"/>
        <v>1.3942089320624532E-5</v>
      </c>
      <c r="W355" s="2"/>
      <c r="X355" s="2">
        <f t="shared" si="175"/>
        <v>150196.37</v>
      </c>
      <c r="Y355" s="2"/>
      <c r="Z355" s="19">
        <f t="shared" si="176"/>
        <v>301.44175731545778</v>
      </c>
    </row>
    <row r="356" spans="1:26" s="24" customFormat="1" hidden="1" outlineLevel="1" x14ac:dyDescent="0.35">
      <c r="A356" s="44"/>
      <c r="B356" s="11" t="str">
        <f>CONCATENATE("          ", "9152", " - ", "MISC. INCOME")</f>
        <v xml:space="preserve">          9152 - MISC. INCOME</v>
      </c>
      <c r="C356" s="11"/>
      <c r="D356" s="2">
        <f>--762.71</f>
        <v>762.71</v>
      </c>
      <c r="E356" s="2"/>
      <c r="F356" s="19">
        <f t="shared" si="169"/>
        <v>1.3048425962513244E-3</v>
      </c>
      <c r="G356" s="2"/>
      <c r="H356" s="2">
        <f>--2590.7</f>
        <v>2590.6999999999998</v>
      </c>
      <c r="I356" s="2"/>
      <c r="J356" s="19">
        <f t="shared" si="170"/>
        <v>3.316176309831402E-3</v>
      </c>
      <c r="K356" s="2"/>
      <c r="L356" s="2">
        <f t="shared" si="171"/>
        <v>-1827.9899999999998</v>
      </c>
      <c r="M356" s="2"/>
      <c r="N356" s="19">
        <f t="shared" si="172"/>
        <v>-0.70559694291118225</v>
      </c>
      <c r="O356" s="11"/>
      <c r="P356" s="2">
        <f>--10637.6</f>
        <v>10637.6</v>
      </c>
      <c r="Q356" s="2"/>
      <c r="R356" s="19">
        <f t="shared" si="173"/>
        <v>3.7151287744899086E-4</v>
      </c>
      <c r="S356" s="2"/>
      <c r="T356" s="2">
        <f>--13830.34</f>
        <v>13830.34</v>
      </c>
      <c r="U356" s="2"/>
      <c r="V356" s="19">
        <f t="shared" si="174"/>
        <v>3.8699441178221471E-4</v>
      </c>
      <c r="W356" s="2"/>
      <c r="X356" s="2">
        <f t="shared" si="175"/>
        <v>-3192.74</v>
      </c>
      <c r="Y356" s="2"/>
      <c r="Z356" s="19">
        <f t="shared" si="176"/>
        <v>-0.23085043462416685</v>
      </c>
    </row>
    <row r="357" spans="1:26" s="24" customFormat="1" hidden="1" outlineLevel="1" x14ac:dyDescent="0.35">
      <c r="A357" s="44"/>
      <c r="B357" s="11" t="str">
        <f>CONCATENATE("          ", "9153", " - ", "MISC. INCOME")</f>
        <v xml:space="preserve">          9153 - MISC. INCOME</v>
      </c>
      <c r="C357" s="11"/>
      <c r="D357" s="2">
        <f>0</f>
        <v>0</v>
      </c>
      <c r="E357" s="2"/>
      <c r="F357" s="19">
        <f t="shared" si="169"/>
        <v>0</v>
      </c>
      <c r="G357" s="2"/>
      <c r="H357" s="2">
        <f>0</f>
        <v>0</v>
      </c>
      <c r="I357" s="2"/>
      <c r="J357" s="19">
        <f t="shared" si="170"/>
        <v>0</v>
      </c>
      <c r="K357" s="2"/>
      <c r="L357" s="2">
        <f t="shared" si="171"/>
        <v>0</v>
      </c>
      <c r="M357" s="2"/>
      <c r="N357" s="19">
        <f t="shared" si="172"/>
        <v>0</v>
      </c>
      <c r="O357" s="11"/>
      <c r="P357" s="2">
        <f>--450</f>
        <v>450</v>
      </c>
      <c r="Q357" s="2"/>
      <c r="R357" s="19">
        <f t="shared" si="173"/>
        <v>1.5716025687377403E-5</v>
      </c>
      <c r="S357" s="2"/>
      <c r="T357" s="2">
        <f>--180</f>
        <v>180</v>
      </c>
      <c r="U357" s="2"/>
      <c r="V357" s="19">
        <f t="shared" si="174"/>
        <v>5.0366798011327736E-6</v>
      </c>
      <c r="W357" s="2"/>
      <c r="X357" s="2">
        <f t="shared" si="175"/>
        <v>270</v>
      </c>
      <c r="Y357" s="2"/>
      <c r="Z357" s="19">
        <f t="shared" si="176"/>
        <v>1.5</v>
      </c>
    </row>
    <row r="358" spans="1:26" s="24" customFormat="1" hidden="1" outlineLevel="1" x14ac:dyDescent="0.35">
      <c r="A358" s="44"/>
      <c r="B358" s="11" t="str">
        <f>CONCATENATE("          ", "9160", " - ", "MISC. INCOME")</f>
        <v xml:space="preserve">          9160 - MISC. INCOME</v>
      </c>
      <c r="C358" s="11"/>
      <c r="D358" s="2">
        <f>--25000.02</f>
        <v>25000.02</v>
      </c>
      <c r="E358" s="2"/>
      <c r="F358" s="19">
        <f t="shared" si="169"/>
        <v>4.2769979419615627E-2</v>
      </c>
      <c r="G358" s="2"/>
      <c r="H358" s="2">
        <f>--4981.17</f>
        <v>4981.17</v>
      </c>
      <c r="I358" s="2"/>
      <c r="J358" s="19">
        <f t="shared" si="170"/>
        <v>6.3760520126772248E-3</v>
      </c>
      <c r="K358" s="2"/>
      <c r="L358" s="2">
        <f t="shared" si="171"/>
        <v>20018.849999999999</v>
      </c>
      <c r="M358" s="2"/>
      <c r="N358" s="19">
        <f t="shared" si="172"/>
        <v>4.0189051969717955</v>
      </c>
      <c r="O358" s="11"/>
      <c r="P358" s="2">
        <f>--177564.34</f>
        <v>177564.34</v>
      </c>
      <c r="Q358" s="2"/>
      <c r="R358" s="19">
        <f t="shared" si="173"/>
        <v>6.201346063560478E-3</v>
      </c>
      <c r="S358" s="2"/>
      <c r="T358" s="2">
        <f>--131731.08</f>
        <v>131731.07999999999</v>
      </c>
      <c r="U358" s="2"/>
      <c r="V358" s="19">
        <f t="shared" si="174"/>
        <v>3.6860403878744745E-3</v>
      </c>
      <c r="W358" s="2"/>
      <c r="X358" s="2">
        <f t="shared" si="175"/>
        <v>45833.260000000009</v>
      </c>
      <c r="Y358" s="2"/>
      <c r="Z358" s="19">
        <f t="shared" si="176"/>
        <v>0.3479304959771074</v>
      </c>
    </row>
    <row r="359" spans="1:26" s="24" customFormat="1" hidden="1" outlineLevel="1" x14ac:dyDescent="0.35">
      <c r="A359" s="44"/>
      <c r="B359" s="11" t="str">
        <f>CONCATENATE("          ", "9163", " - ", "MISC. INCOME")</f>
        <v xml:space="preserve">          9163 - MISC. INCOME</v>
      </c>
      <c r="C359" s="11"/>
      <c r="D359" s="2">
        <f>0</f>
        <v>0</v>
      </c>
      <c r="E359" s="2"/>
      <c r="F359" s="19">
        <f t="shared" si="169"/>
        <v>0</v>
      </c>
      <c r="G359" s="2"/>
      <c r="H359" s="2">
        <f>0</f>
        <v>0</v>
      </c>
      <c r="I359" s="2"/>
      <c r="J359" s="19">
        <f t="shared" si="170"/>
        <v>0</v>
      </c>
      <c r="K359" s="2"/>
      <c r="L359" s="2">
        <f t="shared" si="171"/>
        <v>0</v>
      </c>
      <c r="M359" s="2"/>
      <c r="N359" s="19">
        <f t="shared" si="172"/>
        <v>0</v>
      </c>
      <c r="O359" s="11"/>
      <c r="P359" s="2">
        <f>--488733.84</f>
        <v>488733.84</v>
      </c>
      <c r="Q359" s="2"/>
      <c r="R359" s="19">
        <f t="shared" si="173"/>
        <v>1.7068785741623554E-2</v>
      </c>
      <c r="S359" s="2"/>
      <c r="T359" s="2">
        <f>--68330.75</f>
        <v>68330.75</v>
      </c>
      <c r="U359" s="2"/>
      <c r="V359" s="19">
        <f t="shared" si="174"/>
        <v>1.9120006017847404E-3</v>
      </c>
      <c r="W359" s="2"/>
      <c r="X359" s="2">
        <f t="shared" si="175"/>
        <v>420403.09</v>
      </c>
      <c r="Y359" s="2"/>
      <c r="Z359" s="19">
        <f t="shared" si="176"/>
        <v>6.152472934952419</v>
      </c>
    </row>
    <row r="360" spans="1:26" s="24" customFormat="1" hidden="1" outlineLevel="1" x14ac:dyDescent="0.35">
      <c r="A360" s="44"/>
      <c r="B360" s="11" t="str">
        <f>CONCATENATE("          ", "9165", " - ", "OTHER INCOME")</f>
        <v xml:space="preserve">          9165 - OTHER INCOME</v>
      </c>
      <c r="C360" s="11"/>
      <c r="D360" s="2">
        <f>--1309.77</f>
        <v>1309.77</v>
      </c>
      <c r="E360" s="2"/>
      <c r="F360" s="19">
        <f t="shared" si="169"/>
        <v>2.2407516451758819E-3</v>
      </c>
      <c r="G360" s="2"/>
      <c r="H360" s="2">
        <f>--5021.13</f>
        <v>5021.13</v>
      </c>
      <c r="I360" s="2"/>
      <c r="J360" s="19">
        <f t="shared" si="170"/>
        <v>6.4272020514084026E-3</v>
      </c>
      <c r="K360" s="2"/>
      <c r="L360" s="2">
        <f t="shared" si="171"/>
        <v>-3711.36</v>
      </c>
      <c r="M360" s="2"/>
      <c r="N360" s="19">
        <f t="shared" si="172"/>
        <v>-0.73914835903471932</v>
      </c>
      <c r="O360" s="11"/>
      <c r="P360" s="2">
        <f>--244434.79</f>
        <v>244434.79</v>
      </c>
      <c r="Q360" s="2"/>
      <c r="R360" s="19">
        <f t="shared" si="173"/>
        <v>8.5367631967304472E-3</v>
      </c>
      <c r="S360" s="2"/>
      <c r="T360" s="2">
        <f>--250016.24</f>
        <v>250016.24</v>
      </c>
      <c r="U360" s="2"/>
      <c r="V360" s="19">
        <f t="shared" si="174"/>
        <v>6.9958430331286871E-3</v>
      </c>
      <c r="W360" s="2"/>
      <c r="X360" s="2">
        <f t="shared" si="175"/>
        <v>-5581.4499999999825</v>
      </c>
      <c r="Y360" s="2"/>
      <c r="Z360" s="19">
        <f t="shared" si="176"/>
        <v>-2.2324349810236257E-2</v>
      </c>
    </row>
    <row r="361" spans="1:26" x14ac:dyDescent="0.35">
      <c r="A361" s="9"/>
      <c r="B361" s="10"/>
      <c r="C361" s="10"/>
      <c r="D361" s="3"/>
      <c r="E361" s="3"/>
      <c r="F361" s="8"/>
      <c r="G361" s="3"/>
      <c r="H361" s="3"/>
      <c r="I361" s="3"/>
      <c r="J361" s="8"/>
      <c r="K361" s="3"/>
      <c r="L361" s="3"/>
      <c r="M361" s="3"/>
      <c r="N361" s="8"/>
      <c r="O361" s="10"/>
      <c r="P361" s="3"/>
      <c r="Q361" s="3"/>
      <c r="R361" s="8"/>
      <c r="S361" s="3"/>
      <c r="T361" s="3"/>
      <c r="U361" s="3"/>
      <c r="V361" s="8"/>
      <c r="W361" s="3"/>
      <c r="X361" s="3"/>
      <c r="Y361" s="3"/>
      <c r="Z361" s="8"/>
    </row>
    <row r="362" spans="1:26" s="23" customFormat="1" x14ac:dyDescent="0.35">
      <c r="A362" s="10"/>
      <c r="B362" s="28" t="s">
        <v>3</v>
      </c>
      <c r="C362" s="28"/>
      <c r="D362" s="22">
        <f>+D211-D213+D347</f>
        <v>-610686.5900000002</v>
      </c>
      <c r="E362" s="14"/>
      <c r="F362" s="21">
        <f>IF(D$12=0,0,D362/D$12)</f>
        <v>-1.0447612796363865</v>
      </c>
      <c r="G362" s="14"/>
      <c r="H362" s="22">
        <f>+H211-H213+H347</f>
        <v>-501141.49000000046</v>
      </c>
      <c r="I362" s="14"/>
      <c r="J362" s="21">
        <f>IF(H$12=0,0,H362/H$12)</f>
        <v>-0.64147664222473155</v>
      </c>
      <c r="K362" s="15"/>
      <c r="L362" s="22">
        <f>+D362-H362</f>
        <v>-109545.09999999974</v>
      </c>
      <c r="M362" s="15"/>
      <c r="N362" s="21">
        <f>IF(H362=0,0,L362/H362)</f>
        <v>0.21859116075182608</v>
      </c>
      <c r="O362" s="29"/>
      <c r="P362" s="22">
        <f>+P211-P213+P347</f>
        <v>1834009.3899999843</v>
      </c>
      <c r="Q362" s="14"/>
      <c r="R362" s="21">
        <f>IF(P$12=0,0,P362/P$12)</f>
        <v>6.4051863742513593E-2</v>
      </c>
      <c r="S362" s="14"/>
      <c r="T362" s="22">
        <f>+T211-T213+T347</f>
        <v>4935297.860000018</v>
      </c>
      <c r="U362" s="14"/>
      <c r="V362" s="21">
        <f>IF(T$12=0,0,T362/T$12)</f>
        <v>0.13809730580019941</v>
      </c>
      <c r="W362" s="15"/>
      <c r="X362" s="22">
        <f>+P362-T362</f>
        <v>-3101288.4700000337</v>
      </c>
      <c r="Y362" s="15"/>
      <c r="Z362" s="21">
        <f>IF(T362=0,0,X362/T362)</f>
        <v>-0.62838932076128484</v>
      </c>
    </row>
    <row r="363" spans="1:26" x14ac:dyDescent="0.35">
      <c r="A363" s="9"/>
      <c r="B363" s="10"/>
      <c r="C363" s="9"/>
      <c r="D363" s="3"/>
      <c r="E363" s="3"/>
      <c r="F363" s="8"/>
      <c r="G363" s="3"/>
      <c r="H363" s="3"/>
      <c r="I363" s="3"/>
      <c r="J363" s="8"/>
      <c r="K363" s="3"/>
      <c r="L363" s="3"/>
      <c r="M363" s="3"/>
      <c r="N363" s="8"/>
      <c r="P363" s="3"/>
      <c r="Q363" s="3"/>
      <c r="R363" s="8"/>
      <c r="S363" s="3"/>
      <c r="T363" s="3"/>
      <c r="U363" s="3"/>
      <c r="V363" s="8"/>
      <c r="W363" s="3"/>
      <c r="X363" s="3"/>
      <c r="Y363" s="3"/>
      <c r="Z363" s="8"/>
    </row>
    <row r="364" spans="1:26" s="23" customFormat="1" x14ac:dyDescent="0.35">
      <c r="A364" s="51"/>
      <c r="B364" s="10" t="s">
        <v>13</v>
      </c>
      <c r="C364" s="10"/>
      <c r="D364" s="4">
        <v>1014635.2799999999</v>
      </c>
      <c r="E364" s="4"/>
      <c r="F364" s="13">
        <f>IF(D$12=0,0,D364/D$12)</f>
        <v>1.7358358130919869</v>
      </c>
      <c r="G364" s="4"/>
      <c r="H364" s="4">
        <v>-1088707.1599999999</v>
      </c>
      <c r="I364" s="4"/>
      <c r="J364" s="13">
        <f>IF(H$12=0,0,H364/H$12)</f>
        <v>-1.3935789139367065</v>
      </c>
      <c r="K364" s="4"/>
      <c r="L364" s="4">
        <f>+D364-H364</f>
        <v>2103342.44</v>
      </c>
      <c r="M364" s="4"/>
      <c r="N364" s="13">
        <f>IF(H364=0,0,L364/H364)</f>
        <v>-1.9319634491978541</v>
      </c>
      <c r="O364" s="10"/>
      <c r="P364" s="4">
        <v>4336174.96</v>
      </c>
      <c r="Q364" s="4"/>
      <c r="R364" s="13">
        <f>IF(P$12=0,0,P364/P$12)</f>
        <v>0.15143874901405041</v>
      </c>
      <c r="S364" s="4"/>
      <c r="T364" s="4">
        <v>2547288.4900000002</v>
      </c>
      <c r="U364" s="4"/>
      <c r="V364" s="13">
        <f>IF(T$12=0,0,T364/T$12)</f>
        <v>7.1277091584672242E-2</v>
      </c>
      <c r="W364" s="4"/>
      <c r="X364" s="4">
        <f>+P364-T364</f>
        <v>1788886.4699999997</v>
      </c>
      <c r="Y364" s="4"/>
      <c r="Z364" s="13">
        <f>IF(T364=0,0,X364/T364)</f>
        <v>0.70227085664725775</v>
      </c>
    </row>
    <row r="365" spans="1:26" x14ac:dyDescent="0.35">
      <c r="A365" s="9"/>
      <c r="B365" s="10"/>
      <c r="C365" s="10"/>
      <c r="D365" s="3"/>
      <c r="E365" s="3"/>
      <c r="F365" s="8"/>
      <c r="G365" s="3"/>
      <c r="H365" s="3"/>
      <c r="I365" s="3"/>
      <c r="J365" s="8"/>
      <c r="K365" s="3"/>
      <c r="L365" s="3"/>
      <c r="M365" s="3"/>
      <c r="N365" s="8"/>
      <c r="O365" s="10"/>
      <c r="P365" s="3"/>
      <c r="Q365" s="3"/>
      <c r="R365" s="8"/>
      <c r="S365" s="3"/>
      <c r="T365" s="3"/>
      <c r="U365" s="3"/>
      <c r="V365" s="8"/>
      <c r="W365" s="3"/>
      <c r="X365" s="3"/>
      <c r="Y365" s="3"/>
      <c r="Z365" s="8"/>
    </row>
    <row r="366" spans="1:26" s="23" customFormat="1" ht="15" thickBot="1" x14ac:dyDescent="0.4">
      <c r="A366" s="10"/>
      <c r="B366" s="28" t="s">
        <v>4</v>
      </c>
      <c r="C366" s="28"/>
      <c r="D366" s="34">
        <f>+D362-D364</f>
        <v>-1625321.87</v>
      </c>
      <c r="E366" s="14"/>
      <c r="F366" s="32">
        <f>IF(D$12=0,0,D366/D$12)</f>
        <v>-2.7805970927283732</v>
      </c>
      <c r="G366" s="14"/>
      <c r="H366" s="34">
        <f>+H362-H364</f>
        <v>587565.66999999946</v>
      </c>
      <c r="I366" s="14"/>
      <c r="J366" s="32">
        <f>IF(H$12=0,0,H366/H$12)</f>
        <v>0.75210227171197497</v>
      </c>
      <c r="K366" s="15"/>
      <c r="L366" s="34">
        <f>D366-H366</f>
        <v>-2212887.5399999996</v>
      </c>
      <c r="M366" s="15"/>
      <c r="N366" s="32">
        <f>IF(H366=0,0,L366/H366)</f>
        <v>-3.7661961087685767</v>
      </c>
      <c r="O366" s="29"/>
      <c r="P366" s="34">
        <f>+P362-P364</f>
        <v>-2502165.5700000157</v>
      </c>
      <c r="Q366" s="14"/>
      <c r="R366" s="32">
        <f>IF(P$12=0,0,P366/P$12)</f>
        <v>-8.7386885271536818E-2</v>
      </c>
      <c r="S366" s="14"/>
      <c r="T366" s="34">
        <f>+T362-T364</f>
        <v>2388009.3700000178</v>
      </c>
      <c r="U366" s="14"/>
      <c r="V366" s="32">
        <f>IF(T$12=0,0,T366/T$12)</f>
        <v>6.6820214215527168E-2</v>
      </c>
      <c r="W366" s="15"/>
      <c r="X366" s="34">
        <f>P366-T366</f>
        <v>-4890174.940000033</v>
      </c>
      <c r="Y366" s="15"/>
      <c r="Z366" s="32">
        <f>IF(T366=0,0,X366/T366)</f>
        <v>-2.0478039162802766</v>
      </c>
    </row>
    <row r="367" spans="1:26" ht="15" thickTop="1" x14ac:dyDescent="0.35">
      <c r="A367" s="9"/>
      <c r="B367" s="9"/>
      <c r="C367" s="9"/>
      <c r="D367" s="3"/>
      <c r="E367" s="3"/>
      <c r="F367" s="8"/>
      <c r="G367" s="3"/>
      <c r="H367" s="3"/>
      <c r="I367" s="3"/>
      <c r="J367" s="8"/>
      <c r="K367" s="3"/>
      <c r="L367" s="3"/>
      <c r="M367" s="3"/>
      <c r="N367" s="8"/>
      <c r="P367" s="3"/>
      <c r="Q367" s="3"/>
      <c r="R367" s="8"/>
      <c r="S367" s="3"/>
      <c r="T367" s="3"/>
      <c r="U367" s="3"/>
      <c r="V367" s="8"/>
      <c r="W367" s="3"/>
      <c r="X367" s="3"/>
      <c r="Y367" s="3"/>
      <c r="Z367" s="8"/>
    </row>
    <row r="368" spans="1:26" s="23" customFormat="1" x14ac:dyDescent="0.35">
      <c r="A368" s="51"/>
      <c r="B368" s="10" t="s">
        <v>2</v>
      </c>
      <c r="C368" s="10"/>
      <c r="D368" s="4">
        <f>--322360.04</f>
        <v>322360.03999999998</v>
      </c>
      <c r="E368" s="4"/>
      <c r="F368" s="13">
        <f t="shared" ref="F368:F369" si="178">IF(D$12=0,0,D368/D$12)</f>
        <v>0.55149284986597891</v>
      </c>
      <c r="G368" s="4"/>
      <c r="H368" s="4">
        <f>--12494.53</f>
        <v>12494.53</v>
      </c>
      <c r="I368" s="4"/>
      <c r="J368" s="13">
        <f t="shared" ref="J368:J369" si="179">IF(H$12=0,0,H368/H$12)</f>
        <v>1.5993385721418053E-2</v>
      </c>
      <c r="K368" s="4"/>
      <c r="L368" s="4">
        <f t="shared" ref="L368:L369" si="180">+D368-H368</f>
        <v>309865.50999999995</v>
      </c>
      <c r="M368" s="4"/>
      <c r="N368" s="13">
        <f t="shared" ref="N368:N369" si="181">IF(H368=0,0,L368/H368)</f>
        <v>24.800093320837192</v>
      </c>
      <c r="O368" s="10"/>
      <c r="P368" s="4">
        <f>-36911.48</f>
        <v>-36911.480000000003</v>
      </c>
      <c r="Q368" s="4"/>
      <c r="R368" s="13">
        <f t="shared" ref="R368:R369" si="182">IF(P$12=0,0,P368/P$12)</f>
        <v>-1.2891150396424831E-3</v>
      </c>
      <c r="S368" s="4"/>
      <c r="T368" s="4">
        <f>-494428.15</f>
        <v>-494428.15</v>
      </c>
      <c r="U368" s="4"/>
      <c r="V368" s="13">
        <f t="shared" ref="V368:V369" si="183">IF(T$12=0,0,T368/T$12)</f>
        <v>-1.3834868201202473E-2</v>
      </c>
      <c r="W368" s="4"/>
      <c r="X368" s="4">
        <f t="shared" ref="X368:X369" si="184">+P368-T368</f>
        <v>457516.67000000004</v>
      </c>
      <c r="Y368" s="4"/>
      <c r="Z368" s="13">
        <f t="shared" ref="Z368:Z369" si="185">IF(T368=0,0,X368/T368)</f>
        <v>-0.92534510828317529</v>
      </c>
    </row>
    <row r="369" spans="1:26" s="23" customFormat="1" x14ac:dyDescent="0.35">
      <c r="A369" s="51"/>
      <c r="B369" s="10" t="s">
        <v>1</v>
      </c>
      <c r="C369" s="10"/>
      <c r="D369" s="4">
        <f>--56882.15</f>
        <v>56882.15</v>
      </c>
      <c r="E369" s="4"/>
      <c r="F369" s="13">
        <f t="shared" si="178"/>
        <v>9.7313857542653523E-2</v>
      </c>
      <c r="G369" s="4"/>
      <c r="H369" s="4">
        <f>--431960.18</f>
        <v>431960.18</v>
      </c>
      <c r="I369" s="4"/>
      <c r="J369" s="13">
        <f t="shared" si="179"/>
        <v>0.55292242085401944</v>
      </c>
      <c r="K369" s="4"/>
      <c r="L369" s="4">
        <f t="shared" si="180"/>
        <v>-375078.02999999997</v>
      </c>
      <c r="M369" s="4"/>
      <c r="N369" s="13">
        <f t="shared" si="181"/>
        <v>-0.8683162184069837</v>
      </c>
      <c r="O369" s="10"/>
      <c r="P369" s="4">
        <f>--324468.28</f>
        <v>324468.28000000003</v>
      </c>
      <c r="Q369" s="4"/>
      <c r="R369" s="13">
        <f t="shared" si="182"/>
        <v>1.1331892940487032E-2</v>
      </c>
      <c r="S369" s="4"/>
      <c r="T369" s="4">
        <f>--839538.06</f>
        <v>839538.06</v>
      </c>
      <c r="U369" s="4"/>
      <c r="V369" s="13">
        <f t="shared" si="183"/>
        <v>2.3491579939356636E-2</v>
      </c>
      <c r="W369" s="4"/>
      <c r="X369" s="4">
        <f t="shared" si="184"/>
        <v>-515069.78</v>
      </c>
      <c r="Y369" s="4"/>
      <c r="Z369" s="13">
        <f t="shared" si="185"/>
        <v>-0.61351569933589434</v>
      </c>
    </row>
    <row r="370" spans="1:26" x14ac:dyDescent="0.35">
      <c r="A370" s="9"/>
      <c r="B370" s="9"/>
      <c r="C370" s="9"/>
      <c r="D370" s="3"/>
      <c r="E370" s="3"/>
      <c r="F370" s="8"/>
      <c r="G370" s="3"/>
      <c r="H370" s="3"/>
      <c r="I370" s="3"/>
      <c r="J370" s="8"/>
      <c r="K370" s="3"/>
      <c r="L370" s="3"/>
      <c r="M370" s="3"/>
      <c r="N370" s="8"/>
      <c r="P370" s="3"/>
      <c r="Q370" s="3"/>
      <c r="R370" s="8"/>
      <c r="S370" s="3"/>
      <c r="T370" s="3"/>
      <c r="U370" s="3"/>
      <c r="V370" s="8"/>
      <c r="W370" s="3"/>
      <c r="X370" s="3"/>
      <c r="Y370" s="3"/>
      <c r="Z370" s="8"/>
    </row>
    <row r="371" spans="1:26" s="23" customFormat="1" ht="15" thickBot="1" x14ac:dyDescent="0.4">
      <c r="A371" s="10"/>
      <c r="B371" s="28" t="s">
        <v>5</v>
      </c>
      <c r="C371" s="28"/>
      <c r="D371" s="35">
        <f>SUM(D366:D370)</f>
        <v>-1246079.6800000002</v>
      </c>
      <c r="E371" s="14"/>
      <c r="F371" s="33">
        <f>IF(D$12=0,0,D371/D$12)</f>
        <v>-2.1317903853197411</v>
      </c>
      <c r="G371" s="14"/>
      <c r="H371" s="35">
        <f>SUM(H366:H370)</f>
        <v>1032020.3799999994</v>
      </c>
      <c r="I371" s="14"/>
      <c r="J371" s="33">
        <f>IF(H$12=0,0,H371/H$12)</f>
        <v>1.3210180782874124</v>
      </c>
      <c r="K371" s="15"/>
      <c r="L371" s="35">
        <f>+D371-H371</f>
        <v>-2278100.0599999996</v>
      </c>
      <c r="M371" s="15"/>
      <c r="N371" s="33">
        <f>IF(H371=0,0,L371/H371)</f>
        <v>-2.2074177062278566</v>
      </c>
      <c r="O371" s="29"/>
      <c r="P371" s="35">
        <f>SUM(P366:P370)</f>
        <v>-2214608.7700000154</v>
      </c>
      <c r="Q371" s="14"/>
      <c r="R371" s="33">
        <f>IF(P$12=0,0,P371/P$12)</f>
        <v>-7.7344107370692264E-2</v>
      </c>
      <c r="S371" s="14"/>
      <c r="T371" s="35">
        <f>SUM(T366:T370)</f>
        <v>2733119.280000018</v>
      </c>
      <c r="U371" s="14"/>
      <c r="V371" s="33">
        <f>IF(T$12=0,0,T371/T$12)</f>
        <v>7.647692595368133E-2</v>
      </c>
      <c r="W371" s="15"/>
      <c r="X371" s="35">
        <f>+P371-T371</f>
        <v>-4947728.0500000333</v>
      </c>
      <c r="Y371" s="15"/>
      <c r="Z371" s="33">
        <f>IF(T371=0,0,X371/T371)</f>
        <v>-1.8102861760208289</v>
      </c>
    </row>
    <row r="372" spans="1:26" ht="15" thickTop="1" x14ac:dyDescent="0.35">
      <c r="A372" s="9"/>
      <c r="C372" s="9"/>
      <c r="D372" s="17"/>
      <c r="E372" s="17"/>
      <c r="G372" s="17"/>
      <c r="H372" s="17"/>
      <c r="I372" s="17"/>
      <c r="J372" s="42"/>
      <c r="K372" s="17"/>
      <c r="L372" s="17"/>
      <c r="M372" s="17"/>
      <c r="P372" s="17"/>
      <c r="Q372" s="17"/>
      <c r="R372" s="42"/>
      <c r="S372" s="17"/>
      <c r="T372" s="17"/>
      <c r="U372" s="17"/>
      <c r="V372" s="42"/>
      <c r="W372" s="17"/>
      <c r="X372" s="17"/>
    </row>
    <row r="373" spans="1:26" x14ac:dyDescent="0.35">
      <c r="A373" s="9"/>
      <c r="B373" s="52">
        <v>44043.52214108796</v>
      </c>
      <c r="D373" s="17"/>
      <c r="E373" s="17"/>
      <c r="G373" s="17"/>
      <c r="H373" s="17"/>
      <c r="I373" s="17"/>
      <c r="J373" s="42"/>
      <c r="K373" s="17"/>
      <c r="L373" s="17"/>
      <c r="M373" s="17"/>
      <c r="P373" s="17"/>
      <c r="Q373" s="17"/>
      <c r="R373" s="42"/>
      <c r="S373" s="17"/>
      <c r="T373" s="17"/>
      <c r="U373" s="17"/>
      <c r="V373" s="42"/>
      <c r="W373" s="17"/>
      <c r="X373" s="17"/>
    </row>
    <row r="374" spans="1:26" x14ac:dyDescent="0.35">
      <c r="A374" s="9"/>
      <c r="B374" s="61" t="s">
        <v>313</v>
      </c>
      <c r="D374" s="17"/>
      <c r="E374" s="17"/>
      <c r="G374" s="17"/>
      <c r="H374" s="17"/>
      <c r="I374" s="17"/>
      <c r="J374" s="42"/>
      <c r="K374" s="17"/>
      <c r="L374" s="17"/>
      <c r="M374" s="17"/>
      <c r="P374" s="17"/>
      <c r="Q374" s="17"/>
      <c r="R374" s="42"/>
      <c r="S374" s="17"/>
      <c r="T374" s="17"/>
      <c r="U374" s="17"/>
      <c r="V374" s="42"/>
      <c r="W374" s="17"/>
      <c r="X374" s="17"/>
    </row>
    <row r="375" spans="1:26" x14ac:dyDescent="0.35">
      <c r="A375" s="9"/>
      <c r="B375" s="54"/>
      <c r="D375" s="17"/>
      <c r="E375" s="17"/>
      <c r="G375" s="17"/>
      <c r="H375" s="17"/>
      <c r="I375" s="17"/>
      <c r="J375" s="42"/>
      <c r="K375" s="17"/>
      <c r="L375" s="17"/>
      <c r="M375" s="17"/>
      <c r="P375" s="17"/>
      <c r="Q375" s="17"/>
      <c r="R375" s="42"/>
      <c r="S375" s="17"/>
      <c r="T375" s="17"/>
      <c r="U375" s="17"/>
      <c r="V375" s="42"/>
      <c r="W375" s="17"/>
      <c r="X375" s="17"/>
    </row>
    <row r="376" spans="1:26" x14ac:dyDescent="0.35">
      <c r="D376" s="17"/>
      <c r="E376" s="17"/>
      <c r="G376" s="17"/>
      <c r="H376" s="17"/>
      <c r="I376" s="17"/>
      <c r="J376" s="42"/>
      <c r="K376" s="17"/>
      <c r="L376" s="17"/>
      <c r="M376" s="17"/>
      <c r="P376" s="17"/>
      <c r="Q376" s="17"/>
      <c r="R376" s="42"/>
      <c r="S376" s="17"/>
      <c r="T376" s="17"/>
      <c r="U376" s="17"/>
      <c r="V376" s="42"/>
      <c r="W376" s="17"/>
      <c r="X376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312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299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299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300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300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296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296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310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310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","100", " - ", "Corporate")</f>
        <v>Department 100 - Corporate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SUM(0)</f>
        <v>0</v>
      </c>
      <c r="E18" s="20"/>
      <c r="F18" s="36">
        <f>IF(D$12=0,0,D18/D$12)</f>
        <v>0</v>
      </c>
      <c r="G18" s="20"/>
      <c r="H18" s="20">
        <f>SUM(0)</f>
        <v>0</v>
      </c>
      <c r="I18" s="20"/>
      <c r="J18" s="36">
        <f>IF(H$12=0,0,H18/H$12)</f>
        <v>0</v>
      </c>
      <c r="K18" s="4"/>
      <c r="L18" s="20">
        <f>+D18-H18</f>
        <v>0</v>
      </c>
      <c r="M18" s="4"/>
      <c r="N18" s="36">
        <f>IF(H18=0,0,L18/H18)</f>
        <v>0</v>
      </c>
      <c r="O18" s="10"/>
      <c r="P18" s="20">
        <f>SUM(0)</f>
        <v>0</v>
      </c>
      <c r="Q18" s="20"/>
      <c r="R18" s="36">
        <f>IF(P$12=0,0,P18/P$12)</f>
        <v>0</v>
      </c>
      <c r="S18" s="20"/>
      <c r="T18" s="20">
        <f>SUM(0)</f>
        <v>0</v>
      </c>
      <c r="U18" s="20"/>
      <c r="V18" s="36">
        <f>IF(T$12=0,0,T18/T$12)</f>
        <v>0</v>
      </c>
      <c r="W18" s="4"/>
      <c r="X18" s="20">
        <f>+P18-T18</f>
        <v>0</v>
      </c>
      <c r="Y18" s="4"/>
      <c r="Z18" s="36">
        <f>IF(T18=0,0,X18/T18)</f>
        <v>0</v>
      </c>
    </row>
    <row r="19" spans="1:26" s="56" customFormat="1" x14ac:dyDescent="0.3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0</v>
      </c>
      <c r="C20" s="10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0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3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5">
      <c r="A22" s="10"/>
      <c r="B22" s="28" t="s">
        <v>3</v>
      </c>
      <c r="C22" s="28"/>
      <c r="D22" s="22">
        <f>+D16-D18+D20</f>
        <v>0</v>
      </c>
      <c r="E22" s="14"/>
      <c r="F22" s="21">
        <f>IF(D$12=0,0,D22/D$12)</f>
        <v>0</v>
      </c>
      <c r="G22" s="14"/>
      <c r="H22" s="22">
        <f>+H16-H18+H20</f>
        <v>0</v>
      </c>
      <c r="I22" s="14"/>
      <c r="J22" s="21">
        <f>IF(H$12=0,0,H22/H$12)</f>
        <v>0</v>
      </c>
      <c r="K22" s="15"/>
      <c r="L22" s="22">
        <f>+D22-H22</f>
        <v>0</v>
      </c>
      <c r="M22" s="15"/>
      <c r="N22" s="21">
        <f>IF(H22=0,0,L22/H22)</f>
        <v>0</v>
      </c>
      <c r="O22" s="29"/>
      <c r="P22" s="22">
        <f>+P16-P18+P20</f>
        <v>0</v>
      </c>
      <c r="Q22" s="14"/>
      <c r="R22" s="21">
        <f>IF(P$12=0,0,P22/P$12)</f>
        <v>0</v>
      </c>
      <c r="S22" s="14"/>
      <c r="T22" s="22">
        <f>+T16-T18+T20</f>
        <v>0</v>
      </c>
      <c r="U22" s="14"/>
      <c r="V22" s="21">
        <f>IF(T$12=0,0,T22/T$12)</f>
        <v>0</v>
      </c>
      <c r="W22" s="15"/>
      <c r="X22" s="22">
        <f>+P22-T22</f>
        <v>0</v>
      </c>
      <c r="Y22" s="15"/>
      <c r="Z22" s="21">
        <f>IF(T22=0,0,X22/T22)</f>
        <v>0</v>
      </c>
    </row>
    <row r="23" spans="1:26" x14ac:dyDescent="0.3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5">
      <c r="A24" s="51"/>
      <c r="B24" s="10" t="s">
        <v>13</v>
      </c>
      <c r="C24" s="10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0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3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4">
      <c r="A26" s="10"/>
      <c r="B26" s="28" t="s">
        <v>4</v>
      </c>
      <c r="C26" s="28"/>
      <c r="D26" s="34">
        <f>+D22-D24</f>
        <v>0</v>
      </c>
      <c r="E26" s="14"/>
      <c r="F26" s="32">
        <f>IF(D$12=0,0,D26/D$12)</f>
        <v>0</v>
      </c>
      <c r="G26" s="14"/>
      <c r="H26" s="34">
        <f>+H22-H24</f>
        <v>0</v>
      </c>
      <c r="I26" s="14"/>
      <c r="J26" s="32">
        <f>IF(H$12=0,0,H26/H$12)</f>
        <v>0</v>
      </c>
      <c r="K26" s="15"/>
      <c r="L26" s="34">
        <f>D26-H26</f>
        <v>0</v>
      </c>
      <c r="M26" s="15"/>
      <c r="N26" s="32">
        <f>IF(H26=0,0,L26/H26)</f>
        <v>0</v>
      </c>
      <c r="O26" s="29"/>
      <c r="P26" s="34">
        <f>+P22-P24</f>
        <v>0</v>
      </c>
      <c r="Q26" s="14"/>
      <c r="R26" s="32">
        <f>IF(P$12=0,0,P26/P$12)</f>
        <v>0</v>
      </c>
      <c r="S26" s="14"/>
      <c r="T26" s="34">
        <f>+T22-T24</f>
        <v>0</v>
      </c>
      <c r="U26" s="14"/>
      <c r="V26" s="32">
        <f>IF(T$12=0,0,T26/T$12)</f>
        <v>0</v>
      </c>
      <c r="W26" s="15"/>
      <c r="X26" s="34">
        <f>P26-T26</f>
        <v>0</v>
      </c>
      <c r="Y26" s="15"/>
      <c r="Z26" s="32">
        <f>IF(T26=0,0,X26/T26)</f>
        <v>0</v>
      </c>
    </row>
    <row r="27" spans="1:26" ht="15" thickTop="1" x14ac:dyDescent="0.3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5">
      <c r="A28" s="51"/>
      <c r="B28" s="10" t="s">
        <v>2</v>
      </c>
      <c r="C28" s="10"/>
      <c r="D28" s="4">
        <f>--322360.04</f>
        <v>322360.03999999998</v>
      </c>
      <c r="E28" s="4"/>
      <c r="F28" s="13">
        <f t="shared" ref="F28:F29" si="0">IF(D$12=0,0,D28/D$12)</f>
        <v>0</v>
      </c>
      <c r="G28" s="4"/>
      <c r="H28" s="4">
        <f>--12494.53</f>
        <v>12494.53</v>
      </c>
      <c r="I28" s="4"/>
      <c r="J28" s="13">
        <f t="shared" ref="J28:J29" si="1">IF(H$12=0,0,H28/H$12)</f>
        <v>0</v>
      </c>
      <c r="K28" s="4"/>
      <c r="L28" s="4">
        <f t="shared" ref="L28:L29" si="2">+D28-H28</f>
        <v>309865.50999999995</v>
      </c>
      <c r="M28" s="4"/>
      <c r="N28" s="13">
        <f t="shared" ref="N28:N29" si="3">IF(H28=0,0,L28/H28)</f>
        <v>24.800093320837192</v>
      </c>
      <c r="O28" s="10"/>
      <c r="P28" s="4">
        <f>-36911.48</f>
        <v>-36911.480000000003</v>
      </c>
      <c r="Q28" s="4"/>
      <c r="R28" s="13">
        <f t="shared" ref="R28:R29" si="4">IF(P$12=0,0,P28/P$12)</f>
        <v>0</v>
      </c>
      <c r="S28" s="4"/>
      <c r="T28" s="4">
        <f>-494428.15</f>
        <v>-494428.15</v>
      </c>
      <c r="U28" s="4"/>
      <c r="V28" s="13">
        <f t="shared" ref="V28:V29" si="5">IF(T$12=0,0,T28/T$12)</f>
        <v>0</v>
      </c>
      <c r="W28" s="4"/>
      <c r="X28" s="4">
        <f t="shared" ref="X28:X29" si="6">+P28-T28</f>
        <v>457516.67000000004</v>
      </c>
      <c r="Y28" s="4"/>
      <c r="Z28" s="13">
        <f t="shared" ref="Z28:Z29" si="7">IF(T28=0,0,X28/T28)</f>
        <v>-0.92534510828317529</v>
      </c>
    </row>
    <row r="29" spans="1:26" s="23" customFormat="1" x14ac:dyDescent="0.35">
      <c r="A29" s="51"/>
      <c r="B29" s="10" t="s">
        <v>1</v>
      </c>
      <c r="C29" s="10"/>
      <c r="D29" s="4">
        <f>--56882.15</f>
        <v>56882.15</v>
      </c>
      <c r="E29" s="4"/>
      <c r="F29" s="13">
        <f t="shared" si="0"/>
        <v>0</v>
      </c>
      <c r="G29" s="4"/>
      <c r="H29" s="4">
        <f>--431960.18</f>
        <v>431960.18</v>
      </c>
      <c r="I29" s="4"/>
      <c r="J29" s="13">
        <f t="shared" si="1"/>
        <v>0</v>
      </c>
      <c r="K29" s="4"/>
      <c r="L29" s="4">
        <f t="shared" si="2"/>
        <v>-375078.02999999997</v>
      </c>
      <c r="M29" s="4"/>
      <c r="N29" s="13">
        <f t="shared" si="3"/>
        <v>-0.8683162184069837</v>
      </c>
      <c r="O29" s="10"/>
      <c r="P29" s="4">
        <f>--324468.28</f>
        <v>324468.28000000003</v>
      </c>
      <c r="Q29" s="4"/>
      <c r="R29" s="13">
        <f t="shared" si="4"/>
        <v>0</v>
      </c>
      <c r="S29" s="4"/>
      <c r="T29" s="4">
        <f>--839538.06</f>
        <v>839538.06</v>
      </c>
      <c r="U29" s="4"/>
      <c r="V29" s="13">
        <f t="shared" si="5"/>
        <v>0</v>
      </c>
      <c r="W29" s="4"/>
      <c r="X29" s="4">
        <f t="shared" si="6"/>
        <v>-515069.78</v>
      </c>
      <c r="Y29" s="4"/>
      <c r="Z29" s="13">
        <f t="shared" si="7"/>
        <v>-0.61351569933589434</v>
      </c>
    </row>
    <row r="30" spans="1:26" x14ac:dyDescent="0.3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5</v>
      </c>
      <c r="C31" s="28"/>
      <c r="D31" s="35">
        <f>SUM(D26:D30)</f>
        <v>379242.19</v>
      </c>
      <c r="E31" s="14"/>
      <c r="F31" s="33">
        <f>IF(D$12=0,0,D31/D$12)</f>
        <v>0</v>
      </c>
      <c r="G31" s="14"/>
      <c r="H31" s="35">
        <f>SUM(H26:H30)</f>
        <v>444454.71</v>
      </c>
      <c r="I31" s="14"/>
      <c r="J31" s="33">
        <f>IF(H$12=0,0,H31/H$12)</f>
        <v>0</v>
      </c>
      <c r="K31" s="15"/>
      <c r="L31" s="35">
        <f>+D31-H31</f>
        <v>-65212.520000000019</v>
      </c>
      <c r="M31" s="15"/>
      <c r="N31" s="33">
        <f>IF(H31=0,0,L31/H31)</f>
        <v>-0.14672478102437034</v>
      </c>
      <c r="O31" s="29"/>
      <c r="P31" s="35">
        <f>SUM(P26:P30)</f>
        <v>287556.80000000005</v>
      </c>
      <c r="Q31" s="14"/>
      <c r="R31" s="33">
        <f>IF(P$12=0,0,P31/P$12)</f>
        <v>0</v>
      </c>
      <c r="S31" s="14"/>
      <c r="T31" s="35">
        <f>SUM(T26:T30)</f>
        <v>345109.91000000003</v>
      </c>
      <c r="U31" s="14"/>
      <c r="V31" s="33">
        <f>IF(T$12=0,0,T31/T$12)</f>
        <v>0</v>
      </c>
      <c r="W31" s="15"/>
      <c r="X31" s="35">
        <f>+P31-T31</f>
        <v>-57553.109999999986</v>
      </c>
      <c r="Y31" s="15"/>
      <c r="Z31" s="33">
        <f>IF(T31=0,0,X31/T31)</f>
        <v>-0.16676747996022478</v>
      </c>
    </row>
    <row r="32" spans="1:26" ht="15" thickTop="1" x14ac:dyDescent="0.3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5">
      <c r="A33" s="9"/>
      <c r="B33" s="52">
        <v>44043.522562731479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5">
      <c r="A34" s="9"/>
      <c r="B34" s="61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5">
      <c r="A35" s="9"/>
      <c r="B35" s="54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295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298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1014635.2799999997</v>
      </c>
      <c r="E18" s="20"/>
      <c r="F18" s="36">
        <f t="shared" ref="F18:F30" si="0">IF(D$12=0,0,D18/D$12)</f>
        <v>0</v>
      </c>
      <c r="G18" s="20"/>
      <c r="H18" s="20">
        <f>SUM(OSRRefH22x_0)</f>
        <v>-1088707.1599999997</v>
      </c>
      <c r="I18" s="20"/>
      <c r="J18" s="36">
        <f t="shared" ref="J18:J30" si="1">IF(H$12=0,0,H18/H$12)</f>
        <v>0</v>
      </c>
      <c r="K18" s="4"/>
      <c r="L18" s="20">
        <f t="shared" ref="L18:L30" si="2">+D18-H18</f>
        <v>2103342.4399999995</v>
      </c>
      <c r="M18" s="4"/>
      <c r="N18" s="36">
        <f t="shared" ref="N18:N30" si="3">IF(H18=0,0,L18/H18)</f>
        <v>-1.9319634491978541</v>
      </c>
      <c r="O18" s="10"/>
      <c r="P18" s="20">
        <f>SUM(OSRRefP22x_0)</f>
        <v>4336174.9600000018</v>
      </c>
      <c r="Q18" s="20"/>
      <c r="R18" s="36">
        <f t="shared" ref="R18:R30" si="4">IF(P$12=0,0,P18/P$12)</f>
        <v>0</v>
      </c>
      <c r="S18" s="20"/>
      <c r="T18" s="20">
        <f>SUM(OSRRefT22x_0)</f>
        <v>2547288.4900000007</v>
      </c>
      <c r="U18" s="20"/>
      <c r="V18" s="36">
        <f t="shared" ref="V18:V30" si="5">IF(T$12=0,0,T18/T$12)</f>
        <v>0</v>
      </c>
      <c r="W18" s="4"/>
      <c r="X18" s="20">
        <f t="shared" ref="X18:X30" si="6">+P18-T18</f>
        <v>1788886.4700000011</v>
      </c>
      <c r="Y18" s="4"/>
      <c r="Z18" s="36">
        <f t="shared" ref="Z18:Z30" si="7">IF(T18=0,0,X18/T18)</f>
        <v>0.70227085664725819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699219.7799999998</v>
      </c>
      <c r="E19" s="1"/>
      <c r="F19" s="5">
        <f t="shared" si="0"/>
        <v>0</v>
      </c>
      <c r="G19" s="1"/>
      <c r="H19" s="1">
        <f>SUM(OSRRefH22_0x_0)</f>
        <v>-1653975.8399999999</v>
      </c>
      <c r="I19" s="1"/>
      <c r="J19" s="5">
        <f t="shared" si="1"/>
        <v>0</v>
      </c>
      <c r="K19" s="1"/>
      <c r="L19" s="1">
        <f t="shared" si="2"/>
        <v>2353195.6199999996</v>
      </c>
      <c r="M19" s="1"/>
      <c r="N19" s="5">
        <f t="shared" si="3"/>
        <v>-1.4227509030603493</v>
      </c>
      <c r="O19" s="12"/>
      <c r="P19" s="1">
        <f>SUM(OSRRefP22_0x_0)</f>
        <v>1648724.61</v>
      </c>
      <c r="Q19" s="1"/>
      <c r="R19" s="5">
        <f t="shared" si="4"/>
        <v>0</v>
      </c>
      <c r="S19" s="1"/>
      <c r="T19" s="1">
        <f>SUM(OSRRefT22_0x_0)</f>
        <v>-577928.51</v>
      </c>
      <c r="U19" s="1"/>
      <c r="V19" s="5">
        <f t="shared" si="5"/>
        <v>0</v>
      </c>
      <c r="W19" s="1"/>
      <c r="X19" s="1">
        <f t="shared" si="6"/>
        <v>2226653.12</v>
      </c>
      <c r="Y19" s="1"/>
      <c r="Z19" s="5">
        <f t="shared" si="7"/>
        <v>-3.8528175742705617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>
        <v>7105.59</v>
      </c>
      <c r="E20" s="2"/>
      <c r="F20" s="6">
        <f t="shared" si="0"/>
        <v>0</v>
      </c>
      <c r="G20" s="2"/>
      <c r="H20" s="7">
        <v>8820.0499999999993</v>
      </c>
      <c r="I20" s="2"/>
      <c r="J20" s="6">
        <f t="shared" si="1"/>
        <v>0</v>
      </c>
      <c r="K20" s="2"/>
      <c r="L20" s="7">
        <f t="shared" si="2"/>
        <v>-1714.4599999999991</v>
      </c>
      <c r="M20" s="2"/>
      <c r="N20" s="6">
        <f t="shared" si="3"/>
        <v>-0.19438211801520391</v>
      </c>
      <c r="O20" s="11"/>
      <c r="P20" s="7">
        <v>112892.49</v>
      </c>
      <c r="Q20" s="2"/>
      <c r="R20" s="6">
        <f t="shared" si="4"/>
        <v>0</v>
      </c>
      <c r="S20" s="2"/>
      <c r="T20" s="7">
        <v>121125.53</v>
      </c>
      <c r="U20" s="2"/>
      <c r="V20" s="6">
        <f t="shared" si="5"/>
        <v>0</v>
      </c>
      <c r="W20" s="2"/>
      <c r="X20" s="7">
        <f t="shared" si="6"/>
        <v>-8233.0399999999936</v>
      </c>
      <c r="Y20" s="2"/>
      <c r="Z20" s="6">
        <f t="shared" si="7"/>
        <v>-6.7971137050958572E-2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599.51</v>
      </c>
      <c r="E21" s="2"/>
      <c r="F21" s="6">
        <f t="shared" si="0"/>
        <v>0</v>
      </c>
      <c r="G21" s="2"/>
      <c r="H21" s="7">
        <v>805.58</v>
      </c>
      <c r="I21" s="2"/>
      <c r="J21" s="6">
        <f t="shared" si="1"/>
        <v>0</v>
      </c>
      <c r="K21" s="2"/>
      <c r="L21" s="7">
        <f t="shared" si="2"/>
        <v>-206.07000000000005</v>
      </c>
      <c r="M21" s="2"/>
      <c r="N21" s="6">
        <f t="shared" si="3"/>
        <v>-0.25580327217656851</v>
      </c>
      <c r="O21" s="11"/>
      <c r="P21" s="7">
        <v>8259.33</v>
      </c>
      <c r="Q21" s="2"/>
      <c r="R21" s="6">
        <f t="shared" si="4"/>
        <v>0</v>
      </c>
      <c r="S21" s="2"/>
      <c r="T21" s="7">
        <v>7157.49</v>
      </c>
      <c r="U21" s="2"/>
      <c r="V21" s="6">
        <f t="shared" si="5"/>
        <v>0</v>
      </c>
      <c r="W21" s="2"/>
      <c r="X21" s="7">
        <f t="shared" si="6"/>
        <v>1101.8400000000001</v>
      </c>
      <c r="Y21" s="2"/>
      <c r="Z21" s="6">
        <f t="shared" si="7"/>
        <v>0.15394223393955145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>
        <v>22589.05</v>
      </c>
      <c r="E22" s="2"/>
      <c r="F22" s="6">
        <f t="shared" si="0"/>
        <v>0</v>
      </c>
      <c r="G22" s="2"/>
      <c r="H22" s="7">
        <v>22680.400000000001</v>
      </c>
      <c r="I22" s="2"/>
      <c r="J22" s="6">
        <f t="shared" si="1"/>
        <v>0</v>
      </c>
      <c r="K22" s="2"/>
      <c r="L22" s="7">
        <f t="shared" si="2"/>
        <v>-91.350000000002183</v>
      </c>
      <c r="M22" s="2"/>
      <c r="N22" s="6">
        <f t="shared" si="3"/>
        <v>-4.0277067423855921E-3</v>
      </c>
      <c r="O22" s="11"/>
      <c r="P22" s="7">
        <v>275749.85000000003</v>
      </c>
      <c r="Q22" s="2"/>
      <c r="R22" s="6">
        <f t="shared" si="4"/>
        <v>0</v>
      </c>
      <c r="S22" s="2"/>
      <c r="T22" s="7">
        <v>313529.71999999997</v>
      </c>
      <c r="U22" s="2"/>
      <c r="V22" s="6">
        <f t="shared" si="5"/>
        <v>0</v>
      </c>
      <c r="W22" s="2"/>
      <c r="X22" s="7">
        <f t="shared" si="6"/>
        <v>-37779.869999999937</v>
      </c>
      <c r="Y22" s="2"/>
      <c r="Z22" s="6">
        <f t="shared" si="7"/>
        <v>-0.12049852881570507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-4238.08</v>
      </c>
      <c r="E23" s="2"/>
      <c r="F23" s="6">
        <f t="shared" si="0"/>
        <v>0</v>
      </c>
      <c r="G23" s="2"/>
      <c r="H23" s="7">
        <v>462.05</v>
      </c>
      <c r="I23" s="2"/>
      <c r="J23" s="6">
        <f t="shared" si="1"/>
        <v>0</v>
      </c>
      <c r="K23" s="2"/>
      <c r="L23" s="7">
        <f t="shared" si="2"/>
        <v>-4700.13</v>
      </c>
      <c r="M23" s="2"/>
      <c r="N23" s="6">
        <f t="shared" si="3"/>
        <v>-10.172340655773185</v>
      </c>
      <c r="O23" s="11"/>
      <c r="P23" s="7">
        <v>0</v>
      </c>
      <c r="Q23" s="2"/>
      <c r="R23" s="6">
        <f t="shared" si="4"/>
        <v>0</v>
      </c>
      <c r="S23" s="2"/>
      <c r="T23" s="7">
        <v>4765.53</v>
      </c>
      <c r="U23" s="2"/>
      <c r="V23" s="6">
        <f t="shared" si="5"/>
        <v>0</v>
      </c>
      <c r="W23" s="2"/>
      <c r="X23" s="7">
        <f t="shared" si="6"/>
        <v>-4765.53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>
        <v>830630.16999999993</v>
      </c>
      <c r="E24" s="2"/>
      <c r="F24" s="6">
        <f t="shared" si="0"/>
        <v>0</v>
      </c>
      <c r="G24" s="2"/>
      <c r="H24" s="7">
        <v>160987</v>
      </c>
      <c r="I24" s="2"/>
      <c r="J24" s="6">
        <f t="shared" si="1"/>
        <v>0</v>
      </c>
      <c r="K24" s="2"/>
      <c r="L24" s="7">
        <f t="shared" si="2"/>
        <v>669643.16999999993</v>
      </c>
      <c r="M24" s="2"/>
      <c r="N24" s="6">
        <f t="shared" si="3"/>
        <v>4.1596102169740412</v>
      </c>
      <c r="O24" s="11"/>
      <c r="P24" s="7">
        <v>925085.05</v>
      </c>
      <c r="Q24" s="2"/>
      <c r="R24" s="6">
        <f t="shared" si="4"/>
        <v>0</v>
      </c>
      <c r="S24" s="2"/>
      <c r="T24" s="7">
        <v>265106.97000000003</v>
      </c>
      <c r="U24" s="2"/>
      <c r="V24" s="6">
        <f t="shared" si="5"/>
        <v>0</v>
      </c>
      <c r="W24" s="2"/>
      <c r="X24" s="7">
        <f t="shared" si="6"/>
        <v>659978.08000000007</v>
      </c>
      <c r="Y24" s="2"/>
      <c r="Z24" s="6">
        <f t="shared" si="7"/>
        <v>2.4894784169575019</v>
      </c>
    </row>
    <row r="25" spans="1:26" s="24" customFormat="1" hidden="1" outlineLevel="2" x14ac:dyDescent="0.35">
      <c r="A25" s="27"/>
      <c r="B25" s="11" t="str">
        <f>CONCATENATE("          ", "6116", " - ", "EDUCATIONAL BENEFITS")</f>
        <v xml:space="preserve">          6116 - EDUCATIONAL BENEFITS</v>
      </c>
      <c r="C25" s="11"/>
      <c r="D25" s="7">
        <v>744</v>
      </c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744</v>
      </c>
      <c r="M25" s="2"/>
      <c r="N25" s="6">
        <f t="shared" si="3"/>
        <v>0</v>
      </c>
      <c r="O25" s="11"/>
      <c r="P25" s="7">
        <v>5814.88</v>
      </c>
      <c r="Q25" s="2"/>
      <c r="R25" s="6">
        <f t="shared" si="4"/>
        <v>0</v>
      </c>
      <c r="S25" s="2"/>
      <c r="T25" s="7">
        <v>2451.4</v>
      </c>
      <c r="U25" s="2"/>
      <c r="V25" s="6">
        <f t="shared" si="5"/>
        <v>0</v>
      </c>
      <c r="W25" s="2"/>
      <c r="X25" s="7">
        <f t="shared" si="6"/>
        <v>3363.48</v>
      </c>
      <c r="Y25" s="2"/>
      <c r="Z25" s="6">
        <f t="shared" si="7"/>
        <v>1.372064942481847</v>
      </c>
    </row>
    <row r="26" spans="1:26" s="24" customFormat="1" hidden="1" outlineLevel="2" x14ac:dyDescent="0.3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634.21</v>
      </c>
      <c r="E26" s="2"/>
      <c r="F26" s="6">
        <f t="shared" si="0"/>
        <v>0</v>
      </c>
      <c r="G26" s="2"/>
      <c r="H26" s="7">
        <v>621.11</v>
      </c>
      <c r="I26" s="2"/>
      <c r="J26" s="6">
        <f t="shared" si="1"/>
        <v>0</v>
      </c>
      <c r="K26" s="2"/>
      <c r="L26" s="7">
        <f t="shared" si="2"/>
        <v>13.100000000000023</v>
      </c>
      <c r="M26" s="2"/>
      <c r="N26" s="6">
        <f t="shared" si="3"/>
        <v>2.1091272077409833E-2</v>
      </c>
      <c r="O26" s="11"/>
      <c r="P26" s="7">
        <v>10118.870000000001</v>
      </c>
      <c r="Q26" s="2"/>
      <c r="R26" s="6">
        <f t="shared" si="4"/>
        <v>0</v>
      </c>
      <c r="S26" s="2"/>
      <c r="T26" s="7">
        <v>4840.91</v>
      </c>
      <c r="U26" s="2"/>
      <c r="V26" s="6">
        <f t="shared" si="5"/>
        <v>0</v>
      </c>
      <c r="W26" s="2"/>
      <c r="X26" s="7">
        <f t="shared" si="6"/>
        <v>5277.9600000000009</v>
      </c>
      <c r="Y26" s="2"/>
      <c r="Z26" s="6">
        <f t="shared" si="7"/>
        <v>1.0902826121535003</v>
      </c>
    </row>
    <row r="27" spans="1:26" s="24" customFormat="1" hidden="1" outlineLevel="2" x14ac:dyDescent="0.35">
      <c r="A27" s="27"/>
      <c r="B27" s="11" t="str">
        <f>CONCATENATE("          ", "6118", " - ", "VACATION")</f>
        <v xml:space="preserve">          6118 - VACATION</v>
      </c>
      <c r="C27" s="11"/>
      <c r="D27" s="7">
        <v>5486.99</v>
      </c>
      <c r="E27" s="2"/>
      <c r="F27" s="6">
        <f t="shared" si="0"/>
        <v>0</v>
      </c>
      <c r="G27" s="2"/>
      <c r="H27" s="7">
        <v>7364.96</v>
      </c>
      <c r="I27" s="2"/>
      <c r="J27" s="6">
        <f t="shared" si="1"/>
        <v>0</v>
      </c>
      <c r="K27" s="2"/>
      <c r="L27" s="7">
        <f t="shared" si="2"/>
        <v>-1877.9700000000003</v>
      </c>
      <c r="M27" s="2"/>
      <c r="N27" s="6">
        <f t="shared" si="3"/>
        <v>-0.25498712823966463</v>
      </c>
      <c r="O27" s="11"/>
      <c r="P27" s="7">
        <v>98550.01</v>
      </c>
      <c r="Q27" s="2"/>
      <c r="R27" s="6">
        <f t="shared" si="4"/>
        <v>0</v>
      </c>
      <c r="S27" s="2"/>
      <c r="T27" s="7">
        <v>112221.31</v>
      </c>
      <c r="U27" s="2"/>
      <c r="V27" s="6">
        <f t="shared" si="5"/>
        <v>0</v>
      </c>
      <c r="W27" s="2"/>
      <c r="X27" s="7">
        <f t="shared" si="6"/>
        <v>-13671.300000000003</v>
      </c>
      <c r="Y27" s="2"/>
      <c r="Z27" s="6">
        <f t="shared" si="7"/>
        <v>-0.12182445562255514</v>
      </c>
    </row>
    <row r="28" spans="1:26" s="24" customFormat="1" hidden="1" outlineLevel="2" x14ac:dyDescent="0.35">
      <c r="A28" s="27"/>
      <c r="B28" s="11" t="str">
        <f>CONCATENATE("          ", "6119", " - ", "SICK LEAVE")</f>
        <v xml:space="preserve">          6119 - SICK LEAVE</v>
      </c>
      <c r="C28" s="11"/>
      <c r="D28" s="7">
        <v>4151.12</v>
      </c>
      <c r="E28" s="2"/>
      <c r="F28" s="6">
        <f t="shared" si="0"/>
        <v>0</v>
      </c>
      <c r="G28" s="2"/>
      <c r="H28" s="7">
        <v>1595.41</v>
      </c>
      <c r="I28" s="2"/>
      <c r="J28" s="6">
        <f t="shared" si="1"/>
        <v>0</v>
      </c>
      <c r="K28" s="2"/>
      <c r="L28" s="7">
        <f t="shared" si="2"/>
        <v>2555.71</v>
      </c>
      <c r="M28" s="2"/>
      <c r="N28" s="6">
        <f t="shared" si="3"/>
        <v>1.6019142414802463</v>
      </c>
      <c r="O28" s="11"/>
      <c r="P28" s="7">
        <v>40659.72</v>
      </c>
      <c r="Q28" s="2"/>
      <c r="R28" s="6">
        <f t="shared" si="4"/>
        <v>0</v>
      </c>
      <c r="S28" s="2"/>
      <c r="T28" s="7">
        <v>64536.86</v>
      </c>
      <c r="U28" s="2"/>
      <c r="V28" s="6">
        <f t="shared" si="5"/>
        <v>0</v>
      </c>
      <c r="W28" s="2"/>
      <c r="X28" s="7">
        <f t="shared" si="6"/>
        <v>-23877.14</v>
      </c>
      <c r="Y28" s="2"/>
      <c r="Z28" s="6">
        <f t="shared" si="7"/>
        <v>-0.36997678535956041</v>
      </c>
    </row>
    <row r="29" spans="1:26" s="24" customFormat="1" hidden="1" outlineLevel="2" x14ac:dyDescent="0.35">
      <c r="A29" s="27"/>
      <c r="B29" s="11" t="str">
        <f>CONCATENATE("          ", "6120", " - ", "RETIREES HEALTH INSURANCE")</f>
        <v xml:space="preserve">          6120 - RETIREES HEALTH INSURANCE</v>
      </c>
      <c r="C29" s="11"/>
      <c r="D29" s="7">
        <v>-169010.78</v>
      </c>
      <c r="E29" s="2"/>
      <c r="F29" s="6">
        <f t="shared" si="0"/>
        <v>0</v>
      </c>
      <c r="G29" s="2"/>
      <c r="H29" s="7">
        <v>-1859377.95</v>
      </c>
      <c r="I29" s="2"/>
      <c r="J29" s="6">
        <f t="shared" si="1"/>
        <v>0</v>
      </c>
      <c r="K29" s="2"/>
      <c r="L29" s="7">
        <f t="shared" si="2"/>
        <v>1690367.17</v>
      </c>
      <c r="M29" s="2"/>
      <c r="N29" s="6">
        <f t="shared" si="3"/>
        <v>-0.90910359026253917</v>
      </c>
      <c r="O29" s="11"/>
      <c r="P29" s="7">
        <v>148985.03</v>
      </c>
      <c r="Q29" s="2"/>
      <c r="R29" s="6">
        <f t="shared" si="4"/>
        <v>0</v>
      </c>
      <c r="S29" s="2"/>
      <c r="T29" s="7">
        <v>-1503756.3</v>
      </c>
      <c r="U29" s="2"/>
      <c r="V29" s="6">
        <f t="shared" si="5"/>
        <v>0</v>
      </c>
      <c r="W29" s="2"/>
      <c r="X29" s="7">
        <f t="shared" si="6"/>
        <v>1652741.33</v>
      </c>
      <c r="Y29" s="2"/>
      <c r="Z29" s="6">
        <f t="shared" si="7"/>
        <v>-1.0990752490945508</v>
      </c>
    </row>
    <row r="30" spans="1:26" s="24" customFormat="1" hidden="1" outlineLevel="2" x14ac:dyDescent="0.35">
      <c r="A30" s="27"/>
      <c r="B30" s="11" t="str">
        <f>CONCATENATE("          ", "6156", " - ", "EMPLOYEE MEALS")</f>
        <v xml:space="preserve">          6156 - EMPLOYEE MEALS</v>
      </c>
      <c r="C30" s="11"/>
      <c r="D30" s="7">
        <v>528</v>
      </c>
      <c r="E30" s="2"/>
      <c r="F30" s="6">
        <f t="shared" si="0"/>
        <v>0</v>
      </c>
      <c r="G30" s="2"/>
      <c r="H30" s="7">
        <v>2065.5500000000002</v>
      </c>
      <c r="I30" s="2"/>
      <c r="J30" s="6">
        <f t="shared" si="1"/>
        <v>0</v>
      </c>
      <c r="K30" s="2"/>
      <c r="L30" s="7">
        <f t="shared" si="2"/>
        <v>-1537.5500000000002</v>
      </c>
      <c r="M30" s="2"/>
      <c r="N30" s="6">
        <f t="shared" si="3"/>
        <v>-0.74437801069932952</v>
      </c>
      <c r="O30" s="11"/>
      <c r="P30" s="7">
        <v>22609.38</v>
      </c>
      <c r="Q30" s="2"/>
      <c r="R30" s="6">
        <f t="shared" si="4"/>
        <v>0</v>
      </c>
      <c r="S30" s="2"/>
      <c r="T30" s="7">
        <v>30092.070000000003</v>
      </c>
      <c r="U30" s="2"/>
      <c r="V30" s="6">
        <f t="shared" si="5"/>
        <v>0</v>
      </c>
      <c r="W30" s="2"/>
      <c r="X30" s="7">
        <f t="shared" si="6"/>
        <v>-7482.6900000000023</v>
      </c>
      <c r="Y30" s="2"/>
      <c r="Z30" s="6">
        <f t="shared" si="7"/>
        <v>-0.24865986288081882</v>
      </c>
    </row>
    <row r="31" spans="1:26" s="25" customFormat="1" outlineLevel="1" collapsed="1" x14ac:dyDescent="0.35">
      <c r="A31" s="26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287985.74000000005</v>
      </c>
      <c r="E31" s="1"/>
      <c r="F31" s="5">
        <f t="shared" ref="F31:F38" si="8">IF(D$12=0,0,D31/D$12)</f>
        <v>0</v>
      </c>
      <c r="G31" s="1"/>
      <c r="H31" s="1">
        <f>SUM(OSRRefH22_1x_0)</f>
        <v>475158.82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-187173.07999999996</v>
      </c>
      <c r="M31" s="1"/>
      <c r="N31" s="5">
        <f t="shared" ref="N31:N38" si="11">IF(H31=0,0,L31/H31)</f>
        <v>-0.39391688025490079</v>
      </c>
      <c r="O31" s="12"/>
      <c r="P31" s="1">
        <f>SUM(OSRRefP22_1x_0)</f>
        <v>1515617.82</v>
      </c>
      <c r="Q31" s="1"/>
      <c r="R31" s="5">
        <f t="shared" ref="R31:R38" si="12">IF(P$12=0,0,P31/P$12)</f>
        <v>0</v>
      </c>
      <c r="S31" s="1"/>
      <c r="T31" s="1">
        <f>SUM(OSRRefT22_1x_0)</f>
        <v>1849559.44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-333941.61999999988</v>
      </c>
      <c r="Y31" s="1"/>
      <c r="Z31" s="5">
        <f t="shared" ref="Z31:Z38" si="15">IF(T31=0,0,X31/T31)</f>
        <v>-0.1805519805300228</v>
      </c>
    </row>
    <row r="32" spans="1:26" s="24" customFormat="1" hidden="1" outlineLevel="2" x14ac:dyDescent="0.3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24034.959999999999</v>
      </c>
      <c r="E32" s="2"/>
      <c r="F32" s="6">
        <f t="shared" si="8"/>
        <v>0</v>
      </c>
      <c r="G32" s="2"/>
      <c r="H32" s="7">
        <v>33274.780000000006</v>
      </c>
      <c r="I32" s="2"/>
      <c r="J32" s="6">
        <f t="shared" si="9"/>
        <v>0</v>
      </c>
      <c r="K32" s="2"/>
      <c r="L32" s="7">
        <f t="shared" si="10"/>
        <v>-9239.820000000007</v>
      </c>
      <c r="M32" s="2"/>
      <c r="N32" s="6">
        <f t="shared" si="11"/>
        <v>-0.27768237686319808</v>
      </c>
      <c r="O32" s="11"/>
      <c r="P32" s="7">
        <v>299345.38</v>
      </c>
      <c r="Q32" s="2"/>
      <c r="R32" s="6">
        <f t="shared" si="12"/>
        <v>0</v>
      </c>
      <c r="S32" s="2"/>
      <c r="T32" s="7">
        <v>458777.32999999996</v>
      </c>
      <c r="U32" s="2"/>
      <c r="V32" s="6">
        <f t="shared" si="13"/>
        <v>0</v>
      </c>
      <c r="W32" s="2"/>
      <c r="X32" s="7">
        <f t="shared" si="14"/>
        <v>-159431.94999999995</v>
      </c>
      <c r="Y32" s="2"/>
      <c r="Z32" s="6">
        <f t="shared" si="15"/>
        <v>-0.34751488265560104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>
        <v>37674.400000000001</v>
      </c>
      <c r="E33" s="2"/>
      <c r="F33" s="6">
        <f t="shared" si="8"/>
        <v>0</v>
      </c>
      <c r="G33" s="2"/>
      <c r="H33" s="7">
        <v>40615.870000000003</v>
      </c>
      <c r="I33" s="2"/>
      <c r="J33" s="6">
        <f t="shared" si="9"/>
        <v>0</v>
      </c>
      <c r="K33" s="2"/>
      <c r="L33" s="7">
        <f t="shared" si="10"/>
        <v>-2941.4700000000012</v>
      </c>
      <c r="M33" s="2"/>
      <c r="N33" s="6">
        <f t="shared" si="11"/>
        <v>-7.24216913241056E-2</v>
      </c>
      <c r="O33" s="11"/>
      <c r="P33" s="7">
        <v>561045.28</v>
      </c>
      <c r="Q33" s="2"/>
      <c r="R33" s="6">
        <f t="shared" si="12"/>
        <v>0</v>
      </c>
      <c r="S33" s="2"/>
      <c r="T33" s="7">
        <v>567634.40999999992</v>
      </c>
      <c r="U33" s="2"/>
      <c r="V33" s="6">
        <f t="shared" si="13"/>
        <v>0</v>
      </c>
      <c r="W33" s="2"/>
      <c r="X33" s="7">
        <f t="shared" si="14"/>
        <v>-6589.1299999998882</v>
      </c>
      <c r="Y33" s="2"/>
      <c r="Z33" s="6">
        <f t="shared" si="15"/>
        <v>-1.1608052443473061E-2</v>
      </c>
    </row>
    <row r="34" spans="1:26" s="24" customFormat="1" hidden="1" outlineLevel="2" x14ac:dyDescent="0.35">
      <c r="A34" s="27"/>
      <c r="B34" s="11" t="str">
        <f>CONCATENATE("          ", "6004", " - ", "STAFF HOURLY")</f>
        <v xml:space="preserve">          6004 - STAFF HOURLY</v>
      </c>
      <c r="C34" s="11"/>
      <c r="D34" s="7">
        <v>18448.52</v>
      </c>
      <c r="E34" s="2"/>
      <c r="F34" s="6">
        <f t="shared" si="8"/>
        <v>0</v>
      </c>
      <c r="G34" s="2"/>
      <c r="H34" s="7">
        <v>16257.92</v>
      </c>
      <c r="I34" s="2"/>
      <c r="J34" s="6">
        <f t="shared" si="9"/>
        <v>0</v>
      </c>
      <c r="K34" s="2"/>
      <c r="L34" s="7">
        <f t="shared" si="10"/>
        <v>2190.6000000000004</v>
      </c>
      <c r="M34" s="2"/>
      <c r="N34" s="6">
        <f t="shared" si="11"/>
        <v>0.13474048340747158</v>
      </c>
      <c r="O34" s="11"/>
      <c r="P34" s="7">
        <v>255605.09999999998</v>
      </c>
      <c r="Q34" s="2"/>
      <c r="R34" s="6">
        <f t="shared" si="12"/>
        <v>0</v>
      </c>
      <c r="S34" s="2"/>
      <c r="T34" s="7">
        <v>239121.2</v>
      </c>
      <c r="U34" s="2"/>
      <c r="V34" s="6">
        <f t="shared" si="13"/>
        <v>0</v>
      </c>
      <c r="W34" s="2"/>
      <c r="X34" s="7">
        <f t="shared" si="14"/>
        <v>16483.899999999965</v>
      </c>
      <c r="Y34" s="2"/>
      <c r="Z34" s="6">
        <f t="shared" si="15"/>
        <v>6.893533488456885E-2</v>
      </c>
    </row>
    <row r="35" spans="1:26" s="24" customFormat="1" hidden="1" outlineLevel="2" x14ac:dyDescent="0.3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6487.71</v>
      </c>
      <c r="E35" s="2"/>
      <c r="F35" s="6">
        <f t="shared" si="8"/>
        <v>0</v>
      </c>
      <c r="G35" s="2"/>
      <c r="H35" s="7">
        <v>8366.5400000000009</v>
      </c>
      <c r="I35" s="2"/>
      <c r="J35" s="6">
        <f t="shared" si="9"/>
        <v>0</v>
      </c>
      <c r="K35" s="2"/>
      <c r="L35" s="7">
        <f t="shared" si="10"/>
        <v>-1878.8300000000008</v>
      </c>
      <c r="M35" s="2"/>
      <c r="N35" s="6">
        <f t="shared" si="11"/>
        <v>-0.22456475436679926</v>
      </c>
      <c r="O35" s="11"/>
      <c r="P35" s="7">
        <v>114072.61</v>
      </c>
      <c r="Q35" s="2"/>
      <c r="R35" s="6">
        <f t="shared" si="12"/>
        <v>0</v>
      </c>
      <c r="S35" s="2"/>
      <c r="T35" s="7">
        <v>98225.72</v>
      </c>
      <c r="U35" s="2"/>
      <c r="V35" s="6">
        <f t="shared" si="13"/>
        <v>0</v>
      </c>
      <c r="W35" s="2"/>
      <c r="X35" s="7">
        <f t="shared" si="14"/>
        <v>15846.89</v>
      </c>
      <c r="Y35" s="2"/>
      <c r="Z35" s="6">
        <f t="shared" si="15"/>
        <v>0.16133137023582009</v>
      </c>
    </row>
    <row r="36" spans="1:26" s="24" customFormat="1" hidden="1" outlineLevel="2" x14ac:dyDescent="0.3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1973.09</v>
      </c>
      <c r="I36" s="2"/>
      <c r="J36" s="6">
        <f t="shared" si="9"/>
        <v>0</v>
      </c>
      <c r="K36" s="2"/>
      <c r="L36" s="7">
        <f t="shared" si="10"/>
        <v>-1973.09</v>
      </c>
      <c r="M36" s="2"/>
      <c r="N36" s="6">
        <f t="shared" si="11"/>
        <v>-1</v>
      </c>
      <c r="O36" s="11"/>
      <c r="P36" s="7">
        <v>2361.4299999999998</v>
      </c>
      <c r="Q36" s="2"/>
      <c r="R36" s="6">
        <f t="shared" si="12"/>
        <v>0</v>
      </c>
      <c r="S36" s="2"/>
      <c r="T36" s="7">
        <v>21192.809999999998</v>
      </c>
      <c r="U36" s="2"/>
      <c r="V36" s="6">
        <f t="shared" si="13"/>
        <v>0</v>
      </c>
      <c r="W36" s="2"/>
      <c r="X36" s="7">
        <f t="shared" si="14"/>
        <v>-18831.379999999997</v>
      </c>
      <c r="Y36" s="2"/>
      <c r="Z36" s="6">
        <f t="shared" si="15"/>
        <v>-0.88857400222056437</v>
      </c>
    </row>
    <row r="37" spans="1:26" s="24" customFormat="1" hidden="1" outlineLevel="2" x14ac:dyDescent="0.35">
      <c r="A37" s="27"/>
      <c r="B37" s="11" t="str">
        <f>CONCATENATE("          ", "6007", " - ", "STUDENT HOURLY")</f>
        <v xml:space="preserve">          6007 - STUDENT HOURLY</v>
      </c>
      <c r="C37" s="11"/>
      <c r="D37" s="7">
        <v>200000</v>
      </c>
      <c r="E37" s="2"/>
      <c r="F37" s="6">
        <f t="shared" si="8"/>
        <v>0</v>
      </c>
      <c r="G37" s="2"/>
      <c r="H37" s="7">
        <v>373613.62</v>
      </c>
      <c r="I37" s="2"/>
      <c r="J37" s="6">
        <f t="shared" si="9"/>
        <v>0</v>
      </c>
      <c r="K37" s="2"/>
      <c r="L37" s="7">
        <f t="shared" si="10"/>
        <v>-173613.62</v>
      </c>
      <c r="M37" s="2"/>
      <c r="N37" s="6">
        <f t="shared" si="11"/>
        <v>-0.46468760962194045</v>
      </c>
      <c r="O37" s="11"/>
      <c r="P37" s="7">
        <v>262823.01</v>
      </c>
      <c r="Q37" s="2"/>
      <c r="R37" s="6">
        <f t="shared" si="12"/>
        <v>0</v>
      </c>
      <c r="S37" s="2"/>
      <c r="T37" s="7">
        <v>460589.97000000003</v>
      </c>
      <c r="U37" s="2"/>
      <c r="V37" s="6">
        <f t="shared" si="13"/>
        <v>0</v>
      </c>
      <c r="W37" s="2"/>
      <c r="X37" s="7">
        <f t="shared" si="14"/>
        <v>-197766.96000000002</v>
      </c>
      <c r="Y37" s="2"/>
      <c r="Z37" s="6">
        <f t="shared" si="15"/>
        <v>-0.42937747862811693</v>
      </c>
    </row>
    <row r="38" spans="1:26" s="24" customFormat="1" hidden="1" outlineLevel="2" x14ac:dyDescent="0.3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>
        <v>1340.15</v>
      </c>
      <c r="E38" s="2"/>
      <c r="F38" s="6">
        <f t="shared" si="8"/>
        <v>0</v>
      </c>
      <c r="G38" s="2"/>
      <c r="H38" s="7">
        <v>1057</v>
      </c>
      <c r="I38" s="2"/>
      <c r="J38" s="6">
        <f t="shared" si="9"/>
        <v>0</v>
      </c>
      <c r="K38" s="2"/>
      <c r="L38" s="7">
        <f t="shared" si="10"/>
        <v>283.15000000000009</v>
      </c>
      <c r="M38" s="2"/>
      <c r="N38" s="6">
        <f t="shared" si="11"/>
        <v>0.26788079470198684</v>
      </c>
      <c r="O38" s="11"/>
      <c r="P38" s="7">
        <v>20365.009999999998</v>
      </c>
      <c r="Q38" s="2"/>
      <c r="R38" s="6">
        <f t="shared" si="12"/>
        <v>0</v>
      </c>
      <c r="S38" s="2"/>
      <c r="T38" s="7">
        <v>4018</v>
      </c>
      <c r="U38" s="2"/>
      <c r="V38" s="6">
        <f t="shared" si="13"/>
        <v>0</v>
      </c>
      <c r="W38" s="2"/>
      <c r="X38" s="7">
        <f t="shared" si="14"/>
        <v>16347.009999999998</v>
      </c>
      <c r="Y38" s="2"/>
      <c r="Z38" s="6">
        <f t="shared" si="15"/>
        <v>4.06844449975112</v>
      </c>
    </row>
    <row r="39" spans="1:26" s="25" customFormat="1" outlineLevel="1" collapsed="1" x14ac:dyDescent="0.3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346.42</v>
      </c>
      <c r="E39" s="1"/>
      <c r="F39" s="5">
        <f t="shared" ref="F39:F47" si="16">IF(D$12=0,0,D39/D$12)</f>
        <v>0</v>
      </c>
      <c r="G39" s="1"/>
      <c r="H39" s="1">
        <f>SUM(OSRRefH22_2x_0)</f>
        <v>-3260.43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3606.85</v>
      </c>
      <c r="M39" s="1"/>
      <c r="N39" s="5">
        <f t="shared" ref="N39:N47" si="19">IF(H39=0,0,L39/H39)</f>
        <v>-1.1062497891382426</v>
      </c>
      <c r="O39" s="12"/>
      <c r="P39" s="1">
        <f>SUM(OSRRefP22_2x_0)</f>
        <v>-31034.710000000003</v>
      </c>
      <c r="Q39" s="1"/>
      <c r="R39" s="5">
        <f t="shared" ref="R39:R47" si="20">IF(P$12=0,0,P39/P$12)</f>
        <v>0</v>
      </c>
      <c r="S39" s="1"/>
      <c r="T39" s="1">
        <f>SUM(OSRRefT22_2x_0)</f>
        <v>-31574.21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539.49999999999636</v>
      </c>
      <c r="Y39" s="1"/>
      <c r="Z39" s="5">
        <f t="shared" ref="Z39:Z47" si="23">IF(T39=0,0,X39/T39)</f>
        <v>-1.7086729960939524E-2</v>
      </c>
    </row>
    <row r="40" spans="1:26" s="24" customFormat="1" hidden="1" outlineLevel="2" x14ac:dyDescent="0.35">
      <c r="A40" s="27"/>
      <c r="B40" s="11" t="str">
        <f>CONCATENATE("          ", "6362", " - ", "ADVERTISING EXPENSE")</f>
        <v xml:space="preserve">          6362 - ADVERTISING EXPENSE</v>
      </c>
      <c r="C40" s="11"/>
      <c r="D40" s="7">
        <v>346.42</v>
      </c>
      <c r="E40" s="2"/>
      <c r="F40" s="6">
        <f t="shared" si="16"/>
        <v>0</v>
      </c>
      <c r="G40" s="2"/>
      <c r="H40" s="7">
        <v>-3260.43</v>
      </c>
      <c r="I40" s="2"/>
      <c r="J40" s="6">
        <f t="shared" si="17"/>
        <v>0</v>
      </c>
      <c r="K40" s="2"/>
      <c r="L40" s="7">
        <f t="shared" si="18"/>
        <v>3606.85</v>
      </c>
      <c r="M40" s="2"/>
      <c r="N40" s="6">
        <f t="shared" si="19"/>
        <v>-1.1062497891382426</v>
      </c>
      <c r="O40" s="11"/>
      <c r="P40" s="7">
        <v>-31034.710000000003</v>
      </c>
      <c r="Q40" s="2"/>
      <c r="R40" s="6">
        <f t="shared" si="20"/>
        <v>0</v>
      </c>
      <c r="S40" s="2"/>
      <c r="T40" s="7">
        <v>-31574.21</v>
      </c>
      <c r="U40" s="2"/>
      <c r="V40" s="6">
        <f t="shared" si="21"/>
        <v>0</v>
      </c>
      <c r="W40" s="2"/>
      <c r="X40" s="7">
        <f t="shared" si="22"/>
        <v>539.49999999999636</v>
      </c>
      <c r="Y40" s="2"/>
      <c r="Z40" s="6">
        <f t="shared" si="23"/>
        <v>-1.7086729960939524E-2</v>
      </c>
    </row>
    <row r="41" spans="1:26" s="25" customFormat="1" outlineLevel="1" collapsed="1" x14ac:dyDescent="0.35">
      <c r="A41" s="26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SUM(OSRRefD22_3x_0)</f>
        <v>11.34</v>
      </c>
      <c r="E41" s="1"/>
      <c r="F41" s="5">
        <f t="shared" si="16"/>
        <v>0</v>
      </c>
      <c r="G41" s="1"/>
      <c r="H41" s="1">
        <f>SUM(OSRRefH22_3x_0)</f>
        <v>13154.27</v>
      </c>
      <c r="I41" s="1"/>
      <c r="J41" s="5">
        <f t="shared" si="17"/>
        <v>0</v>
      </c>
      <c r="K41" s="1"/>
      <c r="L41" s="1">
        <f t="shared" si="18"/>
        <v>-13142.93</v>
      </c>
      <c r="M41" s="1"/>
      <c r="N41" s="5">
        <f t="shared" si="19"/>
        <v>-0.99913792251489442</v>
      </c>
      <c r="O41" s="12"/>
      <c r="P41" s="1">
        <f>SUM(OSRRefP22_3x_0)</f>
        <v>53963.340000000004</v>
      </c>
      <c r="Q41" s="1"/>
      <c r="R41" s="5">
        <f t="shared" si="20"/>
        <v>0</v>
      </c>
      <c r="S41" s="1"/>
      <c r="T41" s="1">
        <f>SUM(OSRRefT22_3x_0)</f>
        <v>74769.13</v>
      </c>
      <c r="U41" s="1"/>
      <c r="V41" s="5">
        <f t="shared" si="21"/>
        <v>0</v>
      </c>
      <c r="W41" s="1"/>
      <c r="X41" s="1">
        <f t="shared" si="22"/>
        <v>-20805.79</v>
      </c>
      <c r="Y41" s="1"/>
      <c r="Z41" s="5">
        <f t="shared" si="23"/>
        <v>-0.27826711371390839</v>
      </c>
    </row>
    <row r="42" spans="1:26" s="24" customFormat="1" hidden="1" outlineLevel="2" x14ac:dyDescent="0.35">
      <c r="A42" s="27"/>
      <c r="B42" s="11" t="str">
        <f>CONCATENATE("          ", "6381", " - ", "BANK/CREDIT CARD FEES")</f>
        <v xml:space="preserve">          6381 - BANK/CREDIT CARD FEES</v>
      </c>
      <c r="C42" s="11"/>
      <c r="D42" s="7">
        <v>11.34</v>
      </c>
      <c r="E42" s="2"/>
      <c r="F42" s="6">
        <f t="shared" si="16"/>
        <v>0</v>
      </c>
      <c r="G42" s="2"/>
      <c r="H42" s="7">
        <v>13154.27</v>
      </c>
      <c r="I42" s="2"/>
      <c r="J42" s="6">
        <f t="shared" si="17"/>
        <v>0</v>
      </c>
      <c r="K42" s="2"/>
      <c r="L42" s="7">
        <f t="shared" si="18"/>
        <v>-13142.93</v>
      </c>
      <c r="M42" s="2"/>
      <c r="N42" s="6">
        <f t="shared" si="19"/>
        <v>-0.99913792251489442</v>
      </c>
      <c r="O42" s="11"/>
      <c r="P42" s="7">
        <v>53963.340000000004</v>
      </c>
      <c r="Q42" s="2"/>
      <c r="R42" s="6">
        <f t="shared" si="20"/>
        <v>0</v>
      </c>
      <c r="S42" s="2"/>
      <c r="T42" s="7">
        <v>74769.13</v>
      </c>
      <c r="U42" s="2"/>
      <c r="V42" s="6">
        <f t="shared" si="21"/>
        <v>0</v>
      </c>
      <c r="W42" s="2"/>
      <c r="X42" s="7">
        <f t="shared" si="22"/>
        <v>-20805.79</v>
      </c>
      <c r="Y42" s="2"/>
      <c r="Z42" s="6">
        <f t="shared" si="23"/>
        <v>-0.27826711371390839</v>
      </c>
    </row>
    <row r="43" spans="1:26" s="25" customFormat="1" outlineLevel="1" collapsed="1" x14ac:dyDescent="0.35">
      <c r="A43" s="26"/>
      <c r="B43" s="12" t="str">
        <f>CONCATENATE("     ","Board                                             ")</f>
        <v xml:space="preserve">     Board                                             </v>
      </c>
      <c r="C43" s="12"/>
      <c r="D43" s="1">
        <f>SUM(OSRRefD22_4x_0)</f>
        <v>1452.6</v>
      </c>
      <c r="E43" s="1"/>
      <c r="F43" s="5">
        <f t="shared" si="16"/>
        <v>0</v>
      </c>
      <c r="G43" s="1"/>
      <c r="H43" s="1">
        <f>SUM(OSRRefH22_4x_0)</f>
        <v>2886.27</v>
      </c>
      <c r="I43" s="1"/>
      <c r="J43" s="5">
        <f t="shared" si="17"/>
        <v>0</v>
      </c>
      <c r="K43" s="1"/>
      <c r="L43" s="1">
        <f t="shared" si="18"/>
        <v>-1433.67</v>
      </c>
      <c r="M43" s="1"/>
      <c r="N43" s="5">
        <f t="shared" si="19"/>
        <v>-0.49672068101736849</v>
      </c>
      <c r="O43" s="12"/>
      <c r="P43" s="1">
        <f>SUM(OSRRefP22_4x_0)</f>
        <v>42435.310000000005</v>
      </c>
      <c r="Q43" s="1"/>
      <c r="R43" s="5">
        <f t="shared" si="20"/>
        <v>0</v>
      </c>
      <c r="S43" s="1"/>
      <c r="T43" s="1">
        <f>SUM(OSRRefT22_4x_0)</f>
        <v>76024.349999999991</v>
      </c>
      <c r="U43" s="1"/>
      <c r="V43" s="5">
        <f t="shared" si="21"/>
        <v>0</v>
      </c>
      <c r="W43" s="1"/>
      <c r="X43" s="1">
        <f t="shared" si="22"/>
        <v>-33589.039999999986</v>
      </c>
      <c r="Y43" s="1"/>
      <c r="Z43" s="5">
        <f t="shared" si="23"/>
        <v>-0.44181949599042925</v>
      </c>
    </row>
    <row r="44" spans="1:26" s="24" customFormat="1" hidden="1" outlineLevel="2" x14ac:dyDescent="0.35">
      <c r="A44" s="27"/>
      <c r="B44" s="11" t="str">
        <f>CONCATENATE("          ", "6397", " - ", "BOARD EXPENSES")</f>
        <v xml:space="preserve">          6397 - BOARD EXPENSES</v>
      </c>
      <c r="C44" s="11"/>
      <c r="D44" s="7">
        <v>1452.6</v>
      </c>
      <c r="E44" s="2"/>
      <c r="F44" s="6">
        <f t="shared" si="16"/>
        <v>0</v>
      </c>
      <c r="G44" s="2"/>
      <c r="H44" s="7">
        <v>2886.27</v>
      </c>
      <c r="I44" s="2"/>
      <c r="J44" s="6">
        <f t="shared" si="17"/>
        <v>0</v>
      </c>
      <c r="K44" s="2"/>
      <c r="L44" s="7">
        <f t="shared" si="18"/>
        <v>-1433.67</v>
      </c>
      <c r="M44" s="2"/>
      <c r="N44" s="6">
        <f t="shared" si="19"/>
        <v>-0.49672068101736849</v>
      </c>
      <c r="O44" s="11"/>
      <c r="P44" s="7">
        <v>42435.310000000005</v>
      </c>
      <c r="Q44" s="2"/>
      <c r="R44" s="6">
        <f t="shared" si="20"/>
        <v>0</v>
      </c>
      <c r="S44" s="2"/>
      <c r="T44" s="7">
        <v>76024.349999999991</v>
      </c>
      <c r="U44" s="2"/>
      <c r="V44" s="6">
        <f t="shared" si="21"/>
        <v>0</v>
      </c>
      <c r="W44" s="2"/>
      <c r="X44" s="7">
        <f t="shared" si="22"/>
        <v>-33589.039999999986</v>
      </c>
      <c r="Y44" s="2"/>
      <c r="Z44" s="6">
        <f t="shared" si="23"/>
        <v>-0.44181949599042925</v>
      </c>
    </row>
    <row r="45" spans="1:26" s="25" customFormat="1" outlineLevel="1" collapsed="1" x14ac:dyDescent="0.3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7606.97</v>
      </c>
      <c r="E45" s="1"/>
      <c r="F45" s="5">
        <f t="shared" si="16"/>
        <v>0</v>
      </c>
      <c r="G45" s="1"/>
      <c r="H45" s="1">
        <f>SUM(OSRRefH22_5x_0)</f>
        <v>8921.6299999999992</v>
      </c>
      <c r="I45" s="1"/>
      <c r="J45" s="5">
        <f t="shared" si="17"/>
        <v>0</v>
      </c>
      <c r="K45" s="1"/>
      <c r="L45" s="1">
        <f t="shared" si="18"/>
        <v>-1314.6599999999989</v>
      </c>
      <c r="M45" s="1"/>
      <c r="N45" s="5">
        <f t="shared" si="19"/>
        <v>-0.14735648082245051</v>
      </c>
      <c r="O45" s="12"/>
      <c r="P45" s="1">
        <f>SUM(OSRRefP22_5x_0)</f>
        <v>100576.16</v>
      </c>
      <c r="Q45" s="1"/>
      <c r="R45" s="5">
        <f t="shared" si="20"/>
        <v>0</v>
      </c>
      <c r="S45" s="1"/>
      <c r="T45" s="1">
        <f>SUM(OSRRefT22_5x_0)</f>
        <v>122153.88</v>
      </c>
      <c r="U45" s="1"/>
      <c r="V45" s="5">
        <f t="shared" si="21"/>
        <v>0</v>
      </c>
      <c r="W45" s="1"/>
      <c r="X45" s="1">
        <f t="shared" si="22"/>
        <v>-21577.72</v>
      </c>
      <c r="Y45" s="1"/>
      <c r="Z45" s="5">
        <f t="shared" si="23"/>
        <v>-0.176643754582335</v>
      </c>
    </row>
    <row r="46" spans="1:26" s="24" customFormat="1" hidden="1" outlineLevel="2" x14ac:dyDescent="0.3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7606.97</v>
      </c>
      <c r="E46" s="2"/>
      <c r="F46" s="6">
        <f t="shared" si="16"/>
        <v>0</v>
      </c>
      <c r="G46" s="2"/>
      <c r="H46" s="7">
        <v>8599.64</v>
      </c>
      <c r="I46" s="2"/>
      <c r="J46" s="6">
        <f t="shared" si="17"/>
        <v>0</v>
      </c>
      <c r="K46" s="2"/>
      <c r="L46" s="7">
        <f t="shared" si="18"/>
        <v>-992.66999999999916</v>
      </c>
      <c r="M46" s="2"/>
      <c r="N46" s="6">
        <f t="shared" si="19"/>
        <v>-0.11543157620551549</v>
      </c>
      <c r="O46" s="11"/>
      <c r="P46" s="7">
        <v>100576.16</v>
      </c>
      <c r="Q46" s="2"/>
      <c r="R46" s="6">
        <f t="shared" si="20"/>
        <v>0</v>
      </c>
      <c r="S46" s="2"/>
      <c r="T46" s="7">
        <v>118289.45000000001</v>
      </c>
      <c r="U46" s="2"/>
      <c r="V46" s="6">
        <f t="shared" si="21"/>
        <v>0</v>
      </c>
      <c r="W46" s="2"/>
      <c r="X46" s="7">
        <f t="shared" si="22"/>
        <v>-17713.290000000008</v>
      </c>
      <c r="Y46" s="2"/>
      <c r="Z46" s="6">
        <f t="shared" si="23"/>
        <v>-0.14974530695679122</v>
      </c>
    </row>
    <row r="47" spans="1:26" s="24" customFormat="1" hidden="1" outlineLevel="2" x14ac:dyDescent="0.35">
      <c r="A47" s="27"/>
      <c r="B47" s="11" t="str">
        <f>CONCATENATE("          ", "6324", " - ", "FURNITURE + FIXT DEPRECIATION")</f>
        <v xml:space="preserve">          6324 - FURNITURE + FIXT DEPRECIATION</v>
      </c>
      <c r="C47" s="11"/>
      <c r="D47" s="7"/>
      <c r="E47" s="2"/>
      <c r="F47" s="6">
        <f t="shared" si="16"/>
        <v>0</v>
      </c>
      <c r="G47" s="2"/>
      <c r="H47" s="7">
        <v>321.99</v>
      </c>
      <c r="I47" s="2"/>
      <c r="J47" s="6">
        <f t="shared" si="17"/>
        <v>0</v>
      </c>
      <c r="K47" s="2"/>
      <c r="L47" s="7">
        <f t="shared" si="18"/>
        <v>-321.99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3864.43</v>
      </c>
      <c r="U47" s="2"/>
      <c r="V47" s="6">
        <f t="shared" si="21"/>
        <v>0</v>
      </c>
      <c r="W47" s="2"/>
      <c r="X47" s="7">
        <f t="shared" si="22"/>
        <v>-3864.43</v>
      </c>
      <c r="Y47" s="2"/>
      <c r="Z47" s="6">
        <f t="shared" si="23"/>
        <v>-1</v>
      </c>
    </row>
    <row r="48" spans="1:26" s="25" customFormat="1" outlineLevel="1" collapsed="1" x14ac:dyDescent="0.35">
      <c r="A48" s="26"/>
      <c r="B48" s="12" t="str">
        <f>CONCATENATE("     ","Donations                                         ")</f>
        <v xml:space="preserve">     Donations                                         </v>
      </c>
      <c r="C48" s="12"/>
      <c r="D48" s="1">
        <f>SUM(OSRRefD22_6x_0)</f>
        <v>-787</v>
      </c>
      <c r="E48" s="1"/>
      <c r="F48" s="5">
        <f t="shared" ref="F48:F64" si="24">IF(D$12=0,0,D48/D$12)</f>
        <v>0</v>
      </c>
      <c r="G48" s="1"/>
      <c r="H48" s="1">
        <f>SUM(OSRRefH22_6x_0)</f>
        <v>10000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-10787</v>
      </c>
      <c r="M48" s="1"/>
      <c r="N48" s="5">
        <f t="shared" ref="N48:N64" si="27">IF(H48=0,0,L48/H48)</f>
        <v>-1.0787</v>
      </c>
      <c r="O48" s="12"/>
      <c r="P48" s="1">
        <f>SUM(OSRRefP22_6x_0)</f>
        <v>247986.19000000003</v>
      </c>
      <c r="Q48" s="1"/>
      <c r="R48" s="5">
        <f t="shared" ref="R48:R64" si="28">IF(P$12=0,0,P48/P$12)</f>
        <v>0</v>
      </c>
      <c r="S48" s="1"/>
      <c r="T48" s="1">
        <f>SUM(OSRRefT22_6x_0)</f>
        <v>163322.4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84663.790000000037</v>
      </c>
      <c r="Y48" s="1"/>
      <c r="Z48" s="5">
        <f t="shared" ref="Z48:Z64" si="31">IF(T48=0,0,X48/T48)</f>
        <v>0.51838443471318107</v>
      </c>
    </row>
    <row r="49" spans="1:26" s="24" customFormat="1" hidden="1" outlineLevel="2" x14ac:dyDescent="0.35">
      <c r="A49" s="27"/>
      <c r="B49" s="11" t="str">
        <f>CONCATENATE("          ", "6399", " - ", "DONATION-ON CAMPUS")</f>
        <v xml:space="preserve">          6399 - DONATION-ON CAMPUS</v>
      </c>
      <c r="C49" s="11"/>
      <c r="D49" s="7">
        <v>-787</v>
      </c>
      <c r="E49" s="2"/>
      <c r="F49" s="6">
        <f t="shared" si="24"/>
        <v>0</v>
      </c>
      <c r="G49" s="2"/>
      <c r="H49" s="7">
        <v>10000</v>
      </c>
      <c r="I49" s="2"/>
      <c r="J49" s="6">
        <f t="shared" si="25"/>
        <v>0</v>
      </c>
      <c r="K49" s="2"/>
      <c r="L49" s="7">
        <f t="shared" si="26"/>
        <v>-10787</v>
      </c>
      <c r="M49" s="2"/>
      <c r="N49" s="6">
        <f t="shared" si="27"/>
        <v>-1.0787</v>
      </c>
      <c r="O49" s="11"/>
      <c r="P49" s="7">
        <v>247986.19000000003</v>
      </c>
      <c r="Q49" s="2"/>
      <c r="R49" s="6">
        <f t="shared" si="28"/>
        <v>0</v>
      </c>
      <c r="S49" s="2"/>
      <c r="T49" s="7">
        <v>163322.4</v>
      </c>
      <c r="U49" s="2"/>
      <c r="V49" s="6">
        <f t="shared" si="29"/>
        <v>0</v>
      </c>
      <c r="W49" s="2"/>
      <c r="X49" s="7">
        <f t="shared" si="30"/>
        <v>84663.790000000037</v>
      </c>
      <c r="Y49" s="2"/>
      <c r="Z49" s="6">
        <f t="shared" si="31"/>
        <v>0.51838443471318107</v>
      </c>
    </row>
    <row r="50" spans="1:26" s="25" customFormat="1" outlineLevel="1" collapsed="1" x14ac:dyDescent="0.35">
      <c r="A50" s="26"/>
      <c r="B50" s="12" t="str">
        <f>CONCATENATE("     ","Employees' Appreciation                           ")</f>
        <v xml:space="preserve">     Employees' Appreciation                           </v>
      </c>
      <c r="C50" s="12"/>
      <c r="D50" s="1">
        <f>SUM(OSRRefD22_7x_0)</f>
        <v>0</v>
      </c>
      <c r="E50" s="1"/>
      <c r="F50" s="5">
        <f t="shared" si="24"/>
        <v>0</v>
      </c>
      <c r="G50" s="1"/>
      <c r="H50" s="1">
        <f>SUM(OSRRefH22_7x_0)</f>
        <v>10777.7</v>
      </c>
      <c r="I50" s="1"/>
      <c r="J50" s="5">
        <f t="shared" si="25"/>
        <v>0</v>
      </c>
      <c r="K50" s="1"/>
      <c r="L50" s="1">
        <f t="shared" si="26"/>
        <v>-10777.7</v>
      </c>
      <c r="M50" s="1"/>
      <c r="N50" s="5">
        <f t="shared" si="27"/>
        <v>-1</v>
      </c>
      <c r="O50" s="12"/>
      <c r="P50" s="1">
        <f>SUM(OSRRefP22_7x_0)</f>
        <v>29556.05</v>
      </c>
      <c r="Q50" s="1"/>
      <c r="R50" s="5">
        <f t="shared" si="28"/>
        <v>0</v>
      </c>
      <c r="S50" s="1"/>
      <c r="T50" s="1">
        <f>SUM(OSRRefT22_7x_0)</f>
        <v>62760.54</v>
      </c>
      <c r="U50" s="1"/>
      <c r="V50" s="5">
        <f t="shared" si="29"/>
        <v>0</v>
      </c>
      <c r="W50" s="1"/>
      <c r="X50" s="1">
        <f t="shared" si="30"/>
        <v>-33204.490000000005</v>
      </c>
      <c r="Y50" s="1"/>
      <c r="Z50" s="5">
        <f t="shared" si="31"/>
        <v>-0.52906635283890169</v>
      </c>
    </row>
    <row r="51" spans="1:26" s="24" customFormat="1" hidden="1" outlineLevel="2" x14ac:dyDescent="0.35">
      <c r="A51" s="27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4"/>
        <v>0</v>
      </c>
      <c r="G51" s="2"/>
      <c r="H51" s="7">
        <v>10777.7</v>
      </c>
      <c r="I51" s="2"/>
      <c r="J51" s="6">
        <f t="shared" si="25"/>
        <v>0</v>
      </c>
      <c r="K51" s="2"/>
      <c r="L51" s="7">
        <f t="shared" si="26"/>
        <v>-10777.7</v>
      </c>
      <c r="M51" s="2"/>
      <c r="N51" s="6">
        <f t="shared" si="27"/>
        <v>-1</v>
      </c>
      <c r="O51" s="11"/>
      <c r="P51" s="7">
        <v>29556.05</v>
      </c>
      <c r="Q51" s="2"/>
      <c r="R51" s="6">
        <f t="shared" si="28"/>
        <v>0</v>
      </c>
      <c r="S51" s="2"/>
      <c r="T51" s="7">
        <v>62760.54</v>
      </c>
      <c r="U51" s="2"/>
      <c r="V51" s="6">
        <f t="shared" si="29"/>
        <v>0</v>
      </c>
      <c r="W51" s="2"/>
      <c r="X51" s="7">
        <f t="shared" si="30"/>
        <v>-33204.490000000005</v>
      </c>
      <c r="Y51" s="2"/>
      <c r="Z51" s="6">
        <f t="shared" si="31"/>
        <v>-0.52906635283890169</v>
      </c>
    </row>
    <row r="52" spans="1:26" s="25" customFormat="1" outlineLevel="1" collapsed="1" x14ac:dyDescent="0.35">
      <c r="A52" s="26"/>
      <c r="B52" s="12" t="str">
        <f>CONCATENATE("     ","Equipment Rental                                  ")</f>
        <v xml:space="preserve">     Equipment Rental                                  </v>
      </c>
      <c r="C52" s="12"/>
      <c r="D52" s="1">
        <f>SUM(OSRRefD22_8x_0)</f>
        <v>208.98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-91.260000000000019</v>
      </c>
      <c r="M52" s="1"/>
      <c r="N52" s="5">
        <f t="shared" si="27"/>
        <v>-0.30395683453237415</v>
      </c>
      <c r="O52" s="12"/>
      <c r="P52" s="1">
        <f>SUM(OSRRefP22_8x_0)</f>
        <v>2781.54</v>
      </c>
      <c r="Q52" s="1"/>
      <c r="R52" s="5">
        <f t="shared" si="28"/>
        <v>0</v>
      </c>
      <c r="S52" s="1"/>
      <c r="T52" s="1">
        <f>SUM(OSRRefT22_8x_0)</f>
        <v>3602.88</v>
      </c>
      <c r="U52" s="1"/>
      <c r="V52" s="5">
        <f t="shared" si="29"/>
        <v>0</v>
      </c>
      <c r="W52" s="1"/>
      <c r="X52" s="1">
        <f t="shared" si="30"/>
        <v>-821.34000000000015</v>
      </c>
      <c r="Y52" s="1"/>
      <c r="Z52" s="5">
        <f t="shared" si="31"/>
        <v>-0.2279676258992806</v>
      </c>
    </row>
    <row r="53" spans="1:26" s="24" customFormat="1" hidden="1" outlineLevel="2" x14ac:dyDescent="0.35">
      <c r="A53" s="27"/>
      <c r="B53" s="11" t="str">
        <f>CONCATENATE("          ", "6351", " - ", "EQUIPMENT RENTAL")</f>
        <v xml:space="preserve">          6351 - EQUIPMENT RENTAL</v>
      </c>
      <c r="C53" s="11"/>
      <c r="D53" s="7">
        <v>208.98</v>
      </c>
      <c r="E53" s="2"/>
      <c r="F53" s="6">
        <f t="shared" si="24"/>
        <v>0</v>
      </c>
      <c r="G53" s="2"/>
      <c r="H53" s="7">
        <v>300.24</v>
      </c>
      <c r="I53" s="2"/>
      <c r="J53" s="6">
        <f t="shared" si="25"/>
        <v>0</v>
      </c>
      <c r="K53" s="2"/>
      <c r="L53" s="7">
        <f t="shared" si="26"/>
        <v>-91.260000000000019</v>
      </c>
      <c r="M53" s="2"/>
      <c r="N53" s="6">
        <f t="shared" si="27"/>
        <v>-0.30395683453237415</v>
      </c>
      <c r="O53" s="11"/>
      <c r="P53" s="7">
        <v>2781.54</v>
      </c>
      <c r="Q53" s="2"/>
      <c r="R53" s="6">
        <f t="shared" si="28"/>
        <v>0</v>
      </c>
      <c r="S53" s="2"/>
      <c r="T53" s="7">
        <v>3602.88</v>
      </c>
      <c r="U53" s="2"/>
      <c r="V53" s="6">
        <f t="shared" si="29"/>
        <v>0</v>
      </c>
      <c r="W53" s="2"/>
      <c r="X53" s="7">
        <f t="shared" si="30"/>
        <v>-821.34000000000015</v>
      </c>
      <c r="Y53" s="2"/>
      <c r="Z53" s="6">
        <f t="shared" si="31"/>
        <v>-0.2279676258992806</v>
      </c>
    </row>
    <row r="54" spans="1:26" s="25" customFormat="1" outlineLevel="1" collapsed="1" x14ac:dyDescent="0.35">
      <c r="A54" s="26"/>
      <c r="B54" s="12" t="str">
        <f>CONCATENATE("     ","Freight out/Postage                               ")</f>
        <v xml:space="preserve">     Freight out/Postage                               </v>
      </c>
      <c r="C54" s="12"/>
      <c r="D54" s="1">
        <f>SUM(OSRRefD22_9x_0)</f>
        <v>46.3</v>
      </c>
      <c r="E54" s="1"/>
      <c r="F54" s="5">
        <f t="shared" si="24"/>
        <v>0</v>
      </c>
      <c r="G54" s="1"/>
      <c r="H54" s="1">
        <f>SUM(OSRRefH22_9x_0)</f>
        <v>226.45</v>
      </c>
      <c r="I54" s="1"/>
      <c r="J54" s="5">
        <f t="shared" si="25"/>
        <v>0</v>
      </c>
      <c r="K54" s="1"/>
      <c r="L54" s="1">
        <f t="shared" si="26"/>
        <v>-180.14999999999998</v>
      </c>
      <c r="M54" s="1"/>
      <c r="N54" s="5">
        <f t="shared" si="27"/>
        <v>-0.79553985427246632</v>
      </c>
      <c r="O54" s="12"/>
      <c r="P54" s="1">
        <f>SUM(OSRRefP22_9x_0)</f>
        <v>2658.96</v>
      </c>
      <c r="Q54" s="1"/>
      <c r="R54" s="5">
        <f t="shared" si="28"/>
        <v>0</v>
      </c>
      <c r="S54" s="1"/>
      <c r="T54" s="1">
        <f>SUM(OSRRefT22_9x_0)</f>
        <v>3293.54</v>
      </c>
      <c r="U54" s="1"/>
      <c r="V54" s="5">
        <f t="shared" si="29"/>
        <v>0</v>
      </c>
      <c r="W54" s="1"/>
      <c r="X54" s="1">
        <f t="shared" si="30"/>
        <v>-634.57999999999993</v>
      </c>
      <c r="Y54" s="1"/>
      <c r="Z54" s="5">
        <f t="shared" si="31"/>
        <v>-0.19267414393023918</v>
      </c>
    </row>
    <row r="55" spans="1:26" s="24" customFormat="1" hidden="1" outlineLevel="2" x14ac:dyDescent="0.35">
      <c r="A55" s="27"/>
      <c r="B55" s="11" t="str">
        <f>CONCATENATE("          ", "6307", " - ", "POSTAGE")</f>
        <v xml:space="preserve">          6307 - POSTAGE</v>
      </c>
      <c r="C55" s="11"/>
      <c r="D55" s="7">
        <v>46.3</v>
      </c>
      <c r="E55" s="2"/>
      <c r="F55" s="6">
        <f t="shared" si="24"/>
        <v>0</v>
      </c>
      <c r="G55" s="2"/>
      <c r="H55" s="7">
        <v>226.45</v>
      </c>
      <c r="I55" s="2"/>
      <c r="J55" s="6">
        <f t="shared" si="25"/>
        <v>0</v>
      </c>
      <c r="K55" s="2"/>
      <c r="L55" s="7">
        <f t="shared" si="26"/>
        <v>-180.14999999999998</v>
      </c>
      <c r="M55" s="2"/>
      <c r="N55" s="6">
        <f t="shared" si="27"/>
        <v>-0.79553985427246632</v>
      </c>
      <c r="O55" s="11"/>
      <c r="P55" s="7">
        <v>2658.96</v>
      </c>
      <c r="Q55" s="2"/>
      <c r="R55" s="6">
        <f t="shared" si="28"/>
        <v>0</v>
      </c>
      <c r="S55" s="2"/>
      <c r="T55" s="7">
        <v>3293.54</v>
      </c>
      <c r="U55" s="2"/>
      <c r="V55" s="6">
        <f t="shared" si="29"/>
        <v>0</v>
      </c>
      <c r="W55" s="2"/>
      <c r="X55" s="7">
        <f t="shared" si="30"/>
        <v>-634.57999999999993</v>
      </c>
      <c r="Y55" s="2"/>
      <c r="Z55" s="6">
        <f t="shared" si="31"/>
        <v>-0.19267414393023918</v>
      </c>
    </row>
    <row r="56" spans="1:26" s="25" customFormat="1" outlineLevel="1" collapsed="1" x14ac:dyDescent="0.35">
      <c r="A56" s="26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SUM(OSRRefD22_10x_0)</f>
        <v>-276.68</v>
      </c>
      <c r="E56" s="1"/>
      <c r="F56" s="5">
        <f t="shared" si="24"/>
        <v>0</v>
      </c>
      <c r="G56" s="1"/>
      <c r="H56" s="1">
        <f>SUM(OSRRefH22_10x_0)</f>
        <v>2821.99</v>
      </c>
      <c r="I56" s="1"/>
      <c r="J56" s="5">
        <f t="shared" si="25"/>
        <v>0</v>
      </c>
      <c r="K56" s="1"/>
      <c r="L56" s="1">
        <f t="shared" si="26"/>
        <v>-3098.6699999999996</v>
      </c>
      <c r="M56" s="1"/>
      <c r="N56" s="5">
        <f t="shared" si="27"/>
        <v>-1.0980442878961301</v>
      </c>
      <c r="O56" s="12"/>
      <c r="P56" s="1">
        <f>SUM(OSRRefP22_10x_0)</f>
        <v>14318.01</v>
      </c>
      <c r="Q56" s="1"/>
      <c r="R56" s="5">
        <f t="shared" si="28"/>
        <v>0</v>
      </c>
      <c r="S56" s="1"/>
      <c r="T56" s="1">
        <f>SUM(OSRRefT22_10x_0)</f>
        <v>27561.48</v>
      </c>
      <c r="U56" s="1"/>
      <c r="V56" s="5">
        <f t="shared" si="29"/>
        <v>0</v>
      </c>
      <c r="W56" s="1"/>
      <c r="X56" s="1">
        <f t="shared" si="30"/>
        <v>-13243.47</v>
      </c>
      <c r="Y56" s="1"/>
      <c r="Z56" s="5">
        <f t="shared" si="31"/>
        <v>-0.48050648949185598</v>
      </c>
    </row>
    <row r="57" spans="1:26" s="24" customFormat="1" hidden="1" outlineLevel="2" x14ac:dyDescent="0.35">
      <c r="A57" s="27"/>
      <c r="B57" s="11" t="str">
        <f>CONCATENATE("          ", "6279", " - ", "GENERAL EXPENSE")</f>
        <v xml:space="preserve">          6279 - GENERAL EXPENSE</v>
      </c>
      <c r="C57" s="11"/>
      <c r="D57" s="7">
        <v>-276.68</v>
      </c>
      <c r="E57" s="2"/>
      <c r="F57" s="6">
        <f t="shared" si="24"/>
        <v>0</v>
      </c>
      <c r="G57" s="2"/>
      <c r="H57" s="7">
        <v>2821.99</v>
      </c>
      <c r="I57" s="2"/>
      <c r="J57" s="6">
        <f t="shared" si="25"/>
        <v>0</v>
      </c>
      <c r="K57" s="2"/>
      <c r="L57" s="7">
        <f t="shared" si="26"/>
        <v>-3098.6699999999996</v>
      </c>
      <c r="M57" s="2"/>
      <c r="N57" s="6">
        <f t="shared" si="27"/>
        <v>-1.0980442878961301</v>
      </c>
      <c r="O57" s="11"/>
      <c r="P57" s="7">
        <v>14318.01</v>
      </c>
      <c r="Q57" s="2"/>
      <c r="R57" s="6">
        <f t="shared" si="28"/>
        <v>0</v>
      </c>
      <c r="S57" s="2"/>
      <c r="T57" s="7">
        <v>27561.48</v>
      </c>
      <c r="U57" s="2"/>
      <c r="V57" s="6">
        <f t="shared" si="29"/>
        <v>0</v>
      </c>
      <c r="W57" s="2"/>
      <c r="X57" s="7">
        <f t="shared" si="30"/>
        <v>-13243.47</v>
      </c>
      <c r="Y57" s="2"/>
      <c r="Z57" s="6">
        <f t="shared" si="31"/>
        <v>-0.48050648949185598</v>
      </c>
    </row>
    <row r="58" spans="1:26" s="25" customFormat="1" outlineLevel="1" collapsed="1" x14ac:dyDescent="0.35">
      <c r="A58" s="26"/>
      <c r="B58" s="12" t="str">
        <f>CONCATENATE("     ","Insurance                                         ")</f>
        <v xml:space="preserve">     Insurance                                         </v>
      </c>
      <c r="C58" s="12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370.89</v>
      </c>
      <c r="I58" s="1"/>
      <c r="J58" s="5">
        <f t="shared" si="25"/>
        <v>0</v>
      </c>
      <c r="K58" s="1"/>
      <c r="L58" s="1">
        <f t="shared" si="26"/>
        <v>22.78000000000003</v>
      </c>
      <c r="M58" s="1"/>
      <c r="N58" s="5">
        <f t="shared" si="27"/>
        <v>6.1419827981342261E-2</v>
      </c>
      <c r="O58" s="12"/>
      <c r="P58" s="1">
        <f>SUM(OSRRefP22_11x_0)</f>
        <v>5078.04</v>
      </c>
      <c r="Q58" s="1"/>
      <c r="R58" s="5">
        <f t="shared" si="28"/>
        <v>0</v>
      </c>
      <c r="S58" s="1"/>
      <c r="T58" s="1">
        <f>SUM(OSRRefT22_11x_0)</f>
        <v>4142.92</v>
      </c>
      <c r="U58" s="1"/>
      <c r="V58" s="5">
        <f t="shared" si="29"/>
        <v>0</v>
      </c>
      <c r="W58" s="1"/>
      <c r="X58" s="1">
        <f t="shared" si="30"/>
        <v>935.11999999999989</v>
      </c>
      <c r="Y58" s="1"/>
      <c r="Z58" s="5">
        <f t="shared" si="31"/>
        <v>0.22571519604530135</v>
      </c>
    </row>
    <row r="59" spans="1:26" s="24" customFormat="1" hidden="1" outlineLevel="2" x14ac:dyDescent="0.35">
      <c r="A59" s="27"/>
      <c r="B59" s="11" t="str">
        <f>CONCATENATE("          ", "6314", " - ", "LIABILITY INSURANCE")</f>
        <v xml:space="preserve">          6314 - LIABILITY INSURANCE</v>
      </c>
      <c r="C59" s="11"/>
      <c r="D59" s="7">
        <v>393.67</v>
      </c>
      <c r="E59" s="2"/>
      <c r="F59" s="6">
        <f t="shared" si="24"/>
        <v>0</v>
      </c>
      <c r="G59" s="2"/>
      <c r="H59" s="7">
        <v>370.89</v>
      </c>
      <c r="I59" s="2"/>
      <c r="J59" s="6">
        <f t="shared" si="25"/>
        <v>0</v>
      </c>
      <c r="K59" s="2"/>
      <c r="L59" s="7">
        <f t="shared" si="26"/>
        <v>22.78000000000003</v>
      </c>
      <c r="M59" s="2"/>
      <c r="N59" s="6">
        <f t="shared" si="27"/>
        <v>6.1419827981342261E-2</v>
      </c>
      <c r="O59" s="11"/>
      <c r="P59" s="7">
        <v>5078.04</v>
      </c>
      <c r="Q59" s="2"/>
      <c r="R59" s="6">
        <f t="shared" si="28"/>
        <v>0</v>
      </c>
      <c r="S59" s="2"/>
      <c r="T59" s="7">
        <v>4142.92</v>
      </c>
      <c r="U59" s="2"/>
      <c r="V59" s="6">
        <f t="shared" si="29"/>
        <v>0</v>
      </c>
      <c r="W59" s="2"/>
      <c r="X59" s="7">
        <f t="shared" si="30"/>
        <v>935.11999999999989</v>
      </c>
      <c r="Y59" s="2"/>
      <c r="Z59" s="6">
        <f t="shared" si="31"/>
        <v>0.22571519604530135</v>
      </c>
    </row>
    <row r="60" spans="1:26" s="25" customFormat="1" outlineLevel="1" collapsed="1" x14ac:dyDescent="0.35">
      <c r="A60" s="26"/>
      <c r="B60" s="12" t="str">
        <f>CONCATENATE("     ","Professional Services                             ")</f>
        <v xml:space="preserve">     Professional Services                             </v>
      </c>
      <c r="C60" s="12"/>
      <c r="D60" s="1">
        <f>SUM(OSRRefD22_12x_0)</f>
        <v>595</v>
      </c>
      <c r="E60" s="1"/>
      <c r="F60" s="5">
        <f t="shared" si="24"/>
        <v>0</v>
      </c>
      <c r="G60" s="1"/>
      <c r="H60" s="1">
        <f>SUM(OSRRefH22_12x_0)</f>
        <v>4674</v>
      </c>
      <c r="I60" s="1"/>
      <c r="J60" s="5">
        <f t="shared" si="25"/>
        <v>0</v>
      </c>
      <c r="K60" s="1"/>
      <c r="L60" s="1">
        <f t="shared" si="26"/>
        <v>-4079</v>
      </c>
      <c r="M60" s="1"/>
      <c r="N60" s="5">
        <f t="shared" si="27"/>
        <v>-0.87270004278990154</v>
      </c>
      <c r="O60" s="12"/>
      <c r="P60" s="1">
        <f>SUM(OSRRefP22_12x_0)</f>
        <v>202586.25999999998</v>
      </c>
      <c r="Q60" s="1"/>
      <c r="R60" s="5">
        <f t="shared" si="28"/>
        <v>0</v>
      </c>
      <c r="S60" s="1"/>
      <c r="T60" s="1">
        <f>SUM(OSRRefT22_12x_0)</f>
        <v>197140.99000000002</v>
      </c>
      <c r="U60" s="1"/>
      <c r="V60" s="5">
        <f t="shared" si="29"/>
        <v>0</v>
      </c>
      <c r="W60" s="1"/>
      <c r="X60" s="1">
        <f t="shared" si="30"/>
        <v>5445.2699999999604</v>
      </c>
      <c r="Y60" s="1"/>
      <c r="Z60" s="5">
        <f t="shared" si="31"/>
        <v>2.7621196383359747E-2</v>
      </c>
    </row>
    <row r="61" spans="1:26" s="24" customFormat="1" hidden="1" outlineLevel="2" x14ac:dyDescent="0.35">
      <c r="A61" s="27"/>
      <c r="B61" s="11" t="str">
        <f>CONCATENATE("          ", "6331", " - ", "INDIRECT COSTS-AUXILIARY ORGAN")</f>
        <v xml:space="preserve">          6331 - INDIRECT COSTS-AUXILIARY ORGAN</v>
      </c>
      <c r="C61" s="11"/>
      <c r="D61" s="7"/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0</v>
      </c>
      <c r="M61" s="2"/>
      <c r="N61" s="6">
        <f t="shared" si="27"/>
        <v>0</v>
      </c>
      <c r="O61" s="11"/>
      <c r="P61" s="7">
        <v>91723</v>
      </c>
      <c r="Q61" s="2"/>
      <c r="R61" s="6">
        <f t="shared" si="28"/>
        <v>0</v>
      </c>
      <c r="S61" s="2"/>
      <c r="T61" s="7">
        <v>90326</v>
      </c>
      <c r="U61" s="2"/>
      <c r="V61" s="6">
        <f t="shared" si="29"/>
        <v>0</v>
      </c>
      <c r="W61" s="2"/>
      <c r="X61" s="7">
        <f t="shared" si="30"/>
        <v>1397</v>
      </c>
      <c r="Y61" s="2"/>
      <c r="Z61" s="6">
        <f t="shared" si="31"/>
        <v>1.5466200208134977E-2</v>
      </c>
    </row>
    <row r="62" spans="1:26" s="24" customFormat="1" hidden="1" outlineLevel="2" x14ac:dyDescent="0.35">
      <c r="A62" s="27"/>
      <c r="B62" s="11" t="str">
        <f>CONCATENATE("          ", "6332", " - ", "CONSULTANT FEES")</f>
        <v xml:space="preserve">          6332 - CONSULTANT FEES</v>
      </c>
      <c r="C62" s="11"/>
      <c r="D62" s="7"/>
      <c r="E62" s="2"/>
      <c r="F62" s="6">
        <f t="shared" si="24"/>
        <v>0</v>
      </c>
      <c r="G62" s="2"/>
      <c r="H62" s="7"/>
      <c r="I62" s="2"/>
      <c r="J62" s="6">
        <f t="shared" si="25"/>
        <v>0</v>
      </c>
      <c r="K62" s="2"/>
      <c r="L62" s="7">
        <f t="shared" si="26"/>
        <v>0</v>
      </c>
      <c r="M62" s="2"/>
      <c r="N62" s="6">
        <f t="shared" si="27"/>
        <v>0</v>
      </c>
      <c r="O62" s="11"/>
      <c r="P62" s="7">
        <v>36894.74</v>
      </c>
      <c r="Q62" s="2"/>
      <c r="R62" s="6">
        <f t="shared" si="28"/>
        <v>0</v>
      </c>
      <c r="S62" s="2"/>
      <c r="T62" s="7">
        <v>82812.5</v>
      </c>
      <c r="U62" s="2"/>
      <c r="V62" s="6">
        <f t="shared" si="29"/>
        <v>0</v>
      </c>
      <c r="W62" s="2"/>
      <c r="X62" s="7">
        <f t="shared" si="30"/>
        <v>-45917.760000000002</v>
      </c>
      <c r="Y62" s="2"/>
      <c r="Z62" s="6">
        <f t="shared" si="31"/>
        <v>-0.55447861132075471</v>
      </c>
    </row>
    <row r="63" spans="1:26" s="24" customFormat="1" hidden="1" outlineLevel="2" x14ac:dyDescent="0.35">
      <c r="A63" s="27"/>
      <c r="B63" s="11" t="str">
        <f>CONCATENATE("          ", "6334", " - ", "LEGAL COUNCIL EXPENSE")</f>
        <v xml:space="preserve">          6334 - LEGAL COUNCIL EXPENSE</v>
      </c>
      <c r="C63" s="11"/>
      <c r="D63" s="7">
        <v>595</v>
      </c>
      <c r="E63" s="2"/>
      <c r="F63" s="6">
        <f t="shared" si="24"/>
        <v>0</v>
      </c>
      <c r="G63" s="2"/>
      <c r="H63" s="7">
        <v>4220</v>
      </c>
      <c r="I63" s="2"/>
      <c r="J63" s="6">
        <f t="shared" si="25"/>
        <v>0</v>
      </c>
      <c r="K63" s="2"/>
      <c r="L63" s="7">
        <f t="shared" si="26"/>
        <v>-3625</v>
      </c>
      <c r="M63" s="2"/>
      <c r="N63" s="6">
        <f t="shared" si="27"/>
        <v>-0.85900473933649291</v>
      </c>
      <c r="O63" s="11"/>
      <c r="P63" s="7">
        <v>39770</v>
      </c>
      <c r="Q63" s="2"/>
      <c r="R63" s="6">
        <f t="shared" si="28"/>
        <v>0</v>
      </c>
      <c r="S63" s="2"/>
      <c r="T63" s="7">
        <v>7162.79</v>
      </c>
      <c r="U63" s="2"/>
      <c r="V63" s="6">
        <f t="shared" si="29"/>
        <v>0</v>
      </c>
      <c r="W63" s="2"/>
      <c r="X63" s="7">
        <f t="shared" si="30"/>
        <v>32607.21</v>
      </c>
      <c r="Y63" s="2"/>
      <c r="Z63" s="6">
        <f t="shared" si="31"/>
        <v>4.5523057356141949</v>
      </c>
    </row>
    <row r="64" spans="1:26" s="24" customFormat="1" hidden="1" outlineLevel="2" x14ac:dyDescent="0.35">
      <c r="A64" s="27"/>
      <c r="B64" s="11" t="str">
        <f>CONCATENATE("          ", "6336", " - ", "PROFESSIONAL SERVICES")</f>
        <v xml:space="preserve">          6336 - PROFESSIONAL SERVICES</v>
      </c>
      <c r="C64" s="11"/>
      <c r="D64" s="7"/>
      <c r="E64" s="2"/>
      <c r="F64" s="6">
        <f t="shared" si="24"/>
        <v>0</v>
      </c>
      <c r="G64" s="2"/>
      <c r="H64" s="7">
        <v>454</v>
      </c>
      <c r="I64" s="2"/>
      <c r="J64" s="6">
        <f t="shared" si="25"/>
        <v>0</v>
      </c>
      <c r="K64" s="2"/>
      <c r="L64" s="7">
        <f t="shared" si="26"/>
        <v>-454</v>
      </c>
      <c r="M64" s="2"/>
      <c r="N64" s="6">
        <f t="shared" si="27"/>
        <v>-1</v>
      </c>
      <c r="O64" s="11"/>
      <c r="P64" s="7">
        <v>34198.519999999997</v>
      </c>
      <c r="Q64" s="2"/>
      <c r="R64" s="6">
        <f t="shared" si="28"/>
        <v>0</v>
      </c>
      <c r="S64" s="2"/>
      <c r="T64" s="7">
        <v>16839.7</v>
      </c>
      <c r="U64" s="2"/>
      <c r="V64" s="6">
        <f t="shared" si="29"/>
        <v>0</v>
      </c>
      <c r="W64" s="2"/>
      <c r="X64" s="7">
        <f t="shared" si="30"/>
        <v>17358.819999999996</v>
      </c>
      <c r="Y64" s="2"/>
      <c r="Z64" s="6">
        <f t="shared" si="31"/>
        <v>1.0308271525027166</v>
      </c>
    </row>
    <row r="65" spans="1:26" s="25" customFormat="1" outlineLevel="1" collapsed="1" x14ac:dyDescent="0.35">
      <c r="A65" s="26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SUM(OSRRefD22_13x_0)</f>
        <v>15511.72</v>
      </c>
      <c r="E65" s="1"/>
      <c r="F65" s="5">
        <f t="shared" ref="F65:F69" si="32">IF(D$12=0,0,D65/D$12)</f>
        <v>0</v>
      </c>
      <c r="G65" s="1"/>
      <c r="H65" s="1">
        <f>SUM(OSRRefH22_13x_0)</f>
        <v>26347.61</v>
      </c>
      <c r="I65" s="1"/>
      <c r="J65" s="5">
        <f t="shared" ref="J65:J69" si="33">IF(H$12=0,0,H65/H$12)</f>
        <v>0</v>
      </c>
      <c r="K65" s="1"/>
      <c r="L65" s="1">
        <f t="shared" ref="L65:L69" si="34">+D65-H65</f>
        <v>-10835.890000000001</v>
      </c>
      <c r="M65" s="1"/>
      <c r="N65" s="5">
        <f t="shared" ref="N65:N69" si="35">IF(H65=0,0,L65/H65)</f>
        <v>-0.41126652474361058</v>
      </c>
      <c r="O65" s="12"/>
      <c r="P65" s="1">
        <f>SUM(OSRRefP22_13x_0)</f>
        <v>354241.67000000004</v>
      </c>
      <c r="Q65" s="1"/>
      <c r="R65" s="5">
        <f t="shared" ref="R65:R69" si="36">IF(P$12=0,0,P65/P$12)</f>
        <v>0</v>
      </c>
      <c r="S65" s="1"/>
      <c r="T65" s="1">
        <f>SUM(OSRRefT22_13x_0)</f>
        <v>361677.23</v>
      </c>
      <c r="U65" s="1"/>
      <c r="V65" s="5">
        <f t="shared" ref="V65:V69" si="37">IF(T$12=0,0,T65/T$12)</f>
        <v>0</v>
      </c>
      <c r="W65" s="1"/>
      <c r="X65" s="1">
        <f t="shared" ref="X65:X69" si="38">+P65-T65</f>
        <v>-7435.5599999999395</v>
      </c>
      <c r="Y65" s="1"/>
      <c r="Z65" s="5">
        <f t="shared" ref="Z65:Z69" si="39">IF(T65=0,0,X65/T65)</f>
        <v>-2.0558551612441679E-2</v>
      </c>
    </row>
    <row r="66" spans="1:26" s="24" customFormat="1" hidden="1" outlineLevel="2" x14ac:dyDescent="0.35">
      <c r="A66" s="27"/>
      <c r="B66" s="11" t="str">
        <f>CONCATENATE("          ", "6371", " - ", "COMPUTER SOFTWARE MAINTENANCE")</f>
        <v xml:space="preserve">          6371 - COMPUTER SOFTWARE MAINTENANCE</v>
      </c>
      <c r="C66" s="11"/>
      <c r="D66" s="7">
        <v>5190.34</v>
      </c>
      <c r="E66" s="2"/>
      <c r="F66" s="6">
        <f t="shared" si="32"/>
        <v>0</v>
      </c>
      <c r="G66" s="2"/>
      <c r="H66" s="7">
        <v>13392.87</v>
      </c>
      <c r="I66" s="2"/>
      <c r="J66" s="6">
        <f t="shared" si="33"/>
        <v>0</v>
      </c>
      <c r="K66" s="2"/>
      <c r="L66" s="7">
        <f t="shared" si="34"/>
        <v>-8202.5300000000007</v>
      </c>
      <c r="M66" s="2"/>
      <c r="N66" s="6">
        <f t="shared" si="35"/>
        <v>-0.61245498537654741</v>
      </c>
      <c r="O66" s="11"/>
      <c r="P66" s="7">
        <v>183745.69</v>
      </c>
      <c r="Q66" s="2"/>
      <c r="R66" s="6">
        <f t="shared" si="36"/>
        <v>0</v>
      </c>
      <c r="S66" s="2"/>
      <c r="T66" s="7">
        <v>185284.91</v>
      </c>
      <c r="U66" s="2"/>
      <c r="V66" s="6">
        <f t="shared" si="37"/>
        <v>0</v>
      </c>
      <c r="W66" s="2"/>
      <c r="X66" s="7">
        <f t="shared" si="38"/>
        <v>-1539.2200000000012</v>
      </c>
      <c r="Y66" s="2"/>
      <c r="Z66" s="6">
        <f t="shared" si="39"/>
        <v>-8.3073143948959524E-3</v>
      </c>
    </row>
    <row r="67" spans="1:26" s="24" customFormat="1" hidden="1" outlineLevel="2" x14ac:dyDescent="0.35">
      <c r="A67" s="27"/>
      <c r="B67" s="11" t="str">
        <f>CONCATENATE("          ", "6372", " - ", "COMPUTER HARDWARE MAINTENANCE")</f>
        <v xml:space="preserve">          6372 - COMPUTER HARDWARE MAINTENANCE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/>
      <c r="Q67" s="2"/>
      <c r="R67" s="6">
        <f t="shared" si="36"/>
        <v>0</v>
      </c>
      <c r="S67" s="2"/>
      <c r="T67" s="7">
        <v>321.92</v>
      </c>
      <c r="U67" s="2"/>
      <c r="V67" s="6">
        <f t="shared" si="37"/>
        <v>0</v>
      </c>
      <c r="W67" s="2"/>
      <c r="X67" s="7">
        <f t="shared" si="38"/>
        <v>-321.92</v>
      </c>
      <c r="Y67" s="2"/>
      <c r="Z67" s="6">
        <f t="shared" si="39"/>
        <v>-1</v>
      </c>
    </row>
    <row r="68" spans="1:26" s="24" customFormat="1" hidden="1" outlineLevel="2" x14ac:dyDescent="0.35">
      <c r="A68" s="27"/>
      <c r="B68" s="11" t="str">
        <f>CONCATENATE("          ", "6373", " - ", "MAINTENANCE CONTRACTS")</f>
        <v xml:space="preserve">          6373 - MAINTENANCE CONTRACTS</v>
      </c>
      <c r="C68" s="11"/>
      <c r="D68" s="7">
        <v>10299.549999999999</v>
      </c>
      <c r="E68" s="2"/>
      <c r="F68" s="6">
        <f t="shared" si="32"/>
        <v>0</v>
      </c>
      <c r="G68" s="2"/>
      <c r="H68" s="7">
        <v>12923.06</v>
      </c>
      <c r="I68" s="2"/>
      <c r="J68" s="6">
        <f t="shared" si="33"/>
        <v>0</v>
      </c>
      <c r="K68" s="2"/>
      <c r="L68" s="7">
        <f t="shared" si="34"/>
        <v>-2623.51</v>
      </c>
      <c r="M68" s="2"/>
      <c r="N68" s="6">
        <f t="shared" si="35"/>
        <v>-0.20300996822733938</v>
      </c>
      <c r="O68" s="11"/>
      <c r="P68" s="7">
        <v>166846.89000000001</v>
      </c>
      <c r="Q68" s="2"/>
      <c r="R68" s="6">
        <f t="shared" si="36"/>
        <v>0</v>
      </c>
      <c r="S68" s="2"/>
      <c r="T68" s="7">
        <v>167214.15999999997</v>
      </c>
      <c r="U68" s="2"/>
      <c r="V68" s="6">
        <f t="shared" si="37"/>
        <v>0</v>
      </c>
      <c r="W68" s="2"/>
      <c r="X68" s="7">
        <f t="shared" si="38"/>
        <v>-367.26999999996042</v>
      </c>
      <c r="Y68" s="2"/>
      <c r="Z68" s="6">
        <f t="shared" si="39"/>
        <v>-2.1964048977667948E-3</v>
      </c>
    </row>
    <row r="69" spans="1:26" s="24" customFormat="1" hidden="1" outlineLevel="2" x14ac:dyDescent="0.3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21.83</v>
      </c>
      <c r="E69" s="2"/>
      <c r="F69" s="6">
        <f t="shared" si="32"/>
        <v>0</v>
      </c>
      <c r="G69" s="2"/>
      <c r="H69" s="7">
        <v>31.68</v>
      </c>
      <c r="I69" s="2"/>
      <c r="J69" s="6">
        <f t="shared" si="33"/>
        <v>0</v>
      </c>
      <c r="K69" s="2"/>
      <c r="L69" s="7">
        <f t="shared" si="34"/>
        <v>-9.8500000000000014</v>
      </c>
      <c r="M69" s="2"/>
      <c r="N69" s="6">
        <f t="shared" si="35"/>
        <v>-0.31092171717171724</v>
      </c>
      <c r="O69" s="11"/>
      <c r="P69" s="7">
        <v>3649.09</v>
      </c>
      <c r="Q69" s="2"/>
      <c r="R69" s="6">
        <f t="shared" si="36"/>
        <v>0</v>
      </c>
      <c r="S69" s="2"/>
      <c r="T69" s="7">
        <v>8856.24</v>
      </c>
      <c r="U69" s="2"/>
      <c r="V69" s="6">
        <f t="shared" si="37"/>
        <v>0</v>
      </c>
      <c r="W69" s="2"/>
      <c r="X69" s="7">
        <f t="shared" si="38"/>
        <v>-5207.1499999999996</v>
      </c>
      <c r="Y69" s="2"/>
      <c r="Z69" s="6">
        <f t="shared" si="39"/>
        <v>-0.58796396664950357</v>
      </c>
    </row>
    <row r="70" spans="1:26" s="25" customFormat="1" outlineLevel="1" collapsed="1" x14ac:dyDescent="0.35">
      <c r="A70" s="26"/>
      <c r="B70" s="12" t="str">
        <f>CONCATENATE("     ","Services                                          ")</f>
        <v xml:space="preserve">     Services                                          </v>
      </c>
      <c r="C70" s="12"/>
      <c r="D70" s="1">
        <f>SUM(OSRRefD22_14x_0)</f>
        <v>0</v>
      </c>
      <c r="E70" s="1"/>
      <c r="F70" s="5">
        <f t="shared" ref="F70:F72" si="40">IF(D$12=0,0,D70/D$12)</f>
        <v>0</v>
      </c>
      <c r="G70" s="1"/>
      <c r="H70" s="1">
        <f>SUM(OSRRefH22_14x_0)</f>
        <v>920.59</v>
      </c>
      <c r="I70" s="1"/>
      <c r="J70" s="5">
        <f t="shared" ref="J70:J72" si="41">IF(H$12=0,0,H70/H$12)</f>
        <v>0</v>
      </c>
      <c r="K70" s="1"/>
      <c r="L70" s="1">
        <f t="shared" ref="L70:L72" si="42">+D70-H70</f>
        <v>-920.59</v>
      </c>
      <c r="M70" s="1"/>
      <c r="N70" s="5">
        <f t="shared" ref="N70:N72" si="43">IF(H70=0,0,L70/H70)</f>
        <v>-1</v>
      </c>
      <c r="O70" s="12"/>
      <c r="P70" s="1">
        <f>SUM(OSRRefP22_14x_0)</f>
        <v>11051.39</v>
      </c>
      <c r="Q70" s="1"/>
      <c r="R70" s="5">
        <f t="shared" ref="R70:R72" si="44">IF(P$12=0,0,P70/P$12)</f>
        <v>0</v>
      </c>
      <c r="S70" s="1"/>
      <c r="T70" s="1">
        <f>SUM(OSRRefT22_14x_0)</f>
        <v>9258.31</v>
      </c>
      <c r="U70" s="1"/>
      <c r="V70" s="5">
        <f t="shared" ref="V70:V72" si="45">IF(T$12=0,0,T70/T$12)</f>
        <v>0</v>
      </c>
      <c r="W70" s="1"/>
      <c r="X70" s="1">
        <f t="shared" ref="X70:X72" si="46">+P70-T70</f>
        <v>1793.08</v>
      </c>
      <c r="Y70" s="1"/>
      <c r="Z70" s="5">
        <f t="shared" ref="Z70:Z72" si="47">IF(T70=0,0,X70/T70)</f>
        <v>0.19367249530421859</v>
      </c>
    </row>
    <row r="71" spans="1:26" s="24" customFormat="1" hidden="1" outlineLevel="2" x14ac:dyDescent="0.35">
      <c r="A71" s="27"/>
      <c r="B71" s="11" t="str">
        <f>CONCATENATE("          ", "6281", " - ", "STORAGE FEE")</f>
        <v xml:space="preserve">          6281 - STORAGE FEE</v>
      </c>
      <c r="C71" s="11"/>
      <c r="D71" s="7"/>
      <c r="E71" s="2"/>
      <c r="F71" s="6">
        <f t="shared" si="40"/>
        <v>0</v>
      </c>
      <c r="G71" s="2"/>
      <c r="H71" s="7">
        <v>911.75</v>
      </c>
      <c r="I71" s="2"/>
      <c r="J71" s="6">
        <f t="shared" si="41"/>
        <v>0</v>
      </c>
      <c r="K71" s="2"/>
      <c r="L71" s="7">
        <f t="shared" si="42"/>
        <v>-911.75</v>
      </c>
      <c r="M71" s="2"/>
      <c r="N71" s="6">
        <f t="shared" si="43"/>
        <v>-1</v>
      </c>
      <c r="O71" s="11"/>
      <c r="P71" s="7">
        <v>10967.41</v>
      </c>
      <c r="Q71" s="2"/>
      <c r="R71" s="6">
        <f t="shared" si="44"/>
        <v>0</v>
      </c>
      <c r="S71" s="2"/>
      <c r="T71" s="7">
        <v>9160.09</v>
      </c>
      <c r="U71" s="2"/>
      <c r="V71" s="6">
        <f t="shared" si="45"/>
        <v>0</v>
      </c>
      <c r="W71" s="2"/>
      <c r="X71" s="7">
        <f t="shared" si="46"/>
        <v>1807.3199999999997</v>
      </c>
      <c r="Y71" s="2"/>
      <c r="Z71" s="6">
        <f t="shared" si="47"/>
        <v>0.19730373828204742</v>
      </c>
    </row>
    <row r="72" spans="1:26" s="24" customFormat="1" hidden="1" outlineLevel="2" x14ac:dyDescent="0.35">
      <c r="A72" s="27"/>
      <c r="B72" s="11" t="str">
        <f>CONCATENATE("          ", "6286", " - ", "LAUNDRY EXPENSE")</f>
        <v xml:space="preserve">          6286 - LAUNDRY EXPENSE</v>
      </c>
      <c r="C72" s="11"/>
      <c r="D72" s="7"/>
      <c r="E72" s="2"/>
      <c r="F72" s="6">
        <f t="shared" si="40"/>
        <v>0</v>
      </c>
      <c r="G72" s="2"/>
      <c r="H72" s="7">
        <v>8.84</v>
      </c>
      <c r="I72" s="2"/>
      <c r="J72" s="6">
        <f t="shared" si="41"/>
        <v>0</v>
      </c>
      <c r="K72" s="2"/>
      <c r="L72" s="7">
        <f t="shared" si="42"/>
        <v>-8.84</v>
      </c>
      <c r="M72" s="2"/>
      <c r="N72" s="6">
        <f t="shared" si="43"/>
        <v>-1</v>
      </c>
      <c r="O72" s="11"/>
      <c r="P72" s="7">
        <v>83.98</v>
      </c>
      <c r="Q72" s="2"/>
      <c r="R72" s="6">
        <f t="shared" si="44"/>
        <v>0</v>
      </c>
      <c r="S72" s="2"/>
      <c r="T72" s="7">
        <v>98.22</v>
      </c>
      <c r="U72" s="2"/>
      <c r="V72" s="6">
        <f t="shared" si="45"/>
        <v>0</v>
      </c>
      <c r="W72" s="2"/>
      <c r="X72" s="7">
        <f t="shared" si="46"/>
        <v>-14.239999999999995</v>
      </c>
      <c r="Y72" s="2"/>
      <c r="Z72" s="6">
        <f t="shared" si="47"/>
        <v>-0.14498065567094273</v>
      </c>
    </row>
    <row r="73" spans="1:26" s="25" customFormat="1" outlineLevel="1" collapsed="1" x14ac:dyDescent="0.35">
      <c r="A73" s="26"/>
      <c r="B73" s="12" t="str">
        <f>CONCATENATE("     ","Subscriptions &amp; Dues                              ")</f>
        <v xml:space="preserve">     Subscriptions &amp; Dues                              </v>
      </c>
      <c r="C73" s="12"/>
      <c r="D73" s="1">
        <f>SUM(OSRRefD22_15x_0)</f>
        <v>-775</v>
      </c>
      <c r="E73" s="1"/>
      <c r="F73" s="5">
        <f t="shared" ref="F73:F75" si="48">IF(D$12=0,0,D73/D$12)</f>
        <v>0</v>
      </c>
      <c r="G73" s="1"/>
      <c r="H73" s="1">
        <f>SUM(OSRRefH22_15x_0)</f>
        <v>9.99</v>
      </c>
      <c r="I73" s="1"/>
      <c r="J73" s="5">
        <f t="shared" ref="J73:J75" si="49">IF(H$12=0,0,H73/H$12)</f>
        <v>0</v>
      </c>
      <c r="K73" s="1"/>
      <c r="L73" s="1">
        <f t="shared" ref="L73:L75" si="50">+D73-H73</f>
        <v>-784.99</v>
      </c>
      <c r="M73" s="1"/>
      <c r="N73" s="5">
        <f t="shared" ref="N73:N75" si="51">IF(H73=0,0,L73/H73)</f>
        <v>-78.577577577577571</v>
      </c>
      <c r="O73" s="12"/>
      <c r="P73" s="1">
        <f>SUM(OSRRefP22_15x_0)</f>
        <v>7864</v>
      </c>
      <c r="Q73" s="1"/>
      <c r="R73" s="5">
        <f t="shared" ref="R73:R75" si="52">IF(P$12=0,0,P73/P$12)</f>
        <v>0</v>
      </c>
      <c r="S73" s="1"/>
      <c r="T73" s="1">
        <f>SUM(OSRRefT22_15x_0)</f>
        <v>11965</v>
      </c>
      <c r="U73" s="1"/>
      <c r="V73" s="5">
        <f t="shared" ref="V73:V75" si="53">IF(T$12=0,0,T73/T$12)</f>
        <v>0</v>
      </c>
      <c r="W73" s="1"/>
      <c r="X73" s="1">
        <f t="shared" ref="X73:X75" si="54">+P73-T73</f>
        <v>-4101</v>
      </c>
      <c r="Y73" s="1"/>
      <c r="Z73" s="5">
        <f t="shared" ref="Z73:Z75" si="55">IF(T73=0,0,X73/T73)</f>
        <v>-0.34274968658587546</v>
      </c>
    </row>
    <row r="74" spans="1:26" s="24" customFormat="1" hidden="1" outlineLevel="2" x14ac:dyDescent="0.35">
      <c r="A74" s="27"/>
      <c r="B74" s="11" t="str">
        <f>CONCATENATE("          ", "6258", " - ", "MEMBERSHIP DUES")</f>
        <v xml:space="preserve">          6258 - MEMBERSHIP DUES</v>
      </c>
      <c r="C74" s="11"/>
      <c r="D74" s="7">
        <v>-775</v>
      </c>
      <c r="E74" s="2"/>
      <c r="F74" s="6">
        <f t="shared" si="48"/>
        <v>0</v>
      </c>
      <c r="G74" s="2"/>
      <c r="H74" s="7"/>
      <c r="I74" s="2"/>
      <c r="J74" s="6">
        <f t="shared" si="49"/>
        <v>0</v>
      </c>
      <c r="K74" s="2"/>
      <c r="L74" s="7">
        <f t="shared" si="50"/>
        <v>-775</v>
      </c>
      <c r="M74" s="2"/>
      <c r="N74" s="6">
        <f t="shared" si="51"/>
        <v>0</v>
      </c>
      <c r="O74" s="11"/>
      <c r="P74" s="7">
        <v>7864</v>
      </c>
      <c r="Q74" s="2"/>
      <c r="R74" s="6">
        <f t="shared" si="52"/>
        <v>0</v>
      </c>
      <c r="S74" s="2"/>
      <c r="T74" s="7">
        <v>10069</v>
      </c>
      <c r="U74" s="2"/>
      <c r="V74" s="6">
        <f t="shared" si="53"/>
        <v>0</v>
      </c>
      <c r="W74" s="2"/>
      <c r="X74" s="7">
        <f t="shared" si="54"/>
        <v>-2205</v>
      </c>
      <c r="Y74" s="2"/>
      <c r="Z74" s="6">
        <f t="shared" si="55"/>
        <v>-0.21898897606515047</v>
      </c>
    </row>
    <row r="75" spans="1:26" s="24" customFormat="1" hidden="1" outlineLevel="2" x14ac:dyDescent="0.35">
      <c r="A75" s="27"/>
      <c r="B75" s="11" t="str">
        <f>CONCATENATE("          ", "6275", " - ", "SUBSCRIPTIONS")</f>
        <v xml:space="preserve">          6275 - SUBSCRIPTIONS</v>
      </c>
      <c r="C75" s="11"/>
      <c r="D75" s="7"/>
      <c r="E75" s="2"/>
      <c r="F75" s="6">
        <f t="shared" si="48"/>
        <v>0</v>
      </c>
      <c r="G75" s="2"/>
      <c r="H75" s="7">
        <v>9.99</v>
      </c>
      <c r="I75" s="2"/>
      <c r="J75" s="6">
        <f t="shared" si="49"/>
        <v>0</v>
      </c>
      <c r="K75" s="2"/>
      <c r="L75" s="7">
        <f t="shared" si="50"/>
        <v>-9.99</v>
      </c>
      <c r="M75" s="2"/>
      <c r="N75" s="6">
        <f t="shared" si="51"/>
        <v>-1</v>
      </c>
      <c r="O75" s="11"/>
      <c r="P75" s="7"/>
      <c r="Q75" s="2"/>
      <c r="R75" s="6">
        <f t="shared" si="52"/>
        <v>0</v>
      </c>
      <c r="S75" s="2"/>
      <c r="T75" s="7">
        <v>1896</v>
      </c>
      <c r="U75" s="2"/>
      <c r="V75" s="6">
        <f t="shared" si="53"/>
        <v>0</v>
      </c>
      <c r="W75" s="2"/>
      <c r="X75" s="7">
        <f t="shared" si="54"/>
        <v>-1896</v>
      </c>
      <c r="Y75" s="2"/>
      <c r="Z75" s="6">
        <f t="shared" si="55"/>
        <v>-1</v>
      </c>
    </row>
    <row r="76" spans="1:26" s="25" customFormat="1" outlineLevel="1" collapsed="1" x14ac:dyDescent="0.35">
      <c r="A76" s="26"/>
      <c r="B76" s="12" t="str">
        <f>CONCATENATE("     ","Supplies                                          ")</f>
        <v xml:space="preserve">     Supplies                                          </v>
      </c>
      <c r="C76" s="12"/>
      <c r="D76" s="1">
        <f>SUM(OSRRefD22_16x_0)</f>
        <v>2591.77</v>
      </c>
      <c r="E76" s="1"/>
      <c r="F76" s="5">
        <f t="shared" ref="F76:F81" si="56">IF(D$12=0,0,D76/D$12)</f>
        <v>0</v>
      </c>
      <c r="G76" s="1"/>
      <c r="H76" s="1">
        <f>SUM(OSRRefH22_16x_0)</f>
        <v>5980.37</v>
      </c>
      <c r="I76" s="1"/>
      <c r="J76" s="5">
        <f t="shared" ref="J76:J81" si="57">IF(H$12=0,0,H76/H$12)</f>
        <v>0</v>
      </c>
      <c r="K76" s="1"/>
      <c r="L76" s="1">
        <f t="shared" ref="L76:L81" si="58">+D76-H76</f>
        <v>-3388.6</v>
      </c>
      <c r="M76" s="1"/>
      <c r="N76" s="5">
        <f t="shared" ref="N76:N81" si="59">IF(H76=0,0,L76/H76)</f>
        <v>-0.56662045993809751</v>
      </c>
      <c r="O76" s="12"/>
      <c r="P76" s="1">
        <f>SUM(OSRRefP22_16x_0)</f>
        <v>65426.86</v>
      </c>
      <c r="Q76" s="1"/>
      <c r="R76" s="5">
        <f t="shared" ref="R76:R81" si="60">IF(P$12=0,0,P76/P$12)</f>
        <v>0</v>
      </c>
      <c r="S76" s="1"/>
      <c r="T76" s="1">
        <f>SUM(OSRRefT22_16x_0)</f>
        <v>106269.26</v>
      </c>
      <c r="U76" s="1"/>
      <c r="V76" s="5">
        <f t="shared" ref="V76:V81" si="61">IF(T$12=0,0,T76/T$12)</f>
        <v>0</v>
      </c>
      <c r="W76" s="1"/>
      <c r="X76" s="1">
        <f t="shared" ref="X76:X81" si="62">+P76-T76</f>
        <v>-40842.399999999994</v>
      </c>
      <c r="Y76" s="1"/>
      <c r="Z76" s="5">
        <f t="shared" ref="Z76:Z81" si="63">IF(T76=0,0,X76/T76)</f>
        <v>-0.38432939120870885</v>
      </c>
    </row>
    <row r="77" spans="1:26" s="24" customFormat="1" hidden="1" outlineLevel="2" x14ac:dyDescent="0.35">
      <c r="A77" s="27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56"/>
        <v>0</v>
      </c>
      <c r="G77" s="2"/>
      <c r="H77" s="7"/>
      <c r="I77" s="2"/>
      <c r="J77" s="6">
        <f t="shared" si="57"/>
        <v>0</v>
      </c>
      <c r="K77" s="2"/>
      <c r="L77" s="7">
        <f t="shared" si="58"/>
        <v>0</v>
      </c>
      <c r="M77" s="2"/>
      <c r="N77" s="6">
        <f t="shared" si="59"/>
        <v>0</v>
      </c>
      <c r="O77" s="11"/>
      <c r="P77" s="7">
        <v>1223.6099999999999</v>
      </c>
      <c r="Q77" s="2"/>
      <c r="R77" s="6">
        <f t="shared" si="60"/>
        <v>0</v>
      </c>
      <c r="S77" s="2"/>
      <c r="T77" s="7">
        <v>5754.18</v>
      </c>
      <c r="U77" s="2"/>
      <c r="V77" s="6">
        <f t="shared" si="61"/>
        <v>0</v>
      </c>
      <c r="W77" s="2"/>
      <c r="X77" s="7">
        <f t="shared" si="62"/>
        <v>-4530.5700000000006</v>
      </c>
      <c r="Y77" s="2"/>
      <c r="Z77" s="6">
        <f t="shared" si="63"/>
        <v>-0.78735284610491862</v>
      </c>
    </row>
    <row r="78" spans="1:26" s="24" customFormat="1" hidden="1" outlineLevel="2" x14ac:dyDescent="0.35">
      <c r="A78" s="27"/>
      <c r="B78" s="11" t="str">
        <f>CONCATENATE("          ", "6235", " - ", "COVID-19 EXPENSES")</f>
        <v xml:space="preserve">          6235 - COVID-19 EXPENSES</v>
      </c>
      <c r="C78" s="11"/>
      <c r="D78" s="7">
        <v>1330.84</v>
      </c>
      <c r="E78" s="2"/>
      <c r="F78" s="6">
        <f t="shared" si="56"/>
        <v>0</v>
      </c>
      <c r="G78" s="2"/>
      <c r="H78" s="7"/>
      <c r="I78" s="2"/>
      <c r="J78" s="6">
        <f t="shared" si="57"/>
        <v>0</v>
      </c>
      <c r="K78" s="2"/>
      <c r="L78" s="7">
        <f t="shared" si="58"/>
        <v>1330.84</v>
      </c>
      <c r="M78" s="2"/>
      <c r="N78" s="6">
        <f t="shared" si="59"/>
        <v>0</v>
      </c>
      <c r="O78" s="11"/>
      <c r="P78" s="7">
        <v>6770.84</v>
      </c>
      <c r="Q78" s="2"/>
      <c r="R78" s="6">
        <f t="shared" si="60"/>
        <v>0</v>
      </c>
      <c r="S78" s="2"/>
      <c r="T78" s="7"/>
      <c r="U78" s="2"/>
      <c r="V78" s="6">
        <f t="shared" si="61"/>
        <v>0</v>
      </c>
      <c r="W78" s="2"/>
      <c r="X78" s="7">
        <f t="shared" si="62"/>
        <v>6770.84</v>
      </c>
      <c r="Y78" s="2"/>
      <c r="Z78" s="6">
        <f t="shared" si="63"/>
        <v>0</v>
      </c>
    </row>
    <row r="79" spans="1:26" s="24" customFormat="1" hidden="1" outlineLevel="2" x14ac:dyDescent="0.35">
      <c r="A79" s="27"/>
      <c r="B79" s="11" t="str">
        <f>CONCATENATE("          ", "6241", " - ", "OFFICE EXPENSE")</f>
        <v xml:space="preserve">          6241 - OFFICE EXPENSE</v>
      </c>
      <c r="C79" s="11"/>
      <c r="D79" s="7">
        <v>1260.93</v>
      </c>
      <c r="E79" s="2"/>
      <c r="F79" s="6">
        <f t="shared" si="56"/>
        <v>0</v>
      </c>
      <c r="G79" s="2"/>
      <c r="H79" s="7">
        <v>4938.96</v>
      </c>
      <c r="I79" s="2"/>
      <c r="J79" s="6">
        <f t="shared" si="57"/>
        <v>0</v>
      </c>
      <c r="K79" s="2"/>
      <c r="L79" s="7">
        <f t="shared" si="58"/>
        <v>-3678.0299999999997</v>
      </c>
      <c r="M79" s="2"/>
      <c r="N79" s="6">
        <f t="shared" si="59"/>
        <v>-0.74469726420137028</v>
      </c>
      <c r="O79" s="11"/>
      <c r="P79" s="7">
        <v>52152.87</v>
      </c>
      <c r="Q79" s="2"/>
      <c r="R79" s="6">
        <f t="shared" si="60"/>
        <v>0</v>
      </c>
      <c r="S79" s="2"/>
      <c r="T79" s="7">
        <v>94177.19</v>
      </c>
      <c r="U79" s="2"/>
      <c r="V79" s="6">
        <f t="shared" si="61"/>
        <v>0</v>
      </c>
      <c r="W79" s="2"/>
      <c r="X79" s="7">
        <f t="shared" si="62"/>
        <v>-42024.32</v>
      </c>
      <c r="Y79" s="2"/>
      <c r="Z79" s="6">
        <f t="shared" si="63"/>
        <v>-0.44622609784810952</v>
      </c>
    </row>
    <row r="80" spans="1:26" s="24" customFormat="1" hidden="1" outlineLevel="2" x14ac:dyDescent="0.35">
      <c r="A80" s="27"/>
      <c r="B80" s="11" t="str">
        <f>CONCATENATE("          ", "6244", " - ", "SAFETY SUPPLY EXPENSE")</f>
        <v xml:space="preserve">          6244 - SAFETY SUPPLY EXPENSE</v>
      </c>
      <c r="C80" s="11"/>
      <c r="D80" s="7"/>
      <c r="E80" s="2"/>
      <c r="F80" s="6">
        <f t="shared" si="56"/>
        <v>0</v>
      </c>
      <c r="G80" s="2"/>
      <c r="H80" s="7">
        <v>75</v>
      </c>
      <c r="I80" s="2"/>
      <c r="J80" s="6">
        <f t="shared" si="57"/>
        <v>0</v>
      </c>
      <c r="K80" s="2"/>
      <c r="L80" s="7">
        <f t="shared" si="58"/>
        <v>-75</v>
      </c>
      <c r="M80" s="2"/>
      <c r="N80" s="6">
        <f t="shared" si="59"/>
        <v>-1</v>
      </c>
      <c r="O80" s="11"/>
      <c r="P80" s="7">
        <v>2034.69</v>
      </c>
      <c r="Q80" s="2"/>
      <c r="R80" s="6">
        <f t="shared" si="60"/>
        <v>0</v>
      </c>
      <c r="S80" s="2"/>
      <c r="T80" s="7">
        <v>3662.48</v>
      </c>
      <c r="U80" s="2"/>
      <c r="V80" s="6">
        <f t="shared" si="61"/>
        <v>0</v>
      </c>
      <c r="W80" s="2"/>
      <c r="X80" s="7">
        <f t="shared" si="62"/>
        <v>-1627.79</v>
      </c>
      <c r="Y80" s="2"/>
      <c r="Z80" s="6">
        <f t="shared" si="63"/>
        <v>-0.44445020860182172</v>
      </c>
    </row>
    <row r="81" spans="1:26" s="24" customFormat="1" hidden="1" outlineLevel="2" x14ac:dyDescent="0.35">
      <c r="A81" s="27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56"/>
        <v>0</v>
      </c>
      <c r="G81" s="2"/>
      <c r="H81" s="7">
        <v>966.41</v>
      </c>
      <c r="I81" s="2"/>
      <c r="J81" s="6">
        <f t="shared" si="57"/>
        <v>0</v>
      </c>
      <c r="K81" s="2"/>
      <c r="L81" s="7">
        <f t="shared" si="58"/>
        <v>-966.41</v>
      </c>
      <c r="M81" s="2"/>
      <c r="N81" s="6">
        <f t="shared" si="59"/>
        <v>-1</v>
      </c>
      <c r="O81" s="11"/>
      <c r="P81" s="7">
        <v>3244.85</v>
      </c>
      <c r="Q81" s="2"/>
      <c r="R81" s="6">
        <f t="shared" si="60"/>
        <v>0</v>
      </c>
      <c r="S81" s="2"/>
      <c r="T81" s="7">
        <v>2675.41</v>
      </c>
      <c r="U81" s="2"/>
      <c r="V81" s="6">
        <f t="shared" si="61"/>
        <v>0</v>
      </c>
      <c r="W81" s="2"/>
      <c r="X81" s="7">
        <f t="shared" si="62"/>
        <v>569.44000000000005</v>
      </c>
      <c r="Y81" s="2"/>
      <c r="Z81" s="6">
        <f t="shared" si="63"/>
        <v>0.2128421438209471</v>
      </c>
    </row>
    <row r="82" spans="1:26" s="25" customFormat="1" outlineLevel="1" collapsed="1" x14ac:dyDescent="0.35">
      <c r="A82" s="26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SUM(OSRRefD22_17x_0)</f>
        <v>1856.84</v>
      </c>
      <c r="E82" s="1"/>
      <c r="F82" s="5">
        <f t="shared" ref="F82:F84" si="64">IF(D$12=0,0,D82/D$12)</f>
        <v>0</v>
      </c>
      <c r="G82" s="1"/>
      <c r="H82" s="1">
        <f>SUM(OSRRefH22_17x_0)</f>
        <v>2242.9300000000003</v>
      </c>
      <c r="I82" s="1"/>
      <c r="J82" s="5">
        <f t="shared" ref="J82:J84" si="65">IF(H$12=0,0,H82/H$12)</f>
        <v>0</v>
      </c>
      <c r="K82" s="1"/>
      <c r="L82" s="1">
        <f t="shared" ref="L82:L84" si="66">+D82-H82</f>
        <v>-386.09000000000037</v>
      </c>
      <c r="M82" s="1"/>
      <c r="N82" s="5">
        <f t="shared" ref="N82:N84" si="67">IF(H82=0,0,L82/H82)</f>
        <v>-0.17213644652307486</v>
      </c>
      <c r="O82" s="12"/>
      <c r="P82" s="1">
        <f>SUM(OSRRefP22_17x_0)</f>
        <v>28842.639999999999</v>
      </c>
      <c r="Q82" s="1"/>
      <c r="R82" s="5">
        <f t="shared" ref="R82:R84" si="68">IF(P$12=0,0,P82/P$12)</f>
        <v>0</v>
      </c>
      <c r="S82" s="1"/>
      <c r="T82" s="1">
        <f>SUM(OSRRefT22_17x_0)</f>
        <v>27469.67</v>
      </c>
      <c r="U82" s="1"/>
      <c r="V82" s="5">
        <f t="shared" ref="V82:V84" si="69">IF(T$12=0,0,T82/T$12)</f>
        <v>0</v>
      </c>
      <c r="W82" s="1"/>
      <c r="X82" s="1">
        <f t="shared" ref="X82:X84" si="70">+P82-T82</f>
        <v>1372.9700000000012</v>
      </c>
      <c r="Y82" s="1"/>
      <c r="Z82" s="5">
        <f t="shared" ref="Z82:Z84" si="71">IF(T82=0,0,X82/T82)</f>
        <v>4.9981306655667912E-2</v>
      </c>
    </row>
    <row r="83" spans="1:26" s="24" customFormat="1" hidden="1" outlineLevel="2" x14ac:dyDescent="0.35">
      <c r="A83" s="27"/>
      <c r="B83" s="11" t="str">
        <f>CONCATENATE("          ", "6303", " - ", "DATA PHONE LINES")</f>
        <v xml:space="preserve">          6303 - DATA PHONE LINES</v>
      </c>
      <c r="C83" s="11"/>
      <c r="D83" s="7">
        <v>208.97</v>
      </c>
      <c r="E83" s="2"/>
      <c r="F83" s="6">
        <f t="shared" si="64"/>
        <v>0</v>
      </c>
      <c r="G83" s="2"/>
      <c r="H83" s="7">
        <v>195.53</v>
      </c>
      <c r="I83" s="2"/>
      <c r="J83" s="6">
        <f t="shared" si="65"/>
        <v>0</v>
      </c>
      <c r="K83" s="2"/>
      <c r="L83" s="7">
        <f t="shared" si="66"/>
        <v>13.439999999999998</v>
      </c>
      <c r="M83" s="2"/>
      <c r="N83" s="6">
        <f t="shared" si="67"/>
        <v>6.8736255306091121E-2</v>
      </c>
      <c r="O83" s="11"/>
      <c r="P83" s="7">
        <v>1889.95</v>
      </c>
      <c r="Q83" s="2"/>
      <c r="R83" s="6">
        <f t="shared" si="68"/>
        <v>0</v>
      </c>
      <c r="S83" s="2"/>
      <c r="T83" s="7">
        <v>2118.17</v>
      </c>
      <c r="U83" s="2"/>
      <c r="V83" s="6">
        <f t="shared" si="69"/>
        <v>0</v>
      </c>
      <c r="W83" s="2"/>
      <c r="X83" s="7">
        <f t="shared" si="70"/>
        <v>-228.22000000000003</v>
      </c>
      <c r="Y83" s="2"/>
      <c r="Z83" s="6">
        <f t="shared" si="71"/>
        <v>-0.10774394878598036</v>
      </c>
    </row>
    <row r="84" spans="1:26" s="24" customFormat="1" hidden="1" outlineLevel="2" x14ac:dyDescent="0.35">
      <c r="A84" s="27"/>
      <c r="B84" s="11" t="str">
        <f>CONCATENATE("          ", "6309", " - ", "TELEPHONE")</f>
        <v xml:space="preserve">          6309 - TELEPHONE</v>
      </c>
      <c r="C84" s="11"/>
      <c r="D84" s="7">
        <v>1647.87</v>
      </c>
      <c r="E84" s="2"/>
      <c r="F84" s="6">
        <f t="shared" si="64"/>
        <v>0</v>
      </c>
      <c r="G84" s="2"/>
      <c r="H84" s="7">
        <v>2047.4</v>
      </c>
      <c r="I84" s="2"/>
      <c r="J84" s="6">
        <f t="shared" si="65"/>
        <v>0</v>
      </c>
      <c r="K84" s="2"/>
      <c r="L84" s="7">
        <f t="shared" si="66"/>
        <v>-399.5300000000002</v>
      </c>
      <c r="M84" s="2"/>
      <c r="N84" s="6">
        <f t="shared" si="67"/>
        <v>-0.19514017778646098</v>
      </c>
      <c r="O84" s="11"/>
      <c r="P84" s="7">
        <v>26952.69</v>
      </c>
      <c r="Q84" s="2"/>
      <c r="R84" s="6">
        <f t="shared" si="68"/>
        <v>0</v>
      </c>
      <c r="S84" s="2"/>
      <c r="T84" s="7">
        <v>25351.5</v>
      </c>
      <c r="U84" s="2"/>
      <c r="V84" s="6">
        <f t="shared" si="69"/>
        <v>0</v>
      </c>
      <c r="W84" s="2"/>
      <c r="X84" s="7">
        <f t="shared" si="70"/>
        <v>1601.1899999999987</v>
      </c>
      <c r="Y84" s="2"/>
      <c r="Z84" s="6">
        <f t="shared" si="71"/>
        <v>6.3159576356428562E-2</v>
      </c>
    </row>
    <row r="85" spans="1:26" s="25" customFormat="1" outlineLevel="1" collapsed="1" x14ac:dyDescent="0.35">
      <c r="A85" s="26"/>
      <c r="B85" s="12" t="str">
        <f>CONCATENATE("     ","Training                                          ")</f>
        <v xml:space="preserve">     Training                                          </v>
      </c>
      <c r="C85" s="12"/>
      <c r="D85" s="1">
        <f>SUM(OSRRefD22_18x_0)</f>
        <v>-1353.17</v>
      </c>
      <c r="E85" s="1"/>
      <c r="F85" s="5">
        <f t="shared" ref="F85:F89" si="72">IF(D$12=0,0,D85/D$12)</f>
        <v>0</v>
      </c>
      <c r="G85" s="1"/>
      <c r="H85" s="1">
        <f>SUM(OSRRefH22_18x_0)</f>
        <v>1847.3</v>
      </c>
      <c r="I85" s="1"/>
      <c r="J85" s="5">
        <f t="shared" ref="J85:J89" si="73">IF(H$12=0,0,H85/H$12)</f>
        <v>0</v>
      </c>
      <c r="K85" s="1"/>
      <c r="L85" s="1">
        <f t="shared" ref="L85:L89" si="74">+D85-H85</f>
        <v>-3200.4700000000003</v>
      </c>
      <c r="M85" s="1"/>
      <c r="N85" s="5">
        <f t="shared" ref="N85:N89" si="75">IF(H85=0,0,L85/H85)</f>
        <v>-1.7325123152709361</v>
      </c>
      <c r="O85" s="12"/>
      <c r="P85" s="1">
        <f>SUM(OSRRefP22_18x_0)</f>
        <v>20640.37</v>
      </c>
      <c r="Q85" s="1"/>
      <c r="R85" s="5">
        <f t="shared" ref="R85:R89" si="76">IF(P$12=0,0,P85/P$12)</f>
        <v>0</v>
      </c>
      <c r="S85" s="1"/>
      <c r="T85" s="1">
        <f>SUM(OSRRefT22_18x_0)</f>
        <v>31702.639999999999</v>
      </c>
      <c r="U85" s="1"/>
      <c r="V85" s="5">
        <f t="shared" ref="V85:V89" si="77">IF(T$12=0,0,T85/T$12)</f>
        <v>0</v>
      </c>
      <c r="W85" s="1"/>
      <c r="X85" s="1">
        <f t="shared" ref="X85:X89" si="78">+P85-T85</f>
        <v>-11062.27</v>
      </c>
      <c r="Y85" s="1"/>
      <c r="Z85" s="5">
        <f t="shared" ref="Z85:Z89" si="79">IF(T85=0,0,X85/T85)</f>
        <v>-0.34893844802830304</v>
      </c>
    </row>
    <row r="86" spans="1:26" s="24" customFormat="1" hidden="1" outlineLevel="2" x14ac:dyDescent="0.35">
      <c r="A86" s="27"/>
      <c r="B86" s="11" t="str">
        <f>CONCATENATE("          ", "6376", " - ", "TRAINING")</f>
        <v xml:space="preserve">          6376 - TRAINING</v>
      </c>
      <c r="C86" s="11"/>
      <c r="D86" s="7">
        <v>-1353.17</v>
      </c>
      <c r="E86" s="2"/>
      <c r="F86" s="6">
        <f t="shared" si="72"/>
        <v>0</v>
      </c>
      <c r="G86" s="2"/>
      <c r="H86" s="7">
        <v>1847.3</v>
      </c>
      <c r="I86" s="2"/>
      <c r="J86" s="6">
        <f t="shared" si="73"/>
        <v>0</v>
      </c>
      <c r="K86" s="2"/>
      <c r="L86" s="7">
        <f t="shared" si="74"/>
        <v>-3200.4700000000003</v>
      </c>
      <c r="M86" s="2"/>
      <c r="N86" s="6">
        <f t="shared" si="75"/>
        <v>-1.7325123152709361</v>
      </c>
      <c r="O86" s="11"/>
      <c r="P86" s="7">
        <v>20640.37</v>
      </c>
      <c r="Q86" s="2"/>
      <c r="R86" s="6">
        <f t="shared" si="76"/>
        <v>0</v>
      </c>
      <c r="S86" s="2"/>
      <c r="T86" s="7">
        <v>31702.639999999999</v>
      </c>
      <c r="U86" s="2"/>
      <c r="V86" s="6">
        <f t="shared" si="77"/>
        <v>0</v>
      </c>
      <c r="W86" s="2"/>
      <c r="X86" s="7">
        <f t="shared" si="78"/>
        <v>-11062.27</v>
      </c>
      <c r="Y86" s="2"/>
      <c r="Z86" s="6">
        <f t="shared" si="79"/>
        <v>-0.34893844802830304</v>
      </c>
    </row>
    <row r="87" spans="1:26" s="25" customFormat="1" outlineLevel="1" collapsed="1" x14ac:dyDescent="0.35">
      <c r="A87" s="26"/>
      <c r="B87" s="12" t="str">
        <f>CONCATENATE("     ","Travel                                            ")</f>
        <v xml:space="preserve">     Travel                                            </v>
      </c>
      <c r="C87" s="12"/>
      <c r="D87" s="1">
        <f>SUM(OSRRefD22_19x_0)</f>
        <v>0</v>
      </c>
      <c r="E87" s="1"/>
      <c r="F87" s="5">
        <f t="shared" si="72"/>
        <v>0</v>
      </c>
      <c r="G87" s="1"/>
      <c r="H87" s="1">
        <f>SUM(OSRRefH22_19x_0)</f>
        <v>1888.06</v>
      </c>
      <c r="I87" s="1"/>
      <c r="J87" s="5">
        <f t="shared" si="73"/>
        <v>0</v>
      </c>
      <c r="K87" s="1"/>
      <c r="L87" s="1">
        <f t="shared" si="74"/>
        <v>-1888.06</v>
      </c>
      <c r="M87" s="1"/>
      <c r="N87" s="5">
        <f t="shared" si="75"/>
        <v>-1</v>
      </c>
      <c r="O87" s="12"/>
      <c r="P87" s="1">
        <f>SUM(OSRRefP22_19x_0)</f>
        <v>12860.449999999999</v>
      </c>
      <c r="Q87" s="1"/>
      <c r="R87" s="5">
        <f t="shared" si="76"/>
        <v>0</v>
      </c>
      <c r="S87" s="1"/>
      <c r="T87" s="1">
        <f>SUM(OSRRefT22_19x_0)</f>
        <v>24117.55</v>
      </c>
      <c r="U87" s="1"/>
      <c r="V87" s="5">
        <f t="shared" si="77"/>
        <v>0</v>
      </c>
      <c r="W87" s="1"/>
      <c r="X87" s="1">
        <f t="shared" si="78"/>
        <v>-11257.1</v>
      </c>
      <c r="Y87" s="1"/>
      <c r="Z87" s="5">
        <f t="shared" si="79"/>
        <v>-0.46675968330116452</v>
      </c>
    </row>
    <row r="88" spans="1:26" s="24" customFormat="1" hidden="1" outlineLevel="2" x14ac:dyDescent="0.35">
      <c r="A88" s="27"/>
      <c r="B88" s="11" t="str">
        <f>CONCATENATE("          ", "6292", " - ", "TRAVEL/CONFERENCE")</f>
        <v xml:space="preserve">          6292 - TRAVEL/CONFERENCE</v>
      </c>
      <c r="C88" s="11"/>
      <c r="D88" s="7"/>
      <c r="E88" s="2"/>
      <c r="F88" s="6">
        <f t="shared" si="72"/>
        <v>0</v>
      </c>
      <c r="G88" s="2"/>
      <c r="H88" s="7">
        <v>1888.06</v>
      </c>
      <c r="I88" s="2"/>
      <c r="J88" s="6">
        <f t="shared" si="73"/>
        <v>0</v>
      </c>
      <c r="K88" s="2"/>
      <c r="L88" s="7">
        <f t="shared" si="74"/>
        <v>-1888.06</v>
      </c>
      <c r="M88" s="2"/>
      <c r="N88" s="6">
        <f t="shared" si="75"/>
        <v>-1</v>
      </c>
      <c r="O88" s="11"/>
      <c r="P88" s="7">
        <v>12836.55</v>
      </c>
      <c r="Q88" s="2"/>
      <c r="R88" s="6">
        <f t="shared" si="76"/>
        <v>0</v>
      </c>
      <c r="S88" s="2"/>
      <c r="T88" s="7">
        <v>22739.489999999998</v>
      </c>
      <c r="U88" s="2"/>
      <c r="V88" s="6">
        <f t="shared" si="77"/>
        <v>0</v>
      </c>
      <c r="W88" s="2"/>
      <c r="X88" s="7">
        <f t="shared" si="78"/>
        <v>-9902.9399999999987</v>
      </c>
      <c r="Y88" s="2"/>
      <c r="Z88" s="6">
        <f t="shared" si="79"/>
        <v>-0.43549525517063048</v>
      </c>
    </row>
    <row r="89" spans="1:26" s="24" customFormat="1" hidden="1" outlineLevel="2" x14ac:dyDescent="0.35">
      <c r="A89" s="27"/>
      <c r="B89" s="11" t="str">
        <f>CONCATENATE("          ", "6294", " - ", "TRAVEL OPERATIONAL")</f>
        <v xml:space="preserve">          6294 - TRAVEL OPERATIONAL</v>
      </c>
      <c r="C89" s="11"/>
      <c r="D89" s="7"/>
      <c r="E89" s="2"/>
      <c r="F89" s="6">
        <f t="shared" si="72"/>
        <v>0</v>
      </c>
      <c r="G89" s="2"/>
      <c r="H89" s="7"/>
      <c r="I89" s="2"/>
      <c r="J89" s="6">
        <f t="shared" si="73"/>
        <v>0</v>
      </c>
      <c r="K89" s="2"/>
      <c r="L89" s="7">
        <f t="shared" si="74"/>
        <v>0</v>
      </c>
      <c r="M89" s="2"/>
      <c r="N89" s="6">
        <f t="shared" si="75"/>
        <v>0</v>
      </c>
      <c r="O89" s="11"/>
      <c r="P89" s="7">
        <v>23.9</v>
      </c>
      <c r="Q89" s="2"/>
      <c r="R89" s="6">
        <f t="shared" si="76"/>
        <v>0</v>
      </c>
      <c r="S89" s="2"/>
      <c r="T89" s="7">
        <v>1378.06</v>
      </c>
      <c r="U89" s="2"/>
      <c r="V89" s="6">
        <f t="shared" si="77"/>
        <v>0</v>
      </c>
      <c r="W89" s="2"/>
      <c r="X89" s="7">
        <f t="shared" si="78"/>
        <v>-1354.1599999999999</v>
      </c>
      <c r="Y89" s="2"/>
      <c r="Z89" s="6">
        <f t="shared" si="79"/>
        <v>-0.98265677836959198</v>
      </c>
    </row>
    <row r="90" spans="1:26" s="56" customFormat="1" x14ac:dyDescent="0.35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35">
      <c r="A91" s="10"/>
      <c r="B91" s="29" t="s">
        <v>0</v>
      </c>
      <c r="C91" s="10"/>
      <c r="D91" s="4">
        <f>SUM(0)</f>
        <v>0</v>
      </c>
      <c r="E91" s="4"/>
      <c r="F91" s="13">
        <f>IF(D$12=0,0,D91/D$12)</f>
        <v>0</v>
      </c>
      <c r="G91" s="4"/>
      <c r="H91" s="4">
        <f>SUM(0)</f>
        <v>0</v>
      </c>
      <c r="I91" s="4"/>
      <c r="J91" s="13">
        <f>IF(H$12=0,0,H91/H$12)</f>
        <v>0</v>
      </c>
      <c r="K91" s="4"/>
      <c r="L91" s="4">
        <f>+D91-H91</f>
        <v>0</v>
      </c>
      <c r="M91" s="4"/>
      <c r="N91" s="13">
        <f>IF(H91=0,0,L91/H91)</f>
        <v>0</v>
      </c>
      <c r="O91" s="10"/>
      <c r="P91" s="4">
        <f>SUM(0)</f>
        <v>0</v>
      </c>
      <c r="Q91" s="4"/>
      <c r="R91" s="13">
        <f>IF(P$12=0,0,P91/P$12)</f>
        <v>0</v>
      </c>
      <c r="S91" s="4"/>
      <c r="T91" s="4">
        <f>SUM(0)</f>
        <v>0</v>
      </c>
      <c r="U91" s="4"/>
      <c r="V91" s="13">
        <f>IF(T$12=0,0,T91/T$12)</f>
        <v>0</v>
      </c>
      <c r="W91" s="4"/>
      <c r="X91" s="4">
        <f>+P91-T91</f>
        <v>0</v>
      </c>
      <c r="Y91" s="4"/>
      <c r="Z91" s="13">
        <f>IF(T91=0,0,X91/T91)</f>
        <v>0</v>
      </c>
    </row>
    <row r="92" spans="1:26" x14ac:dyDescent="0.3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5">
      <c r="A93" s="10"/>
      <c r="B93" s="28" t="s">
        <v>3</v>
      </c>
      <c r="C93" s="28"/>
      <c r="D93" s="22">
        <f>+D16-D18+D91</f>
        <v>-1014635.2799999997</v>
      </c>
      <c r="E93" s="14"/>
      <c r="F93" s="21">
        <f>IF(D$12=0,0,D93/D$12)</f>
        <v>0</v>
      </c>
      <c r="G93" s="14"/>
      <c r="H93" s="22">
        <f>+H16-H18+H91</f>
        <v>1088707.1599999997</v>
      </c>
      <c r="I93" s="14"/>
      <c r="J93" s="21">
        <f>IF(H$12=0,0,H93/H$12)</f>
        <v>0</v>
      </c>
      <c r="K93" s="15"/>
      <c r="L93" s="22">
        <f>+D93-H93</f>
        <v>-2103342.4399999995</v>
      </c>
      <c r="M93" s="15"/>
      <c r="N93" s="21">
        <f>IF(H93=0,0,L93/H93)</f>
        <v>-1.9319634491978541</v>
      </c>
      <c r="O93" s="29"/>
      <c r="P93" s="22">
        <f>+P16-P18+P91</f>
        <v>-4336174.9600000018</v>
      </c>
      <c r="Q93" s="14"/>
      <c r="R93" s="21">
        <f>IF(P$12=0,0,P93/P$12)</f>
        <v>0</v>
      </c>
      <c r="S93" s="14"/>
      <c r="T93" s="22">
        <f>+T16-T18+T91</f>
        <v>-2547288.4900000007</v>
      </c>
      <c r="U93" s="14"/>
      <c r="V93" s="21">
        <f>IF(T$12=0,0,T93/T$12)</f>
        <v>0</v>
      </c>
      <c r="W93" s="15"/>
      <c r="X93" s="22">
        <f>+P93-T93</f>
        <v>-1788886.4700000011</v>
      </c>
      <c r="Y93" s="15"/>
      <c r="Z93" s="21">
        <f>IF(T93=0,0,X93/T93)</f>
        <v>0.70227085664725819</v>
      </c>
    </row>
    <row r="94" spans="1:26" x14ac:dyDescent="0.3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5">
      <c r="A95" s="51"/>
      <c r="B95" s="10" t="s">
        <v>13</v>
      </c>
      <c r="C95" s="10"/>
      <c r="D95" s="4"/>
      <c r="E95" s="4"/>
      <c r="F95" s="13">
        <f>IF(D$12=0,0,D95/D$12)</f>
        <v>0</v>
      </c>
      <c r="G95" s="4"/>
      <c r="H95" s="4"/>
      <c r="I95" s="4"/>
      <c r="J95" s="13">
        <f>IF(H$12=0,0,H95/H$12)</f>
        <v>0</v>
      </c>
      <c r="K95" s="4"/>
      <c r="L95" s="4">
        <f>+D95-H95</f>
        <v>0</v>
      </c>
      <c r="M95" s="4"/>
      <c r="N95" s="13">
        <f>IF(H95=0,0,L95/H95)</f>
        <v>0</v>
      </c>
      <c r="O95" s="10"/>
      <c r="P95" s="4"/>
      <c r="Q95" s="4"/>
      <c r="R95" s="13">
        <f>IF(P$12=0,0,P95/P$12)</f>
        <v>0</v>
      </c>
      <c r="S95" s="4"/>
      <c r="T95" s="4"/>
      <c r="U95" s="4"/>
      <c r="V95" s="13">
        <f>IF(T$12=0,0,T95/T$12)</f>
        <v>0</v>
      </c>
      <c r="W95" s="4"/>
      <c r="X95" s="4">
        <f>+P95-T95</f>
        <v>0</v>
      </c>
      <c r="Y95" s="4"/>
      <c r="Z95" s="13">
        <f>IF(T95=0,0,X95/T95)</f>
        <v>0</v>
      </c>
    </row>
    <row r="96" spans="1:26" x14ac:dyDescent="0.3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4">
      <c r="A97" s="10"/>
      <c r="B97" s="28" t="s">
        <v>4</v>
      </c>
      <c r="C97" s="28"/>
      <c r="D97" s="34">
        <f>+D93-D95</f>
        <v>-1014635.2799999997</v>
      </c>
      <c r="E97" s="14"/>
      <c r="F97" s="32">
        <f>IF(D$12=0,0,D97/D$12)</f>
        <v>0</v>
      </c>
      <c r="G97" s="14"/>
      <c r="H97" s="34">
        <f>+H93-H95</f>
        <v>1088707.1599999997</v>
      </c>
      <c r="I97" s="14"/>
      <c r="J97" s="32">
        <f>IF(H$12=0,0,H97/H$12)</f>
        <v>0</v>
      </c>
      <c r="K97" s="15"/>
      <c r="L97" s="34">
        <f>D97-H97</f>
        <v>-2103342.4399999995</v>
      </c>
      <c r="M97" s="15"/>
      <c r="N97" s="32">
        <f>IF(H97=0,0,L97/H97)</f>
        <v>-1.9319634491978541</v>
      </c>
      <c r="O97" s="29"/>
      <c r="P97" s="34">
        <f>+P93-P95</f>
        <v>-4336174.9600000018</v>
      </c>
      <c r="Q97" s="14"/>
      <c r="R97" s="32">
        <f>IF(P$12=0,0,P97/P$12)</f>
        <v>0</v>
      </c>
      <c r="S97" s="14"/>
      <c r="T97" s="34">
        <f>+T93-T95</f>
        <v>-2547288.4900000007</v>
      </c>
      <c r="U97" s="14"/>
      <c r="V97" s="32">
        <f>IF(T$12=0,0,T97/T$12)</f>
        <v>0</v>
      </c>
      <c r="W97" s="15"/>
      <c r="X97" s="34">
        <f>P97-T97</f>
        <v>-1788886.4700000011</v>
      </c>
      <c r="Y97" s="15"/>
      <c r="Z97" s="32">
        <f>IF(T97=0,0,X97/T97)</f>
        <v>0.70227085664725819</v>
      </c>
    </row>
    <row r="98" spans="1:26" ht="15" thickTop="1" x14ac:dyDescent="0.3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3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4">
      <c r="A100" s="10"/>
      <c r="B100" s="28" t="s">
        <v>5</v>
      </c>
      <c r="C100" s="28"/>
      <c r="D100" s="35">
        <f>SUM(D97:D99)</f>
        <v>-1014635.2799999997</v>
      </c>
      <c r="E100" s="14"/>
      <c r="F100" s="33">
        <f>IF(D$12=0,0,D100/D$12)</f>
        <v>0</v>
      </c>
      <c r="G100" s="14"/>
      <c r="H100" s="35">
        <f>SUM(H97:H99)</f>
        <v>1088707.1599999997</v>
      </c>
      <c r="I100" s="14"/>
      <c r="J100" s="33">
        <f>IF(H$12=0,0,H100/H$12)</f>
        <v>0</v>
      </c>
      <c r="K100" s="15"/>
      <c r="L100" s="35">
        <f>+D100-H100</f>
        <v>-2103342.4399999995</v>
      </c>
      <c r="M100" s="15"/>
      <c r="N100" s="33">
        <f>IF(H100=0,0,L100/H100)</f>
        <v>-1.9319634491978541</v>
      </c>
      <c r="O100" s="29"/>
      <c r="P100" s="35">
        <f>SUM(P97:P99)</f>
        <v>-4336174.9600000018</v>
      </c>
      <c r="Q100" s="14"/>
      <c r="R100" s="33">
        <f>IF(P$12=0,0,P100/P$12)</f>
        <v>0</v>
      </c>
      <c r="S100" s="14"/>
      <c r="T100" s="35">
        <f>SUM(T97:T99)</f>
        <v>-2547288.4900000007</v>
      </c>
      <c r="U100" s="14"/>
      <c r="V100" s="33">
        <f>IF(T$12=0,0,T100/T$12)</f>
        <v>0</v>
      </c>
      <c r="W100" s="15"/>
      <c r="X100" s="35">
        <f>+P100-T100</f>
        <v>-1788886.4700000011</v>
      </c>
      <c r="Y100" s="15"/>
      <c r="Z100" s="33">
        <f>IF(T100=0,0,X100/T100)</f>
        <v>0.70227085664725819</v>
      </c>
    </row>
    <row r="101" spans="1:26" ht="15" thickTop="1" x14ac:dyDescent="0.35">
      <c r="A101" s="9"/>
      <c r="C101" s="9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5">
      <c r="A102" s="9"/>
      <c r="B102" s="52">
        <v>44043.522203587963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35">
      <c r="A103" s="9"/>
      <c r="B103" s="61" t="s">
        <v>313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5">
      <c r="A104" s="9"/>
      <c r="B104" s="54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5"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","200", " - ", "Corporate Expense")</f>
        <v>Department 200 - Corporate Expense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656214.15999999992</v>
      </c>
      <c r="E18" s="20"/>
      <c r="F18" s="36">
        <f t="shared" ref="F18:F21" si="0">IF(D$12=0,0,D18/D$12)</f>
        <v>0</v>
      </c>
      <c r="G18" s="20"/>
      <c r="H18" s="20">
        <f>SUM(OSRRefH22x_0)</f>
        <v>-1682350.41</v>
      </c>
      <c r="I18" s="20"/>
      <c r="J18" s="36">
        <f t="shared" ref="J18:J21" si="1">IF(H$12=0,0,H18/H$12)</f>
        <v>0</v>
      </c>
      <c r="K18" s="4"/>
      <c r="L18" s="20">
        <f t="shared" ref="L18:L21" si="2">+D18-H18</f>
        <v>2338564.5699999998</v>
      </c>
      <c r="M18" s="4"/>
      <c r="N18" s="36">
        <f t="shared" ref="N18:N21" si="3">IF(H18=0,0,L18/H18)</f>
        <v>-1.3900579546920906</v>
      </c>
      <c r="O18" s="10"/>
      <c r="P18" s="20">
        <f>SUM(OSRRefP22x_0)</f>
        <v>1233508.1099999999</v>
      </c>
      <c r="Q18" s="20"/>
      <c r="R18" s="36">
        <f t="shared" ref="R18:R21" si="4">IF(P$12=0,0,P18/P$12)</f>
        <v>0</v>
      </c>
      <c r="S18" s="20"/>
      <c r="T18" s="20">
        <f>SUM(OSRRefT22x_0)</f>
        <v>-1007949.8199999998</v>
      </c>
      <c r="U18" s="20"/>
      <c r="V18" s="36">
        <f t="shared" ref="V18:V21" si="5">IF(T$12=0,0,T18/T$12)</f>
        <v>0</v>
      </c>
      <c r="W18" s="4"/>
      <c r="X18" s="20">
        <f t="shared" ref="X18:X21" si="6">+P18-T18</f>
        <v>2241457.9299999997</v>
      </c>
      <c r="Y18" s="4"/>
      <c r="Z18" s="36">
        <f t="shared" ref="Z18:Z21" si="7">IF(T18=0,0,X18/T18)</f>
        <v>-2.223779284964801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654750.22</v>
      </c>
      <c r="E19" s="1"/>
      <c r="F19" s="5">
        <f t="shared" si="0"/>
        <v>0</v>
      </c>
      <c r="G19" s="1"/>
      <c r="H19" s="1">
        <f>SUM(OSRRefH22_0x_0)</f>
        <v>-1698390.95</v>
      </c>
      <c r="I19" s="1"/>
      <c r="J19" s="5">
        <f t="shared" si="1"/>
        <v>0</v>
      </c>
      <c r="K19" s="1"/>
      <c r="L19" s="1">
        <f t="shared" si="2"/>
        <v>2353141.17</v>
      </c>
      <c r="M19" s="1"/>
      <c r="N19" s="5">
        <f t="shared" si="3"/>
        <v>-1.3855120754146741</v>
      </c>
      <c r="O19" s="12"/>
      <c r="P19" s="1">
        <f>SUM(OSRRefP22_0x_0)</f>
        <v>972746.03</v>
      </c>
      <c r="Q19" s="1"/>
      <c r="R19" s="5">
        <f t="shared" si="4"/>
        <v>0</v>
      </c>
      <c r="S19" s="1"/>
      <c r="T19" s="1">
        <f>SUM(OSRRefT22_0x_0)</f>
        <v>-1342769.3</v>
      </c>
      <c r="U19" s="1"/>
      <c r="V19" s="5">
        <f t="shared" si="5"/>
        <v>0</v>
      </c>
      <c r="W19" s="1"/>
      <c r="X19" s="1">
        <f t="shared" si="6"/>
        <v>2315515.33</v>
      </c>
      <c r="Y19" s="1"/>
      <c r="Z19" s="5">
        <f t="shared" si="7"/>
        <v>-1.724432730179339</v>
      </c>
    </row>
    <row r="20" spans="1:26" s="24" customFormat="1" hidden="1" outlineLevel="2" x14ac:dyDescent="0.35">
      <c r="A20" s="27"/>
      <c r="B20" s="11" t="str">
        <f>CONCATENATE("          ", "6115", " - ", "P.E.R.S.")</f>
        <v xml:space="preserve">          6115 - P.E.R.S.</v>
      </c>
      <c r="C20" s="11"/>
      <c r="D20" s="7">
        <v>823761</v>
      </c>
      <c r="E20" s="2"/>
      <c r="F20" s="6">
        <f t="shared" si="0"/>
        <v>0</v>
      </c>
      <c r="G20" s="2"/>
      <c r="H20" s="7">
        <v>160987</v>
      </c>
      <c r="I20" s="2"/>
      <c r="J20" s="6">
        <f t="shared" si="1"/>
        <v>0</v>
      </c>
      <c r="K20" s="2"/>
      <c r="L20" s="7">
        <f t="shared" si="2"/>
        <v>662774</v>
      </c>
      <c r="M20" s="2"/>
      <c r="N20" s="6">
        <f t="shared" si="3"/>
        <v>4.1169411194692742</v>
      </c>
      <c r="O20" s="11"/>
      <c r="P20" s="7">
        <v>823761</v>
      </c>
      <c r="Q20" s="2"/>
      <c r="R20" s="6">
        <f t="shared" si="4"/>
        <v>0</v>
      </c>
      <c r="S20" s="2"/>
      <c r="T20" s="7">
        <v>160987</v>
      </c>
      <c r="U20" s="2"/>
      <c r="V20" s="6">
        <f t="shared" si="5"/>
        <v>0</v>
      </c>
      <c r="W20" s="2"/>
      <c r="X20" s="7">
        <f t="shared" si="6"/>
        <v>662774</v>
      </c>
      <c r="Y20" s="2"/>
      <c r="Z20" s="6">
        <f t="shared" si="7"/>
        <v>4.1169411194692742</v>
      </c>
    </row>
    <row r="21" spans="1:26" s="24" customFormat="1" hidden="1" outlineLevel="2" x14ac:dyDescent="0.35">
      <c r="A21" s="27"/>
      <c r="B21" s="11" t="str">
        <f>CONCATENATE("          ", "6120", " - ", "RETIREES HEALTH INSURANCE")</f>
        <v xml:space="preserve">          6120 - RETIREES HEALTH INSURANCE</v>
      </c>
      <c r="C21" s="11"/>
      <c r="D21" s="7">
        <v>-169010.78</v>
      </c>
      <c r="E21" s="2"/>
      <c r="F21" s="6">
        <f t="shared" si="0"/>
        <v>0</v>
      </c>
      <c r="G21" s="2"/>
      <c r="H21" s="7">
        <v>-1859377.95</v>
      </c>
      <c r="I21" s="2"/>
      <c r="J21" s="6">
        <f t="shared" si="1"/>
        <v>0</v>
      </c>
      <c r="K21" s="2"/>
      <c r="L21" s="7">
        <f t="shared" si="2"/>
        <v>1690367.17</v>
      </c>
      <c r="M21" s="2"/>
      <c r="N21" s="6">
        <f t="shared" si="3"/>
        <v>-0.90910359026253917</v>
      </c>
      <c r="O21" s="11"/>
      <c r="P21" s="7">
        <v>148985.03</v>
      </c>
      <c r="Q21" s="2"/>
      <c r="R21" s="6">
        <f t="shared" si="4"/>
        <v>0</v>
      </c>
      <c r="S21" s="2"/>
      <c r="T21" s="7">
        <v>-1503756.3</v>
      </c>
      <c r="U21" s="2"/>
      <c r="V21" s="6">
        <f t="shared" si="5"/>
        <v>0</v>
      </c>
      <c r="W21" s="2"/>
      <c r="X21" s="7">
        <f t="shared" si="6"/>
        <v>1652741.33</v>
      </c>
      <c r="Y21" s="2"/>
      <c r="Z21" s="6">
        <f t="shared" si="7"/>
        <v>-1.0990752490945508</v>
      </c>
    </row>
    <row r="22" spans="1:26" s="25" customFormat="1" outlineLevel="1" collapsed="1" x14ac:dyDescent="0.35">
      <c r="A22" s="26"/>
      <c r="B22" s="12" t="str">
        <f>CONCATENATE("     ","Bank/card Fees                                    ")</f>
        <v xml:space="preserve">     Bank/card Fees                                    </v>
      </c>
      <c r="C22" s="12"/>
      <c r="D22" s="1">
        <f>SUM(OSRRefD22_1x_0)</f>
        <v>11.34</v>
      </c>
      <c r="E22" s="1"/>
      <c r="F22" s="5">
        <f t="shared" ref="F22:F30" si="8">IF(D$12=0,0,D22/D$12)</f>
        <v>0</v>
      </c>
      <c r="G22" s="1"/>
      <c r="H22" s="1">
        <f>SUM(OSRRefH22_1x_0)</f>
        <v>13154.27</v>
      </c>
      <c r="I22" s="1"/>
      <c r="J22" s="5">
        <f t="shared" ref="J22:J30" si="9">IF(H$12=0,0,H22/H$12)</f>
        <v>0</v>
      </c>
      <c r="K22" s="1"/>
      <c r="L22" s="1">
        <f t="shared" ref="L22:L30" si="10">+D22-H22</f>
        <v>-13142.93</v>
      </c>
      <c r="M22" s="1"/>
      <c r="N22" s="5">
        <f t="shared" ref="N22:N30" si="11">IF(H22=0,0,L22/H22)</f>
        <v>-0.99913792251489442</v>
      </c>
      <c r="O22" s="12"/>
      <c r="P22" s="1">
        <f>SUM(OSRRefP22_1x_0)</f>
        <v>53963.340000000004</v>
      </c>
      <c r="Q22" s="1"/>
      <c r="R22" s="5">
        <f t="shared" ref="R22:R30" si="12">IF(P$12=0,0,P22/P$12)</f>
        <v>0</v>
      </c>
      <c r="S22" s="1"/>
      <c r="T22" s="1">
        <f>SUM(OSRRefT22_1x_0)</f>
        <v>74769.13</v>
      </c>
      <c r="U22" s="1"/>
      <c r="V22" s="5">
        <f t="shared" ref="V22:V30" si="13">IF(T$12=0,0,T22/T$12)</f>
        <v>0</v>
      </c>
      <c r="W22" s="1"/>
      <c r="X22" s="1">
        <f t="shared" ref="X22:X30" si="14">+P22-T22</f>
        <v>-20805.79</v>
      </c>
      <c r="Y22" s="1"/>
      <c r="Z22" s="5">
        <f t="shared" ref="Z22:Z30" si="15">IF(T22=0,0,X22/T22)</f>
        <v>-0.27826711371390839</v>
      </c>
    </row>
    <row r="23" spans="1:26" s="24" customFormat="1" hidden="1" outlineLevel="2" x14ac:dyDescent="0.35">
      <c r="A23" s="27"/>
      <c r="B23" s="11" t="str">
        <f>CONCATENATE("          ", "6381", " - ", "BANK/CREDIT CARD FEES")</f>
        <v xml:space="preserve">          6381 - BANK/CREDIT CARD FEES</v>
      </c>
      <c r="C23" s="11"/>
      <c r="D23" s="7">
        <v>11.34</v>
      </c>
      <c r="E23" s="2"/>
      <c r="F23" s="6">
        <f t="shared" si="8"/>
        <v>0</v>
      </c>
      <c r="G23" s="2"/>
      <c r="H23" s="7">
        <v>13154.27</v>
      </c>
      <c r="I23" s="2"/>
      <c r="J23" s="6">
        <f t="shared" si="9"/>
        <v>0</v>
      </c>
      <c r="K23" s="2"/>
      <c r="L23" s="7">
        <f t="shared" si="10"/>
        <v>-13142.93</v>
      </c>
      <c r="M23" s="2"/>
      <c r="N23" s="6">
        <f t="shared" si="11"/>
        <v>-0.99913792251489442</v>
      </c>
      <c r="O23" s="11"/>
      <c r="P23" s="7">
        <v>53963.340000000004</v>
      </c>
      <c r="Q23" s="2"/>
      <c r="R23" s="6">
        <f t="shared" si="12"/>
        <v>0</v>
      </c>
      <c r="S23" s="2"/>
      <c r="T23" s="7">
        <v>74769.13</v>
      </c>
      <c r="U23" s="2"/>
      <c r="V23" s="6">
        <f t="shared" si="13"/>
        <v>0</v>
      </c>
      <c r="W23" s="2"/>
      <c r="X23" s="7">
        <f t="shared" si="14"/>
        <v>-20805.79</v>
      </c>
      <c r="Y23" s="2"/>
      <c r="Z23" s="6">
        <f t="shared" si="15"/>
        <v>-0.27826711371390839</v>
      </c>
    </row>
    <row r="24" spans="1:26" s="25" customFormat="1" outlineLevel="1" collapsed="1" x14ac:dyDescent="0.35">
      <c r="A24" s="26"/>
      <c r="B24" s="12" t="str">
        <f>CONCATENATE("     ","Board                                             ")</f>
        <v xml:space="preserve">     Board                                             </v>
      </c>
      <c r="C24" s="12"/>
      <c r="D24" s="1">
        <f>SUM(OSRRefD22_2x_0)</f>
        <v>1452.6</v>
      </c>
      <c r="E24" s="1"/>
      <c r="F24" s="5">
        <f t="shared" si="8"/>
        <v>0</v>
      </c>
      <c r="G24" s="1"/>
      <c r="H24" s="1">
        <f>SUM(OSRRefH22_2x_0)</f>
        <v>2886.27</v>
      </c>
      <c r="I24" s="1"/>
      <c r="J24" s="5">
        <f t="shared" si="9"/>
        <v>0</v>
      </c>
      <c r="K24" s="1"/>
      <c r="L24" s="1">
        <f t="shared" si="10"/>
        <v>-1433.67</v>
      </c>
      <c r="M24" s="1"/>
      <c r="N24" s="5">
        <f t="shared" si="11"/>
        <v>-0.49672068101736849</v>
      </c>
      <c r="O24" s="12"/>
      <c r="P24" s="1">
        <f>SUM(OSRRefP22_2x_0)</f>
        <v>42435.310000000005</v>
      </c>
      <c r="Q24" s="1"/>
      <c r="R24" s="5">
        <f t="shared" si="12"/>
        <v>0</v>
      </c>
      <c r="S24" s="1"/>
      <c r="T24" s="1">
        <f>SUM(OSRRefT22_2x_0)</f>
        <v>76024.349999999991</v>
      </c>
      <c r="U24" s="1"/>
      <c r="V24" s="5">
        <f t="shared" si="13"/>
        <v>0</v>
      </c>
      <c r="W24" s="1"/>
      <c r="X24" s="1">
        <f t="shared" si="14"/>
        <v>-33589.039999999986</v>
      </c>
      <c r="Y24" s="1"/>
      <c r="Z24" s="5">
        <f t="shared" si="15"/>
        <v>-0.44181949599042925</v>
      </c>
    </row>
    <row r="25" spans="1:26" s="24" customFormat="1" hidden="1" outlineLevel="2" x14ac:dyDescent="0.35">
      <c r="A25" s="27"/>
      <c r="B25" s="11" t="str">
        <f>CONCATENATE("          ", "6397", " - ", "BOARD EXPENSES")</f>
        <v xml:space="preserve">          6397 - BOARD EXPENSES</v>
      </c>
      <c r="C25" s="11"/>
      <c r="D25" s="7">
        <v>1452.6</v>
      </c>
      <c r="E25" s="2"/>
      <c r="F25" s="6">
        <f t="shared" si="8"/>
        <v>0</v>
      </c>
      <c r="G25" s="2"/>
      <c r="H25" s="7">
        <v>2886.27</v>
      </c>
      <c r="I25" s="2"/>
      <c r="J25" s="6">
        <f t="shared" si="9"/>
        <v>0</v>
      </c>
      <c r="K25" s="2"/>
      <c r="L25" s="7">
        <f t="shared" si="10"/>
        <v>-1433.67</v>
      </c>
      <c r="M25" s="2"/>
      <c r="N25" s="6">
        <f t="shared" si="11"/>
        <v>-0.49672068101736849</v>
      </c>
      <c r="O25" s="11"/>
      <c r="P25" s="7">
        <v>42435.310000000005</v>
      </c>
      <c r="Q25" s="2"/>
      <c r="R25" s="6">
        <f t="shared" si="12"/>
        <v>0</v>
      </c>
      <c r="S25" s="2"/>
      <c r="T25" s="7">
        <v>76024.349999999991</v>
      </c>
      <c r="U25" s="2"/>
      <c r="V25" s="6">
        <f t="shared" si="13"/>
        <v>0</v>
      </c>
      <c r="W25" s="2"/>
      <c r="X25" s="7">
        <f t="shared" si="14"/>
        <v>-33589.039999999986</v>
      </c>
      <c r="Y25" s="2"/>
      <c r="Z25" s="6">
        <f t="shared" si="15"/>
        <v>-0.44181949599042925</v>
      </c>
    </row>
    <row r="26" spans="1:26" s="25" customFormat="1" outlineLevel="1" collapsed="1" x14ac:dyDescent="0.35">
      <c r="A26" s="26"/>
      <c r="B26" s="12" t="str">
        <f>CONCATENATE("     ","Donations                                         ")</f>
        <v xml:space="preserve">     Donations                                         </v>
      </c>
      <c r="C26" s="12"/>
      <c r="D26" s="1">
        <f>SUM(OSRRefD22_3x_0)</f>
        <v>0</v>
      </c>
      <c r="E26" s="1"/>
      <c r="F26" s="5">
        <f t="shared" si="8"/>
        <v>0</v>
      </c>
      <c r="G26" s="1"/>
      <c r="H26" s="1">
        <f>SUM(OSRRefH22_3x_0)</f>
        <v>0</v>
      </c>
      <c r="I26" s="1"/>
      <c r="J26" s="5">
        <f t="shared" si="9"/>
        <v>0</v>
      </c>
      <c r="K26" s="1"/>
      <c r="L26" s="1">
        <f t="shared" si="10"/>
        <v>0</v>
      </c>
      <c r="M26" s="1"/>
      <c r="N26" s="5">
        <f t="shared" si="11"/>
        <v>0</v>
      </c>
      <c r="O26" s="12"/>
      <c r="P26" s="1">
        <f>SUM(OSRRefP22_3x_0)</f>
        <v>103128.19</v>
      </c>
      <c r="Q26" s="1"/>
      <c r="R26" s="5">
        <f t="shared" si="12"/>
        <v>0</v>
      </c>
      <c r="S26" s="1"/>
      <c r="T26" s="1">
        <f>SUM(OSRRefT22_3x_0)</f>
        <v>97500</v>
      </c>
      <c r="U26" s="1"/>
      <c r="V26" s="5">
        <f t="shared" si="13"/>
        <v>0</v>
      </c>
      <c r="W26" s="1"/>
      <c r="X26" s="1">
        <f t="shared" si="14"/>
        <v>5628.1900000000023</v>
      </c>
      <c r="Y26" s="1"/>
      <c r="Z26" s="5">
        <f t="shared" si="15"/>
        <v>5.7725025641025662E-2</v>
      </c>
    </row>
    <row r="27" spans="1:26" s="24" customFormat="1" hidden="1" outlineLevel="2" x14ac:dyDescent="0.35">
      <c r="A27" s="27"/>
      <c r="B27" s="11" t="str">
        <f>CONCATENATE("          ", "6399", " - ", "DONATION-ON CAMPUS")</f>
        <v xml:space="preserve">          6399 - DONATION-ON CAMPUS</v>
      </c>
      <c r="C27" s="11"/>
      <c r="D27" s="7"/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0</v>
      </c>
      <c r="M27" s="2"/>
      <c r="N27" s="6">
        <f t="shared" si="11"/>
        <v>0</v>
      </c>
      <c r="O27" s="11"/>
      <c r="P27" s="7">
        <v>103128.19</v>
      </c>
      <c r="Q27" s="2"/>
      <c r="R27" s="6">
        <f t="shared" si="12"/>
        <v>0</v>
      </c>
      <c r="S27" s="2"/>
      <c r="T27" s="7">
        <v>97500</v>
      </c>
      <c r="U27" s="2"/>
      <c r="V27" s="6">
        <f t="shared" si="13"/>
        <v>0</v>
      </c>
      <c r="W27" s="2"/>
      <c r="X27" s="7">
        <f t="shared" si="14"/>
        <v>5628.1900000000023</v>
      </c>
      <c r="Y27" s="2"/>
      <c r="Z27" s="6">
        <f t="shared" si="15"/>
        <v>5.7725025641025662E-2</v>
      </c>
    </row>
    <row r="28" spans="1:26" s="25" customFormat="1" outlineLevel="1" collapsed="1" x14ac:dyDescent="0.35">
      <c r="A28" s="26"/>
      <c r="B28" s="12" t="str">
        <f>CONCATENATE("     ","Professional Services                             ")</f>
        <v xml:space="preserve">     Professional Services                             </v>
      </c>
      <c r="C28" s="12"/>
      <c r="D28" s="1">
        <f>SUM(OSRRefD22_4x_0)</f>
        <v>0</v>
      </c>
      <c r="E28" s="1"/>
      <c r="F28" s="5">
        <f t="shared" si="8"/>
        <v>0</v>
      </c>
      <c r="G28" s="1"/>
      <c r="H28" s="1">
        <f>SUM(OSRRefH22_4x_0)</f>
        <v>0</v>
      </c>
      <c r="I28" s="1"/>
      <c r="J28" s="5">
        <f t="shared" si="9"/>
        <v>0</v>
      </c>
      <c r="K28" s="1"/>
      <c r="L28" s="1">
        <f t="shared" si="10"/>
        <v>0</v>
      </c>
      <c r="M28" s="1"/>
      <c r="N28" s="5">
        <f t="shared" si="11"/>
        <v>0</v>
      </c>
      <c r="O28" s="12"/>
      <c r="P28" s="1">
        <f>SUM(OSRRefP22_4x_0)</f>
        <v>61235.24</v>
      </c>
      <c r="Q28" s="1"/>
      <c r="R28" s="5">
        <f t="shared" si="12"/>
        <v>0</v>
      </c>
      <c r="S28" s="1"/>
      <c r="T28" s="1">
        <f>SUM(OSRRefT22_4x_0)</f>
        <v>86526</v>
      </c>
      <c r="U28" s="1"/>
      <c r="V28" s="5">
        <f t="shared" si="13"/>
        <v>0</v>
      </c>
      <c r="W28" s="1"/>
      <c r="X28" s="1">
        <f t="shared" si="14"/>
        <v>-25290.760000000002</v>
      </c>
      <c r="Y28" s="1"/>
      <c r="Z28" s="5">
        <f t="shared" si="15"/>
        <v>-0.29229087210780574</v>
      </c>
    </row>
    <row r="29" spans="1:26" s="24" customFormat="1" hidden="1" outlineLevel="2" x14ac:dyDescent="0.35">
      <c r="A29" s="27"/>
      <c r="B29" s="11" t="str">
        <f>CONCATENATE("          ", "6331", " - ", "INDIRECT COSTS-AUXILIARY ORGAN")</f>
        <v xml:space="preserve">          6331 - INDIRECT COSTS-AUXILIARY ORGAN</v>
      </c>
      <c r="C29" s="11"/>
      <c r="D29" s="7"/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>
        <v>46173</v>
      </c>
      <c r="Q29" s="2"/>
      <c r="R29" s="6">
        <f t="shared" si="12"/>
        <v>0</v>
      </c>
      <c r="S29" s="2"/>
      <c r="T29" s="7">
        <v>45926</v>
      </c>
      <c r="U29" s="2"/>
      <c r="V29" s="6">
        <f t="shared" si="13"/>
        <v>0</v>
      </c>
      <c r="W29" s="2"/>
      <c r="X29" s="7">
        <f t="shared" si="14"/>
        <v>247</v>
      </c>
      <c r="Y29" s="2"/>
      <c r="Z29" s="6">
        <f t="shared" si="15"/>
        <v>5.3782171319078521E-3</v>
      </c>
    </row>
    <row r="30" spans="1:26" s="24" customFormat="1" hidden="1" outlineLevel="2" x14ac:dyDescent="0.35">
      <c r="A30" s="27"/>
      <c r="B30" s="11" t="str">
        <f>CONCATENATE("          ", "6332", " - ", "CONSULTANT FEES")</f>
        <v xml:space="preserve">          6332 - CONSULTANT FEES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15062.24</v>
      </c>
      <c r="Q30" s="2"/>
      <c r="R30" s="6">
        <f t="shared" si="12"/>
        <v>0</v>
      </c>
      <c r="S30" s="2"/>
      <c r="T30" s="7">
        <v>40600</v>
      </c>
      <c r="U30" s="2"/>
      <c r="V30" s="6">
        <f t="shared" si="13"/>
        <v>0</v>
      </c>
      <c r="W30" s="2"/>
      <c r="X30" s="7">
        <f t="shared" si="14"/>
        <v>-25537.760000000002</v>
      </c>
      <c r="Y30" s="2"/>
      <c r="Z30" s="6">
        <f t="shared" si="15"/>
        <v>-0.62900886699507397</v>
      </c>
    </row>
    <row r="31" spans="1:26" s="56" customFormat="1" x14ac:dyDescent="0.35">
      <c r="A31" s="37"/>
      <c r="B31" s="37"/>
      <c r="C31" s="37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5">
      <c r="A32" s="10"/>
      <c r="B32" s="29" t="s">
        <v>0</v>
      </c>
      <c r="C32" s="10"/>
      <c r="D32" s="4">
        <f>SUM(0)</f>
        <v>0</v>
      </c>
      <c r="E32" s="4"/>
      <c r="F32" s="13">
        <f>IF(D$12=0,0,D32/D$12)</f>
        <v>0</v>
      </c>
      <c r="G32" s="4"/>
      <c r="H32" s="4">
        <f>SUM(0)</f>
        <v>0</v>
      </c>
      <c r="I32" s="4"/>
      <c r="J32" s="13">
        <f>IF(H$12=0,0,H32/H$12)</f>
        <v>0</v>
      </c>
      <c r="K32" s="4"/>
      <c r="L32" s="4">
        <f>+D32-H32</f>
        <v>0</v>
      </c>
      <c r="M32" s="4"/>
      <c r="N32" s="13">
        <f>IF(H32=0,0,L32/H32)</f>
        <v>0</v>
      </c>
      <c r="O32" s="10"/>
      <c r="P32" s="4">
        <f>SUM(0)</f>
        <v>0</v>
      </c>
      <c r="Q32" s="4"/>
      <c r="R32" s="13">
        <f>IF(P$12=0,0,P32/P$12)</f>
        <v>0</v>
      </c>
      <c r="S32" s="4"/>
      <c r="T32" s="4">
        <f>SUM(0)</f>
        <v>0</v>
      </c>
      <c r="U32" s="4"/>
      <c r="V32" s="13">
        <f>IF(T$12=0,0,T32/T$12)</f>
        <v>0</v>
      </c>
      <c r="W32" s="4"/>
      <c r="X32" s="4">
        <f>+P32-T32</f>
        <v>0</v>
      </c>
      <c r="Y32" s="4"/>
      <c r="Z32" s="13">
        <f>IF(T32=0,0,X32/T32)</f>
        <v>0</v>
      </c>
    </row>
    <row r="33" spans="1:26" x14ac:dyDescent="0.3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5">
      <c r="A34" s="10"/>
      <c r="B34" s="28" t="s">
        <v>3</v>
      </c>
      <c r="C34" s="28"/>
      <c r="D34" s="22">
        <f>+D16-D18+D32</f>
        <v>-656214.15999999992</v>
      </c>
      <c r="E34" s="14"/>
      <c r="F34" s="21">
        <f>IF(D$12=0,0,D34/D$12)</f>
        <v>0</v>
      </c>
      <c r="G34" s="14"/>
      <c r="H34" s="22">
        <f>+H16-H18+H32</f>
        <v>1682350.41</v>
      </c>
      <c r="I34" s="14"/>
      <c r="J34" s="21">
        <f>IF(H$12=0,0,H34/H$12)</f>
        <v>0</v>
      </c>
      <c r="K34" s="15"/>
      <c r="L34" s="22">
        <f>+D34-H34</f>
        <v>-2338564.5699999998</v>
      </c>
      <c r="M34" s="15"/>
      <c r="N34" s="21">
        <f>IF(H34=0,0,L34/H34)</f>
        <v>-1.3900579546920906</v>
      </c>
      <c r="O34" s="29"/>
      <c r="P34" s="22">
        <f>+P16-P18+P32</f>
        <v>-1233508.1099999999</v>
      </c>
      <c r="Q34" s="14"/>
      <c r="R34" s="21">
        <f>IF(P$12=0,0,P34/P$12)</f>
        <v>0</v>
      </c>
      <c r="S34" s="14"/>
      <c r="T34" s="22">
        <f>+T16-T18+T32</f>
        <v>1007949.8199999998</v>
      </c>
      <c r="U34" s="14"/>
      <c r="V34" s="21">
        <f>IF(T$12=0,0,T34/T$12)</f>
        <v>0</v>
      </c>
      <c r="W34" s="15"/>
      <c r="X34" s="22">
        <f>+P34-T34</f>
        <v>-2241457.9299999997</v>
      </c>
      <c r="Y34" s="15"/>
      <c r="Z34" s="21">
        <f>IF(T34=0,0,X34/T34)</f>
        <v>-2.223779284964801</v>
      </c>
    </row>
    <row r="35" spans="1:26" x14ac:dyDescent="0.3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35">
      <c r="A36" s="51"/>
      <c r="B36" s="10" t="s">
        <v>13</v>
      </c>
      <c r="C36" s="10"/>
      <c r="D36" s="4"/>
      <c r="E36" s="4"/>
      <c r="F36" s="13">
        <f>IF(D$12=0,0,D36/D$12)</f>
        <v>0</v>
      </c>
      <c r="G36" s="4"/>
      <c r="H36" s="4"/>
      <c r="I36" s="4"/>
      <c r="J36" s="13">
        <f>IF(H$12=0,0,H36/H$12)</f>
        <v>0</v>
      </c>
      <c r="K36" s="4"/>
      <c r="L36" s="4">
        <f>+D36-H36</f>
        <v>0</v>
      </c>
      <c r="M36" s="4"/>
      <c r="N36" s="13">
        <f>IF(H36=0,0,L36/H36)</f>
        <v>0</v>
      </c>
      <c r="O36" s="10"/>
      <c r="P36" s="4"/>
      <c r="Q36" s="4"/>
      <c r="R36" s="13">
        <f>IF(P$12=0,0,P36/P$12)</f>
        <v>0</v>
      </c>
      <c r="S36" s="4"/>
      <c r="T36" s="4"/>
      <c r="U36" s="4"/>
      <c r="V36" s="13">
        <f>IF(T$12=0,0,T36/T$12)</f>
        <v>0</v>
      </c>
      <c r="W36" s="4"/>
      <c r="X36" s="4">
        <f>+P36-T36</f>
        <v>0</v>
      </c>
      <c r="Y36" s="4"/>
      <c r="Z36" s="13">
        <f>IF(T36=0,0,X36/T36)</f>
        <v>0</v>
      </c>
    </row>
    <row r="37" spans="1:26" x14ac:dyDescent="0.3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" thickBot="1" x14ac:dyDescent="0.4">
      <c r="A38" s="10"/>
      <c r="B38" s="28" t="s">
        <v>4</v>
      </c>
      <c r="C38" s="28"/>
      <c r="D38" s="34">
        <f>+D34-D36</f>
        <v>-656214.15999999992</v>
      </c>
      <c r="E38" s="14"/>
      <c r="F38" s="32">
        <f>IF(D$12=0,0,D38/D$12)</f>
        <v>0</v>
      </c>
      <c r="G38" s="14"/>
      <c r="H38" s="34">
        <f>+H34-H36</f>
        <v>1682350.41</v>
      </c>
      <c r="I38" s="14"/>
      <c r="J38" s="32">
        <f>IF(H$12=0,0,H38/H$12)</f>
        <v>0</v>
      </c>
      <c r="K38" s="15"/>
      <c r="L38" s="34">
        <f>D38-H38</f>
        <v>-2338564.5699999998</v>
      </c>
      <c r="M38" s="15"/>
      <c r="N38" s="32">
        <f>IF(H38=0,0,L38/H38)</f>
        <v>-1.3900579546920906</v>
      </c>
      <c r="O38" s="29"/>
      <c r="P38" s="34">
        <f>+P34-P36</f>
        <v>-1233508.1099999999</v>
      </c>
      <c r="Q38" s="14"/>
      <c r="R38" s="32">
        <f>IF(P$12=0,0,P38/P$12)</f>
        <v>0</v>
      </c>
      <c r="S38" s="14"/>
      <c r="T38" s="34">
        <f>+T34-T36</f>
        <v>1007949.8199999998</v>
      </c>
      <c r="U38" s="14"/>
      <c r="V38" s="32">
        <f>IF(T$12=0,0,T38/T$12)</f>
        <v>0</v>
      </c>
      <c r="W38" s="15"/>
      <c r="X38" s="34">
        <f>P38-T38</f>
        <v>-2241457.9299999997</v>
      </c>
      <c r="Y38" s="15"/>
      <c r="Z38" s="32">
        <f>IF(T38=0,0,X38/T38)</f>
        <v>-2.223779284964801</v>
      </c>
    </row>
    <row r="39" spans="1:26" ht="15" thickTop="1" x14ac:dyDescent="0.3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x14ac:dyDescent="0.3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" thickBot="1" x14ac:dyDescent="0.4">
      <c r="A41" s="10"/>
      <c r="B41" s="28" t="s">
        <v>5</v>
      </c>
      <c r="C41" s="28"/>
      <c r="D41" s="35">
        <f>SUM(D38:D40)</f>
        <v>-656214.15999999992</v>
      </c>
      <c r="E41" s="14"/>
      <c r="F41" s="33">
        <f>IF(D$12=0,0,D41/D$12)</f>
        <v>0</v>
      </c>
      <c r="G41" s="14"/>
      <c r="H41" s="35">
        <f>SUM(H38:H40)</f>
        <v>1682350.41</v>
      </c>
      <c r="I41" s="14"/>
      <c r="J41" s="33">
        <f>IF(H$12=0,0,H41/H$12)</f>
        <v>0</v>
      </c>
      <c r="K41" s="15"/>
      <c r="L41" s="35">
        <f>+D41-H41</f>
        <v>-2338564.5699999998</v>
      </c>
      <c r="M41" s="15"/>
      <c r="N41" s="33">
        <f>IF(H41=0,0,L41/H41)</f>
        <v>-1.3900579546920906</v>
      </c>
      <c r="O41" s="29"/>
      <c r="P41" s="35">
        <f>SUM(P38:P40)</f>
        <v>-1233508.1099999999</v>
      </c>
      <c r="Q41" s="14"/>
      <c r="R41" s="33">
        <f>IF(P$12=0,0,P41/P$12)</f>
        <v>0</v>
      </c>
      <c r="S41" s="14"/>
      <c r="T41" s="35">
        <f>SUM(T38:T40)</f>
        <v>1007949.8199999998</v>
      </c>
      <c r="U41" s="14"/>
      <c r="V41" s="33">
        <f>IF(T$12=0,0,T41/T$12)</f>
        <v>0</v>
      </c>
      <c r="W41" s="15"/>
      <c r="X41" s="35">
        <f>+P41-T41</f>
        <v>-2241457.9299999997</v>
      </c>
      <c r="Y41" s="15"/>
      <c r="Z41" s="33">
        <f>IF(T41=0,0,X41/T41)</f>
        <v>-2.223779284964801</v>
      </c>
    </row>
    <row r="42" spans="1:26" ht="15" thickTop="1" x14ac:dyDescent="0.35">
      <c r="A42" s="9"/>
      <c r="C42" s="9"/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5">
      <c r="A43" s="9"/>
      <c r="B43" s="52">
        <v>44043.522577465279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5">
      <c r="A44" s="9"/>
      <c r="B44" s="61" t="s">
        <v>313</v>
      </c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35">
      <c r="A45" s="9"/>
      <c r="B45" s="54"/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35"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","201", " - ", "General Manager")</f>
        <v>Department 201 - General Manager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224540.49000000002</v>
      </c>
      <c r="E18" s="20"/>
      <c r="F18" s="36">
        <f t="shared" ref="F18:F28" si="0">IF(D$12=0,0,D18/D$12)</f>
        <v>0</v>
      </c>
      <c r="G18" s="20"/>
      <c r="H18" s="20">
        <f>SUM(OSRRefH22x_0)</f>
        <v>428580.7</v>
      </c>
      <c r="I18" s="20"/>
      <c r="J18" s="36">
        <f t="shared" ref="J18:J28" si="1">IF(H$12=0,0,H18/H$12)</f>
        <v>0</v>
      </c>
      <c r="K18" s="4"/>
      <c r="L18" s="20">
        <f t="shared" ref="L18:L28" si="2">+D18-H18</f>
        <v>-204040.21</v>
      </c>
      <c r="M18" s="4"/>
      <c r="N18" s="36">
        <f t="shared" ref="N18:N28" si="3">IF(H18=0,0,L18/H18)</f>
        <v>-0.47608352405976279</v>
      </c>
      <c r="O18" s="10"/>
      <c r="P18" s="20">
        <f>SUM(OSRRefP22x_0)</f>
        <v>854503.02</v>
      </c>
      <c r="Q18" s="20"/>
      <c r="R18" s="36">
        <f t="shared" ref="R18:R28" si="4">IF(P$12=0,0,P18/P$12)</f>
        <v>0</v>
      </c>
      <c r="S18" s="20"/>
      <c r="T18" s="20">
        <f>SUM(OSRRefT22x_0)</f>
        <v>1258220.8799999999</v>
      </c>
      <c r="U18" s="20"/>
      <c r="V18" s="36">
        <f t="shared" ref="V18:V28" si="5">IF(T$12=0,0,T18/T$12)</f>
        <v>0</v>
      </c>
      <c r="W18" s="4"/>
      <c r="X18" s="20">
        <f t="shared" ref="X18:X28" si="6">+P18-T18</f>
        <v>-403717.85999999987</v>
      </c>
      <c r="Y18" s="4"/>
      <c r="Z18" s="36">
        <f t="shared" ref="Z18:Z28" si="7">IF(T18=0,0,X18/T18)</f>
        <v>-0.3208640600527945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8791.73</v>
      </c>
      <c r="E19" s="1"/>
      <c r="F19" s="5">
        <f t="shared" si="0"/>
        <v>0</v>
      </c>
      <c r="G19" s="1"/>
      <c r="H19" s="1">
        <f>SUM(OSRRefH22_0x_0)</f>
        <v>9023.2999999999993</v>
      </c>
      <c r="I19" s="1"/>
      <c r="J19" s="5">
        <f t="shared" si="1"/>
        <v>0</v>
      </c>
      <c r="K19" s="1"/>
      <c r="L19" s="1">
        <f t="shared" si="2"/>
        <v>-231.56999999999971</v>
      </c>
      <c r="M19" s="1"/>
      <c r="N19" s="5">
        <f t="shared" si="3"/>
        <v>-2.5663559894938629E-2</v>
      </c>
      <c r="O19" s="12"/>
      <c r="P19" s="1">
        <f>SUM(OSRRefP22_0x_0)</f>
        <v>160261.31</v>
      </c>
      <c r="Q19" s="1"/>
      <c r="R19" s="5">
        <f t="shared" si="4"/>
        <v>0</v>
      </c>
      <c r="S19" s="1"/>
      <c r="T19" s="1">
        <f>SUM(OSRRefT22_0x_0)</f>
        <v>190516.08000000002</v>
      </c>
      <c r="U19" s="1"/>
      <c r="V19" s="5">
        <f t="shared" si="5"/>
        <v>0</v>
      </c>
      <c r="W19" s="1"/>
      <c r="X19" s="1">
        <f t="shared" si="6"/>
        <v>-30254.770000000019</v>
      </c>
      <c r="Y19" s="1"/>
      <c r="Z19" s="5">
        <f t="shared" si="7"/>
        <v>-0.15880428570648744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>
        <v>1447.18</v>
      </c>
      <c r="E20" s="2"/>
      <c r="F20" s="6">
        <f t="shared" si="0"/>
        <v>0</v>
      </c>
      <c r="G20" s="2"/>
      <c r="H20" s="7">
        <v>2331.64</v>
      </c>
      <c r="I20" s="2"/>
      <c r="J20" s="6">
        <f t="shared" si="1"/>
        <v>0</v>
      </c>
      <c r="K20" s="2"/>
      <c r="L20" s="7">
        <f t="shared" si="2"/>
        <v>-884.45999999999981</v>
      </c>
      <c r="M20" s="2"/>
      <c r="N20" s="6">
        <f t="shared" si="3"/>
        <v>-0.37932957060266587</v>
      </c>
      <c r="O20" s="11"/>
      <c r="P20" s="7">
        <v>22345.24</v>
      </c>
      <c r="Q20" s="2"/>
      <c r="R20" s="6">
        <f t="shared" si="4"/>
        <v>0</v>
      </c>
      <c r="S20" s="2"/>
      <c r="T20" s="7">
        <v>27265.06</v>
      </c>
      <c r="U20" s="2"/>
      <c r="V20" s="6">
        <f t="shared" si="5"/>
        <v>0</v>
      </c>
      <c r="W20" s="2"/>
      <c r="X20" s="7">
        <f t="shared" si="6"/>
        <v>-4919.82</v>
      </c>
      <c r="Y20" s="2"/>
      <c r="Z20" s="6">
        <f t="shared" si="7"/>
        <v>-0.18044412885942665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64.319999999999993</v>
      </c>
      <c r="E21" s="2"/>
      <c r="F21" s="6">
        <f t="shared" si="0"/>
        <v>0</v>
      </c>
      <c r="G21" s="2"/>
      <c r="H21" s="7">
        <v>141.72999999999999</v>
      </c>
      <c r="I21" s="2"/>
      <c r="J21" s="6">
        <f t="shared" si="1"/>
        <v>0</v>
      </c>
      <c r="K21" s="2"/>
      <c r="L21" s="7">
        <f t="shared" si="2"/>
        <v>-77.41</v>
      </c>
      <c r="M21" s="2"/>
      <c r="N21" s="6">
        <f t="shared" si="3"/>
        <v>-0.54617935511183235</v>
      </c>
      <c r="O21" s="11"/>
      <c r="P21" s="7">
        <v>1283.3499999999999</v>
      </c>
      <c r="Q21" s="2"/>
      <c r="R21" s="6">
        <f t="shared" si="4"/>
        <v>0</v>
      </c>
      <c r="S21" s="2"/>
      <c r="T21" s="7">
        <v>1305.8699999999999</v>
      </c>
      <c r="U21" s="2"/>
      <c r="V21" s="6">
        <f t="shared" si="5"/>
        <v>0</v>
      </c>
      <c r="W21" s="2"/>
      <c r="X21" s="7">
        <f t="shared" si="6"/>
        <v>-22.519999999999982</v>
      </c>
      <c r="Y21" s="2"/>
      <c r="Z21" s="6">
        <f t="shared" si="7"/>
        <v>-1.7245208175392636E-2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>
        <v>3965.44</v>
      </c>
      <c r="E22" s="2"/>
      <c r="F22" s="6">
        <f t="shared" si="0"/>
        <v>0</v>
      </c>
      <c r="G22" s="2"/>
      <c r="H22" s="7">
        <v>4870.25</v>
      </c>
      <c r="I22" s="2"/>
      <c r="J22" s="6">
        <f t="shared" si="1"/>
        <v>0</v>
      </c>
      <c r="K22" s="2"/>
      <c r="L22" s="7">
        <f t="shared" si="2"/>
        <v>-904.81</v>
      </c>
      <c r="M22" s="2"/>
      <c r="N22" s="6">
        <f t="shared" si="3"/>
        <v>-0.18578307068425645</v>
      </c>
      <c r="O22" s="11"/>
      <c r="P22" s="7">
        <v>48932.5</v>
      </c>
      <c r="Q22" s="2"/>
      <c r="R22" s="6">
        <f t="shared" si="4"/>
        <v>0</v>
      </c>
      <c r="S22" s="2"/>
      <c r="T22" s="7">
        <v>55984.65</v>
      </c>
      <c r="U22" s="2"/>
      <c r="V22" s="6">
        <f t="shared" si="5"/>
        <v>0</v>
      </c>
      <c r="W22" s="2"/>
      <c r="X22" s="7">
        <f t="shared" si="6"/>
        <v>-7052.1500000000015</v>
      </c>
      <c r="Y22" s="2"/>
      <c r="Z22" s="6">
        <f t="shared" si="7"/>
        <v>-0.12596577811953816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-1088.8900000000001</v>
      </c>
      <c r="E23" s="2"/>
      <c r="F23" s="6">
        <f t="shared" si="0"/>
        <v>0</v>
      </c>
      <c r="G23" s="2"/>
      <c r="H23" s="7">
        <v>118.87</v>
      </c>
      <c r="I23" s="2"/>
      <c r="J23" s="6">
        <f t="shared" si="1"/>
        <v>0</v>
      </c>
      <c r="K23" s="2"/>
      <c r="L23" s="7">
        <f t="shared" si="2"/>
        <v>-1207.7600000000002</v>
      </c>
      <c r="M23" s="2"/>
      <c r="N23" s="6">
        <f t="shared" si="3"/>
        <v>-10.160343232102298</v>
      </c>
      <c r="O23" s="11"/>
      <c r="P23" s="7">
        <v>0</v>
      </c>
      <c r="Q23" s="2"/>
      <c r="R23" s="6">
        <f t="shared" si="4"/>
        <v>0</v>
      </c>
      <c r="S23" s="2"/>
      <c r="T23" s="7">
        <v>1212</v>
      </c>
      <c r="U23" s="2"/>
      <c r="V23" s="6">
        <f t="shared" si="5"/>
        <v>0</v>
      </c>
      <c r="W23" s="2"/>
      <c r="X23" s="7">
        <f t="shared" si="6"/>
        <v>-1212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>
        <v>1898.57</v>
      </c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1898.57</v>
      </c>
      <c r="M24" s="2"/>
      <c r="N24" s="6">
        <f t="shared" si="3"/>
        <v>0</v>
      </c>
      <c r="O24" s="11"/>
      <c r="P24" s="7">
        <v>32049.279999999999</v>
      </c>
      <c r="Q24" s="2"/>
      <c r="R24" s="6">
        <f t="shared" si="4"/>
        <v>0</v>
      </c>
      <c r="S24" s="2"/>
      <c r="T24" s="7">
        <v>38967.33</v>
      </c>
      <c r="U24" s="2"/>
      <c r="V24" s="6">
        <f t="shared" si="5"/>
        <v>0</v>
      </c>
      <c r="W24" s="2"/>
      <c r="X24" s="7">
        <f t="shared" si="6"/>
        <v>-6918.0500000000029</v>
      </c>
      <c r="Y24" s="2"/>
      <c r="Z24" s="6">
        <f t="shared" si="7"/>
        <v>-0.17753461681875568</v>
      </c>
    </row>
    <row r="25" spans="1:26" s="24" customFormat="1" hidden="1" outlineLevel="2" x14ac:dyDescent="0.3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2451.4</v>
      </c>
      <c r="U25" s="2"/>
      <c r="V25" s="6">
        <f t="shared" si="5"/>
        <v>0</v>
      </c>
      <c r="W25" s="2"/>
      <c r="X25" s="7">
        <f t="shared" si="6"/>
        <v>-2451.4</v>
      </c>
      <c r="Y25" s="2"/>
      <c r="Z25" s="6">
        <f t="shared" si="7"/>
        <v>-1</v>
      </c>
    </row>
    <row r="26" spans="1:26" s="24" customFormat="1" hidden="1" outlineLevel="2" x14ac:dyDescent="0.35">
      <c r="A26" s="27"/>
      <c r="B26" s="11" t="str">
        <f>CONCATENATE("          ", "6118", " - ", "VACATION")</f>
        <v xml:space="preserve">          6118 - VACATION</v>
      </c>
      <c r="C26" s="11"/>
      <c r="D26" s="7">
        <v>1640.31</v>
      </c>
      <c r="E26" s="2"/>
      <c r="F26" s="6">
        <f t="shared" si="0"/>
        <v>0</v>
      </c>
      <c r="G26" s="2"/>
      <c r="H26" s="7">
        <v>2700.52</v>
      </c>
      <c r="I26" s="2"/>
      <c r="J26" s="6">
        <f t="shared" si="1"/>
        <v>0</v>
      </c>
      <c r="K26" s="2"/>
      <c r="L26" s="7">
        <f t="shared" si="2"/>
        <v>-1060.21</v>
      </c>
      <c r="M26" s="2"/>
      <c r="N26" s="6">
        <f t="shared" si="3"/>
        <v>-0.39259475952779466</v>
      </c>
      <c r="O26" s="11"/>
      <c r="P26" s="7">
        <v>27068.510000000002</v>
      </c>
      <c r="Q26" s="2"/>
      <c r="R26" s="6">
        <f t="shared" si="4"/>
        <v>0</v>
      </c>
      <c r="S26" s="2"/>
      <c r="T26" s="7">
        <v>36798.879999999997</v>
      </c>
      <c r="U26" s="2"/>
      <c r="V26" s="6">
        <f t="shared" si="5"/>
        <v>0</v>
      </c>
      <c r="W26" s="2"/>
      <c r="X26" s="7">
        <f t="shared" si="6"/>
        <v>-9730.3699999999953</v>
      </c>
      <c r="Y26" s="2"/>
      <c r="Z26" s="6">
        <f t="shared" si="7"/>
        <v>-0.2644202758344818</v>
      </c>
    </row>
    <row r="27" spans="1:26" s="24" customFormat="1" hidden="1" outlineLevel="2" x14ac:dyDescent="0.35">
      <c r="A27" s="27"/>
      <c r="B27" s="11" t="str">
        <f>CONCATENATE("          ", "6119", " - ", "SICK LEAVE")</f>
        <v xml:space="preserve">          6119 - SICK LEAVE</v>
      </c>
      <c r="C27" s="11"/>
      <c r="D27" s="7">
        <v>856.8</v>
      </c>
      <c r="E27" s="2"/>
      <c r="F27" s="6">
        <f t="shared" si="0"/>
        <v>0</v>
      </c>
      <c r="G27" s="2"/>
      <c r="H27" s="7">
        <v>-1453.93</v>
      </c>
      <c r="I27" s="2"/>
      <c r="J27" s="6">
        <f t="shared" si="1"/>
        <v>0</v>
      </c>
      <c r="K27" s="2"/>
      <c r="L27" s="7">
        <f t="shared" si="2"/>
        <v>2310.73</v>
      </c>
      <c r="M27" s="2"/>
      <c r="N27" s="6">
        <f t="shared" si="3"/>
        <v>-1.5892993472863204</v>
      </c>
      <c r="O27" s="11"/>
      <c r="P27" s="7">
        <v>25968.799999999999</v>
      </c>
      <c r="Q27" s="2"/>
      <c r="R27" s="6">
        <f t="shared" si="4"/>
        <v>0</v>
      </c>
      <c r="S27" s="2"/>
      <c r="T27" s="7">
        <v>21976.44</v>
      </c>
      <c r="U27" s="2"/>
      <c r="V27" s="6">
        <f t="shared" si="5"/>
        <v>0</v>
      </c>
      <c r="W27" s="2"/>
      <c r="X27" s="7">
        <f t="shared" si="6"/>
        <v>3992.3600000000006</v>
      </c>
      <c r="Y27" s="2"/>
      <c r="Z27" s="6">
        <f t="shared" si="7"/>
        <v>0.18166545627954303</v>
      </c>
    </row>
    <row r="28" spans="1:26" s="24" customFormat="1" hidden="1" outlineLevel="2" x14ac:dyDescent="0.35">
      <c r="A28" s="27"/>
      <c r="B28" s="11" t="str">
        <f>CONCATENATE("          ", "6156", " - ", "EMPLOYEE MEALS")</f>
        <v xml:space="preserve">          6156 - EMPLOYEE MEALS</v>
      </c>
      <c r="C28" s="11"/>
      <c r="D28" s="7">
        <v>8</v>
      </c>
      <c r="E28" s="2"/>
      <c r="F28" s="6">
        <f t="shared" si="0"/>
        <v>0</v>
      </c>
      <c r="G28" s="2"/>
      <c r="H28" s="7">
        <v>314.22000000000003</v>
      </c>
      <c r="I28" s="2"/>
      <c r="J28" s="6">
        <f t="shared" si="1"/>
        <v>0</v>
      </c>
      <c r="K28" s="2"/>
      <c r="L28" s="7">
        <f t="shared" si="2"/>
        <v>-306.22000000000003</v>
      </c>
      <c r="M28" s="2"/>
      <c r="N28" s="6">
        <f t="shared" si="3"/>
        <v>-0.97454013111832472</v>
      </c>
      <c r="O28" s="11"/>
      <c r="P28" s="7">
        <v>2613.63</v>
      </c>
      <c r="Q28" s="2"/>
      <c r="R28" s="6">
        <f t="shared" si="4"/>
        <v>0</v>
      </c>
      <c r="S28" s="2"/>
      <c r="T28" s="7">
        <v>4554.45</v>
      </c>
      <c r="U28" s="2"/>
      <c r="V28" s="6">
        <f t="shared" si="5"/>
        <v>0</v>
      </c>
      <c r="W28" s="2"/>
      <c r="X28" s="7">
        <f t="shared" si="6"/>
        <v>-1940.8199999999997</v>
      </c>
      <c r="Y28" s="2"/>
      <c r="Z28" s="6">
        <f t="shared" si="7"/>
        <v>-0.42613707472911105</v>
      </c>
    </row>
    <row r="29" spans="1:26" s="25" customFormat="1" outlineLevel="1" collapsed="1" x14ac:dyDescent="0.3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216588.52</v>
      </c>
      <c r="E29" s="1"/>
      <c r="F29" s="5">
        <f t="shared" ref="F29:F32" si="8">IF(D$12=0,0,D29/D$12)</f>
        <v>0</v>
      </c>
      <c r="G29" s="1"/>
      <c r="H29" s="1">
        <f>SUM(OSRRefH22_1x_0)</f>
        <v>395211.22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-178622.69999999998</v>
      </c>
      <c r="M29" s="1"/>
      <c r="N29" s="5">
        <f t="shared" ref="N29:N32" si="11">IF(H29=0,0,L29/H29)</f>
        <v>-0.45196768452069758</v>
      </c>
      <c r="O29" s="12"/>
      <c r="P29" s="1">
        <f>SUM(OSRRefP22_1x_0)</f>
        <v>398955.14</v>
      </c>
      <c r="Q29" s="1"/>
      <c r="R29" s="5">
        <f t="shared" ref="R29:R32" si="12">IF(P$12=0,0,P29/P$12)</f>
        <v>0</v>
      </c>
      <c r="S29" s="1"/>
      <c r="T29" s="1">
        <f>SUM(OSRRefT22_1x_0)</f>
        <v>676122.71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-277167.56999999995</v>
      </c>
      <c r="Y29" s="1"/>
      <c r="Z29" s="5">
        <f t="shared" ref="Z29:Z32" si="15">IF(T29=0,0,X29/T29)</f>
        <v>-0.4099367849957295</v>
      </c>
    </row>
    <row r="30" spans="1:26" s="24" customFormat="1" hidden="1" outlineLevel="2" x14ac:dyDescent="0.3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14140.28</v>
      </c>
      <c r="E30" s="2"/>
      <c r="F30" s="6">
        <f t="shared" si="8"/>
        <v>0</v>
      </c>
      <c r="G30" s="2"/>
      <c r="H30" s="7">
        <v>25932.74</v>
      </c>
      <c r="I30" s="2"/>
      <c r="J30" s="6">
        <f t="shared" si="9"/>
        <v>0</v>
      </c>
      <c r="K30" s="2"/>
      <c r="L30" s="7">
        <f t="shared" si="10"/>
        <v>-11792.460000000001</v>
      </c>
      <c r="M30" s="2"/>
      <c r="N30" s="6">
        <f t="shared" si="11"/>
        <v>-0.45473251187495034</v>
      </c>
      <c r="O30" s="11"/>
      <c r="P30" s="7">
        <v>186501.08000000002</v>
      </c>
      <c r="Q30" s="2"/>
      <c r="R30" s="6">
        <f t="shared" si="12"/>
        <v>0</v>
      </c>
      <c r="S30" s="2"/>
      <c r="T30" s="7">
        <v>297988.44</v>
      </c>
      <c r="U30" s="2"/>
      <c r="V30" s="6">
        <f t="shared" si="13"/>
        <v>0</v>
      </c>
      <c r="W30" s="2"/>
      <c r="X30" s="7">
        <f t="shared" si="14"/>
        <v>-111487.35999999999</v>
      </c>
      <c r="Y30" s="2"/>
      <c r="Z30" s="6">
        <f t="shared" si="15"/>
        <v>-0.37413317107200528</v>
      </c>
    </row>
    <row r="31" spans="1:26" s="24" customFormat="1" hidden="1" outlineLevel="2" x14ac:dyDescent="0.35">
      <c r="A31" s="27"/>
      <c r="B31" s="11" t="str">
        <f>CONCATENATE("          ", "6002", " - ", "STAFF SALARIES")</f>
        <v xml:space="preserve">          6002 - STAFF SALARIES</v>
      </c>
      <c r="C31" s="11"/>
      <c r="D31" s="7">
        <v>2448.2399999999998</v>
      </c>
      <c r="E31" s="2"/>
      <c r="F31" s="6">
        <f t="shared" si="8"/>
        <v>0</v>
      </c>
      <c r="G31" s="2"/>
      <c r="H31" s="7">
        <v>4278.4799999999996</v>
      </c>
      <c r="I31" s="2"/>
      <c r="J31" s="6">
        <f t="shared" si="9"/>
        <v>0</v>
      </c>
      <c r="K31" s="2"/>
      <c r="L31" s="7">
        <f t="shared" si="10"/>
        <v>-1830.2399999999998</v>
      </c>
      <c r="M31" s="2"/>
      <c r="N31" s="6">
        <f t="shared" si="11"/>
        <v>-0.42777808941493239</v>
      </c>
      <c r="O31" s="11"/>
      <c r="P31" s="7">
        <v>50433.78</v>
      </c>
      <c r="Q31" s="2"/>
      <c r="R31" s="6">
        <f t="shared" si="12"/>
        <v>0</v>
      </c>
      <c r="S31" s="2"/>
      <c r="T31" s="7">
        <v>58234.8</v>
      </c>
      <c r="U31" s="2"/>
      <c r="V31" s="6">
        <f t="shared" si="13"/>
        <v>0</v>
      </c>
      <c r="W31" s="2"/>
      <c r="X31" s="7">
        <f t="shared" si="14"/>
        <v>-7801.0200000000041</v>
      </c>
      <c r="Y31" s="2"/>
      <c r="Z31" s="6">
        <f t="shared" si="15"/>
        <v>-0.1339580457046303</v>
      </c>
    </row>
    <row r="32" spans="1:26" s="24" customFormat="1" hidden="1" outlineLevel="2" x14ac:dyDescent="0.35">
      <c r="A32" s="27"/>
      <c r="B32" s="11" t="str">
        <f>CONCATENATE("          ", "6007", " - ", "STUDENT HOURLY")</f>
        <v xml:space="preserve">          6007 - STUDENT HOURLY</v>
      </c>
      <c r="C32" s="11"/>
      <c r="D32" s="7">
        <v>200000</v>
      </c>
      <c r="E32" s="2"/>
      <c r="F32" s="6">
        <f t="shared" si="8"/>
        <v>0</v>
      </c>
      <c r="G32" s="2"/>
      <c r="H32" s="7">
        <v>365000</v>
      </c>
      <c r="I32" s="2"/>
      <c r="J32" s="6">
        <f t="shared" si="9"/>
        <v>0</v>
      </c>
      <c r="K32" s="2"/>
      <c r="L32" s="7">
        <f t="shared" si="10"/>
        <v>-165000</v>
      </c>
      <c r="M32" s="2"/>
      <c r="N32" s="6">
        <f t="shared" si="11"/>
        <v>-0.45205479452054792</v>
      </c>
      <c r="O32" s="11"/>
      <c r="P32" s="7">
        <v>162020.28</v>
      </c>
      <c r="Q32" s="2"/>
      <c r="R32" s="6">
        <f t="shared" si="12"/>
        <v>0</v>
      </c>
      <c r="S32" s="2"/>
      <c r="T32" s="7">
        <v>319899.47000000003</v>
      </c>
      <c r="U32" s="2"/>
      <c r="V32" s="6">
        <f t="shared" si="13"/>
        <v>0</v>
      </c>
      <c r="W32" s="2"/>
      <c r="X32" s="7">
        <f t="shared" si="14"/>
        <v>-157879.19000000003</v>
      </c>
      <c r="Y32" s="2"/>
      <c r="Z32" s="6">
        <f t="shared" si="15"/>
        <v>-0.49352751350291396</v>
      </c>
    </row>
    <row r="33" spans="1:26" s="25" customFormat="1" outlineLevel="1" collapsed="1" x14ac:dyDescent="0.35">
      <c r="A33" s="26"/>
      <c r="B33" s="12" t="str">
        <f>CONCATENATE("     ","Advertising/Promo                                 ")</f>
        <v xml:space="preserve">     Advertising/Promo                                 </v>
      </c>
      <c r="C33" s="12"/>
      <c r="D33" s="1">
        <f>SUM(OSRRefD22_2x_0)</f>
        <v>0</v>
      </c>
      <c r="E33" s="1"/>
      <c r="F33" s="5">
        <f t="shared" ref="F33:F52" si="16">IF(D$12=0,0,D33/D$12)</f>
        <v>0</v>
      </c>
      <c r="G33" s="1"/>
      <c r="H33" s="1">
        <f>SUM(OSRRefH22_2x_0)</f>
        <v>5852.53</v>
      </c>
      <c r="I33" s="1"/>
      <c r="J33" s="5">
        <f t="shared" ref="J33:J52" si="17">IF(H$12=0,0,H33/H$12)</f>
        <v>0</v>
      </c>
      <c r="K33" s="1"/>
      <c r="L33" s="1">
        <f t="shared" ref="L33:L52" si="18">+D33-H33</f>
        <v>-5852.53</v>
      </c>
      <c r="M33" s="1"/>
      <c r="N33" s="5">
        <f t="shared" ref="N33:N52" si="19">IF(H33=0,0,L33/H33)</f>
        <v>-1</v>
      </c>
      <c r="O33" s="12"/>
      <c r="P33" s="1">
        <f>SUM(OSRRefP22_2x_0)</f>
        <v>12880.83</v>
      </c>
      <c r="Q33" s="1"/>
      <c r="R33" s="5">
        <f t="shared" ref="R33:R52" si="20">IF(P$12=0,0,P33/P$12)</f>
        <v>0</v>
      </c>
      <c r="S33" s="1"/>
      <c r="T33" s="1">
        <f>SUM(OSRRefT22_2x_0)</f>
        <v>147770.75</v>
      </c>
      <c r="U33" s="1"/>
      <c r="V33" s="5">
        <f t="shared" ref="V33:V52" si="21">IF(T$12=0,0,T33/T$12)</f>
        <v>0</v>
      </c>
      <c r="W33" s="1"/>
      <c r="X33" s="1">
        <f t="shared" ref="X33:X52" si="22">+P33-T33</f>
        <v>-134889.92000000001</v>
      </c>
      <c r="Y33" s="1"/>
      <c r="Z33" s="5">
        <f t="shared" ref="Z33:Z52" si="23">IF(T33=0,0,X33/T33)</f>
        <v>-0.91283234334264396</v>
      </c>
    </row>
    <row r="34" spans="1:26" s="24" customFormat="1" hidden="1" outlineLevel="2" x14ac:dyDescent="0.35">
      <c r="A34" s="27"/>
      <c r="B34" s="11" t="str">
        <f>CONCATENATE("          ", "6362", " - ", "ADVERTISING EXPENSE")</f>
        <v xml:space="preserve">          6362 - ADVERTISING EXPENSE</v>
      </c>
      <c r="C34" s="11"/>
      <c r="D34" s="7"/>
      <c r="E34" s="2"/>
      <c r="F34" s="6">
        <f t="shared" si="16"/>
        <v>0</v>
      </c>
      <c r="G34" s="2"/>
      <c r="H34" s="7">
        <v>5852.53</v>
      </c>
      <c r="I34" s="2"/>
      <c r="J34" s="6">
        <f t="shared" si="17"/>
        <v>0</v>
      </c>
      <c r="K34" s="2"/>
      <c r="L34" s="7">
        <f t="shared" si="18"/>
        <v>-5852.53</v>
      </c>
      <c r="M34" s="2"/>
      <c r="N34" s="6">
        <f t="shared" si="19"/>
        <v>-1</v>
      </c>
      <c r="O34" s="11"/>
      <c r="P34" s="7">
        <v>12880.83</v>
      </c>
      <c r="Q34" s="2"/>
      <c r="R34" s="6">
        <f t="shared" si="20"/>
        <v>0</v>
      </c>
      <c r="S34" s="2"/>
      <c r="T34" s="7">
        <v>147770.75</v>
      </c>
      <c r="U34" s="2"/>
      <c r="V34" s="6">
        <f t="shared" si="21"/>
        <v>0</v>
      </c>
      <c r="W34" s="2"/>
      <c r="X34" s="7">
        <f t="shared" si="22"/>
        <v>-134889.92000000001</v>
      </c>
      <c r="Y34" s="2"/>
      <c r="Z34" s="6">
        <f t="shared" si="23"/>
        <v>-0.91283234334264396</v>
      </c>
    </row>
    <row r="35" spans="1:26" s="25" customFormat="1" outlineLevel="1" collapsed="1" x14ac:dyDescent="0.35">
      <c r="A35" s="26"/>
      <c r="B35" s="12" t="str">
        <f>CONCATENATE("     ","Depreciation                                      ")</f>
        <v xml:space="preserve">     Depreciation                                      </v>
      </c>
      <c r="C35" s="12"/>
      <c r="D35" s="1">
        <f>SUM(OSRRefD22_3x_0)</f>
        <v>314.81</v>
      </c>
      <c r="E35" s="1"/>
      <c r="F35" s="5">
        <f t="shared" si="16"/>
        <v>0</v>
      </c>
      <c r="G35" s="1"/>
      <c r="H35" s="1">
        <f>SUM(OSRRefH22_3x_0)</f>
        <v>345.21</v>
      </c>
      <c r="I35" s="1"/>
      <c r="J35" s="5">
        <f t="shared" si="17"/>
        <v>0</v>
      </c>
      <c r="K35" s="1"/>
      <c r="L35" s="1">
        <f t="shared" si="18"/>
        <v>-30.399999999999977</v>
      </c>
      <c r="M35" s="1"/>
      <c r="N35" s="5">
        <f t="shared" si="19"/>
        <v>-8.8062338866197326E-2</v>
      </c>
      <c r="O35" s="12"/>
      <c r="P35" s="1">
        <f>SUM(OSRRefP22_3x_0)</f>
        <v>4051.65</v>
      </c>
      <c r="Q35" s="1"/>
      <c r="R35" s="5">
        <f t="shared" si="20"/>
        <v>0</v>
      </c>
      <c r="S35" s="1"/>
      <c r="T35" s="1">
        <f>SUM(OSRRefT22_3x_0)</f>
        <v>4142.74</v>
      </c>
      <c r="U35" s="1"/>
      <c r="V35" s="5">
        <f t="shared" si="21"/>
        <v>0</v>
      </c>
      <c r="W35" s="1"/>
      <c r="X35" s="1">
        <f t="shared" si="22"/>
        <v>-91.089999999999691</v>
      </c>
      <c r="Y35" s="1"/>
      <c r="Z35" s="5">
        <f t="shared" si="23"/>
        <v>-2.1987863105094624E-2</v>
      </c>
    </row>
    <row r="36" spans="1:26" s="24" customFormat="1" hidden="1" outlineLevel="2" x14ac:dyDescent="0.35">
      <c r="A36" s="27"/>
      <c r="B36" s="11" t="str">
        <f>CONCATENATE("          ", "6322", " - ", "EQUIPMENT DEPRECIATION EXPENSE")</f>
        <v xml:space="preserve">          6322 - EQUIPMENT DEPRECIATION EXPENSE</v>
      </c>
      <c r="C36" s="11"/>
      <c r="D36" s="7">
        <v>314.81</v>
      </c>
      <c r="E36" s="2"/>
      <c r="F36" s="6">
        <f t="shared" si="16"/>
        <v>0</v>
      </c>
      <c r="G36" s="2"/>
      <c r="H36" s="7">
        <v>345.21</v>
      </c>
      <c r="I36" s="2"/>
      <c r="J36" s="6">
        <f t="shared" si="17"/>
        <v>0</v>
      </c>
      <c r="K36" s="2"/>
      <c r="L36" s="7">
        <f t="shared" si="18"/>
        <v>-30.399999999999977</v>
      </c>
      <c r="M36" s="2"/>
      <c r="N36" s="6">
        <f t="shared" si="19"/>
        <v>-8.8062338866197326E-2</v>
      </c>
      <c r="O36" s="11"/>
      <c r="P36" s="7">
        <v>4051.65</v>
      </c>
      <c r="Q36" s="2"/>
      <c r="R36" s="6">
        <f t="shared" si="20"/>
        <v>0</v>
      </c>
      <c r="S36" s="2"/>
      <c r="T36" s="7">
        <v>4142.74</v>
      </c>
      <c r="U36" s="2"/>
      <c r="V36" s="6">
        <f t="shared" si="21"/>
        <v>0</v>
      </c>
      <c r="W36" s="2"/>
      <c r="X36" s="7">
        <f t="shared" si="22"/>
        <v>-91.089999999999691</v>
      </c>
      <c r="Y36" s="2"/>
      <c r="Z36" s="6">
        <f t="shared" si="23"/>
        <v>-2.1987863105094624E-2</v>
      </c>
    </row>
    <row r="37" spans="1:26" s="25" customFormat="1" outlineLevel="1" collapsed="1" x14ac:dyDescent="0.35">
      <c r="A37" s="26"/>
      <c r="B37" s="12" t="str">
        <f>CONCATENATE("     ","Donations                                         ")</f>
        <v xml:space="preserve">     Donations                                         </v>
      </c>
      <c r="C37" s="12"/>
      <c r="D37" s="1">
        <f>SUM(OSRRefD22_4x_0)</f>
        <v>-787</v>
      </c>
      <c r="E37" s="1"/>
      <c r="F37" s="5">
        <f t="shared" si="16"/>
        <v>0</v>
      </c>
      <c r="G37" s="1"/>
      <c r="H37" s="1">
        <f>SUM(OSRRefH22_4x_0)</f>
        <v>10000</v>
      </c>
      <c r="I37" s="1"/>
      <c r="J37" s="5">
        <f t="shared" si="17"/>
        <v>0</v>
      </c>
      <c r="K37" s="1"/>
      <c r="L37" s="1">
        <f t="shared" si="18"/>
        <v>-10787</v>
      </c>
      <c r="M37" s="1"/>
      <c r="N37" s="5">
        <f t="shared" si="19"/>
        <v>-1.0787</v>
      </c>
      <c r="O37" s="12"/>
      <c r="P37" s="1">
        <f>SUM(OSRRefP22_4x_0)</f>
        <v>144858</v>
      </c>
      <c r="Q37" s="1"/>
      <c r="R37" s="5">
        <f t="shared" si="20"/>
        <v>0</v>
      </c>
      <c r="S37" s="1"/>
      <c r="T37" s="1">
        <f>SUM(OSRRefT22_4x_0)</f>
        <v>65822.399999999994</v>
      </c>
      <c r="U37" s="1"/>
      <c r="V37" s="5">
        <f t="shared" si="21"/>
        <v>0</v>
      </c>
      <c r="W37" s="1"/>
      <c r="X37" s="1">
        <f t="shared" si="22"/>
        <v>79035.600000000006</v>
      </c>
      <c r="Y37" s="1"/>
      <c r="Z37" s="5">
        <f t="shared" si="23"/>
        <v>1.2007401735579379</v>
      </c>
    </row>
    <row r="38" spans="1:26" s="24" customFormat="1" hidden="1" outlineLevel="2" x14ac:dyDescent="0.35">
      <c r="A38" s="27"/>
      <c r="B38" s="11" t="str">
        <f>CONCATENATE("          ", "6399", " - ", "DONATION-ON CAMPUS")</f>
        <v xml:space="preserve">          6399 - DONATION-ON CAMPUS</v>
      </c>
      <c r="C38" s="11"/>
      <c r="D38" s="7">
        <v>-787</v>
      </c>
      <c r="E38" s="2"/>
      <c r="F38" s="6">
        <f t="shared" si="16"/>
        <v>0</v>
      </c>
      <c r="G38" s="2"/>
      <c r="H38" s="7">
        <v>10000</v>
      </c>
      <c r="I38" s="2"/>
      <c r="J38" s="6">
        <f t="shared" si="17"/>
        <v>0</v>
      </c>
      <c r="K38" s="2"/>
      <c r="L38" s="7">
        <f t="shared" si="18"/>
        <v>-10787</v>
      </c>
      <c r="M38" s="2"/>
      <c r="N38" s="6">
        <f t="shared" si="19"/>
        <v>-1.0787</v>
      </c>
      <c r="O38" s="11"/>
      <c r="P38" s="7">
        <v>144858</v>
      </c>
      <c r="Q38" s="2"/>
      <c r="R38" s="6">
        <f t="shared" si="20"/>
        <v>0</v>
      </c>
      <c r="S38" s="2"/>
      <c r="T38" s="7">
        <v>65822.399999999994</v>
      </c>
      <c r="U38" s="2"/>
      <c r="V38" s="6">
        <f t="shared" si="21"/>
        <v>0</v>
      </c>
      <c r="W38" s="2"/>
      <c r="X38" s="7">
        <f t="shared" si="22"/>
        <v>79035.600000000006</v>
      </c>
      <c r="Y38" s="2"/>
      <c r="Z38" s="6">
        <f t="shared" si="23"/>
        <v>1.2007401735579379</v>
      </c>
    </row>
    <row r="39" spans="1:26" s="25" customFormat="1" outlineLevel="1" collapsed="1" x14ac:dyDescent="0.35">
      <c r="A39" s="26"/>
      <c r="B39" s="12" t="str">
        <f>CONCATENATE("     ","Employees' Appreciation                           ")</f>
        <v xml:space="preserve">     Employees' Appreciation                           </v>
      </c>
      <c r="C39" s="12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2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4860.53</v>
      </c>
      <c r="U39" s="1"/>
      <c r="V39" s="5">
        <f t="shared" si="21"/>
        <v>0</v>
      </c>
      <c r="W39" s="1"/>
      <c r="X39" s="1">
        <f t="shared" si="22"/>
        <v>-4860.53</v>
      </c>
      <c r="Y39" s="1"/>
      <c r="Z39" s="5">
        <f t="shared" si="23"/>
        <v>-1</v>
      </c>
    </row>
    <row r="40" spans="1:26" s="24" customFormat="1" hidden="1" outlineLevel="2" x14ac:dyDescent="0.35">
      <c r="A40" s="27"/>
      <c r="B40" s="11" t="str">
        <f>CONCATENATE("          ", "6277", " - ", "EMPLOYEE APPRECIATION")</f>
        <v xml:space="preserve">          6277 - EMPLOYEE APPRECIATION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4860.53</v>
      </c>
      <c r="U40" s="2"/>
      <c r="V40" s="6">
        <f t="shared" si="21"/>
        <v>0</v>
      </c>
      <c r="W40" s="2"/>
      <c r="X40" s="7">
        <f t="shared" si="22"/>
        <v>-4860.53</v>
      </c>
      <c r="Y40" s="2"/>
      <c r="Z40" s="6">
        <f t="shared" si="23"/>
        <v>-1</v>
      </c>
    </row>
    <row r="41" spans="1:26" s="25" customFormat="1" outlineLevel="1" collapsed="1" x14ac:dyDescent="0.35">
      <c r="A41" s="26"/>
      <c r="B41" s="12" t="str">
        <f>CONCATENATE("     ","Equipment Rental                                  ")</f>
        <v xml:space="preserve">     Equipment Rental                                  </v>
      </c>
      <c r="C41" s="12"/>
      <c r="D41" s="1">
        <f>SUM(OSRRefD22_6x_0)</f>
        <v>117.72</v>
      </c>
      <c r="E41" s="1"/>
      <c r="F41" s="5">
        <f t="shared" si="16"/>
        <v>0</v>
      </c>
      <c r="G41" s="1"/>
      <c r="H41" s="1">
        <f>SUM(OSRRefH22_6x_0)</f>
        <v>117.72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2"/>
      <c r="P41" s="1">
        <f>SUM(OSRRefP22_6x_0)</f>
        <v>1412.64</v>
      </c>
      <c r="Q41" s="1"/>
      <c r="R41" s="5">
        <f t="shared" si="20"/>
        <v>0</v>
      </c>
      <c r="S41" s="1"/>
      <c r="T41" s="1">
        <f>SUM(OSRRefT22_6x_0)</f>
        <v>1412.64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35">
      <c r="A42" s="27"/>
      <c r="B42" s="11" t="str">
        <f>CONCATENATE("          ", "6351", " - ", "EQUIPMENT RENTAL")</f>
        <v xml:space="preserve">          6351 - EQUIPMENT RENTAL</v>
      </c>
      <c r="C42" s="11"/>
      <c r="D42" s="7">
        <v>117.72</v>
      </c>
      <c r="E42" s="2"/>
      <c r="F42" s="6">
        <f t="shared" si="16"/>
        <v>0</v>
      </c>
      <c r="G42" s="2"/>
      <c r="H42" s="7">
        <v>117.72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1412.64</v>
      </c>
      <c r="Q42" s="2"/>
      <c r="R42" s="6">
        <f t="shared" si="20"/>
        <v>0</v>
      </c>
      <c r="S42" s="2"/>
      <c r="T42" s="7">
        <v>1412.64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5" customFormat="1" outlineLevel="1" collapsed="1" x14ac:dyDescent="0.35">
      <c r="A43" s="26"/>
      <c r="B43" s="12" t="str">
        <f>CONCATENATE("     ","Freight out/Postage                               ")</f>
        <v xml:space="preserve">     Freight out/Postage                               </v>
      </c>
      <c r="C43" s="12"/>
      <c r="D43" s="1">
        <f>SUM(OSRRefD22_7x_0)</f>
        <v>0</v>
      </c>
      <c r="E43" s="1"/>
      <c r="F43" s="5">
        <f t="shared" si="16"/>
        <v>0</v>
      </c>
      <c r="G43" s="1"/>
      <c r="H43" s="1">
        <f>SUM(OSRRefH22_7x_0)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2"/>
      <c r="P43" s="1">
        <f>SUM(OSRRefP22_7x_0)</f>
        <v>171.76</v>
      </c>
      <c r="Q43" s="1"/>
      <c r="R43" s="5">
        <f t="shared" si="20"/>
        <v>0</v>
      </c>
      <c r="S43" s="1"/>
      <c r="T43" s="1">
        <f>SUM(OSRRefT22_7x_0)</f>
        <v>7.91</v>
      </c>
      <c r="U43" s="1"/>
      <c r="V43" s="5">
        <f t="shared" si="21"/>
        <v>0</v>
      </c>
      <c r="W43" s="1"/>
      <c r="X43" s="1">
        <f t="shared" si="22"/>
        <v>163.85</v>
      </c>
      <c r="Y43" s="1"/>
      <c r="Z43" s="5">
        <f t="shared" si="23"/>
        <v>20.714285714285712</v>
      </c>
    </row>
    <row r="44" spans="1:26" s="24" customFormat="1" hidden="1" outlineLevel="2" x14ac:dyDescent="0.35">
      <c r="A44" s="27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171.76</v>
      </c>
      <c r="Q44" s="2"/>
      <c r="R44" s="6">
        <f t="shared" si="20"/>
        <v>0</v>
      </c>
      <c r="S44" s="2"/>
      <c r="T44" s="7">
        <v>7.91</v>
      </c>
      <c r="U44" s="2"/>
      <c r="V44" s="6">
        <f t="shared" si="21"/>
        <v>0</v>
      </c>
      <c r="W44" s="2"/>
      <c r="X44" s="7">
        <f t="shared" si="22"/>
        <v>163.85</v>
      </c>
      <c r="Y44" s="2"/>
      <c r="Z44" s="6">
        <f t="shared" si="23"/>
        <v>20.714285714285712</v>
      </c>
    </row>
    <row r="45" spans="1:26" s="25" customFormat="1" outlineLevel="1" collapsed="1" x14ac:dyDescent="0.35">
      <c r="A45" s="26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SUM(OSRRefD22_8x_0)</f>
        <v>0</v>
      </c>
      <c r="E45" s="1"/>
      <c r="F45" s="5">
        <f t="shared" si="16"/>
        <v>0</v>
      </c>
      <c r="G45" s="1"/>
      <c r="H45" s="1">
        <f>SUM(OSRRefH22_8x_0)</f>
        <v>2662.24</v>
      </c>
      <c r="I45" s="1"/>
      <c r="J45" s="5">
        <f t="shared" si="17"/>
        <v>0</v>
      </c>
      <c r="K45" s="1"/>
      <c r="L45" s="1">
        <f t="shared" si="18"/>
        <v>-2662.24</v>
      </c>
      <c r="M45" s="1"/>
      <c r="N45" s="5">
        <f t="shared" si="19"/>
        <v>-1</v>
      </c>
      <c r="O45" s="12"/>
      <c r="P45" s="1">
        <f>SUM(OSRRefP22_8x_0)</f>
        <v>13430.41</v>
      </c>
      <c r="Q45" s="1"/>
      <c r="R45" s="5">
        <f t="shared" si="20"/>
        <v>0</v>
      </c>
      <c r="S45" s="1"/>
      <c r="T45" s="1">
        <f>SUM(OSRRefT22_8x_0)</f>
        <v>29928.710000000003</v>
      </c>
      <c r="U45" s="1"/>
      <c r="V45" s="5">
        <f t="shared" si="21"/>
        <v>0</v>
      </c>
      <c r="W45" s="1"/>
      <c r="X45" s="1">
        <f t="shared" si="22"/>
        <v>-16498.300000000003</v>
      </c>
      <c r="Y45" s="1"/>
      <c r="Z45" s="5">
        <f t="shared" si="23"/>
        <v>-0.55125329491314534</v>
      </c>
    </row>
    <row r="46" spans="1:26" s="24" customFormat="1" hidden="1" outlineLevel="2" x14ac:dyDescent="0.35">
      <c r="A46" s="27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16"/>
        <v>0</v>
      </c>
      <c r="G46" s="2"/>
      <c r="H46" s="7">
        <v>2662.24</v>
      </c>
      <c r="I46" s="2"/>
      <c r="J46" s="6">
        <f t="shared" si="17"/>
        <v>0</v>
      </c>
      <c r="K46" s="2"/>
      <c r="L46" s="7">
        <f t="shared" si="18"/>
        <v>-2662.24</v>
      </c>
      <c r="M46" s="2"/>
      <c r="N46" s="6">
        <f t="shared" si="19"/>
        <v>-1</v>
      </c>
      <c r="O46" s="11"/>
      <c r="P46" s="7">
        <v>13430.41</v>
      </c>
      <c r="Q46" s="2"/>
      <c r="R46" s="6">
        <f t="shared" si="20"/>
        <v>0</v>
      </c>
      <c r="S46" s="2"/>
      <c r="T46" s="7">
        <v>29928.710000000003</v>
      </c>
      <c r="U46" s="2"/>
      <c r="V46" s="6">
        <f t="shared" si="21"/>
        <v>0</v>
      </c>
      <c r="W46" s="2"/>
      <c r="X46" s="7">
        <f t="shared" si="22"/>
        <v>-16498.300000000003</v>
      </c>
      <c r="Y46" s="2"/>
      <c r="Z46" s="6">
        <f t="shared" si="23"/>
        <v>-0.55125329491314534</v>
      </c>
    </row>
    <row r="47" spans="1:26" s="25" customFormat="1" outlineLevel="1" collapsed="1" x14ac:dyDescent="0.35">
      <c r="A47" s="26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SUM(OSRRefD22_9x_0)</f>
        <v>115.13</v>
      </c>
      <c r="E47" s="1"/>
      <c r="F47" s="5">
        <f t="shared" si="16"/>
        <v>0</v>
      </c>
      <c r="G47" s="1"/>
      <c r="H47" s="1">
        <f>SUM(OSRRefH22_9x_0)</f>
        <v>108.47</v>
      </c>
      <c r="I47" s="1"/>
      <c r="J47" s="5">
        <f t="shared" si="17"/>
        <v>0</v>
      </c>
      <c r="K47" s="1"/>
      <c r="L47" s="1">
        <f t="shared" si="18"/>
        <v>6.6599999999999966</v>
      </c>
      <c r="M47" s="1"/>
      <c r="N47" s="5">
        <f t="shared" si="19"/>
        <v>6.139946528994189E-2</v>
      </c>
      <c r="O47" s="12"/>
      <c r="P47" s="1">
        <f>SUM(OSRRefP22_9x_0)</f>
        <v>1735.56</v>
      </c>
      <c r="Q47" s="1"/>
      <c r="R47" s="5">
        <f t="shared" si="20"/>
        <v>0</v>
      </c>
      <c r="S47" s="1"/>
      <c r="T47" s="1">
        <f>SUM(OSRRefT22_9x_0)</f>
        <v>1462.11</v>
      </c>
      <c r="U47" s="1"/>
      <c r="V47" s="5">
        <f t="shared" si="21"/>
        <v>0</v>
      </c>
      <c r="W47" s="1"/>
      <c r="X47" s="1">
        <f t="shared" si="22"/>
        <v>273.45000000000005</v>
      </c>
      <c r="Y47" s="1"/>
      <c r="Z47" s="5">
        <f t="shared" si="23"/>
        <v>0.1870242321029198</v>
      </c>
    </row>
    <row r="48" spans="1:26" s="24" customFormat="1" hidden="1" outlineLevel="2" x14ac:dyDescent="0.35">
      <c r="A48" s="27"/>
      <c r="B48" s="11" t="str">
        <f>CONCATENATE("          ", "6314", " - ", "LIABILITY INSURANCE")</f>
        <v xml:space="preserve">          6314 - LIABILITY INSURANCE</v>
      </c>
      <c r="C48" s="11"/>
      <c r="D48" s="7">
        <v>115.13</v>
      </c>
      <c r="E48" s="2"/>
      <c r="F48" s="6">
        <f t="shared" si="16"/>
        <v>0</v>
      </c>
      <c r="G48" s="2"/>
      <c r="H48" s="7">
        <v>108.47</v>
      </c>
      <c r="I48" s="2"/>
      <c r="J48" s="6">
        <f t="shared" si="17"/>
        <v>0</v>
      </c>
      <c r="K48" s="2"/>
      <c r="L48" s="7">
        <f t="shared" si="18"/>
        <v>6.6599999999999966</v>
      </c>
      <c r="M48" s="2"/>
      <c r="N48" s="6">
        <f t="shared" si="19"/>
        <v>6.139946528994189E-2</v>
      </c>
      <c r="O48" s="11"/>
      <c r="P48" s="7">
        <v>1735.56</v>
      </c>
      <c r="Q48" s="2"/>
      <c r="R48" s="6">
        <f t="shared" si="20"/>
        <v>0</v>
      </c>
      <c r="S48" s="2"/>
      <c r="T48" s="7">
        <v>1462.11</v>
      </c>
      <c r="U48" s="2"/>
      <c r="V48" s="6">
        <f t="shared" si="21"/>
        <v>0</v>
      </c>
      <c r="W48" s="2"/>
      <c r="X48" s="7">
        <f t="shared" si="22"/>
        <v>273.45000000000005</v>
      </c>
      <c r="Y48" s="2"/>
      <c r="Z48" s="6">
        <f t="shared" si="23"/>
        <v>0.1870242321029198</v>
      </c>
    </row>
    <row r="49" spans="1:26" s="25" customFormat="1" outlineLevel="1" collapsed="1" x14ac:dyDescent="0.35">
      <c r="A49" s="26"/>
      <c r="B49" s="12" t="str">
        <f>CONCATENATE("     ","Professional Services                             ")</f>
        <v xml:space="preserve">     Professional Services                             </v>
      </c>
      <c r="C49" s="12"/>
      <c r="D49" s="1">
        <f>SUM(OSRRefD22_10x_0)</f>
        <v>0</v>
      </c>
      <c r="E49" s="1"/>
      <c r="F49" s="5">
        <f t="shared" si="16"/>
        <v>0</v>
      </c>
      <c r="G49" s="1"/>
      <c r="H49" s="1">
        <f>SUM(OSRRefH22_10x_0)</f>
        <v>-15</v>
      </c>
      <c r="I49" s="1"/>
      <c r="J49" s="5">
        <f t="shared" si="17"/>
        <v>0</v>
      </c>
      <c r="K49" s="1"/>
      <c r="L49" s="1">
        <f t="shared" si="18"/>
        <v>15</v>
      </c>
      <c r="M49" s="1"/>
      <c r="N49" s="5">
        <f t="shared" si="19"/>
        <v>-1</v>
      </c>
      <c r="O49" s="12"/>
      <c r="P49" s="1">
        <f>SUM(OSRRefP22_10x_0)</f>
        <v>51735</v>
      </c>
      <c r="Q49" s="1"/>
      <c r="R49" s="5">
        <f t="shared" si="20"/>
        <v>0</v>
      </c>
      <c r="S49" s="1"/>
      <c r="T49" s="1">
        <f>SUM(OSRRefT22_10x_0)</f>
        <v>51185</v>
      </c>
      <c r="U49" s="1"/>
      <c r="V49" s="5">
        <f t="shared" si="21"/>
        <v>0</v>
      </c>
      <c r="W49" s="1"/>
      <c r="X49" s="1">
        <f t="shared" si="22"/>
        <v>550</v>
      </c>
      <c r="Y49" s="1"/>
      <c r="Z49" s="5">
        <f t="shared" si="23"/>
        <v>1.0745335547523688E-2</v>
      </c>
    </row>
    <row r="50" spans="1:26" s="24" customFormat="1" hidden="1" outlineLevel="2" x14ac:dyDescent="0.35">
      <c r="A50" s="27"/>
      <c r="B50" s="11" t="str">
        <f>CONCATENATE("          ", "6331", " - ", "INDIRECT COSTS-AUXILIARY ORGAN")</f>
        <v xml:space="preserve">          6331 - INDIRECT COSTS-AUXILIARY ORGAN</v>
      </c>
      <c r="C50" s="11"/>
      <c r="D50" s="7"/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0</v>
      </c>
      <c r="M50" s="2"/>
      <c r="N50" s="6">
        <f t="shared" si="19"/>
        <v>0</v>
      </c>
      <c r="O50" s="11"/>
      <c r="P50" s="7">
        <v>45550</v>
      </c>
      <c r="Q50" s="2"/>
      <c r="R50" s="6">
        <f t="shared" si="20"/>
        <v>0</v>
      </c>
      <c r="S50" s="2"/>
      <c r="T50" s="7">
        <v>44400</v>
      </c>
      <c r="U50" s="2"/>
      <c r="V50" s="6">
        <f t="shared" si="21"/>
        <v>0</v>
      </c>
      <c r="W50" s="2"/>
      <c r="X50" s="7">
        <f t="shared" si="22"/>
        <v>1150</v>
      </c>
      <c r="Y50" s="2"/>
      <c r="Z50" s="6">
        <f t="shared" si="23"/>
        <v>2.59009009009009E-2</v>
      </c>
    </row>
    <row r="51" spans="1:26" s="24" customFormat="1" hidden="1" outlineLevel="2" x14ac:dyDescent="0.35">
      <c r="A51" s="27"/>
      <c r="B51" s="11" t="str">
        <f>CONCATENATE("          ", "6334", " - ", "LEGAL COUNCIL EXPENSE")</f>
        <v xml:space="preserve">          6334 - LEGAL COUNCIL EXPENSE</v>
      </c>
      <c r="C51" s="11"/>
      <c r="D51" s="7"/>
      <c r="E51" s="2"/>
      <c r="F51" s="6">
        <f t="shared" si="16"/>
        <v>0</v>
      </c>
      <c r="G51" s="2"/>
      <c r="H51" s="7">
        <v>-15</v>
      </c>
      <c r="I51" s="2"/>
      <c r="J51" s="6">
        <f t="shared" si="17"/>
        <v>0</v>
      </c>
      <c r="K51" s="2"/>
      <c r="L51" s="7">
        <f t="shared" si="18"/>
        <v>15</v>
      </c>
      <c r="M51" s="2"/>
      <c r="N51" s="6">
        <f t="shared" si="19"/>
        <v>-1</v>
      </c>
      <c r="O51" s="11"/>
      <c r="P51" s="7">
        <v>1165</v>
      </c>
      <c r="Q51" s="2"/>
      <c r="R51" s="6">
        <f t="shared" si="20"/>
        <v>0</v>
      </c>
      <c r="S51" s="2"/>
      <c r="T51" s="7">
        <v>1785</v>
      </c>
      <c r="U51" s="2"/>
      <c r="V51" s="6">
        <f t="shared" si="21"/>
        <v>0</v>
      </c>
      <c r="W51" s="2"/>
      <c r="X51" s="7">
        <f t="shared" si="22"/>
        <v>-620</v>
      </c>
      <c r="Y51" s="2"/>
      <c r="Z51" s="6">
        <f t="shared" si="23"/>
        <v>-0.34733893557422968</v>
      </c>
    </row>
    <row r="52" spans="1:26" s="24" customFormat="1" hidden="1" outlineLevel="2" x14ac:dyDescent="0.35">
      <c r="A52" s="27"/>
      <c r="B52" s="11" t="str">
        <f>CONCATENATE("          ", "6336", " - ", "PROFESSIONAL SERVICES")</f>
        <v xml:space="preserve">          6336 - PROFESSIONAL SERVICES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>
        <v>5020</v>
      </c>
      <c r="Q52" s="2"/>
      <c r="R52" s="6">
        <f t="shared" si="20"/>
        <v>0</v>
      </c>
      <c r="S52" s="2"/>
      <c r="T52" s="7">
        <v>5000</v>
      </c>
      <c r="U52" s="2"/>
      <c r="V52" s="6">
        <f t="shared" si="21"/>
        <v>0</v>
      </c>
      <c r="W52" s="2"/>
      <c r="X52" s="7">
        <f t="shared" si="22"/>
        <v>20</v>
      </c>
      <c r="Y52" s="2"/>
      <c r="Z52" s="6">
        <f t="shared" si="23"/>
        <v>4.0000000000000001E-3</v>
      </c>
    </row>
    <row r="53" spans="1:26" s="25" customFormat="1" outlineLevel="1" collapsed="1" x14ac:dyDescent="0.35">
      <c r="A53" s="26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SUM(OSRRefD22_11x_0)</f>
        <v>17.89</v>
      </c>
      <c r="E53" s="1"/>
      <c r="F53" s="5">
        <f t="shared" ref="F53:F56" si="24">IF(D$12=0,0,D53/D$12)</f>
        <v>0</v>
      </c>
      <c r="G53" s="1"/>
      <c r="H53" s="1">
        <f>SUM(OSRRefH22_11x_0)</f>
        <v>2920.67</v>
      </c>
      <c r="I53" s="1"/>
      <c r="J53" s="5">
        <f t="shared" ref="J53:J56" si="25">IF(H$12=0,0,H53/H$12)</f>
        <v>0</v>
      </c>
      <c r="K53" s="1"/>
      <c r="L53" s="1">
        <f t="shared" ref="L53:L56" si="26">+D53-H53</f>
        <v>-2902.78</v>
      </c>
      <c r="M53" s="1"/>
      <c r="N53" s="5">
        <f t="shared" ref="N53:N56" si="27">IF(H53=0,0,L53/H53)</f>
        <v>-0.99387469313547927</v>
      </c>
      <c r="O53" s="12"/>
      <c r="P53" s="1">
        <f>SUM(OSRRefP22_11x_0)</f>
        <v>33455.469999999994</v>
      </c>
      <c r="Q53" s="1"/>
      <c r="R53" s="5">
        <f t="shared" ref="R53:R56" si="28">IF(P$12=0,0,P53/P$12)</f>
        <v>0</v>
      </c>
      <c r="S53" s="1"/>
      <c r="T53" s="1">
        <f>SUM(OSRRefT22_11x_0)</f>
        <v>46829.279999999999</v>
      </c>
      <c r="U53" s="1"/>
      <c r="V53" s="5">
        <f t="shared" ref="V53:V56" si="29">IF(T$12=0,0,T53/T$12)</f>
        <v>0</v>
      </c>
      <c r="W53" s="1"/>
      <c r="X53" s="1">
        <f t="shared" ref="X53:X56" si="30">+P53-T53</f>
        <v>-13373.810000000005</v>
      </c>
      <c r="Y53" s="1"/>
      <c r="Z53" s="5">
        <f t="shared" ref="Z53:Z56" si="31">IF(T53=0,0,X53/T53)</f>
        <v>-0.28558649631170935</v>
      </c>
    </row>
    <row r="54" spans="1:26" s="24" customFormat="1" hidden="1" outlineLevel="2" x14ac:dyDescent="0.3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>
        <v>31.58</v>
      </c>
      <c r="Q54" s="2"/>
      <c r="R54" s="6">
        <f t="shared" si="28"/>
        <v>0</v>
      </c>
      <c r="S54" s="2"/>
      <c r="T54" s="7"/>
      <c r="U54" s="2"/>
      <c r="V54" s="6">
        <f t="shared" si="29"/>
        <v>0</v>
      </c>
      <c r="W54" s="2"/>
      <c r="X54" s="7">
        <f t="shared" si="30"/>
        <v>31.58</v>
      </c>
      <c r="Y54" s="2"/>
      <c r="Z54" s="6">
        <f t="shared" si="31"/>
        <v>0</v>
      </c>
    </row>
    <row r="55" spans="1:26" s="24" customFormat="1" hidden="1" outlineLevel="2" x14ac:dyDescent="0.35">
      <c r="A55" s="27"/>
      <c r="B55" s="11" t="str">
        <f>CONCATENATE("          ", "6373", " - ", "MAINTENANCE CONTRACTS")</f>
        <v xml:space="preserve">          6373 - MAINTENANCE CONTRACTS</v>
      </c>
      <c r="C55" s="11"/>
      <c r="D55" s="7">
        <v>17.89</v>
      </c>
      <c r="E55" s="2"/>
      <c r="F55" s="6">
        <f t="shared" si="24"/>
        <v>0</v>
      </c>
      <c r="G55" s="2"/>
      <c r="H55" s="7">
        <v>2920.67</v>
      </c>
      <c r="I55" s="2"/>
      <c r="J55" s="6">
        <f t="shared" si="25"/>
        <v>0</v>
      </c>
      <c r="K55" s="2"/>
      <c r="L55" s="7">
        <f t="shared" si="26"/>
        <v>-2902.78</v>
      </c>
      <c r="M55" s="2"/>
      <c r="N55" s="6">
        <f t="shared" si="27"/>
        <v>-0.99387469313547927</v>
      </c>
      <c r="O55" s="11"/>
      <c r="P55" s="7">
        <v>32898.899999999994</v>
      </c>
      <c r="Q55" s="2"/>
      <c r="R55" s="6">
        <f t="shared" si="28"/>
        <v>0</v>
      </c>
      <c r="S55" s="2"/>
      <c r="T55" s="7">
        <v>40480.85</v>
      </c>
      <c r="U55" s="2"/>
      <c r="V55" s="6">
        <f t="shared" si="29"/>
        <v>0</v>
      </c>
      <c r="W55" s="2"/>
      <c r="X55" s="7">
        <f t="shared" si="30"/>
        <v>-7581.9500000000044</v>
      </c>
      <c r="Y55" s="2"/>
      <c r="Z55" s="6">
        <f t="shared" si="31"/>
        <v>-0.18729720349251572</v>
      </c>
    </row>
    <row r="56" spans="1:26" s="24" customFormat="1" hidden="1" outlineLevel="2" x14ac:dyDescent="0.3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>
        <v>524.99</v>
      </c>
      <c r="Q56" s="2"/>
      <c r="R56" s="6">
        <f t="shared" si="28"/>
        <v>0</v>
      </c>
      <c r="S56" s="2"/>
      <c r="T56" s="7">
        <v>6348.43</v>
      </c>
      <c r="U56" s="2"/>
      <c r="V56" s="6">
        <f t="shared" si="29"/>
        <v>0</v>
      </c>
      <c r="W56" s="2"/>
      <c r="X56" s="7">
        <f t="shared" si="30"/>
        <v>-5823.4400000000005</v>
      </c>
      <c r="Y56" s="2"/>
      <c r="Z56" s="6">
        <f t="shared" si="31"/>
        <v>-0.91730396334211772</v>
      </c>
    </row>
    <row r="57" spans="1:26" s="25" customFormat="1" outlineLevel="1" collapsed="1" x14ac:dyDescent="0.35">
      <c r="A57" s="26"/>
      <c r="B57" s="12" t="str">
        <f>CONCATENATE("     ","Subscriptions &amp; Dues                              ")</f>
        <v xml:space="preserve">     Subscriptions &amp; Dues                              </v>
      </c>
      <c r="C57" s="12"/>
      <c r="D57" s="1">
        <f>SUM(OSRRefD22_12x_0)</f>
        <v>-775</v>
      </c>
      <c r="E57" s="1"/>
      <c r="F57" s="5">
        <f t="shared" ref="F57:F63" si="32">IF(D$12=0,0,D57/D$12)</f>
        <v>0</v>
      </c>
      <c r="G57" s="1"/>
      <c r="H57" s="1">
        <f>SUM(OSRRefH22_12x_0)</f>
        <v>0</v>
      </c>
      <c r="I57" s="1"/>
      <c r="J57" s="5">
        <f t="shared" ref="J57:J63" si="33">IF(H$12=0,0,H57/H$12)</f>
        <v>0</v>
      </c>
      <c r="K57" s="1"/>
      <c r="L57" s="1">
        <f t="shared" ref="L57:L63" si="34">+D57-H57</f>
        <v>-775</v>
      </c>
      <c r="M57" s="1"/>
      <c r="N57" s="5">
        <f t="shared" ref="N57:N63" si="35">IF(H57=0,0,L57/H57)</f>
        <v>0</v>
      </c>
      <c r="O57" s="12"/>
      <c r="P57" s="1">
        <f>SUM(OSRRefP22_12x_0)</f>
        <v>7238</v>
      </c>
      <c r="Q57" s="1"/>
      <c r="R57" s="5">
        <f t="shared" ref="R57:R63" si="36">IF(P$12=0,0,P57/P$12)</f>
        <v>0</v>
      </c>
      <c r="S57" s="1"/>
      <c r="T57" s="1">
        <f>SUM(OSRRefT22_12x_0)</f>
        <v>9482</v>
      </c>
      <c r="U57" s="1"/>
      <c r="V57" s="5">
        <f t="shared" ref="V57:V63" si="37">IF(T$12=0,0,T57/T$12)</f>
        <v>0</v>
      </c>
      <c r="W57" s="1"/>
      <c r="X57" s="1">
        <f t="shared" ref="X57:X63" si="38">+P57-T57</f>
        <v>-2244</v>
      </c>
      <c r="Y57" s="1"/>
      <c r="Z57" s="5">
        <f t="shared" ref="Z57:Z63" si="39">IF(T57=0,0,X57/T57)</f>
        <v>-0.23665893271461716</v>
      </c>
    </row>
    <row r="58" spans="1:26" s="24" customFormat="1" hidden="1" outlineLevel="2" x14ac:dyDescent="0.35">
      <c r="A58" s="27"/>
      <c r="B58" s="11" t="str">
        <f>CONCATENATE("          ", "6258", " - ", "MEMBERSHIP DUES")</f>
        <v xml:space="preserve">          6258 - MEMBERSHIP DUES</v>
      </c>
      <c r="C58" s="11"/>
      <c r="D58" s="7">
        <v>-775</v>
      </c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-775</v>
      </c>
      <c r="M58" s="2"/>
      <c r="N58" s="6">
        <f t="shared" si="35"/>
        <v>0</v>
      </c>
      <c r="O58" s="11"/>
      <c r="P58" s="7">
        <v>7238</v>
      </c>
      <c r="Q58" s="2"/>
      <c r="R58" s="6">
        <f t="shared" si="36"/>
        <v>0</v>
      </c>
      <c r="S58" s="2"/>
      <c r="T58" s="7">
        <v>9482</v>
      </c>
      <c r="U58" s="2"/>
      <c r="V58" s="6">
        <f t="shared" si="37"/>
        <v>0</v>
      </c>
      <c r="W58" s="2"/>
      <c r="X58" s="7">
        <f t="shared" si="38"/>
        <v>-2244</v>
      </c>
      <c r="Y58" s="2"/>
      <c r="Z58" s="6">
        <f t="shared" si="39"/>
        <v>-0.23665893271461716</v>
      </c>
    </row>
    <row r="59" spans="1:26" s="25" customFormat="1" outlineLevel="1" collapsed="1" x14ac:dyDescent="0.35">
      <c r="A59" s="26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SUM(OSRRefD22_13x_0)</f>
        <v>8.25</v>
      </c>
      <c r="E59" s="1"/>
      <c r="F59" s="5">
        <f t="shared" si="32"/>
        <v>0</v>
      </c>
      <c r="G59" s="1"/>
      <c r="H59" s="1">
        <f>SUM(OSRRefH22_13x_0)</f>
        <v>223.66</v>
      </c>
      <c r="I59" s="1"/>
      <c r="J59" s="5">
        <f t="shared" si="33"/>
        <v>0</v>
      </c>
      <c r="K59" s="1"/>
      <c r="L59" s="1">
        <f t="shared" si="34"/>
        <v>-215.41</v>
      </c>
      <c r="M59" s="1"/>
      <c r="N59" s="5">
        <f t="shared" si="35"/>
        <v>-0.96311365465438614</v>
      </c>
      <c r="O59" s="12"/>
      <c r="P59" s="1">
        <f>SUM(OSRRefP22_13x_0)</f>
        <v>9650.0800000000017</v>
      </c>
      <c r="Q59" s="1"/>
      <c r="R59" s="5">
        <f t="shared" si="36"/>
        <v>0</v>
      </c>
      <c r="S59" s="1"/>
      <c r="T59" s="1">
        <f>SUM(OSRRefT22_13x_0)</f>
        <v>5598.58</v>
      </c>
      <c r="U59" s="1"/>
      <c r="V59" s="5">
        <f t="shared" si="37"/>
        <v>0</v>
      </c>
      <c r="W59" s="1"/>
      <c r="X59" s="1">
        <f t="shared" si="38"/>
        <v>4051.5000000000018</v>
      </c>
      <c r="Y59" s="1"/>
      <c r="Z59" s="5">
        <f t="shared" si="39"/>
        <v>0.7236656437882466</v>
      </c>
    </row>
    <row r="60" spans="1:26" s="24" customFormat="1" hidden="1" outlineLevel="2" x14ac:dyDescent="0.3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>
        <v>217.02</v>
      </c>
      <c r="Q60" s="2"/>
      <c r="R60" s="6">
        <f t="shared" si="36"/>
        <v>0</v>
      </c>
      <c r="S60" s="2"/>
      <c r="T60" s="7">
        <v>723.41</v>
      </c>
      <c r="U60" s="2"/>
      <c r="V60" s="6">
        <f t="shared" si="37"/>
        <v>0</v>
      </c>
      <c r="W60" s="2"/>
      <c r="X60" s="7">
        <f t="shared" si="38"/>
        <v>-506.39</v>
      </c>
      <c r="Y60" s="2"/>
      <c r="Z60" s="6">
        <f t="shared" si="39"/>
        <v>-0.70000414702589131</v>
      </c>
    </row>
    <row r="61" spans="1:26" s="24" customFormat="1" hidden="1" outlineLevel="2" x14ac:dyDescent="0.35">
      <c r="A61" s="27"/>
      <c r="B61" s="11" t="str">
        <f>CONCATENATE("          ", "6235", " - ", "COVID-19 EXPENSES")</f>
        <v xml:space="preserve">          6235 - COVID-19 EXPENSES</v>
      </c>
      <c r="C61" s="11"/>
      <c r="D61" s="7"/>
      <c r="E61" s="2"/>
      <c r="F61" s="6">
        <f t="shared" si="32"/>
        <v>0</v>
      </c>
      <c r="G61" s="2"/>
      <c r="H61" s="7"/>
      <c r="I61" s="2"/>
      <c r="J61" s="6">
        <f t="shared" si="33"/>
        <v>0</v>
      </c>
      <c r="K61" s="2"/>
      <c r="L61" s="7">
        <f t="shared" si="34"/>
        <v>0</v>
      </c>
      <c r="M61" s="2"/>
      <c r="N61" s="6">
        <f t="shared" si="35"/>
        <v>0</v>
      </c>
      <c r="O61" s="11"/>
      <c r="P61" s="7">
        <v>5440</v>
      </c>
      <c r="Q61" s="2"/>
      <c r="R61" s="6">
        <f t="shared" si="36"/>
        <v>0</v>
      </c>
      <c r="S61" s="2"/>
      <c r="T61" s="7"/>
      <c r="U61" s="2"/>
      <c r="V61" s="6">
        <f t="shared" si="37"/>
        <v>0</v>
      </c>
      <c r="W61" s="2"/>
      <c r="X61" s="7">
        <f t="shared" si="38"/>
        <v>5440</v>
      </c>
      <c r="Y61" s="2"/>
      <c r="Z61" s="6">
        <f t="shared" si="39"/>
        <v>0</v>
      </c>
    </row>
    <row r="62" spans="1:26" s="24" customFormat="1" hidden="1" outlineLevel="2" x14ac:dyDescent="0.35">
      <c r="A62" s="27"/>
      <c r="B62" s="11" t="str">
        <f>CONCATENATE("          ", "6241", " - ", "OFFICE EXPENSE")</f>
        <v xml:space="preserve">          6241 - OFFICE EXPENSE</v>
      </c>
      <c r="C62" s="11"/>
      <c r="D62" s="7">
        <v>8.25</v>
      </c>
      <c r="E62" s="2"/>
      <c r="F62" s="6">
        <f t="shared" si="32"/>
        <v>0</v>
      </c>
      <c r="G62" s="2"/>
      <c r="H62" s="7">
        <v>218.82</v>
      </c>
      <c r="I62" s="2"/>
      <c r="J62" s="6">
        <f t="shared" si="33"/>
        <v>0</v>
      </c>
      <c r="K62" s="2"/>
      <c r="L62" s="7">
        <f t="shared" si="34"/>
        <v>-210.57</v>
      </c>
      <c r="M62" s="2"/>
      <c r="N62" s="6">
        <f t="shared" si="35"/>
        <v>-0.96229777899643543</v>
      </c>
      <c r="O62" s="11"/>
      <c r="P62" s="7">
        <v>3961.2</v>
      </c>
      <c r="Q62" s="2"/>
      <c r="R62" s="6">
        <f t="shared" si="36"/>
        <v>0</v>
      </c>
      <c r="S62" s="2"/>
      <c r="T62" s="7">
        <v>4620.1000000000004</v>
      </c>
      <c r="U62" s="2"/>
      <c r="V62" s="6">
        <f t="shared" si="37"/>
        <v>0</v>
      </c>
      <c r="W62" s="2"/>
      <c r="X62" s="7">
        <f t="shared" si="38"/>
        <v>-658.90000000000055</v>
      </c>
      <c r="Y62" s="2"/>
      <c r="Z62" s="6">
        <f t="shared" si="39"/>
        <v>-0.14261596069349158</v>
      </c>
    </row>
    <row r="63" spans="1:26" s="24" customFormat="1" hidden="1" outlineLevel="2" x14ac:dyDescent="0.35">
      <c r="A63" s="27"/>
      <c r="B63" s="11" t="str">
        <f>CONCATENATE("          ", "6245", " - ", "PRINTING")</f>
        <v xml:space="preserve">          6245 - PRINTING</v>
      </c>
      <c r="C63" s="11"/>
      <c r="D63" s="7"/>
      <c r="E63" s="2"/>
      <c r="F63" s="6">
        <f t="shared" si="32"/>
        <v>0</v>
      </c>
      <c r="G63" s="2"/>
      <c r="H63" s="7">
        <v>4.84</v>
      </c>
      <c r="I63" s="2"/>
      <c r="J63" s="6">
        <f t="shared" si="33"/>
        <v>0</v>
      </c>
      <c r="K63" s="2"/>
      <c r="L63" s="7">
        <f t="shared" si="34"/>
        <v>-4.84</v>
      </c>
      <c r="M63" s="2"/>
      <c r="N63" s="6">
        <f t="shared" si="35"/>
        <v>-1</v>
      </c>
      <c r="O63" s="11"/>
      <c r="P63" s="7">
        <v>31.86</v>
      </c>
      <c r="Q63" s="2"/>
      <c r="R63" s="6">
        <f t="shared" si="36"/>
        <v>0</v>
      </c>
      <c r="S63" s="2"/>
      <c r="T63" s="7">
        <v>255.07</v>
      </c>
      <c r="U63" s="2"/>
      <c r="V63" s="6">
        <f t="shared" si="37"/>
        <v>0</v>
      </c>
      <c r="W63" s="2"/>
      <c r="X63" s="7">
        <f t="shared" si="38"/>
        <v>-223.20999999999998</v>
      </c>
      <c r="Y63" s="2"/>
      <c r="Z63" s="6">
        <f t="shared" si="39"/>
        <v>-0.87509311169482884</v>
      </c>
    </row>
    <row r="64" spans="1:26" s="25" customFormat="1" outlineLevel="1" collapsed="1" x14ac:dyDescent="0.35">
      <c r="A64" s="26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SUM(OSRRefD22_14x_0)</f>
        <v>148.44</v>
      </c>
      <c r="E64" s="1"/>
      <c r="F64" s="5">
        <f t="shared" ref="F64:F70" si="40">IF(D$12=0,0,D64/D$12)</f>
        <v>0</v>
      </c>
      <c r="G64" s="1"/>
      <c r="H64" s="1">
        <f>SUM(OSRRefH22_14x_0)</f>
        <v>349.17</v>
      </c>
      <c r="I64" s="1"/>
      <c r="J64" s="5">
        <f t="shared" ref="J64:J70" si="41">IF(H$12=0,0,H64/H$12)</f>
        <v>0</v>
      </c>
      <c r="K64" s="1"/>
      <c r="L64" s="1">
        <f t="shared" ref="L64:L70" si="42">+D64-H64</f>
        <v>-200.73000000000002</v>
      </c>
      <c r="M64" s="1"/>
      <c r="N64" s="5">
        <f t="shared" ref="N64:N70" si="43">IF(H64=0,0,L64/H64)</f>
        <v>-0.57487756680127167</v>
      </c>
      <c r="O64" s="12"/>
      <c r="P64" s="1">
        <f>SUM(OSRRefP22_14x_0)</f>
        <v>4232.47</v>
      </c>
      <c r="Q64" s="1"/>
      <c r="R64" s="5">
        <f t="shared" ref="R64:R70" si="44">IF(P$12=0,0,P64/P$12)</f>
        <v>0</v>
      </c>
      <c r="S64" s="1"/>
      <c r="T64" s="1">
        <f>SUM(OSRRefT22_14x_0)</f>
        <v>4068.39</v>
      </c>
      <c r="U64" s="1"/>
      <c r="V64" s="5">
        <f t="shared" ref="V64:V70" si="45">IF(T$12=0,0,T64/T$12)</f>
        <v>0</v>
      </c>
      <c r="W64" s="1"/>
      <c r="X64" s="1">
        <f t="shared" ref="X64:X70" si="46">+P64-T64</f>
        <v>164.08000000000038</v>
      </c>
      <c r="Y64" s="1"/>
      <c r="Z64" s="5">
        <f t="shared" ref="Z64:Z70" si="47">IF(T64=0,0,X64/T64)</f>
        <v>4.0330450128920871E-2</v>
      </c>
    </row>
    <row r="65" spans="1:26" s="24" customFormat="1" hidden="1" outlineLevel="2" x14ac:dyDescent="0.35">
      <c r="A65" s="27"/>
      <c r="B65" s="11" t="str">
        <f>CONCATENATE("          ", "6309", " - ", "TELEPHONE")</f>
        <v xml:space="preserve">          6309 - TELEPHONE</v>
      </c>
      <c r="C65" s="11"/>
      <c r="D65" s="7">
        <v>148.44</v>
      </c>
      <c r="E65" s="2"/>
      <c r="F65" s="6">
        <f t="shared" si="40"/>
        <v>0</v>
      </c>
      <c r="G65" s="2"/>
      <c r="H65" s="7">
        <v>349.17</v>
      </c>
      <c r="I65" s="2"/>
      <c r="J65" s="6">
        <f t="shared" si="41"/>
        <v>0</v>
      </c>
      <c r="K65" s="2"/>
      <c r="L65" s="7">
        <f t="shared" si="42"/>
        <v>-200.73000000000002</v>
      </c>
      <c r="M65" s="2"/>
      <c r="N65" s="6">
        <f t="shared" si="43"/>
        <v>-0.57487756680127167</v>
      </c>
      <c r="O65" s="11"/>
      <c r="P65" s="7">
        <v>4232.47</v>
      </c>
      <c r="Q65" s="2"/>
      <c r="R65" s="6">
        <f t="shared" si="44"/>
        <v>0</v>
      </c>
      <c r="S65" s="2"/>
      <c r="T65" s="7">
        <v>4068.39</v>
      </c>
      <c r="U65" s="2"/>
      <c r="V65" s="6">
        <f t="shared" si="45"/>
        <v>0</v>
      </c>
      <c r="W65" s="2"/>
      <c r="X65" s="7">
        <f t="shared" si="46"/>
        <v>164.08000000000038</v>
      </c>
      <c r="Y65" s="2"/>
      <c r="Z65" s="6">
        <f t="shared" si="47"/>
        <v>4.0330450128920871E-2</v>
      </c>
    </row>
    <row r="66" spans="1:26" s="25" customFormat="1" outlineLevel="1" collapsed="1" x14ac:dyDescent="0.35">
      <c r="A66" s="26"/>
      <c r="B66" s="12" t="str">
        <f>CONCATENATE("     ","Training                                          ")</f>
        <v xml:space="preserve">     Training                                          </v>
      </c>
      <c r="C66" s="12"/>
      <c r="D66" s="1">
        <f>SUM(OSRRefD22_15x_0)</f>
        <v>0</v>
      </c>
      <c r="E66" s="1"/>
      <c r="F66" s="5">
        <f t="shared" si="40"/>
        <v>0</v>
      </c>
      <c r="G66" s="1"/>
      <c r="H66" s="1">
        <f>SUM(OSRRefH22_15x_0)</f>
        <v>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2"/>
      <c r="P66" s="1">
        <f>SUM(OSRRefP22_15x_0)</f>
        <v>6622.71</v>
      </c>
      <c r="Q66" s="1"/>
      <c r="R66" s="5">
        <f t="shared" si="44"/>
        <v>0</v>
      </c>
      <c r="S66" s="1"/>
      <c r="T66" s="1">
        <f>SUM(OSRRefT22_15x_0)</f>
        <v>3917.86</v>
      </c>
      <c r="U66" s="1"/>
      <c r="V66" s="5">
        <f t="shared" si="45"/>
        <v>0</v>
      </c>
      <c r="W66" s="1"/>
      <c r="X66" s="1">
        <f t="shared" si="46"/>
        <v>2704.85</v>
      </c>
      <c r="Y66" s="1"/>
      <c r="Z66" s="5">
        <f t="shared" si="47"/>
        <v>0.69038965149341724</v>
      </c>
    </row>
    <row r="67" spans="1:26" s="24" customFormat="1" hidden="1" outlineLevel="2" x14ac:dyDescent="0.35">
      <c r="A67" s="27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40"/>
        <v>0</v>
      </c>
      <c r="G67" s="2"/>
      <c r="H67" s="7"/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>
        <v>6622.71</v>
      </c>
      <c r="Q67" s="2"/>
      <c r="R67" s="6">
        <f t="shared" si="44"/>
        <v>0</v>
      </c>
      <c r="S67" s="2"/>
      <c r="T67" s="7">
        <v>3917.86</v>
      </c>
      <c r="U67" s="2"/>
      <c r="V67" s="6">
        <f t="shared" si="45"/>
        <v>0</v>
      </c>
      <c r="W67" s="2"/>
      <c r="X67" s="7">
        <f t="shared" si="46"/>
        <v>2704.85</v>
      </c>
      <c r="Y67" s="2"/>
      <c r="Z67" s="6">
        <f t="shared" si="47"/>
        <v>0.69038965149341724</v>
      </c>
    </row>
    <row r="68" spans="1:26" s="25" customFormat="1" outlineLevel="1" collapsed="1" x14ac:dyDescent="0.35">
      <c r="A68" s="26"/>
      <c r="B68" s="12" t="str">
        <f>CONCATENATE("     ","Travel                                            ")</f>
        <v xml:space="preserve">     Travel                                            </v>
      </c>
      <c r="C68" s="12"/>
      <c r="D68" s="1">
        <f>SUM(OSRRefD22_16x_0)</f>
        <v>0</v>
      </c>
      <c r="E68" s="1"/>
      <c r="F68" s="5">
        <f t="shared" si="40"/>
        <v>0</v>
      </c>
      <c r="G68" s="1"/>
      <c r="H68" s="1">
        <f>SUM(OSRRefH22_16x_0)</f>
        <v>1781.51</v>
      </c>
      <c r="I68" s="1"/>
      <c r="J68" s="5">
        <f t="shared" si="41"/>
        <v>0</v>
      </c>
      <c r="K68" s="1"/>
      <c r="L68" s="1">
        <f t="shared" si="42"/>
        <v>-1781.51</v>
      </c>
      <c r="M68" s="1"/>
      <c r="N68" s="5">
        <f t="shared" si="43"/>
        <v>-1</v>
      </c>
      <c r="O68" s="12"/>
      <c r="P68" s="1">
        <f>SUM(OSRRefP22_16x_0)</f>
        <v>3811.99</v>
      </c>
      <c r="Q68" s="1"/>
      <c r="R68" s="5">
        <f t="shared" si="44"/>
        <v>0</v>
      </c>
      <c r="S68" s="1"/>
      <c r="T68" s="1">
        <f>SUM(OSRRefT22_16x_0)</f>
        <v>15093.19</v>
      </c>
      <c r="U68" s="1"/>
      <c r="V68" s="5">
        <f t="shared" si="45"/>
        <v>0</v>
      </c>
      <c r="W68" s="1"/>
      <c r="X68" s="1">
        <f t="shared" si="46"/>
        <v>-11281.2</v>
      </c>
      <c r="Y68" s="1"/>
      <c r="Z68" s="5">
        <f t="shared" si="47"/>
        <v>-0.74743642662684295</v>
      </c>
    </row>
    <row r="69" spans="1:26" s="24" customFormat="1" hidden="1" outlineLevel="2" x14ac:dyDescent="0.35">
      <c r="A69" s="27"/>
      <c r="B69" s="11" t="str">
        <f>CONCATENATE("          ", "6292", " - ", "TRAVEL/CONFERENCE")</f>
        <v xml:space="preserve">          6292 - TRAVEL/CONFERENCE</v>
      </c>
      <c r="C69" s="11"/>
      <c r="D69" s="7"/>
      <c r="E69" s="2"/>
      <c r="F69" s="6">
        <f t="shared" si="40"/>
        <v>0</v>
      </c>
      <c r="G69" s="2"/>
      <c r="H69" s="7">
        <v>1781.51</v>
      </c>
      <c r="I69" s="2"/>
      <c r="J69" s="6">
        <f t="shared" si="41"/>
        <v>0</v>
      </c>
      <c r="K69" s="2"/>
      <c r="L69" s="7">
        <f t="shared" si="42"/>
        <v>-1781.51</v>
      </c>
      <c r="M69" s="2"/>
      <c r="N69" s="6">
        <f t="shared" si="43"/>
        <v>-1</v>
      </c>
      <c r="O69" s="11"/>
      <c r="P69" s="7">
        <v>3811.99</v>
      </c>
      <c r="Q69" s="2"/>
      <c r="R69" s="6">
        <f t="shared" si="44"/>
        <v>0</v>
      </c>
      <c r="S69" s="2"/>
      <c r="T69" s="7">
        <v>13718.76</v>
      </c>
      <c r="U69" s="2"/>
      <c r="V69" s="6">
        <f t="shared" si="45"/>
        <v>0</v>
      </c>
      <c r="W69" s="2"/>
      <c r="X69" s="7">
        <f t="shared" si="46"/>
        <v>-9906.77</v>
      </c>
      <c r="Y69" s="2"/>
      <c r="Z69" s="6">
        <f t="shared" si="47"/>
        <v>-0.72213304992579508</v>
      </c>
    </row>
    <row r="70" spans="1:26" s="24" customFormat="1" hidden="1" outlineLevel="2" x14ac:dyDescent="0.35">
      <c r="A70" s="27"/>
      <c r="B70" s="11" t="str">
        <f>CONCATENATE("          ", "6294", " - ", "TRAVEL OPERATIONAL")</f>
        <v xml:space="preserve">          6294 - TRAVEL OPERATIONAL</v>
      </c>
      <c r="C70" s="11"/>
      <c r="D70" s="7"/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/>
      <c r="Q70" s="2"/>
      <c r="R70" s="6">
        <f t="shared" si="44"/>
        <v>0</v>
      </c>
      <c r="S70" s="2"/>
      <c r="T70" s="7">
        <v>1374.43</v>
      </c>
      <c r="U70" s="2"/>
      <c r="V70" s="6">
        <f t="shared" si="45"/>
        <v>0</v>
      </c>
      <c r="W70" s="2"/>
      <c r="X70" s="7">
        <f t="shared" si="46"/>
        <v>-1374.43</v>
      </c>
      <c r="Y70" s="2"/>
      <c r="Z70" s="6">
        <f t="shared" si="47"/>
        <v>-1</v>
      </c>
    </row>
    <row r="71" spans="1:26" s="56" customFormat="1" x14ac:dyDescent="0.3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35">
      <c r="A72" s="10"/>
      <c r="B72" s="29" t="s">
        <v>0</v>
      </c>
      <c r="C72" s="10"/>
      <c r="D72" s="4">
        <f>SUM(0)</f>
        <v>0</v>
      </c>
      <c r="E72" s="4"/>
      <c r="F72" s="13">
        <f>IF(D$12=0,0,D72/D$12)</f>
        <v>0</v>
      </c>
      <c r="G72" s="4"/>
      <c r="H72" s="4">
        <f>SUM(0)</f>
        <v>0</v>
      </c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0"/>
      <c r="P72" s="4">
        <f>SUM(0)</f>
        <v>0</v>
      </c>
      <c r="Q72" s="4"/>
      <c r="R72" s="13">
        <f>IF(P$12=0,0,P72/P$12)</f>
        <v>0</v>
      </c>
      <c r="S72" s="4"/>
      <c r="T72" s="4">
        <f>SUM(0)</f>
        <v>0</v>
      </c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3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35">
      <c r="A74" s="10"/>
      <c r="B74" s="28" t="s">
        <v>3</v>
      </c>
      <c r="C74" s="28"/>
      <c r="D74" s="22">
        <f>+D16-D18+D72</f>
        <v>-224540.49000000002</v>
      </c>
      <c r="E74" s="14"/>
      <c r="F74" s="21">
        <f>IF(D$12=0,0,D74/D$12)</f>
        <v>0</v>
      </c>
      <c r="G74" s="14"/>
      <c r="H74" s="22">
        <f>+H16-H18+H72</f>
        <v>-428580.7</v>
      </c>
      <c r="I74" s="14"/>
      <c r="J74" s="21">
        <f>IF(H$12=0,0,H74/H$12)</f>
        <v>0</v>
      </c>
      <c r="K74" s="15"/>
      <c r="L74" s="22">
        <f>+D74-H74</f>
        <v>204040.21</v>
      </c>
      <c r="M74" s="15"/>
      <c r="N74" s="21">
        <f>IF(H74=0,0,L74/H74)</f>
        <v>-0.47608352405976279</v>
      </c>
      <c r="O74" s="29"/>
      <c r="P74" s="22">
        <f>+P16-P18+P72</f>
        <v>-854503.02</v>
      </c>
      <c r="Q74" s="14"/>
      <c r="R74" s="21">
        <f>IF(P$12=0,0,P74/P$12)</f>
        <v>0</v>
      </c>
      <c r="S74" s="14"/>
      <c r="T74" s="22">
        <f>+T16-T18+T72</f>
        <v>-1258220.8799999999</v>
      </c>
      <c r="U74" s="14"/>
      <c r="V74" s="21">
        <f>IF(T$12=0,0,T74/T$12)</f>
        <v>0</v>
      </c>
      <c r="W74" s="15"/>
      <c r="X74" s="22">
        <f>+P74-T74</f>
        <v>403717.85999999987</v>
      </c>
      <c r="Y74" s="15"/>
      <c r="Z74" s="21">
        <f>IF(T74=0,0,X74/T74)</f>
        <v>-0.3208640600527945</v>
      </c>
    </row>
    <row r="75" spans="1:26" x14ac:dyDescent="0.3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5">
      <c r="A76" s="51"/>
      <c r="B76" s="10" t="s">
        <v>13</v>
      </c>
      <c r="C76" s="10"/>
      <c r="D76" s="4"/>
      <c r="E76" s="4"/>
      <c r="F76" s="13">
        <f>IF(D$12=0,0,D76/D$12)</f>
        <v>0</v>
      </c>
      <c r="G76" s="4"/>
      <c r="H76" s="4"/>
      <c r="I76" s="4"/>
      <c r="J76" s="13">
        <f>IF(H$12=0,0,H76/H$12)</f>
        <v>0</v>
      </c>
      <c r="K76" s="4"/>
      <c r="L76" s="4">
        <f>+D76-H76</f>
        <v>0</v>
      </c>
      <c r="M76" s="4"/>
      <c r="N76" s="13">
        <f>IF(H76=0,0,L76/H76)</f>
        <v>0</v>
      </c>
      <c r="O76" s="10"/>
      <c r="P76" s="4"/>
      <c r="Q76" s="4"/>
      <c r="R76" s="13">
        <f>IF(P$12=0,0,P76/P$12)</f>
        <v>0</v>
      </c>
      <c r="S76" s="4"/>
      <c r="T76" s="4"/>
      <c r="U76" s="4"/>
      <c r="V76" s="13">
        <f>IF(T$12=0,0,T76/T$12)</f>
        <v>0</v>
      </c>
      <c r="W76" s="4"/>
      <c r="X76" s="4">
        <f>+P76-T76</f>
        <v>0</v>
      </c>
      <c r="Y76" s="4"/>
      <c r="Z76" s="13">
        <f>IF(T76=0,0,X76/T76)</f>
        <v>0</v>
      </c>
    </row>
    <row r="77" spans="1:26" x14ac:dyDescent="0.3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4">
      <c r="A78" s="10"/>
      <c r="B78" s="28" t="s">
        <v>4</v>
      </c>
      <c r="C78" s="28"/>
      <c r="D78" s="34">
        <f>+D74-D76</f>
        <v>-224540.49000000002</v>
      </c>
      <c r="E78" s="14"/>
      <c r="F78" s="32">
        <f>IF(D$12=0,0,D78/D$12)</f>
        <v>0</v>
      </c>
      <c r="G78" s="14"/>
      <c r="H78" s="34">
        <f>+H74-H76</f>
        <v>-428580.7</v>
      </c>
      <c r="I78" s="14"/>
      <c r="J78" s="32">
        <f>IF(H$12=0,0,H78/H$12)</f>
        <v>0</v>
      </c>
      <c r="K78" s="15"/>
      <c r="L78" s="34">
        <f>D78-H78</f>
        <v>204040.21</v>
      </c>
      <c r="M78" s="15"/>
      <c r="N78" s="32">
        <f>IF(H78=0,0,L78/H78)</f>
        <v>-0.47608352405976279</v>
      </c>
      <c r="O78" s="29"/>
      <c r="P78" s="34">
        <f>+P74-P76</f>
        <v>-854503.02</v>
      </c>
      <c r="Q78" s="14"/>
      <c r="R78" s="32">
        <f>IF(P$12=0,0,P78/P$12)</f>
        <v>0</v>
      </c>
      <c r="S78" s="14"/>
      <c r="T78" s="34">
        <f>+T74-T76</f>
        <v>-1258220.8799999999</v>
      </c>
      <c r="U78" s="14"/>
      <c r="V78" s="32">
        <f>IF(T$12=0,0,T78/T$12)</f>
        <v>0</v>
      </c>
      <c r="W78" s="15"/>
      <c r="X78" s="34">
        <f>P78-T78</f>
        <v>403717.85999999987</v>
      </c>
      <c r="Y78" s="15"/>
      <c r="Z78" s="32">
        <f>IF(T78=0,0,X78/T78)</f>
        <v>-0.3208640600527945</v>
      </c>
    </row>
    <row r="79" spans="1:26" ht="15" thickTop="1" x14ac:dyDescent="0.3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3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" thickBot="1" x14ac:dyDescent="0.4">
      <c r="A81" s="10"/>
      <c r="B81" s="28" t="s">
        <v>5</v>
      </c>
      <c r="C81" s="28"/>
      <c r="D81" s="35">
        <f>SUM(D78:D80)</f>
        <v>-224540.49000000002</v>
      </c>
      <c r="E81" s="14"/>
      <c r="F81" s="33">
        <f>IF(D$12=0,0,D81/D$12)</f>
        <v>0</v>
      </c>
      <c r="G81" s="14"/>
      <c r="H81" s="35">
        <f>SUM(H78:H80)</f>
        <v>-428580.7</v>
      </c>
      <c r="I81" s="14"/>
      <c r="J81" s="33">
        <f>IF(H$12=0,0,H81/H$12)</f>
        <v>0</v>
      </c>
      <c r="K81" s="15"/>
      <c r="L81" s="35">
        <f>+D81-H81</f>
        <v>204040.21</v>
      </c>
      <c r="M81" s="15"/>
      <c r="N81" s="33">
        <f>IF(H81=0,0,L81/H81)</f>
        <v>-0.47608352405976279</v>
      </c>
      <c r="O81" s="29"/>
      <c r="P81" s="35">
        <f>SUM(P78:P80)</f>
        <v>-854503.02</v>
      </c>
      <c r="Q81" s="14"/>
      <c r="R81" s="33">
        <f>IF(P$12=0,0,P81/P$12)</f>
        <v>0</v>
      </c>
      <c r="S81" s="14"/>
      <c r="T81" s="35">
        <f>SUM(T78:T80)</f>
        <v>-1258220.8799999999</v>
      </c>
      <c r="U81" s="14"/>
      <c r="V81" s="33">
        <f>IF(T$12=0,0,T81/T$12)</f>
        <v>0</v>
      </c>
      <c r="W81" s="15"/>
      <c r="X81" s="35">
        <f>+P81-T81</f>
        <v>403717.85999999987</v>
      </c>
      <c r="Y81" s="15"/>
      <c r="Z81" s="33">
        <f>IF(T81=0,0,X81/T81)</f>
        <v>-0.3208640600527945</v>
      </c>
    </row>
    <row r="82" spans="1:26" ht="15" thickTop="1" x14ac:dyDescent="0.3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35">
      <c r="A83" s="9"/>
      <c r="B83" s="52">
        <v>44043.522592592592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5">
      <c r="A84" s="9"/>
      <c r="B84" s="61" t="s">
        <v>313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5">
      <c r="A85" s="9"/>
      <c r="B85" s="54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","202", " - ", "Accounting")</f>
        <v>Department 202 - Accounting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28987.139999999992</v>
      </c>
      <c r="E18" s="20"/>
      <c r="F18" s="36">
        <f t="shared" ref="F18:F27" si="0">IF(D$12=0,0,D18/D$12)</f>
        <v>0</v>
      </c>
      <c r="G18" s="20"/>
      <c r="H18" s="20">
        <f>SUM(OSRRefH22x_0)</f>
        <v>42716.87</v>
      </c>
      <c r="I18" s="20"/>
      <c r="J18" s="36">
        <f t="shared" ref="J18:J27" si="1">IF(H$12=0,0,H18/H$12)</f>
        <v>0</v>
      </c>
      <c r="K18" s="4"/>
      <c r="L18" s="20">
        <f t="shared" ref="L18:L27" si="2">+D18-H18</f>
        <v>-13729.73000000001</v>
      </c>
      <c r="M18" s="4"/>
      <c r="N18" s="36">
        <f t="shared" ref="N18:N27" si="3">IF(H18=0,0,L18/H18)</f>
        <v>-0.32141236003480617</v>
      </c>
      <c r="O18" s="10"/>
      <c r="P18" s="20">
        <f>SUM(OSRRefP22x_0)</f>
        <v>565424.47</v>
      </c>
      <c r="Q18" s="20"/>
      <c r="R18" s="36">
        <f t="shared" ref="R18:R27" si="4">IF(P$12=0,0,P18/P$12)</f>
        <v>0</v>
      </c>
      <c r="S18" s="20"/>
      <c r="T18" s="20">
        <f>SUM(OSRRefT22x_0)</f>
        <v>633175.13</v>
      </c>
      <c r="U18" s="20"/>
      <c r="V18" s="36">
        <f t="shared" ref="V18:V27" si="5">IF(T$12=0,0,T18/T$12)</f>
        <v>0</v>
      </c>
      <c r="W18" s="4"/>
      <c r="X18" s="20">
        <f t="shared" ref="X18:X27" si="6">+P18-T18</f>
        <v>-67750.660000000033</v>
      </c>
      <c r="Y18" s="4"/>
      <c r="Z18" s="36">
        <f t="shared" ref="Z18:Z27" si="7">IF(T18=0,0,X18/T18)</f>
        <v>-0.10700145471601204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10429.210000000001</v>
      </c>
      <c r="E19" s="1"/>
      <c r="F19" s="5">
        <f t="shared" si="0"/>
        <v>0</v>
      </c>
      <c r="G19" s="1"/>
      <c r="H19" s="1">
        <f>SUM(OSRRefH22_0x_0)</f>
        <v>12067.710000000001</v>
      </c>
      <c r="I19" s="1"/>
      <c r="J19" s="5">
        <f t="shared" si="1"/>
        <v>0</v>
      </c>
      <c r="K19" s="1"/>
      <c r="L19" s="1">
        <f t="shared" si="2"/>
        <v>-1638.5</v>
      </c>
      <c r="M19" s="1"/>
      <c r="N19" s="5">
        <f t="shared" si="3"/>
        <v>-0.13577555310825334</v>
      </c>
      <c r="O19" s="12"/>
      <c r="P19" s="1">
        <f>SUM(OSRRefP22_0x_0)</f>
        <v>144837.64000000001</v>
      </c>
      <c r="Q19" s="1"/>
      <c r="R19" s="5">
        <f t="shared" si="4"/>
        <v>0</v>
      </c>
      <c r="S19" s="1"/>
      <c r="T19" s="1">
        <f>SUM(OSRRefT22_0x_0)</f>
        <v>185117.03999999998</v>
      </c>
      <c r="U19" s="1"/>
      <c r="V19" s="5">
        <f t="shared" si="5"/>
        <v>0</v>
      </c>
      <c r="W19" s="1"/>
      <c r="X19" s="1">
        <f t="shared" si="6"/>
        <v>-40279.399999999965</v>
      </c>
      <c r="Y19" s="1"/>
      <c r="Z19" s="5">
        <f t="shared" si="7"/>
        <v>-0.21758882920772701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>
        <v>1297.97</v>
      </c>
      <c r="E20" s="2"/>
      <c r="F20" s="6">
        <f t="shared" si="0"/>
        <v>0</v>
      </c>
      <c r="G20" s="2"/>
      <c r="H20" s="7">
        <v>2226.4899999999998</v>
      </c>
      <c r="I20" s="2"/>
      <c r="J20" s="6">
        <f t="shared" si="1"/>
        <v>0</v>
      </c>
      <c r="K20" s="2"/>
      <c r="L20" s="7">
        <f t="shared" si="2"/>
        <v>-928.51999999999975</v>
      </c>
      <c r="M20" s="2"/>
      <c r="N20" s="6">
        <f t="shared" si="3"/>
        <v>-0.41703308795458316</v>
      </c>
      <c r="O20" s="11"/>
      <c r="P20" s="7">
        <v>29415.53</v>
      </c>
      <c r="Q20" s="2"/>
      <c r="R20" s="6">
        <f t="shared" si="4"/>
        <v>0</v>
      </c>
      <c r="S20" s="2"/>
      <c r="T20" s="7">
        <v>28475.17</v>
      </c>
      <c r="U20" s="2"/>
      <c r="V20" s="6">
        <f t="shared" si="5"/>
        <v>0</v>
      </c>
      <c r="W20" s="2"/>
      <c r="X20" s="7">
        <f t="shared" si="6"/>
        <v>940.36000000000058</v>
      </c>
      <c r="Y20" s="2"/>
      <c r="Z20" s="6">
        <f t="shared" si="7"/>
        <v>3.3023859032272701E-2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72.11</v>
      </c>
      <c r="E21" s="2"/>
      <c r="F21" s="6">
        <f t="shared" si="0"/>
        <v>0</v>
      </c>
      <c r="G21" s="2"/>
      <c r="H21" s="7">
        <v>135.61000000000001</v>
      </c>
      <c r="I21" s="2"/>
      <c r="J21" s="6">
        <f t="shared" si="1"/>
        <v>0</v>
      </c>
      <c r="K21" s="2"/>
      <c r="L21" s="7">
        <f t="shared" si="2"/>
        <v>-63.500000000000014</v>
      </c>
      <c r="M21" s="2"/>
      <c r="N21" s="6">
        <f t="shared" si="3"/>
        <v>-0.46825455349900458</v>
      </c>
      <c r="O21" s="11"/>
      <c r="P21" s="7">
        <v>1266.3399999999999</v>
      </c>
      <c r="Q21" s="2"/>
      <c r="R21" s="6">
        <f t="shared" si="4"/>
        <v>0</v>
      </c>
      <c r="S21" s="2"/>
      <c r="T21" s="7">
        <v>1169.78</v>
      </c>
      <c r="U21" s="2"/>
      <c r="V21" s="6">
        <f t="shared" si="5"/>
        <v>0</v>
      </c>
      <c r="W21" s="2"/>
      <c r="X21" s="7">
        <f t="shared" si="6"/>
        <v>96.559999999999945</v>
      </c>
      <c r="Y21" s="2"/>
      <c r="Z21" s="6">
        <f t="shared" si="7"/>
        <v>8.2545435893928723E-2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>
        <v>5567.04</v>
      </c>
      <c r="E22" s="2"/>
      <c r="F22" s="6">
        <f t="shared" si="0"/>
        <v>0</v>
      </c>
      <c r="G22" s="2"/>
      <c r="H22" s="7">
        <v>5942.02</v>
      </c>
      <c r="I22" s="2"/>
      <c r="J22" s="6">
        <f t="shared" si="1"/>
        <v>0</v>
      </c>
      <c r="K22" s="2"/>
      <c r="L22" s="7">
        <f t="shared" si="2"/>
        <v>-374.98000000000047</v>
      </c>
      <c r="M22" s="2"/>
      <c r="N22" s="6">
        <f t="shared" si="3"/>
        <v>-6.3106485673222315E-2</v>
      </c>
      <c r="O22" s="11"/>
      <c r="P22" s="7">
        <v>71876.790000000008</v>
      </c>
      <c r="Q22" s="2"/>
      <c r="R22" s="6">
        <f t="shared" si="4"/>
        <v>0</v>
      </c>
      <c r="S22" s="2"/>
      <c r="T22" s="7">
        <v>74807.48000000001</v>
      </c>
      <c r="U22" s="2"/>
      <c r="V22" s="6">
        <f t="shared" si="5"/>
        <v>0</v>
      </c>
      <c r="W22" s="2"/>
      <c r="X22" s="7">
        <f t="shared" si="6"/>
        <v>-2930.6900000000023</v>
      </c>
      <c r="Y22" s="2"/>
      <c r="Z22" s="6">
        <f t="shared" si="7"/>
        <v>-3.9176429950587857E-2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-1053.99</v>
      </c>
      <c r="E23" s="2"/>
      <c r="F23" s="6">
        <f t="shared" si="0"/>
        <v>0</v>
      </c>
      <c r="G23" s="2"/>
      <c r="H23" s="7">
        <v>113.74</v>
      </c>
      <c r="I23" s="2"/>
      <c r="J23" s="6">
        <f t="shared" si="1"/>
        <v>0</v>
      </c>
      <c r="K23" s="2"/>
      <c r="L23" s="7">
        <f t="shared" si="2"/>
        <v>-1167.73</v>
      </c>
      <c r="M23" s="2"/>
      <c r="N23" s="6">
        <f t="shared" si="3"/>
        <v>-10.266660805345525</v>
      </c>
      <c r="O23" s="11"/>
      <c r="P23" s="7">
        <v>0</v>
      </c>
      <c r="Q23" s="2"/>
      <c r="R23" s="6">
        <f t="shared" si="4"/>
        <v>0</v>
      </c>
      <c r="S23" s="2"/>
      <c r="T23" s="7">
        <v>1088.81</v>
      </c>
      <c r="U23" s="2"/>
      <c r="V23" s="6">
        <f t="shared" si="5"/>
        <v>0</v>
      </c>
      <c r="W23" s="2"/>
      <c r="X23" s="7">
        <f t="shared" si="6"/>
        <v>-1088.81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>
        <v>1813.92</v>
      </c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1813.92</v>
      </c>
      <c r="M24" s="2"/>
      <c r="N24" s="6">
        <f t="shared" si="3"/>
        <v>0</v>
      </c>
      <c r="O24" s="11"/>
      <c r="P24" s="7">
        <v>29534.16</v>
      </c>
      <c r="Q24" s="2"/>
      <c r="R24" s="6">
        <f t="shared" si="4"/>
        <v>0</v>
      </c>
      <c r="S24" s="2"/>
      <c r="T24" s="7">
        <v>24659.329999999998</v>
      </c>
      <c r="U24" s="2"/>
      <c r="V24" s="6">
        <f t="shared" si="5"/>
        <v>0</v>
      </c>
      <c r="W24" s="2"/>
      <c r="X24" s="7">
        <f t="shared" si="6"/>
        <v>4874.8300000000017</v>
      </c>
      <c r="Y24" s="2"/>
      <c r="Z24" s="6">
        <f t="shared" si="7"/>
        <v>0.1976870417809406</v>
      </c>
    </row>
    <row r="25" spans="1:26" s="24" customFormat="1" hidden="1" outlineLevel="2" x14ac:dyDescent="0.35">
      <c r="A25" s="27"/>
      <c r="B25" s="11" t="str">
        <f>CONCATENATE("          ", "6118", " - ", "VACATION")</f>
        <v xml:space="preserve">          6118 - VACATION</v>
      </c>
      <c r="C25" s="11"/>
      <c r="D25" s="7">
        <v>1520.74</v>
      </c>
      <c r="E25" s="2"/>
      <c r="F25" s="6">
        <f t="shared" si="0"/>
        <v>0</v>
      </c>
      <c r="G25" s="2"/>
      <c r="H25" s="7">
        <v>1812.38</v>
      </c>
      <c r="I25" s="2"/>
      <c r="J25" s="6">
        <f t="shared" si="1"/>
        <v>0</v>
      </c>
      <c r="K25" s="2"/>
      <c r="L25" s="7">
        <f t="shared" si="2"/>
        <v>-291.6400000000001</v>
      </c>
      <c r="M25" s="2"/>
      <c r="N25" s="6">
        <f t="shared" si="3"/>
        <v>-0.160915481300831</v>
      </c>
      <c r="O25" s="11"/>
      <c r="P25" s="7">
        <v>24223.88</v>
      </c>
      <c r="Q25" s="2"/>
      <c r="R25" s="6">
        <f t="shared" si="4"/>
        <v>0</v>
      </c>
      <c r="S25" s="2"/>
      <c r="T25" s="7">
        <v>24597.030000000002</v>
      </c>
      <c r="U25" s="2"/>
      <c r="V25" s="6">
        <f t="shared" si="5"/>
        <v>0</v>
      </c>
      <c r="W25" s="2"/>
      <c r="X25" s="7">
        <f t="shared" si="6"/>
        <v>-373.15000000000146</v>
      </c>
      <c r="Y25" s="2"/>
      <c r="Z25" s="6">
        <f t="shared" si="7"/>
        <v>-1.5170530751070411E-2</v>
      </c>
    </row>
    <row r="26" spans="1:26" s="24" customFormat="1" hidden="1" outlineLevel="2" x14ac:dyDescent="0.35">
      <c r="A26" s="27"/>
      <c r="B26" s="11" t="str">
        <f>CONCATENATE("          ", "6119", " - ", "SICK LEAVE")</f>
        <v xml:space="preserve">          6119 - SICK LEAVE</v>
      </c>
      <c r="C26" s="11"/>
      <c r="D26" s="7">
        <v>979.42</v>
      </c>
      <c r="E26" s="2"/>
      <c r="F26" s="6">
        <f t="shared" si="0"/>
        <v>0</v>
      </c>
      <c r="G26" s="2"/>
      <c r="H26" s="7">
        <v>1118.6199999999999</v>
      </c>
      <c r="I26" s="2"/>
      <c r="J26" s="6">
        <f t="shared" si="1"/>
        <v>0</v>
      </c>
      <c r="K26" s="2"/>
      <c r="L26" s="7">
        <f t="shared" si="2"/>
        <v>-139.19999999999993</v>
      </c>
      <c r="M26" s="2"/>
      <c r="N26" s="6">
        <f t="shared" si="3"/>
        <v>-0.12443904096118427</v>
      </c>
      <c r="O26" s="11"/>
      <c r="P26" s="7">
        <v>-19352.439999999999</v>
      </c>
      <c r="Q26" s="2"/>
      <c r="R26" s="6">
        <f t="shared" si="4"/>
        <v>0</v>
      </c>
      <c r="S26" s="2"/>
      <c r="T26" s="7">
        <v>21574.080000000002</v>
      </c>
      <c r="U26" s="2"/>
      <c r="V26" s="6">
        <f t="shared" si="5"/>
        <v>0</v>
      </c>
      <c r="W26" s="2"/>
      <c r="X26" s="7">
        <f t="shared" si="6"/>
        <v>-40926.520000000004</v>
      </c>
      <c r="Y26" s="2"/>
      <c r="Z26" s="6">
        <f t="shared" si="7"/>
        <v>-1.8970227235645738</v>
      </c>
    </row>
    <row r="27" spans="1:26" s="24" customFormat="1" hidden="1" outlineLevel="2" x14ac:dyDescent="0.35">
      <c r="A27" s="27"/>
      <c r="B27" s="11" t="str">
        <f>CONCATENATE("          ", "6156", " - ", "EMPLOYEE MEALS")</f>
        <v xml:space="preserve">          6156 - EMPLOYEE MEALS</v>
      </c>
      <c r="C27" s="11"/>
      <c r="D27" s="7">
        <v>232</v>
      </c>
      <c r="E27" s="2"/>
      <c r="F27" s="6">
        <f t="shared" si="0"/>
        <v>0</v>
      </c>
      <c r="G27" s="2"/>
      <c r="H27" s="7">
        <v>718.85</v>
      </c>
      <c r="I27" s="2"/>
      <c r="J27" s="6">
        <f t="shared" si="1"/>
        <v>0</v>
      </c>
      <c r="K27" s="2"/>
      <c r="L27" s="7">
        <f t="shared" si="2"/>
        <v>-486.85</v>
      </c>
      <c r="M27" s="2"/>
      <c r="N27" s="6">
        <f t="shared" si="3"/>
        <v>-0.67726229394171245</v>
      </c>
      <c r="O27" s="11"/>
      <c r="P27" s="7">
        <v>7873.38</v>
      </c>
      <c r="Q27" s="2"/>
      <c r="R27" s="6">
        <f t="shared" si="4"/>
        <v>0</v>
      </c>
      <c r="S27" s="2"/>
      <c r="T27" s="7">
        <v>8745.36</v>
      </c>
      <c r="U27" s="2"/>
      <c r="V27" s="6">
        <f t="shared" si="5"/>
        <v>0</v>
      </c>
      <c r="W27" s="2"/>
      <c r="X27" s="7">
        <f t="shared" si="6"/>
        <v>-871.98000000000047</v>
      </c>
      <c r="Y27" s="2"/>
      <c r="Z27" s="6">
        <f t="shared" si="7"/>
        <v>-9.970773072806613E-2</v>
      </c>
    </row>
    <row r="28" spans="1:26" s="25" customFormat="1" outlineLevel="1" collapsed="1" x14ac:dyDescent="0.3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16606.769999999997</v>
      </c>
      <c r="E28" s="1"/>
      <c r="F28" s="5">
        <f t="shared" ref="F28:F34" si="8">IF(D$12=0,0,D28/D$12)</f>
        <v>0</v>
      </c>
      <c r="G28" s="1"/>
      <c r="H28" s="1">
        <f>SUM(OSRRefH22_1x_0)</f>
        <v>26730.390000000003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-10123.620000000006</v>
      </c>
      <c r="M28" s="1"/>
      <c r="N28" s="5">
        <f t="shared" ref="N28:N34" si="11">IF(H28=0,0,L28/H28)</f>
        <v>-0.37873072558986254</v>
      </c>
      <c r="O28" s="12"/>
      <c r="P28" s="1">
        <f>SUM(OSRRefP22_1x_0)</f>
        <v>342140.14999999991</v>
      </c>
      <c r="Q28" s="1"/>
      <c r="R28" s="5">
        <f t="shared" ref="R28:R34" si="12">IF(P$12=0,0,P28/P$12)</f>
        <v>0</v>
      </c>
      <c r="S28" s="1"/>
      <c r="T28" s="1">
        <f>SUM(OSRRefT22_1x_0)</f>
        <v>356175.55000000005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-14035.40000000014</v>
      </c>
      <c r="Y28" s="1"/>
      <c r="Z28" s="5">
        <f t="shared" ref="Z28:Z34" si="15">IF(T28=0,0,X28/T28)</f>
        <v>-3.9405849166233159E-2</v>
      </c>
    </row>
    <row r="29" spans="1:26" s="24" customFormat="1" hidden="1" outlineLevel="2" x14ac:dyDescent="0.35">
      <c r="A29" s="27"/>
      <c r="B29" s="11" t="str">
        <f>CONCATENATE("          ", "6002", " - ", "STAFF SALARIES")</f>
        <v xml:space="preserve">          6002 - STAFF SALARIES</v>
      </c>
      <c r="C29" s="11"/>
      <c r="D29" s="7">
        <v>16606.769999999997</v>
      </c>
      <c r="E29" s="2"/>
      <c r="F29" s="6">
        <f t="shared" si="8"/>
        <v>0</v>
      </c>
      <c r="G29" s="2"/>
      <c r="H29" s="7">
        <v>21820.350000000002</v>
      </c>
      <c r="I29" s="2"/>
      <c r="J29" s="6">
        <f t="shared" si="9"/>
        <v>0</v>
      </c>
      <c r="K29" s="2"/>
      <c r="L29" s="7">
        <f t="shared" si="10"/>
        <v>-5213.5800000000054</v>
      </c>
      <c r="M29" s="2"/>
      <c r="N29" s="6">
        <f t="shared" si="11"/>
        <v>-0.23893200613189086</v>
      </c>
      <c r="O29" s="11"/>
      <c r="P29" s="7">
        <v>292837.13</v>
      </c>
      <c r="Q29" s="2"/>
      <c r="R29" s="6">
        <f t="shared" si="12"/>
        <v>0</v>
      </c>
      <c r="S29" s="2"/>
      <c r="T29" s="7">
        <v>279116.63</v>
      </c>
      <c r="U29" s="2"/>
      <c r="V29" s="6">
        <f t="shared" si="13"/>
        <v>0</v>
      </c>
      <c r="W29" s="2"/>
      <c r="X29" s="7">
        <f t="shared" si="14"/>
        <v>13720.5</v>
      </c>
      <c r="Y29" s="2"/>
      <c r="Z29" s="6">
        <f t="shared" si="15"/>
        <v>4.9156870373506585E-2</v>
      </c>
    </row>
    <row r="30" spans="1:26" s="24" customFormat="1" hidden="1" outlineLevel="2" x14ac:dyDescent="0.35">
      <c r="A30" s="27"/>
      <c r="B30" s="11" t="str">
        <f>CONCATENATE("          ", "6004", " - ", "STAFF HOURLY")</f>
        <v xml:space="preserve">          6004 - STAFF HOURLY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-9381.52</v>
      </c>
      <c r="Q30" s="2"/>
      <c r="R30" s="6">
        <f t="shared" si="12"/>
        <v>0</v>
      </c>
      <c r="S30" s="2"/>
      <c r="T30" s="7"/>
      <c r="U30" s="2"/>
      <c r="V30" s="6">
        <f t="shared" si="13"/>
        <v>0</v>
      </c>
      <c r="W30" s="2"/>
      <c r="X30" s="7">
        <f t="shared" si="14"/>
        <v>-9381.52</v>
      </c>
      <c r="Y30" s="2"/>
      <c r="Z30" s="6">
        <f t="shared" si="15"/>
        <v>0</v>
      </c>
    </row>
    <row r="31" spans="1:26" s="24" customFormat="1" hidden="1" outlineLevel="2" x14ac:dyDescent="0.35">
      <c r="A31" s="27"/>
      <c r="B31" s="11" t="str">
        <f>CONCATENATE("          ", "6005", " - ", "TEMPORARY WAGES-HOURLY")</f>
        <v xml:space="preserve">          6005 - TEMPORARY WAGES-HOURLY</v>
      </c>
      <c r="C31" s="11"/>
      <c r="D31" s="7"/>
      <c r="E31" s="2"/>
      <c r="F31" s="6">
        <f t="shared" si="8"/>
        <v>0</v>
      </c>
      <c r="G31" s="2"/>
      <c r="H31" s="7">
        <v>2029.1</v>
      </c>
      <c r="I31" s="2"/>
      <c r="J31" s="6">
        <f t="shared" si="9"/>
        <v>0</v>
      </c>
      <c r="K31" s="2"/>
      <c r="L31" s="7">
        <f t="shared" si="10"/>
        <v>-2029.1</v>
      </c>
      <c r="M31" s="2"/>
      <c r="N31" s="6">
        <f t="shared" si="11"/>
        <v>-1</v>
      </c>
      <c r="O31" s="11"/>
      <c r="P31" s="7">
        <v>20823.22</v>
      </c>
      <c r="Q31" s="2"/>
      <c r="R31" s="6">
        <f t="shared" si="12"/>
        <v>0</v>
      </c>
      <c r="S31" s="2"/>
      <c r="T31" s="7">
        <v>26133.68</v>
      </c>
      <c r="U31" s="2"/>
      <c r="V31" s="6">
        <f t="shared" si="13"/>
        <v>0</v>
      </c>
      <c r="W31" s="2"/>
      <c r="X31" s="7">
        <f t="shared" si="14"/>
        <v>-5310.4599999999991</v>
      </c>
      <c r="Y31" s="2"/>
      <c r="Z31" s="6">
        <f t="shared" si="15"/>
        <v>-0.20320368199197353</v>
      </c>
    </row>
    <row r="32" spans="1:26" s="24" customFormat="1" hidden="1" outlineLevel="2" x14ac:dyDescent="0.35">
      <c r="A32" s="27"/>
      <c r="B32" s="11" t="str">
        <f>CONCATENATE("          ", "6006", " - ", "TEMPORARY PART TIME")</f>
        <v xml:space="preserve">          6006 - TEMPORARY PART TIME</v>
      </c>
      <c r="C32" s="11"/>
      <c r="D32" s="7"/>
      <c r="E32" s="2"/>
      <c r="F32" s="6">
        <f t="shared" si="8"/>
        <v>0</v>
      </c>
      <c r="G32" s="2"/>
      <c r="H32" s="7">
        <v>886.88</v>
      </c>
      <c r="I32" s="2"/>
      <c r="J32" s="6">
        <f t="shared" si="9"/>
        <v>0</v>
      </c>
      <c r="K32" s="2"/>
      <c r="L32" s="7">
        <f t="shared" si="10"/>
        <v>-886.88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8589.4599999999991</v>
      </c>
      <c r="U32" s="2"/>
      <c r="V32" s="6">
        <f t="shared" si="13"/>
        <v>0</v>
      </c>
      <c r="W32" s="2"/>
      <c r="X32" s="7">
        <f t="shared" si="14"/>
        <v>-8589.4599999999991</v>
      </c>
      <c r="Y32" s="2"/>
      <c r="Z32" s="6">
        <f t="shared" si="15"/>
        <v>-1</v>
      </c>
    </row>
    <row r="33" spans="1:26" s="24" customFormat="1" hidden="1" outlineLevel="2" x14ac:dyDescent="0.35">
      <c r="A33" s="27"/>
      <c r="B33" s="11" t="str">
        <f>CONCATENATE("          ", "6007", " - ", "STUDENT HOURLY")</f>
        <v xml:space="preserve">          6007 - STUDENT HOURLY</v>
      </c>
      <c r="C33" s="11"/>
      <c r="D33" s="7"/>
      <c r="E33" s="2"/>
      <c r="F33" s="6">
        <f t="shared" si="8"/>
        <v>0</v>
      </c>
      <c r="G33" s="2"/>
      <c r="H33" s="7">
        <v>1994.06</v>
      </c>
      <c r="I33" s="2"/>
      <c r="J33" s="6">
        <f t="shared" si="9"/>
        <v>0</v>
      </c>
      <c r="K33" s="2"/>
      <c r="L33" s="7">
        <f t="shared" si="10"/>
        <v>-1994.06</v>
      </c>
      <c r="M33" s="2"/>
      <c r="N33" s="6">
        <f t="shared" si="11"/>
        <v>-1</v>
      </c>
      <c r="O33" s="11"/>
      <c r="P33" s="7">
        <v>32551.350000000002</v>
      </c>
      <c r="Q33" s="2"/>
      <c r="R33" s="6">
        <f t="shared" si="12"/>
        <v>0</v>
      </c>
      <c r="S33" s="2"/>
      <c r="T33" s="7">
        <v>39374.780000000006</v>
      </c>
      <c r="U33" s="2"/>
      <c r="V33" s="6">
        <f t="shared" si="13"/>
        <v>0</v>
      </c>
      <c r="W33" s="2"/>
      <c r="X33" s="7">
        <f t="shared" si="14"/>
        <v>-6823.4300000000039</v>
      </c>
      <c r="Y33" s="2"/>
      <c r="Z33" s="6">
        <f t="shared" si="15"/>
        <v>-0.17329442856569618</v>
      </c>
    </row>
    <row r="34" spans="1:26" s="24" customFormat="1" hidden="1" outlineLevel="2" x14ac:dyDescent="0.35">
      <c r="A34" s="27"/>
      <c r="B34" s="11" t="str">
        <f>CONCATENATE("          ", "6008", " - ", "STUDENT HOURLY-FICA EXEMPT")</f>
        <v xml:space="preserve">          6008 - STUDENT HOURLY-FICA EXEMPT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5309.97</v>
      </c>
      <c r="Q34" s="2"/>
      <c r="R34" s="6">
        <f t="shared" si="12"/>
        <v>0</v>
      </c>
      <c r="S34" s="2"/>
      <c r="T34" s="7">
        <v>2961</v>
      </c>
      <c r="U34" s="2"/>
      <c r="V34" s="6">
        <f t="shared" si="13"/>
        <v>0</v>
      </c>
      <c r="W34" s="2"/>
      <c r="X34" s="7">
        <f t="shared" si="14"/>
        <v>2348.9700000000003</v>
      </c>
      <c r="Y34" s="2"/>
      <c r="Z34" s="6">
        <f t="shared" si="15"/>
        <v>0.79330293819655529</v>
      </c>
    </row>
    <row r="35" spans="1:26" s="25" customFormat="1" outlineLevel="1" collapsed="1" x14ac:dyDescent="0.35">
      <c r="A35" s="26"/>
      <c r="B35" s="12" t="str">
        <f>CONCATENATE("     ","Advertising/Promo                                 ")</f>
        <v xml:space="preserve">     Advertising/Promo                                 </v>
      </c>
      <c r="C35" s="12"/>
      <c r="D35" s="1">
        <f>SUM(OSRRefD22_2x_0)</f>
        <v>0</v>
      </c>
      <c r="E35" s="1"/>
      <c r="F35" s="5">
        <f t="shared" ref="F35:F54" si="16">IF(D$12=0,0,D35/D$12)</f>
        <v>0</v>
      </c>
      <c r="G35" s="1"/>
      <c r="H35" s="1">
        <f>SUM(OSRRefH22_2x_0)</f>
        <v>0</v>
      </c>
      <c r="I35" s="1"/>
      <c r="J35" s="5">
        <f t="shared" ref="J35:J54" si="17">IF(H$12=0,0,H35/H$12)</f>
        <v>0</v>
      </c>
      <c r="K35" s="1"/>
      <c r="L35" s="1">
        <f t="shared" ref="L35:L54" si="18">+D35-H35</f>
        <v>0</v>
      </c>
      <c r="M35" s="1"/>
      <c r="N35" s="5">
        <f t="shared" ref="N35:N54" si="19">IF(H35=0,0,L35/H35)</f>
        <v>0</v>
      </c>
      <c r="O35" s="12"/>
      <c r="P35" s="1">
        <f>SUM(OSRRefP22_2x_0)</f>
        <v>62</v>
      </c>
      <c r="Q35" s="1"/>
      <c r="R35" s="5">
        <f t="shared" ref="R35:R54" si="20">IF(P$12=0,0,P35/P$12)</f>
        <v>0</v>
      </c>
      <c r="S35" s="1"/>
      <c r="T35" s="1">
        <f>SUM(OSRRefT22_2x_0)</f>
        <v>54</v>
      </c>
      <c r="U35" s="1"/>
      <c r="V35" s="5">
        <f t="shared" ref="V35:V54" si="21">IF(T$12=0,0,T35/T$12)</f>
        <v>0</v>
      </c>
      <c r="W35" s="1"/>
      <c r="X35" s="1">
        <f t="shared" ref="X35:X54" si="22">+P35-T35</f>
        <v>8</v>
      </c>
      <c r="Y35" s="1"/>
      <c r="Z35" s="5">
        <f t="shared" ref="Z35:Z54" si="23">IF(T35=0,0,X35/T35)</f>
        <v>0.14814814814814814</v>
      </c>
    </row>
    <row r="36" spans="1:26" s="24" customFormat="1" hidden="1" outlineLevel="2" x14ac:dyDescent="0.35">
      <c r="A36" s="27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62</v>
      </c>
      <c r="Q36" s="2"/>
      <c r="R36" s="6">
        <f t="shared" si="20"/>
        <v>0</v>
      </c>
      <c r="S36" s="2"/>
      <c r="T36" s="7">
        <v>54</v>
      </c>
      <c r="U36" s="2"/>
      <c r="V36" s="6">
        <f t="shared" si="21"/>
        <v>0</v>
      </c>
      <c r="W36" s="2"/>
      <c r="X36" s="7">
        <f t="shared" si="22"/>
        <v>8</v>
      </c>
      <c r="Y36" s="2"/>
      <c r="Z36" s="6">
        <f t="shared" si="23"/>
        <v>0.14814814814814814</v>
      </c>
    </row>
    <row r="37" spans="1:26" s="25" customFormat="1" outlineLevel="1" collapsed="1" x14ac:dyDescent="0.35">
      <c r="A37" s="26"/>
      <c r="B37" s="12" t="str">
        <f>CONCATENATE("     ","Depreciation                                      ")</f>
        <v xml:space="preserve">     Depreciation                                      </v>
      </c>
      <c r="C37" s="12"/>
      <c r="D37" s="1">
        <f>SUM(OSRRefD22_3x_0)</f>
        <v>1558.82</v>
      </c>
      <c r="E37" s="1"/>
      <c r="F37" s="5">
        <f t="shared" si="16"/>
        <v>0</v>
      </c>
      <c r="G37" s="1"/>
      <c r="H37" s="1">
        <f>SUM(OSRRefH22_3x_0)</f>
        <v>1558.82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2"/>
      <c r="P37" s="1">
        <f>SUM(OSRRefP22_3x_0)</f>
        <v>18706.5</v>
      </c>
      <c r="Q37" s="1"/>
      <c r="R37" s="5">
        <f t="shared" si="20"/>
        <v>0</v>
      </c>
      <c r="S37" s="1"/>
      <c r="T37" s="1">
        <f>SUM(OSRRefT22_3x_0)</f>
        <v>18706.5</v>
      </c>
      <c r="U37" s="1"/>
      <c r="V37" s="5">
        <f t="shared" si="21"/>
        <v>0</v>
      </c>
      <c r="W37" s="1"/>
      <c r="X37" s="1">
        <f t="shared" si="22"/>
        <v>0</v>
      </c>
      <c r="Y37" s="1"/>
      <c r="Z37" s="5">
        <f t="shared" si="23"/>
        <v>0</v>
      </c>
    </row>
    <row r="38" spans="1:26" s="24" customFormat="1" hidden="1" outlineLevel="2" x14ac:dyDescent="0.35">
      <c r="A38" s="27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1558.82</v>
      </c>
      <c r="E38" s="2"/>
      <c r="F38" s="6">
        <f t="shared" si="16"/>
        <v>0</v>
      </c>
      <c r="G38" s="2"/>
      <c r="H38" s="7">
        <v>1558.82</v>
      </c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18706.5</v>
      </c>
      <c r="Q38" s="2"/>
      <c r="R38" s="6">
        <f t="shared" si="20"/>
        <v>0</v>
      </c>
      <c r="S38" s="2"/>
      <c r="T38" s="7">
        <v>18706.5</v>
      </c>
      <c r="U38" s="2"/>
      <c r="V38" s="6">
        <f t="shared" si="21"/>
        <v>0</v>
      </c>
      <c r="W38" s="2"/>
      <c r="X38" s="7">
        <f t="shared" si="22"/>
        <v>0</v>
      </c>
      <c r="Y38" s="2"/>
      <c r="Z38" s="6">
        <f t="shared" si="23"/>
        <v>0</v>
      </c>
    </row>
    <row r="39" spans="1:26" s="25" customFormat="1" outlineLevel="1" collapsed="1" x14ac:dyDescent="0.35">
      <c r="A39" s="26"/>
      <c r="B39" s="12" t="str">
        <f>CONCATENATE("     ","Employees' Appreciation                           ")</f>
        <v xml:space="preserve">     Employees' Appreciation                           </v>
      </c>
      <c r="C39" s="12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9.75</v>
      </c>
      <c r="I39" s="1"/>
      <c r="J39" s="5">
        <f t="shared" si="17"/>
        <v>0</v>
      </c>
      <c r="K39" s="1"/>
      <c r="L39" s="1">
        <f t="shared" si="18"/>
        <v>-9.75</v>
      </c>
      <c r="M39" s="1"/>
      <c r="N39" s="5">
        <f t="shared" si="19"/>
        <v>-1</v>
      </c>
      <c r="O39" s="12"/>
      <c r="P39" s="1">
        <f>SUM(OSRRefP22_4x_0)</f>
        <v>3.96</v>
      </c>
      <c r="Q39" s="1"/>
      <c r="R39" s="5">
        <f t="shared" si="20"/>
        <v>0</v>
      </c>
      <c r="S39" s="1"/>
      <c r="T39" s="1">
        <f>SUM(OSRRefT22_4x_0)</f>
        <v>147.43</v>
      </c>
      <c r="U39" s="1"/>
      <c r="V39" s="5">
        <f t="shared" si="21"/>
        <v>0</v>
      </c>
      <c r="W39" s="1"/>
      <c r="X39" s="1">
        <f t="shared" si="22"/>
        <v>-143.47</v>
      </c>
      <c r="Y39" s="1"/>
      <c r="Z39" s="5">
        <f t="shared" si="23"/>
        <v>-0.97313979515702365</v>
      </c>
    </row>
    <row r="40" spans="1:26" s="24" customFormat="1" hidden="1" outlineLevel="2" x14ac:dyDescent="0.35">
      <c r="A40" s="27"/>
      <c r="B40" s="11" t="str">
        <f>CONCATENATE("          ", "6277", " - ", "EMPLOYEE APPRECIATION")</f>
        <v xml:space="preserve">          6277 - EMPLOYEE APPRECIATION</v>
      </c>
      <c r="C40" s="11"/>
      <c r="D40" s="7"/>
      <c r="E40" s="2"/>
      <c r="F40" s="6">
        <f t="shared" si="16"/>
        <v>0</v>
      </c>
      <c r="G40" s="2"/>
      <c r="H40" s="7">
        <v>9.75</v>
      </c>
      <c r="I40" s="2"/>
      <c r="J40" s="6">
        <f t="shared" si="17"/>
        <v>0</v>
      </c>
      <c r="K40" s="2"/>
      <c r="L40" s="7">
        <f t="shared" si="18"/>
        <v>-9.75</v>
      </c>
      <c r="M40" s="2"/>
      <c r="N40" s="6">
        <f t="shared" si="19"/>
        <v>-1</v>
      </c>
      <c r="O40" s="11"/>
      <c r="P40" s="7">
        <v>3.96</v>
      </c>
      <c r="Q40" s="2"/>
      <c r="R40" s="6">
        <f t="shared" si="20"/>
        <v>0</v>
      </c>
      <c r="S40" s="2"/>
      <c r="T40" s="7">
        <v>147.43</v>
      </c>
      <c r="U40" s="2"/>
      <c r="V40" s="6">
        <f t="shared" si="21"/>
        <v>0</v>
      </c>
      <c r="W40" s="2"/>
      <c r="X40" s="7">
        <f t="shared" si="22"/>
        <v>-143.47</v>
      </c>
      <c r="Y40" s="2"/>
      <c r="Z40" s="6">
        <f t="shared" si="23"/>
        <v>-0.97313979515702365</v>
      </c>
    </row>
    <row r="41" spans="1:26" s="25" customFormat="1" outlineLevel="1" collapsed="1" x14ac:dyDescent="0.35">
      <c r="A41" s="26"/>
      <c r="B41" s="12" t="str">
        <f>CONCATENATE("     ","Equipment Rental                                  ")</f>
        <v xml:space="preserve">     Equipment Rental                                  </v>
      </c>
      <c r="C41" s="12"/>
      <c r="D41" s="1">
        <f>SUM(OSRRefD22_5x_0)</f>
        <v>91.26</v>
      </c>
      <c r="E41" s="1"/>
      <c r="F41" s="5">
        <f t="shared" si="16"/>
        <v>0</v>
      </c>
      <c r="G41" s="1"/>
      <c r="H41" s="1">
        <f>SUM(OSRRefH22_5x_0)</f>
        <v>91.26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2"/>
      <c r="P41" s="1">
        <f>SUM(OSRRefP22_5x_0)</f>
        <v>1095.1199999999999</v>
      </c>
      <c r="Q41" s="1"/>
      <c r="R41" s="5">
        <f t="shared" si="20"/>
        <v>0</v>
      </c>
      <c r="S41" s="1"/>
      <c r="T41" s="1">
        <f>SUM(OSRRefT22_5x_0)</f>
        <v>1095.1199999999999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35">
      <c r="A42" s="27"/>
      <c r="B42" s="11" t="str">
        <f>CONCATENATE("          ", "6351", " - ", "EQUIPMENT RENTAL")</f>
        <v xml:space="preserve">          6351 - EQUIPMENT RENTAL</v>
      </c>
      <c r="C42" s="11"/>
      <c r="D42" s="7">
        <v>91.26</v>
      </c>
      <c r="E42" s="2"/>
      <c r="F42" s="6">
        <f t="shared" si="16"/>
        <v>0</v>
      </c>
      <c r="G42" s="2"/>
      <c r="H42" s="7">
        <v>91.26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1095.1199999999999</v>
      </c>
      <c r="Q42" s="2"/>
      <c r="R42" s="6">
        <f t="shared" si="20"/>
        <v>0</v>
      </c>
      <c r="S42" s="2"/>
      <c r="T42" s="7">
        <v>1095.1199999999999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5" customFormat="1" outlineLevel="1" collapsed="1" x14ac:dyDescent="0.35">
      <c r="A43" s="26"/>
      <c r="B43" s="12" t="str">
        <f>CONCATENATE("     ","Freight out/Postage                               ")</f>
        <v xml:space="preserve">     Freight out/Postage                               </v>
      </c>
      <c r="C43" s="12"/>
      <c r="D43" s="1">
        <f>SUM(OSRRefD22_6x_0)</f>
        <v>40.799999999999997</v>
      </c>
      <c r="E43" s="1"/>
      <c r="F43" s="5">
        <f t="shared" si="16"/>
        <v>0</v>
      </c>
      <c r="G43" s="1"/>
      <c r="H43" s="1">
        <f>SUM(OSRRefH22_6x_0)</f>
        <v>131.5</v>
      </c>
      <c r="I43" s="1"/>
      <c r="J43" s="5">
        <f t="shared" si="17"/>
        <v>0</v>
      </c>
      <c r="K43" s="1"/>
      <c r="L43" s="1">
        <f t="shared" si="18"/>
        <v>-90.7</v>
      </c>
      <c r="M43" s="1"/>
      <c r="N43" s="5">
        <f t="shared" si="19"/>
        <v>-0.6897338403041825</v>
      </c>
      <c r="O43" s="12"/>
      <c r="P43" s="1">
        <f>SUM(OSRRefP22_6x_0)</f>
        <v>1366.2</v>
      </c>
      <c r="Q43" s="1"/>
      <c r="R43" s="5">
        <f t="shared" si="20"/>
        <v>0</v>
      </c>
      <c r="S43" s="1"/>
      <c r="T43" s="1">
        <f>SUM(OSRRefT22_6x_0)</f>
        <v>1719.8</v>
      </c>
      <c r="U43" s="1"/>
      <c r="V43" s="5">
        <f t="shared" si="21"/>
        <v>0</v>
      </c>
      <c r="W43" s="1"/>
      <c r="X43" s="1">
        <f t="shared" si="22"/>
        <v>-353.59999999999991</v>
      </c>
      <c r="Y43" s="1"/>
      <c r="Z43" s="5">
        <f t="shared" si="23"/>
        <v>-0.20560530294220253</v>
      </c>
    </row>
    <row r="44" spans="1:26" s="24" customFormat="1" hidden="1" outlineLevel="2" x14ac:dyDescent="0.35">
      <c r="A44" s="27"/>
      <c r="B44" s="11" t="str">
        <f>CONCATENATE("          ", "6307", " - ", "POSTAGE")</f>
        <v xml:space="preserve">          6307 - POSTAGE</v>
      </c>
      <c r="C44" s="11"/>
      <c r="D44" s="7">
        <v>40.799999999999997</v>
      </c>
      <c r="E44" s="2"/>
      <c r="F44" s="6">
        <f t="shared" si="16"/>
        <v>0</v>
      </c>
      <c r="G44" s="2"/>
      <c r="H44" s="7">
        <v>131.5</v>
      </c>
      <c r="I44" s="2"/>
      <c r="J44" s="6">
        <f t="shared" si="17"/>
        <v>0</v>
      </c>
      <c r="K44" s="2"/>
      <c r="L44" s="7">
        <f t="shared" si="18"/>
        <v>-90.7</v>
      </c>
      <c r="M44" s="2"/>
      <c r="N44" s="6">
        <f t="shared" si="19"/>
        <v>-0.6897338403041825</v>
      </c>
      <c r="O44" s="11"/>
      <c r="P44" s="7">
        <v>1366.2</v>
      </c>
      <c r="Q44" s="2"/>
      <c r="R44" s="6">
        <f t="shared" si="20"/>
        <v>0</v>
      </c>
      <c r="S44" s="2"/>
      <c r="T44" s="7">
        <v>1719.8</v>
      </c>
      <c r="U44" s="2"/>
      <c r="V44" s="6">
        <f t="shared" si="21"/>
        <v>0</v>
      </c>
      <c r="W44" s="2"/>
      <c r="X44" s="7">
        <f t="shared" si="22"/>
        <v>-353.59999999999991</v>
      </c>
      <c r="Y44" s="2"/>
      <c r="Z44" s="6">
        <f t="shared" si="23"/>
        <v>-0.20560530294220253</v>
      </c>
    </row>
    <row r="45" spans="1:26" s="25" customFormat="1" outlineLevel="1" collapsed="1" x14ac:dyDescent="0.35">
      <c r="A45" s="26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2"/>
      <c r="P45" s="1">
        <f>SUM(OSRRefP22_7x_0)</f>
        <v>0</v>
      </c>
      <c r="Q45" s="1"/>
      <c r="R45" s="5">
        <f t="shared" si="20"/>
        <v>0</v>
      </c>
      <c r="S45" s="1"/>
      <c r="T45" s="1">
        <f>SUM(OSRRefT22_7x_0)</f>
        <v>90.42</v>
      </c>
      <c r="U45" s="1"/>
      <c r="V45" s="5">
        <f t="shared" si="21"/>
        <v>0</v>
      </c>
      <c r="W45" s="1"/>
      <c r="X45" s="1">
        <f t="shared" si="22"/>
        <v>-90.42</v>
      </c>
      <c r="Y45" s="1"/>
      <c r="Z45" s="5">
        <f t="shared" si="23"/>
        <v>-1</v>
      </c>
    </row>
    <row r="46" spans="1:26" s="24" customFormat="1" hidden="1" outlineLevel="2" x14ac:dyDescent="0.35">
      <c r="A46" s="27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/>
      <c r="Q46" s="2"/>
      <c r="R46" s="6">
        <f t="shared" si="20"/>
        <v>0</v>
      </c>
      <c r="S46" s="2"/>
      <c r="T46" s="7">
        <v>90.42</v>
      </c>
      <c r="U46" s="2"/>
      <c r="V46" s="6">
        <f t="shared" si="21"/>
        <v>0</v>
      </c>
      <c r="W46" s="2"/>
      <c r="X46" s="7">
        <f t="shared" si="22"/>
        <v>-90.42</v>
      </c>
      <c r="Y46" s="2"/>
      <c r="Z46" s="6">
        <f t="shared" si="23"/>
        <v>-1</v>
      </c>
    </row>
    <row r="47" spans="1:26" s="25" customFormat="1" outlineLevel="1" collapsed="1" x14ac:dyDescent="0.35">
      <c r="A47" s="26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SUM(OSRRefD22_8x_0)</f>
        <v>132.16999999999999</v>
      </c>
      <c r="E47" s="1"/>
      <c r="F47" s="5">
        <f t="shared" si="16"/>
        <v>0</v>
      </c>
      <c r="G47" s="1"/>
      <c r="H47" s="1">
        <f>SUM(OSRRefH22_8x_0)</f>
        <v>124.52</v>
      </c>
      <c r="I47" s="1"/>
      <c r="J47" s="5">
        <f t="shared" si="17"/>
        <v>0</v>
      </c>
      <c r="K47" s="1"/>
      <c r="L47" s="1">
        <f t="shared" si="18"/>
        <v>7.6499999999999915</v>
      </c>
      <c r="M47" s="1"/>
      <c r="N47" s="5">
        <f t="shared" si="19"/>
        <v>6.1435913909412075E-2</v>
      </c>
      <c r="O47" s="12"/>
      <c r="P47" s="1">
        <f>SUM(OSRRefP22_8x_0)</f>
        <v>1586.04</v>
      </c>
      <c r="Q47" s="1"/>
      <c r="R47" s="5">
        <f t="shared" si="20"/>
        <v>0</v>
      </c>
      <c r="S47" s="1"/>
      <c r="T47" s="1">
        <f>SUM(OSRRefT22_8x_0)</f>
        <v>1272.06</v>
      </c>
      <c r="U47" s="1"/>
      <c r="V47" s="5">
        <f t="shared" si="21"/>
        <v>0</v>
      </c>
      <c r="W47" s="1"/>
      <c r="X47" s="1">
        <f t="shared" si="22"/>
        <v>313.98</v>
      </c>
      <c r="Y47" s="1"/>
      <c r="Z47" s="5">
        <f t="shared" si="23"/>
        <v>0.24682797981227303</v>
      </c>
    </row>
    <row r="48" spans="1:26" s="24" customFormat="1" hidden="1" outlineLevel="2" x14ac:dyDescent="0.35">
      <c r="A48" s="27"/>
      <c r="B48" s="11" t="str">
        <f>CONCATENATE("          ", "6314", " - ", "LIABILITY INSURANCE")</f>
        <v xml:space="preserve">          6314 - LIABILITY INSURANCE</v>
      </c>
      <c r="C48" s="11"/>
      <c r="D48" s="7">
        <v>132.16999999999999</v>
      </c>
      <c r="E48" s="2"/>
      <c r="F48" s="6">
        <f t="shared" si="16"/>
        <v>0</v>
      </c>
      <c r="G48" s="2"/>
      <c r="H48" s="7">
        <v>124.52</v>
      </c>
      <c r="I48" s="2"/>
      <c r="J48" s="6">
        <f t="shared" si="17"/>
        <v>0</v>
      </c>
      <c r="K48" s="2"/>
      <c r="L48" s="7">
        <f t="shared" si="18"/>
        <v>7.6499999999999915</v>
      </c>
      <c r="M48" s="2"/>
      <c r="N48" s="6">
        <f t="shared" si="19"/>
        <v>6.1435913909412075E-2</v>
      </c>
      <c r="O48" s="11"/>
      <c r="P48" s="7">
        <v>1586.04</v>
      </c>
      <c r="Q48" s="2"/>
      <c r="R48" s="6">
        <f t="shared" si="20"/>
        <v>0</v>
      </c>
      <c r="S48" s="2"/>
      <c r="T48" s="7">
        <v>1272.06</v>
      </c>
      <c r="U48" s="2"/>
      <c r="V48" s="6">
        <f t="shared" si="21"/>
        <v>0</v>
      </c>
      <c r="W48" s="2"/>
      <c r="X48" s="7">
        <f t="shared" si="22"/>
        <v>313.98</v>
      </c>
      <c r="Y48" s="2"/>
      <c r="Z48" s="6">
        <f t="shared" si="23"/>
        <v>0.24682797981227303</v>
      </c>
    </row>
    <row r="49" spans="1:26" s="25" customFormat="1" outlineLevel="1" collapsed="1" x14ac:dyDescent="0.35">
      <c r="A49" s="26"/>
      <c r="B49" s="12" t="str">
        <f>CONCATENATE("     ","Professional Services                             ")</f>
        <v xml:space="preserve">     Professional Services                             </v>
      </c>
      <c r="C49" s="12"/>
      <c r="D49" s="1">
        <f>SUM(OSRRefD22_9x_0)</f>
        <v>0</v>
      </c>
      <c r="E49" s="1"/>
      <c r="F49" s="5">
        <f t="shared" si="16"/>
        <v>0</v>
      </c>
      <c r="G49" s="1"/>
      <c r="H49" s="1">
        <f>SUM(OSRRefH22_9x_0)</f>
        <v>0</v>
      </c>
      <c r="I49" s="1"/>
      <c r="J49" s="5">
        <f t="shared" si="17"/>
        <v>0</v>
      </c>
      <c r="K49" s="1"/>
      <c r="L49" s="1">
        <f t="shared" si="18"/>
        <v>0</v>
      </c>
      <c r="M49" s="1"/>
      <c r="N49" s="5">
        <f t="shared" si="19"/>
        <v>0</v>
      </c>
      <c r="O49" s="12"/>
      <c r="P49" s="1">
        <f>SUM(OSRRefP22_9x_0)</f>
        <v>82.5</v>
      </c>
      <c r="Q49" s="1"/>
      <c r="R49" s="5">
        <f t="shared" si="20"/>
        <v>0</v>
      </c>
      <c r="S49" s="1"/>
      <c r="T49" s="1">
        <f>SUM(OSRRefT22_9x_0)</f>
        <v>412.5</v>
      </c>
      <c r="U49" s="1"/>
      <c r="V49" s="5">
        <f t="shared" si="21"/>
        <v>0</v>
      </c>
      <c r="W49" s="1"/>
      <c r="X49" s="1">
        <f t="shared" si="22"/>
        <v>-330</v>
      </c>
      <c r="Y49" s="1"/>
      <c r="Z49" s="5">
        <f t="shared" si="23"/>
        <v>-0.8</v>
      </c>
    </row>
    <row r="50" spans="1:26" s="24" customFormat="1" hidden="1" outlineLevel="2" x14ac:dyDescent="0.35">
      <c r="A50" s="27"/>
      <c r="B50" s="11" t="str">
        <f>CONCATENATE("          ", "6332", " - ", "CONSULTANT FEES")</f>
        <v xml:space="preserve">          6332 - CONSULTANT FEES</v>
      </c>
      <c r="C50" s="11"/>
      <c r="D50" s="7"/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0</v>
      </c>
      <c r="M50" s="2"/>
      <c r="N50" s="6">
        <f t="shared" si="19"/>
        <v>0</v>
      </c>
      <c r="O50" s="11"/>
      <c r="P50" s="7">
        <v>82.5</v>
      </c>
      <c r="Q50" s="2"/>
      <c r="R50" s="6">
        <f t="shared" si="20"/>
        <v>0</v>
      </c>
      <c r="S50" s="2"/>
      <c r="T50" s="7">
        <v>412.5</v>
      </c>
      <c r="U50" s="2"/>
      <c r="V50" s="6">
        <f t="shared" si="21"/>
        <v>0</v>
      </c>
      <c r="W50" s="2"/>
      <c r="X50" s="7">
        <f t="shared" si="22"/>
        <v>-330</v>
      </c>
      <c r="Y50" s="2"/>
      <c r="Z50" s="6">
        <f t="shared" si="23"/>
        <v>-0.8</v>
      </c>
    </row>
    <row r="51" spans="1:26" s="25" customFormat="1" outlineLevel="1" collapsed="1" x14ac:dyDescent="0.35">
      <c r="A51" s="26"/>
      <c r="B51" s="12" t="str">
        <f>CONCATENATE("     ","Repair and Maintenance                            ")</f>
        <v xml:space="preserve">     Repair and Maintenance                            </v>
      </c>
      <c r="C51" s="12"/>
      <c r="D51" s="1">
        <f>SUM(OSRRefD22_10x_0)</f>
        <v>68.61</v>
      </c>
      <c r="E51" s="1"/>
      <c r="F51" s="5">
        <f t="shared" si="16"/>
        <v>0</v>
      </c>
      <c r="G51" s="1"/>
      <c r="H51" s="1">
        <f>SUM(OSRRefH22_10x_0)</f>
        <v>20.99</v>
      </c>
      <c r="I51" s="1"/>
      <c r="J51" s="5">
        <f t="shared" si="17"/>
        <v>0</v>
      </c>
      <c r="K51" s="1"/>
      <c r="L51" s="1">
        <f t="shared" si="18"/>
        <v>47.620000000000005</v>
      </c>
      <c r="M51" s="1"/>
      <c r="N51" s="5">
        <f t="shared" si="19"/>
        <v>2.2686993806574565</v>
      </c>
      <c r="O51" s="12"/>
      <c r="P51" s="1">
        <f>SUM(OSRRefP22_10x_0)</f>
        <v>32691.109999999997</v>
      </c>
      <c r="Q51" s="1"/>
      <c r="R51" s="5">
        <f t="shared" si="20"/>
        <v>0</v>
      </c>
      <c r="S51" s="1"/>
      <c r="T51" s="1">
        <f>SUM(OSRRefT22_10x_0)</f>
        <v>30877.98</v>
      </c>
      <c r="U51" s="1"/>
      <c r="V51" s="5">
        <f t="shared" si="21"/>
        <v>0</v>
      </c>
      <c r="W51" s="1"/>
      <c r="X51" s="1">
        <f t="shared" si="22"/>
        <v>1813.1299999999974</v>
      </c>
      <c r="Y51" s="1"/>
      <c r="Z51" s="5">
        <f t="shared" si="23"/>
        <v>5.8719190827897338E-2</v>
      </c>
    </row>
    <row r="52" spans="1:26" s="24" customFormat="1" hidden="1" outlineLevel="2" x14ac:dyDescent="0.35">
      <c r="A52" s="27"/>
      <c r="B52" s="11" t="str">
        <f>CONCATENATE("          ", "6371", " - ", "COMPUTER SOFTWARE MAINTENANCE")</f>
        <v xml:space="preserve">          6371 - COMPUTER SOFTWARE MAINTENANCE</v>
      </c>
      <c r="C52" s="11"/>
      <c r="D52" s="7">
        <v>59.95</v>
      </c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59.95</v>
      </c>
      <c r="M52" s="2"/>
      <c r="N52" s="6">
        <f t="shared" si="19"/>
        <v>0</v>
      </c>
      <c r="O52" s="11"/>
      <c r="P52" s="7">
        <v>27023.78</v>
      </c>
      <c r="Q52" s="2"/>
      <c r="R52" s="6">
        <f t="shared" si="20"/>
        <v>0</v>
      </c>
      <c r="S52" s="2"/>
      <c r="T52" s="7">
        <v>25794.14</v>
      </c>
      <c r="U52" s="2"/>
      <c r="V52" s="6">
        <f t="shared" si="21"/>
        <v>0</v>
      </c>
      <c r="W52" s="2"/>
      <c r="X52" s="7">
        <f t="shared" si="22"/>
        <v>1229.6399999999994</v>
      </c>
      <c r="Y52" s="2"/>
      <c r="Z52" s="6">
        <f t="shared" si="23"/>
        <v>4.7671292782003952E-2</v>
      </c>
    </row>
    <row r="53" spans="1:26" s="24" customFormat="1" hidden="1" outlineLevel="2" x14ac:dyDescent="0.35">
      <c r="A53" s="27"/>
      <c r="B53" s="11" t="str">
        <f>CONCATENATE("          ", "6373", " - ", "MAINTENANCE CONTRACTS")</f>
        <v xml:space="preserve">          6373 - MAINTENANCE CONTRACTS</v>
      </c>
      <c r="C53" s="11"/>
      <c r="D53" s="7">
        <v>8.66</v>
      </c>
      <c r="E53" s="2"/>
      <c r="F53" s="6">
        <f t="shared" si="16"/>
        <v>0</v>
      </c>
      <c r="G53" s="2"/>
      <c r="H53" s="7">
        <v>20.99</v>
      </c>
      <c r="I53" s="2"/>
      <c r="J53" s="6">
        <f t="shared" si="17"/>
        <v>0</v>
      </c>
      <c r="K53" s="2"/>
      <c r="L53" s="7">
        <f t="shared" si="18"/>
        <v>-12.329999999999998</v>
      </c>
      <c r="M53" s="2"/>
      <c r="N53" s="6">
        <f t="shared" si="19"/>
        <v>-0.58742258218199139</v>
      </c>
      <c r="O53" s="11"/>
      <c r="P53" s="7">
        <v>5129.3900000000003</v>
      </c>
      <c r="Q53" s="2"/>
      <c r="R53" s="6">
        <f t="shared" si="20"/>
        <v>0</v>
      </c>
      <c r="S53" s="2"/>
      <c r="T53" s="7">
        <v>5083.84</v>
      </c>
      <c r="U53" s="2"/>
      <c r="V53" s="6">
        <f t="shared" si="21"/>
        <v>0</v>
      </c>
      <c r="W53" s="2"/>
      <c r="X53" s="7">
        <f t="shared" si="22"/>
        <v>45.550000000000182</v>
      </c>
      <c r="Y53" s="2"/>
      <c r="Z53" s="6">
        <f t="shared" si="23"/>
        <v>8.9597626990621619E-3</v>
      </c>
    </row>
    <row r="54" spans="1:26" s="24" customFormat="1" hidden="1" outlineLevel="2" x14ac:dyDescent="0.35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0</v>
      </c>
      <c r="M54" s="2"/>
      <c r="N54" s="6">
        <f t="shared" si="19"/>
        <v>0</v>
      </c>
      <c r="O54" s="11"/>
      <c r="P54" s="7">
        <v>537.94000000000005</v>
      </c>
      <c r="Q54" s="2"/>
      <c r="R54" s="6">
        <f t="shared" si="20"/>
        <v>0</v>
      </c>
      <c r="S54" s="2"/>
      <c r="T54" s="7"/>
      <c r="U54" s="2"/>
      <c r="V54" s="6">
        <f t="shared" si="21"/>
        <v>0</v>
      </c>
      <c r="W54" s="2"/>
      <c r="X54" s="7">
        <f t="shared" si="22"/>
        <v>537.94000000000005</v>
      </c>
      <c r="Y54" s="2"/>
      <c r="Z54" s="6">
        <f t="shared" si="23"/>
        <v>0</v>
      </c>
    </row>
    <row r="55" spans="1:26" s="25" customFormat="1" outlineLevel="1" collapsed="1" x14ac:dyDescent="0.35">
      <c r="A55" s="26"/>
      <c r="B55" s="12" t="str">
        <f>CONCATENATE("     ","Services                                          ")</f>
        <v xml:space="preserve">     Services                                          </v>
      </c>
      <c r="C55" s="12"/>
      <c r="D55" s="1">
        <f>SUM(OSRRefD22_11x_0)</f>
        <v>0</v>
      </c>
      <c r="E55" s="1"/>
      <c r="F55" s="5">
        <f t="shared" ref="F55:F62" si="24">IF(D$12=0,0,D55/D$12)</f>
        <v>0</v>
      </c>
      <c r="G55" s="1"/>
      <c r="H55" s="1">
        <f>SUM(OSRRefH22_11x_0)</f>
        <v>911.75</v>
      </c>
      <c r="I55" s="1"/>
      <c r="J55" s="5">
        <f t="shared" ref="J55:J62" si="25">IF(H$12=0,0,H55/H$12)</f>
        <v>0</v>
      </c>
      <c r="K55" s="1"/>
      <c r="L55" s="1">
        <f t="shared" ref="L55:L62" si="26">+D55-H55</f>
        <v>-911.75</v>
      </c>
      <c r="M55" s="1"/>
      <c r="N55" s="5">
        <f t="shared" ref="N55:N62" si="27">IF(H55=0,0,L55/H55)</f>
        <v>-1</v>
      </c>
      <c r="O55" s="12"/>
      <c r="P55" s="1">
        <f>SUM(OSRRefP22_11x_0)</f>
        <v>10967.41</v>
      </c>
      <c r="Q55" s="1"/>
      <c r="R55" s="5">
        <f t="shared" ref="R55:R62" si="28">IF(P$12=0,0,P55/P$12)</f>
        <v>0</v>
      </c>
      <c r="S55" s="1"/>
      <c r="T55" s="1">
        <f>SUM(OSRRefT22_11x_0)</f>
        <v>9160.09</v>
      </c>
      <c r="U55" s="1"/>
      <c r="V55" s="5">
        <f t="shared" ref="V55:V62" si="29">IF(T$12=0,0,T55/T$12)</f>
        <v>0</v>
      </c>
      <c r="W55" s="1"/>
      <c r="X55" s="1">
        <f t="shared" ref="X55:X62" si="30">+P55-T55</f>
        <v>1807.3199999999997</v>
      </c>
      <c r="Y55" s="1"/>
      <c r="Z55" s="5">
        <f t="shared" ref="Z55:Z62" si="31">IF(T55=0,0,X55/T55)</f>
        <v>0.19730373828204742</v>
      </c>
    </row>
    <row r="56" spans="1:26" s="24" customFormat="1" hidden="1" outlineLevel="2" x14ac:dyDescent="0.35">
      <c r="A56" s="27"/>
      <c r="B56" s="11" t="str">
        <f>CONCATENATE("          ", "6281", " - ", "STORAGE FEE")</f>
        <v xml:space="preserve">          6281 - STORAGE FEE</v>
      </c>
      <c r="C56" s="11"/>
      <c r="D56" s="7"/>
      <c r="E56" s="2"/>
      <c r="F56" s="6">
        <f t="shared" si="24"/>
        <v>0</v>
      </c>
      <c r="G56" s="2"/>
      <c r="H56" s="7">
        <v>911.75</v>
      </c>
      <c r="I56" s="2"/>
      <c r="J56" s="6">
        <f t="shared" si="25"/>
        <v>0</v>
      </c>
      <c r="K56" s="2"/>
      <c r="L56" s="7">
        <f t="shared" si="26"/>
        <v>-911.75</v>
      </c>
      <c r="M56" s="2"/>
      <c r="N56" s="6">
        <f t="shared" si="27"/>
        <v>-1</v>
      </c>
      <c r="O56" s="11"/>
      <c r="P56" s="7">
        <v>10967.41</v>
      </c>
      <c r="Q56" s="2"/>
      <c r="R56" s="6">
        <f t="shared" si="28"/>
        <v>0</v>
      </c>
      <c r="S56" s="2"/>
      <c r="T56" s="7">
        <v>9160.09</v>
      </c>
      <c r="U56" s="2"/>
      <c r="V56" s="6">
        <f t="shared" si="29"/>
        <v>0</v>
      </c>
      <c r="W56" s="2"/>
      <c r="X56" s="7">
        <f t="shared" si="30"/>
        <v>1807.3199999999997</v>
      </c>
      <c r="Y56" s="2"/>
      <c r="Z56" s="6">
        <f t="shared" si="31"/>
        <v>0.19730373828204742</v>
      </c>
    </row>
    <row r="57" spans="1:26" s="25" customFormat="1" outlineLevel="1" collapsed="1" x14ac:dyDescent="0.35">
      <c r="A57" s="26"/>
      <c r="B57" s="12" t="str">
        <f>CONCATENATE("     ","Subscriptions &amp; Dues                              ")</f>
        <v xml:space="preserve">     Subscriptions &amp; Dues                              </v>
      </c>
      <c r="C57" s="12"/>
      <c r="D57" s="1">
        <f>SUM(OSRRefD22_12x_0)</f>
        <v>0</v>
      </c>
      <c r="E57" s="1"/>
      <c r="F57" s="5">
        <f t="shared" si="24"/>
        <v>0</v>
      </c>
      <c r="G57" s="1"/>
      <c r="H57" s="1">
        <f>SUM(OSRRefH22_12x_0)</f>
        <v>0</v>
      </c>
      <c r="I57" s="1"/>
      <c r="J57" s="5">
        <f t="shared" si="25"/>
        <v>0</v>
      </c>
      <c r="K57" s="1"/>
      <c r="L57" s="1">
        <f t="shared" si="26"/>
        <v>0</v>
      </c>
      <c r="M57" s="1"/>
      <c r="N57" s="5">
        <f t="shared" si="27"/>
        <v>0</v>
      </c>
      <c r="O57" s="12"/>
      <c r="P57" s="1">
        <f>SUM(OSRRefP22_12x_0)</f>
        <v>39</v>
      </c>
      <c r="Q57" s="1"/>
      <c r="R57" s="5">
        <f t="shared" si="28"/>
        <v>0</v>
      </c>
      <c r="S57" s="1"/>
      <c r="T57" s="1">
        <f>SUM(OSRRefT22_12x_0)</f>
        <v>0</v>
      </c>
      <c r="U57" s="1"/>
      <c r="V57" s="5">
        <f t="shared" si="29"/>
        <v>0</v>
      </c>
      <c r="W57" s="1"/>
      <c r="X57" s="1">
        <f t="shared" si="30"/>
        <v>39</v>
      </c>
      <c r="Y57" s="1"/>
      <c r="Z57" s="5">
        <f t="shared" si="31"/>
        <v>0</v>
      </c>
    </row>
    <row r="58" spans="1:26" s="24" customFormat="1" hidden="1" outlineLevel="2" x14ac:dyDescent="0.35">
      <c r="A58" s="27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24"/>
        <v>0</v>
      </c>
      <c r="G58" s="2"/>
      <c r="H58" s="7"/>
      <c r="I58" s="2"/>
      <c r="J58" s="6">
        <f t="shared" si="25"/>
        <v>0</v>
      </c>
      <c r="K58" s="2"/>
      <c r="L58" s="7">
        <f t="shared" si="26"/>
        <v>0</v>
      </c>
      <c r="M58" s="2"/>
      <c r="N58" s="6">
        <f t="shared" si="27"/>
        <v>0</v>
      </c>
      <c r="O58" s="11"/>
      <c r="P58" s="7">
        <v>39</v>
      </c>
      <c r="Q58" s="2"/>
      <c r="R58" s="6">
        <f t="shared" si="28"/>
        <v>0</v>
      </c>
      <c r="S58" s="2"/>
      <c r="T58" s="7"/>
      <c r="U58" s="2"/>
      <c r="V58" s="6">
        <f t="shared" si="29"/>
        <v>0</v>
      </c>
      <c r="W58" s="2"/>
      <c r="X58" s="7">
        <f t="shared" si="30"/>
        <v>39</v>
      </c>
      <c r="Y58" s="2"/>
      <c r="Z58" s="6">
        <f t="shared" si="31"/>
        <v>0</v>
      </c>
    </row>
    <row r="59" spans="1:26" s="25" customFormat="1" outlineLevel="1" collapsed="1" x14ac:dyDescent="0.35">
      <c r="A59" s="26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SUM(OSRRefD22_13x_0)</f>
        <v>0</v>
      </c>
      <c r="E59" s="1"/>
      <c r="F59" s="5">
        <f t="shared" si="24"/>
        <v>0</v>
      </c>
      <c r="G59" s="1"/>
      <c r="H59" s="1">
        <f>SUM(OSRRefH22_13x_0)</f>
        <v>314.33</v>
      </c>
      <c r="I59" s="1"/>
      <c r="J59" s="5">
        <f t="shared" si="25"/>
        <v>0</v>
      </c>
      <c r="K59" s="1"/>
      <c r="L59" s="1">
        <f t="shared" si="26"/>
        <v>-314.33</v>
      </c>
      <c r="M59" s="1"/>
      <c r="N59" s="5">
        <f t="shared" si="27"/>
        <v>-1</v>
      </c>
      <c r="O59" s="12"/>
      <c r="P59" s="1">
        <f>SUM(OSRRefP22_13x_0)</f>
        <v>6840.7699999999995</v>
      </c>
      <c r="Q59" s="1"/>
      <c r="R59" s="5">
        <f t="shared" si="28"/>
        <v>0</v>
      </c>
      <c r="S59" s="1"/>
      <c r="T59" s="1">
        <f>SUM(OSRRefT22_13x_0)</f>
        <v>18189.129999999997</v>
      </c>
      <c r="U59" s="1"/>
      <c r="V59" s="5">
        <f t="shared" si="29"/>
        <v>0</v>
      </c>
      <c r="W59" s="1"/>
      <c r="X59" s="1">
        <f t="shared" si="30"/>
        <v>-11348.359999999997</v>
      </c>
      <c r="Y59" s="1"/>
      <c r="Z59" s="5">
        <f t="shared" si="31"/>
        <v>-0.6239088950378604</v>
      </c>
    </row>
    <row r="60" spans="1:26" s="24" customFormat="1" hidden="1" outlineLevel="2" x14ac:dyDescent="0.3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24"/>
        <v>0</v>
      </c>
      <c r="G60" s="2"/>
      <c r="H60" s="7"/>
      <c r="I60" s="2"/>
      <c r="J60" s="6">
        <f t="shared" si="25"/>
        <v>0</v>
      </c>
      <c r="K60" s="2"/>
      <c r="L60" s="7">
        <f t="shared" si="26"/>
        <v>0</v>
      </c>
      <c r="M60" s="2"/>
      <c r="N60" s="6">
        <f t="shared" si="27"/>
        <v>0</v>
      </c>
      <c r="O60" s="11"/>
      <c r="P60" s="7"/>
      <c r="Q60" s="2"/>
      <c r="R60" s="6">
        <f t="shared" si="28"/>
        <v>0</v>
      </c>
      <c r="S60" s="2"/>
      <c r="T60" s="7">
        <v>2355.94</v>
      </c>
      <c r="U60" s="2"/>
      <c r="V60" s="6">
        <f t="shared" si="29"/>
        <v>0</v>
      </c>
      <c r="W60" s="2"/>
      <c r="X60" s="7">
        <f t="shared" si="30"/>
        <v>-2355.94</v>
      </c>
      <c r="Y60" s="2"/>
      <c r="Z60" s="6">
        <f t="shared" si="31"/>
        <v>-1</v>
      </c>
    </row>
    <row r="61" spans="1:26" s="24" customFormat="1" hidden="1" outlineLevel="2" x14ac:dyDescent="0.35">
      <c r="A61" s="27"/>
      <c r="B61" s="11" t="str">
        <f>CONCATENATE("          ", "6241", " - ", "OFFICE EXPENSE")</f>
        <v xml:space="preserve">          6241 - OFFICE EXPENSE</v>
      </c>
      <c r="C61" s="11"/>
      <c r="D61" s="7"/>
      <c r="E61" s="2"/>
      <c r="F61" s="6">
        <f t="shared" si="24"/>
        <v>0</v>
      </c>
      <c r="G61" s="2"/>
      <c r="H61" s="7">
        <v>314.33</v>
      </c>
      <c r="I61" s="2"/>
      <c r="J61" s="6">
        <f t="shared" si="25"/>
        <v>0</v>
      </c>
      <c r="K61" s="2"/>
      <c r="L61" s="7">
        <f t="shared" si="26"/>
        <v>-314.33</v>
      </c>
      <c r="M61" s="2"/>
      <c r="N61" s="6">
        <f t="shared" si="27"/>
        <v>-1</v>
      </c>
      <c r="O61" s="11"/>
      <c r="P61" s="7">
        <v>6177.86</v>
      </c>
      <c r="Q61" s="2"/>
      <c r="R61" s="6">
        <f t="shared" si="28"/>
        <v>0</v>
      </c>
      <c r="S61" s="2"/>
      <c r="T61" s="7">
        <v>15832</v>
      </c>
      <c r="U61" s="2"/>
      <c r="V61" s="6">
        <f t="shared" si="29"/>
        <v>0</v>
      </c>
      <c r="W61" s="2"/>
      <c r="X61" s="7">
        <f t="shared" si="30"/>
        <v>-9654.14</v>
      </c>
      <c r="Y61" s="2"/>
      <c r="Z61" s="6">
        <f t="shared" si="31"/>
        <v>-0.60978650833754422</v>
      </c>
    </row>
    <row r="62" spans="1:26" s="24" customFormat="1" hidden="1" outlineLevel="2" x14ac:dyDescent="0.35">
      <c r="A62" s="27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24"/>
        <v>0</v>
      </c>
      <c r="G62" s="2"/>
      <c r="H62" s="7"/>
      <c r="I62" s="2"/>
      <c r="J62" s="6">
        <f t="shared" si="25"/>
        <v>0</v>
      </c>
      <c r="K62" s="2"/>
      <c r="L62" s="7">
        <f t="shared" si="26"/>
        <v>0</v>
      </c>
      <c r="M62" s="2"/>
      <c r="N62" s="6">
        <f t="shared" si="27"/>
        <v>0</v>
      </c>
      <c r="O62" s="11"/>
      <c r="P62" s="7">
        <v>662.91</v>
      </c>
      <c r="Q62" s="2"/>
      <c r="R62" s="6">
        <f t="shared" si="28"/>
        <v>0</v>
      </c>
      <c r="S62" s="2"/>
      <c r="T62" s="7">
        <v>1.19</v>
      </c>
      <c r="U62" s="2"/>
      <c r="V62" s="6">
        <f t="shared" si="29"/>
        <v>0</v>
      </c>
      <c r="W62" s="2"/>
      <c r="X62" s="7">
        <f t="shared" si="30"/>
        <v>661.71999999999991</v>
      </c>
      <c r="Y62" s="2"/>
      <c r="Z62" s="6">
        <f t="shared" si="31"/>
        <v>556.06722689075627</v>
      </c>
    </row>
    <row r="63" spans="1:26" s="25" customFormat="1" outlineLevel="1" collapsed="1" x14ac:dyDescent="0.35">
      <c r="A63" s="26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SUM(OSRRefD22_14x_0)</f>
        <v>59.5</v>
      </c>
      <c r="E63" s="1"/>
      <c r="F63" s="5">
        <f t="shared" ref="F63:F69" si="32">IF(D$12=0,0,D63/D$12)</f>
        <v>0</v>
      </c>
      <c r="G63" s="1"/>
      <c r="H63" s="1">
        <f>SUM(OSRRefH22_14x_0)</f>
        <v>367.65</v>
      </c>
      <c r="I63" s="1"/>
      <c r="J63" s="5">
        <f t="shared" ref="J63:J69" si="33">IF(H$12=0,0,H63/H$12)</f>
        <v>0</v>
      </c>
      <c r="K63" s="1"/>
      <c r="L63" s="1">
        <f t="shared" ref="L63:L69" si="34">+D63-H63</f>
        <v>-308.14999999999998</v>
      </c>
      <c r="M63" s="1"/>
      <c r="N63" s="5">
        <f t="shared" ref="N63:N69" si="35">IF(H63=0,0,L63/H63)</f>
        <v>-0.83816129470964229</v>
      </c>
      <c r="O63" s="12"/>
      <c r="P63" s="1">
        <f>SUM(OSRRefP22_14x_0)</f>
        <v>4605.8900000000003</v>
      </c>
      <c r="Q63" s="1"/>
      <c r="R63" s="5">
        <f t="shared" ref="R63:R69" si="36">IF(P$12=0,0,P63/P$12)</f>
        <v>0</v>
      </c>
      <c r="S63" s="1"/>
      <c r="T63" s="1">
        <f>SUM(OSRRefT22_14x_0)</f>
        <v>4450.55</v>
      </c>
      <c r="U63" s="1"/>
      <c r="V63" s="5">
        <f t="shared" ref="V63:V69" si="37">IF(T$12=0,0,T63/T$12)</f>
        <v>0</v>
      </c>
      <c r="W63" s="1"/>
      <c r="X63" s="1">
        <f t="shared" ref="X63:X69" si="38">+P63-T63</f>
        <v>155.34000000000015</v>
      </c>
      <c r="Y63" s="1"/>
      <c r="Z63" s="5">
        <f t="shared" ref="Z63:Z69" si="39">IF(T63=0,0,X63/T63)</f>
        <v>3.4903551246475185E-2</v>
      </c>
    </row>
    <row r="64" spans="1:26" s="24" customFormat="1" hidden="1" outlineLevel="2" x14ac:dyDescent="0.35">
      <c r="A64" s="27"/>
      <c r="B64" s="11" t="str">
        <f>CONCATENATE("          ", "6309", " - ", "TELEPHONE")</f>
        <v xml:space="preserve">          6309 - TELEPHONE</v>
      </c>
      <c r="C64" s="11"/>
      <c r="D64" s="7">
        <v>59.5</v>
      </c>
      <c r="E64" s="2"/>
      <c r="F64" s="6">
        <f t="shared" si="32"/>
        <v>0</v>
      </c>
      <c r="G64" s="2"/>
      <c r="H64" s="7">
        <v>367.65</v>
      </c>
      <c r="I64" s="2"/>
      <c r="J64" s="6">
        <f t="shared" si="33"/>
        <v>0</v>
      </c>
      <c r="K64" s="2"/>
      <c r="L64" s="7">
        <f t="shared" si="34"/>
        <v>-308.14999999999998</v>
      </c>
      <c r="M64" s="2"/>
      <c r="N64" s="6">
        <f t="shared" si="35"/>
        <v>-0.83816129470964229</v>
      </c>
      <c r="O64" s="11"/>
      <c r="P64" s="7">
        <v>4605.8900000000003</v>
      </c>
      <c r="Q64" s="2"/>
      <c r="R64" s="6">
        <f t="shared" si="36"/>
        <v>0</v>
      </c>
      <c r="S64" s="2"/>
      <c r="T64" s="7">
        <v>4450.55</v>
      </c>
      <c r="U64" s="2"/>
      <c r="V64" s="6">
        <f t="shared" si="37"/>
        <v>0</v>
      </c>
      <c r="W64" s="2"/>
      <c r="X64" s="7">
        <f t="shared" si="38"/>
        <v>155.34000000000015</v>
      </c>
      <c r="Y64" s="2"/>
      <c r="Z64" s="6">
        <f t="shared" si="39"/>
        <v>3.4903551246475185E-2</v>
      </c>
    </row>
    <row r="65" spans="1:26" s="25" customFormat="1" outlineLevel="1" collapsed="1" x14ac:dyDescent="0.35">
      <c r="A65" s="26"/>
      <c r="B65" s="12" t="str">
        <f>CONCATENATE("     ","Training                                          ")</f>
        <v xml:space="preserve">     Training                                          </v>
      </c>
      <c r="C65" s="12"/>
      <c r="D65" s="1">
        <f>SUM(OSRRefD22_15x_0)</f>
        <v>0</v>
      </c>
      <c r="E65" s="1"/>
      <c r="F65" s="5">
        <f t="shared" si="32"/>
        <v>0</v>
      </c>
      <c r="G65" s="1"/>
      <c r="H65" s="1">
        <f>SUM(OSRRefH22_15x_0)</f>
        <v>365.58</v>
      </c>
      <c r="I65" s="1"/>
      <c r="J65" s="5">
        <f t="shared" si="33"/>
        <v>0</v>
      </c>
      <c r="K65" s="1"/>
      <c r="L65" s="1">
        <f t="shared" si="34"/>
        <v>-365.58</v>
      </c>
      <c r="M65" s="1"/>
      <c r="N65" s="5">
        <f t="shared" si="35"/>
        <v>-1</v>
      </c>
      <c r="O65" s="12"/>
      <c r="P65" s="1">
        <f>SUM(OSRRefP22_15x_0)</f>
        <v>400.18</v>
      </c>
      <c r="Q65" s="1"/>
      <c r="R65" s="5">
        <f t="shared" si="36"/>
        <v>0</v>
      </c>
      <c r="S65" s="1"/>
      <c r="T65" s="1">
        <f>SUM(OSRRefT22_15x_0)</f>
        <v>5680.71</v>
      </c>
      <c r="U65" s="1"/>
      <c r="V65" s="5">
        <f t="shared" si="37"/>
        <v>0</v>
      </c>
      <c r="W65" s="1"/>
      <c r="X65" s="1">
        <f t="shared" si="38"/>
        <v>-5280.53</v>
      </c>
      <c r="Y65" s="1"/>
      <c r="Z65" s="5">
        <f t="shared" si="39"/>
        <v>-0.92955458032534666</v>
      </c>
    </row>
    <row r="66" spans="1:26" s="24" customFormat="1" hidden="1" outlineLevel="2" x14ac:dyDescent="0.35">
      <c r="A66" s="27"/>
      <c r="B66" s="11" t="str">
        <f>CONCATENATE("          ", "6376", " - ", "TRAINING")</f>
        <v xml:space="preserve">          6376 - TRAINING</v>
      </c>
      <c r="C66" s="11"/>
      <c r="D66" s="7"/>
      <c r="E66" s="2"/>
      <c r="F66" s="6">
        <f t="shared" si="32"/>
        <v>0</v>
      </c>
      <c r="G66" s="2"/>
      <c r="H66" s="7">
        <v>365.58</v>
      </c>
      <c r="I66" s="2"/>
      <c r="J66" s="6">
        <f t="shared" si="33"/>
        <v>0</v>
      </c>
      <c r="K66" s="2"/>
      <c r="L66" s="7">
        <f t="shared" si="34"/>
        <v>-365.58</v>
      </c>
      <c r="M66" s="2"/>
      <c r="N66" s="6">
        <f t="shared" si="35"/>
        <v>-1</v>
      </c>
      <c r="O66" s="11"/>
      <c r="P66" s="7">
        <v>400.18</v>
      </c>
      <c r="Q66" s="2"/>
      <c r="R66" s="6">
        <f t="shared" si="36"/>
        <v>0</v>
      </c>
      <c r="S66" s="2"/>
      <c r="T66" s="7">
        <v>5680.71</v>
      </c>
      <c r="U66" s="2"/>
      <c r="V66" s="6">
        <f t="shared" si="37"/>
        <v>0</v>
      </c>
      <c r="W66" s="2"/>
      <c r="X66" s="7">
        <f t="shared" si="38"/>
        <v>-5280.53</v>
      </c>
      <c r="Y66" s="2"/>
      <c r="Z66" s="6">
        <f t="shared" si="39"/>
        <v>-0.92955458032534666</v>
      </c>
    </row>
    <row r="67" spans="1:26" s="25" customFormat="1" outlineLevel="1" collapsed="1" x14ac:dyDescent="0.35">
      <c r="A67" s="26"/>
      <c r="B67" s="12" t="str">
        <f>CONCATENATE("     ","Travel                                            ")</f>
        <v xml:space="preserve">     Travel                                            </v>
      </c>
      <c r="C67" s="12"/>
      <c r="D67" s="1">
        <f>SUM(OSRRefD22_16x_0)</f>
        <v>0</v>
      </c>
      <c r="E67" s="1"/>
      <c r="F67" s="5">
        <f t="shared" si="32"/>
        <v>0</v>
      </c>
      <c r="G67" s="1"/>
      <c r="H67" s="1">
        <f>SUM(OSRRefH22_16x_0)</f>
        <v>22.62</v>
      </c>
      <c r="I67" s="1"/>
      <c r="J67" s="5">
        <f t="shared" si="33"/>
        <v>0</v>
      </c>
      <c r="K67" s="1"/>
      <c r="L67" s="1">
        <f t="shared" si="34"/>
        <v>-22.62</v>
      </c>
      <c r="M67" s="1"/>
      <c r="N67" s="5">
        <f t="shared" si="35"/>
        <v>-1</v>
      </c>
      <c r="O67" s="12"/>
      <c r="P67" s="1">
        <f>SUM(OSRRefP22_16x_0)</f>
        <v>0</v>
      </c>
      <c r="Q67" s="1"/>
      <c r="R67" s="5">
        <f t="shared" si="36"/>
        <v>0</v>
      </c>
      <c r="S67" s="1"/>
      <c r="T67" s="1">
        <f>SUM(OSRRefT22_16x_0)</f>
        <v>26.25</v>
      </c>
      <c r="U67" s="1"/>
      <c r="V67" s="5">
        <f t="shared" si="37"/>
        <v>0</v>
      </c>
      <c r="W67" s="1"/>
      <c r="X67" s="1">
        <f t="shared" si="38"/>
        <v>-26.25</v>
      </c>
      <c r="Y67" s="1"/>
      <c r="Z67" s="5">
        <f t="shared" si="39"/>
        <v>-1</v>
      </c>
    </row>
    <row r="68" spans="1:26" s="24" customFormat="1" hidden="1" outlineLevel="2" x14ac:dyDescent="0.35">
      <c r="A68" s="27"/>
      <c r="B68" s="11" t="str">
        <f>CONCATENATE("          ", "6292", " - ", "TRAVEL/CONFERENCE")</f>
        <v xml:space="preserve">          6292 - TRAVEL/CONFERENCE</v>
      </c>
      <c r="C68" s="11"/>
      <c r="D68" s="7"/>
      <c r="E68" s="2"/>
      <c r="F68" s="6">
        <f t="shared" si="32"/>
        <v>0</v>
      </c>
      <c r="G68" s="2"/>
      <c r="H68" s="7">
        <v>22.62</v>
      </c>
      <c r="I68" s="2"/>
      <c r="J68" s="6">
        <f t="shared" si="33"/>
        <v>0</v>
      </c>
      <c r="K68" s="2"/>
      <c r="L68" s="7">
        <f t="shared" si="34"/>
        <v>-22.62</v>
      </c>
      <c r="M68" s="2"/>
      <c r="N68" s="6">
        <f t="shared" si="35"/>
        <v>-1</v>
      </c>
      <c r="O68" s="11"/>
      <c r="P68" s="7"/>
      <c r="Q68" s="2"/>
      <c r="R68" s="6">
        <f t="shared" si="36"/>
        <v>0</v>
      </c>
      <c r="S68" s="2"/>
      <c r="T68" s="7">
        <v>22.62</v>
      </c>
      <c r="U68" s="2"/>
      <c r="V68" s="6">
        <f t="shared" si="37"/>
        <v>0</v>
      </c>
      <c r="W68" s="2"/>
      <c r="X68" s="7">
        <f t="shared" si="38"/>
        <v>-22.62</v>
      </c>
      <c r="Y68" s="2"/>
      <c r="Z68" s="6">
        <f t="shared" si="39"/>
        <v>-1</v>
      </c>
    </row>
    <row r="69" spans="1:26" s="24" customFormat="1" hidden="1" outlineLevel="2" x14ac:dyDescent="0.35">
      <c r="A69" s="27"/>
      <c r="B69" s="11" t="str">
        <f>CONCATENATE("          ", "6294", " - ", "TRAVEL OPERATIONAL")</f>
        <v xml:space="preserve">          6294 - TRAVEL OPERATIONAL</v>
      </c>
      <c r="C69" s="11"/>
      <c r="D69" s="7"/>
      <c r="E69" s="2"/>
      <c r="F69" s="6">
        <f t="shared" si="32"/>
        <v>0</v>
      </c>
      <c r="G69" s="2"/>
      <c r="H69" s="7"/>
      <c r="I69" s="2"/>
      <c r="J69" s="6">
        <f t="shared" si="33"/>
        <v>0</v>
      </c>
      <c r="K69" s="2"/>
      <c r="L69" s="7">
        <f t="shared" si="34"/>
        <v>0</v>
      </c>
      <c r="M69" s="2"/>
      <c r="N69" s="6">
        <f t="shared" si="35"/>
        <v>0</v>
      </c>
      <c r="O69" s="11"/>
      <c r="P69" s="7"/>
      <c r="Q69" s="2"/>
      <c r="R69" s="6">
        <f t="shared" si="36"/>
        <v>0</v>
      </c>
      <c r="S69" s="2"/>
      <c r="T69" s="7">
        <v>3.63</v>
      </c>
      <c r="U69" s="2"/>
      <c r="V69" s="6">
        <f t="shared" si="37"/>
        <v>0</v>
      </c>
      <c r="W69" s="2"/>
      <c r="X69" s="7">
        <f t="shared" si="38"/>
        <v>-3.63</v>
      </c>
      <c r="Y69" s="2"/>
      <c r="Z69" s="6">
        <f t="shared" si="39"/>
        <v>-1</v>
      </c>
    </row>
    <row r="70" spans="1:26" s="56" customFormat="1" x14ac:dyDescent="0.3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35">
      <c r="A71" s="10"/>
      <c r="B71" s="29" t="s">
        <v>0</v>
      </c>
      <c r="C71" s="10"/>
      <c r="D71" s="4">
        <f>SUM(0)</f>
        <v>0</v>
      </c>
      <c r="E71" s="4"/>
      <c r="F71" s="13">
        <f>IF(D$12=0,0,D71/D$12)</f>
        <v>0</v>
      </c>
      <c r="G71" s="4"/>
      <c r="H71" s="4">
        <f>SUM(0)</f>
        <v>0</v>
      </c>
      <c r="I71" s="4"/>
      <c r="J71" s="13">
        <f>IF(H$12=0,0,H71/H$12)</f>
        <v>0</v>
      </c>
      <c r="K71" s="4"/>
      <c r="L71" s="4">
        <f>+D71-H71</f>
        <v>0</v>
      </c>
      <c r="M71" s="4"/>
      <c r="N71" s="13">
        <f>IF(H71=0,0,L71/H71)</f>
        <v>0</v>
      </c>
      <c r="O71" s="10"/>
      <c r="P71" s="4">
        <f>SUM(0)</f>
        <v>0</v>
      </c>
      <c r="Q71" s="4"/>
      <c r="R71" s="13">
        <f>IF(P$12=0,0,P71/P$12)</f>
        <v>0</v>
      </c>
      <c r="S71" s="4"/>
      <c r="T71" s="4">
        <f>SUM(0)</f>
        <v>0</v>
      </c>
      <c r="U71" s="4"/>
      <c r="V71" s="13">
        <f>IF(T$12=0,0,T71/T$12)</f>
        <v>0</v>
      </c>
      <c r="W71" s="4"/>
      <c r="X71" s="4">
        <f>+P71-T71</f>
        <v>0</v>
      </c>
      <c r="Y71" s="4"/>
      <c r="Z71" s="13">
        <f>IF(T71=0,0,X71/T71)</f>
        <v>0</v>
      </c>
    </row>
    <row r="72" spans="1:26" x14ac:dyDescent="0.3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5">
      <c r="A73" s="10"/>
      <c r="B73" s="28" t="s">
        <v>3</v>
      </c>
      <c r="C73" s="28"/>
      <c r="D73" s="22">
        <f>+D16-D18+D71</f>
        <v>-28987.139999999992</v>
      </c>
      <c r="E73" s="14"/>
      <c r="F73" s="21">
        <f>IF(D$12=0,0,D73/D$12)</f>
        <v>0</v>
      </c>
      <c r="G73" s="14"/>
      <c r="H73" s="22">
        <f>+H16-H18+H71</f>
        <v>-42716.87</v>
      </c>
      <c r="I73" s="14"/>
      <c r="J73" s="21">
        <f>IF(H$12=0,0,H73/H$12)</f>
        <v>0</v>
      </c>
      <c r="K73" s="15"/>
      <c r="L73" s="22">
        <f>+D73-H73</f>
        <v>13729.73000000001</v>
      </c>
      <c r="M73" s="15"/>
      <c r="N73" s="21">
        <f>IF(H73=0,0,L73/H73)</f>
        <v>-0.32141236003480617</v>
      </c>
      <c r="O73" s="29"/>
      <c r="P73" s="22">
        <f>+P16-P18+P71</f>
        <v>-565424.47</v>
      </c>
      <c r="Q73" s="14"/>
      <c r="R73" s="21">
        <f>IF(P$12=0,0,P73/P$12)</f>
        <v>0</v>
      </c>
      <c r="S73" s="14"/>
      <c r="T73" s="22">
        <f>+T16-T18+T71</f>
        <v>-633175.13</v>
      </c>
      <c r="U73" s="14"/>
      <c r="V73" s="21">
        <f>IF(T$12=0,0,T73/T$12)</f>
        <v>0</v>
      </c>
      <c r="W73" s="15"/>
      <c r="X73" s="22">
        <f>+P73-T73</f>
        <v>67750.660000000033</v>
      </c>
      <c r="Y73" s="15"/>
      <c r="Z73" s="21">
        <f>IF(T73=0,0,X73/T73)</f>
        <v>-0.10700145471601204</v>
      </c>
    </row>
    <row r="74" spans="1:26" x14ac:dyDescent="0.3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5">
      <c r="A75" s="51"/>
      <c r="B75" s="10" t="s">
        <v>13</v>
      </c>
      <c r="C75" s="10"/>
      <c r="D75" s="4"/>
      <c r="E75" s="4"/>
      <c r="F75" s="13">
        <f>IF(D$12=0,0,D75/D$12)</f>
        <v>0</v>
      </c>
      <c r="G75" s="4"/>
      <c r="H75" s="4"/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0"/>
      <c r="P75" s="4"/>
      <c r="Q75" s="4"/>
      <c r="R75" s="13">
        <f>IF(P$12=0,0,P75/P$12)</f>
        <v>0</v>
      </c>
      <c r="S75" s="4"/>
      <c r="T75" s="4"/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3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4">
      <c r="A77" s="10"/>
      <c r="B77" s="28" t="s">
        <v>4</v>
      </c>
      <c r="C77" s="28"/>
      <c r="D77" s="34">
        <f>+D73-D75</f>
        <v>-28987.139999999992</v>
      </c>
      <c r="E77" s="14"/>
      <c r="F77" s="32">
        <f>IF(D$12=0,0,D77/D$12)</f>
        <v>0</v>
      </c>
      <c r="G77" s="14"/>
      <c r="H77" s="34">
        <f>+H73-H75</f>
        <v>-42716.87</v>
      </c>
      <c r="I77" s="14"/>
      <c r="J77" s="32">
        <f>IF(H$12=0,0,H77/H$12)</f>
        <v>0</v>
      </c>
      <c r="K77" s="15"/>
      <c r="L77" s="34">
        <f>D77-H77</f>
        <v>13729.73000000001</v>
      </c>
      <c r="M77" s="15"/>
      <c r="N77" s="32">
        <f>IF(H77=0,0,L77/H77)</f>
        <v>-0.32141236003480617</v>
      </c>
      <c r="O77" s="29"/>
      <c r="P77" s="34">
        <f>+P73-P75</f>
        <v>-565424.47</v>
      </c>
      <c r="Q77" s="14"/>
      <c r="R77" s="32">
        <f>IF(P$12=0,0,P77/P$12)</f>
        <v>0</v>
      </c>
      <c r="S77" s="14"/>
      <c r="T77" s="34">
        <f>+T73-T75</f>
        <v>-633175.13</v>
      </c>
      <c r="U77" s="14"/>
      <c r="V77" s="32">
        <f>IF(T$12=0,0,T77/T$12)</f>
        <v>0</v>
      </c>
      <c r="W77" s="15"/>
      <c r="X77" s="34">
        <f>P77-T77</f>
        <v>67750.660000000033</v>
      </c>
      <c r="Y77" s="15"/>
      <c r="Z77" s="32">
        <f>IF(T77=0,0,X77/T77)</f>
        <v>-0.10700145471601204</v>
      </c>
    </row>
    <row r="78" spans="1:26" ht="15" thickTop="1" x14ac:dyDescent="0.3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3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4">
      <c r="A80" s="10"/>
      <c r="B80" s="28" t="s">
        <v>5</v>
      </c>
      <c r="C80" s="28"/>
      <c r="D80" s="35">
        <f>SUM(D77:D79)</f>
        <v>-28987.139999999992</v>
      </c>
      <c r="E80" s="14"/>
      <c r="F80" s="33">
        <f>IF(D$12=0,0,D80/D$12)</f>
        <v>0</v>
      </c>
      <c r="G80" s="14"/>
      <c r="H80" s="35">
        <f>SUM(H77:H79)</f>
        <v>-42716.87</v>
      </c>
      <c r="I80" s="14"/>
      <c r="J80" s="33">
        <f>IF(H$12=0,0,H80/H$12)</f>
        <v>0</v>
      </c>
      <c r="K80" s="15"/>
      <c r="L80" s="35">
        <f>+D80-H80</f>
        <v>13729.73000000001</v>
      </c>
      <c r="M80" s="15"/>
      <c r="N80" s="33">
        <f>IF(H80=0,0,L80/H80)</f>
        <v>-0.32141236003480617</v>
      </c>
      <c r="O80" s="29"/>
      <c r="P80" s="35">
        <f>SUM(P77:P79)</f>
        <v>-565424.47</v>
      </c>
      <c r="Q80" s="14"/>
      <c r="R80" s="33">
        <f>IF(P$12=0,0,P80/P$12)</f>
        <v>0</v>
      </c>
      <c r="S80" s="14"/>
      <c r="T80" s="35">
        <f>SUM(T77:T79)</f>
        <v>-633175.13</v>
      </c>
      <c r="U80" s="14"/>
      <c r="V80" s="33">
        <f>IF(T$12=0,0,T80/T$12)</f>
        <v>0</v>
      </c>
      <c r="W80" s="15"/>
      <c r="X80" s="35">
        <f>+P80-T80</f>
        <v>67750.660000000033</v>
      </c>
      <c r="Y80" s="15"/>
      <c r="Z80" s="33">
        <f>IF(T80=0,0,X80/T80)</f>
        <v>-0.10700145471601204</v>
      </c>
    </row>
    <row r="81" spans="1:24" ht="15" thickTop="1" x14ac:dyDescent="0.3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5">
      <c r="A82" s="9"/>
      <c r="B82" s="52">
        <v>44043.522610879627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5">
      <c r="A83" s="9"/>
      <c r="B83" s="61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3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3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","203", " - ", "Human Resources")</f>
        <v>Department 203 - Human Resources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43972.88</v>
      </c>
      <c r="E18" s="20"/>
      <c r="F18" s="36">
        <f t="shared" ref="F18:F29" si="0">IF(D$12=0,0,D18/D$12)</f>
        <v>0</v>
      </c>
      <c r="G18" s="20"/>
      <c r="H18" s="20">
        <f>SUM(OSRRefH22x_0)</f>
        <v>62743.329999999987</v>
      </c>
      <c r="I18" s="20"/>
      <c r="J18" s="36">
        <f t="shared" ref="J18:J29" si="1">IF(H$12=0,0,H18/H$12)</f>
        <v>0</v>
      </c>
      <c r="K18" s="4"/>
      <c r="L18" s="20">
        <f t="shared" ref="L18:L29" si="2">+D18-H18</f>
        <v>-18770.44999999999</v>
      </c>
      <c r="M18" s="4"/>
      <c r="N18" s="36">
        <f t="shared" ref="N18:N29" si="3">IF(H18=0,0,L18/H18)</f>
        <v>-0.29916247671266399</v>
      </c>
      <c r="O18" s="10"/>
      <c r="P18" s="20">
        <f>SUM(OSRRefP22x_0)</f>
        <v>802300.28000000014</v>
      </c>
      <c r="Q18" s="20"/>
      <c r="R18" s="36">
        <f t="shared" ref="R18:R29" si="4">IF(P$12=0,0,P18/P$12)</f>
        <v>0</v>
      </c>
      <c r="S18" s="20"/>
      <c r="T18" s="20">
        <f>SUM(OSRRefT22x_0)</f>
        <v>727638.20999999985</v>
      </c>
      <c r="U18" s="20"/>
      <c r="V18" s="36">
        <f t="shared" ref="V18:V29" si="5">IF(T$12=0,0,T18/T$12)</f>
        <v>0</v>
      </c>
      <c r="W18" s="4"/>
      <c r="X18" s="20">
        <f t="shared" ref="X18:X29" si="6">+P18-T18</f>
        <v>74662.070000000298</v>
      </c>
      <c r="Y18" s="4"/>
      <c r="Z18" s="36">
        <f t="shared" ref="Z18:Z29" si="7">IF(T18=0,0,X18/T18)</f>
        <v>0.10260878136127612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10214.569999999998</v>
      </c>
      <c r="E19" s="1"/>
      <c r="F19" s="5">
        <f t="shared" si="0"/>
        <v>0</v>
      </c>
      <c r="G19" s="1"/>
      <c r="H19" s="1">
        <f>SUM(OSRRefH22_0x_0)</f>
        <v>10245.86</v>
      </c>
      <c r="I19" s="1"/>
      <c r="J19" s="5">
        <f t="shared" si="1"/>
        <v>0</v>
      </c>
      <c r="K19" s="1"/>
      <c r="L19" s="1">
        <f t="shared" si="2"/>
        <v>-31.290000000002692</v>
      </c>
      <c r="M19" s="1"/>
      <c r="N19" s="5">
        <f t="shared" si="3"/>
        <v>-3.0539164111165573E-3</v>
      </c>
      <c r="O19" s="12"/>
      <c r="P19" s="1">
        <f>SUM(OSRRefP22_0x_0)</f>
        <v>165704.23999999996</v>
      </c>
      <c r="Q19" s="1"/>
      <c r="R19" s="5">
        <f t="shared" si="4"/>
        <v>0</v>
      </c>
      <c r="S19" s="1"/>
      <c r="T19" s="1">
        <f>SUM(OSRRefT22_0x_0)</f>
        <v>132825.80000000002</v>
      </c>
      <c r="U19" s="1"/>
      <c r="V19" s="5">
        <f t="shared" si="5"/>
        <v>0</v>
      </c>
      <c r="W19" s="1"/>
      <c r="X19" s="1">
        <f t="shared" si="6"/>
        <v>32878.439999999944</v>
      </c>
      <c r="Y19" s="1"/>
      <c r="Z19" s="5">
        <f t="shared" si="7"/>
        <v>0.24753052494319583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>
        <v>2021.53</v>
      </c>
      <c r="E20" s="2"/>
      <c r="F20" s="6">
        <f t="shared" si="0"/>
        <v>0</v>
      </c>
      <c r="G20" s="2"/>
      <c r="H20" s="7">
        <v>1651.66</v>
      </c>
      <c r="I20" s="2"/>
      <c r="J20" s="6">
        <f t="shared" si="1"/>
        <v>0</v>
      </c>
      <c r="K20" s="2"/>
      <c r="L20" s="7">
        <f t="shared" si="2"/>
        <v>369.86999999999989</v>
      </c>
      <c r="M20" s="2"/>
      <c r="N20" s="6">
        <f t="shared" si="3"/>
        <v>0.22393834082074995</v>
      </c>
      <c r="O20" s="11"/>
      <c r="P20" s="7">
        <v>26917.62</v>
      </c>
      <c r="Q20" s="2"/>
      <c r="R20" s="6">
        <f t="shared" si="4"/>
        <v>0</v>
      </c>
      <c r="S20" s="2"/>
      <c r="T20" s="7">
        <v>20933.47</v>
      </c>
      <c r="U20" s="2"/>
      <c r="V20" s="6">
        <f t="shared" si="5"/>
        <v>0</v>
      </c>
      <c r="W20" s="2"/>
      <c r="X20" s="7">
        <f t="shared" si="6"/>
        <v>5984.1499999999978</v>
      </c>
      <c r="Y20" s="2"/>
      <c r="Z20" s="6">
        <f t="shared" si="7"/>
        <v>0.28586517189935534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89.45</v>
      </c>
      <c r="E21" s="2"/>
      <c r="F21" s="6">
        <f t="shared" si="0"/>
        <v>0</v>
      </c>
      <c r="G21" s="2"/>
      <c r="H21" s="7">
        <v>100.01</v>
      </c>
      <c r="I21" s="2"/>
      <c r="J21" s="6">
        <f t="shared" si="1"/>
        <v>0</v>
      </c>
      <c r="K21" s="2"/>
      <c r="L21" s="7">
        <f t="shared" si="2"/>
        <v>-10.560000000000002</v>
      </c>
      <c r="M21" s="2"/>
      <c r="N21" s="6">
        <f t="shared" si="3"/>
        <v>-0.10558944105589443</v>
      </c>
      <c r="O21" s="11"/>
      <c r="P21" s="7">
        <v>1067.8800000000001</v>
      </c>
      <c r="Q21" s="2"/>
      <c r="R21" s="6">
        <f t="shared" si="4"/>
        <v>0</v>
      </c>
      <c r="S21" s="2"/>
      <c r="T21" s="7">
        <v>817.49</v>
      </c>
      <c r="U21" s="2"/>
      <c r="V21" s="6">
        <f t="shared" si="5"/>
        <v>0</v>
      </c>
      <c r="W21" s="2"/>
      <c r="X21" s="7">
        <f t="shared" si="6"/>
        <v>250.3900000000001</v>
      </c>
      <c r="Y21" s="2"/>
      <c r="Z21" s="6">
        <f t="shared" si="7"/>
        <v>0.3062912084551494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6091.67</v>
      </c>
      <c r="E22" s="2"/>
      <c r="F22" s="6">
        <f t="shared" si="0"/>
        <v>0</v>
      </c>
      <c r="G22" s="2"/>
      <c r="H22" s="7">
        <v>5861.62</v>
      </c>
      <c r="I22" s="2"/>
      <c r="J22" s="6">
        <f t="shared" si="1"/>
        <v>0</v>
      </c>
      <c r="K22" s="2"/>
      <c r="L22" s="7">
        <f t="shared" si="2"/>
        <v>230.05000000000018</v>
      </c>
      <c r="M22" s="2"/>
      <c r="N22" s="6">
        <f t="shared" si="3"/>
        <v>3.9246829374814503E-2</v>
      </c>
      <c r="O22" s="11"/>
      <c r="P22" s="7">
        <v>73799.079999999987</v>
      </c>
      <c r="Q22" s="2"/>
      <c r="R22" s="6">
        <f t="shared" si="4"/>
        <v>0</v>
      </c>
      <c r="S22" s="2"/>
      <c r="T22" s="7">
        <v>67890.720000000001</v>
      </c>
      <c r="U22" s="2"/>
      <c r="V22" s="6">
        <f t="shared" si="5"/>
        <v>0</v>
      </c>
      <c r="W22" s="2"/>
      <c r="X22" s="7">
        <f t="shared" si="6"/>
        <v>5908.359999999986</v>
      </c>
      <c r="Y22" s="2"/>
      <c r="Z22" s="6">
        <f t="shared" si="7"/>
        <v>8.7027505379232775E-2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-846.89</v>
      </c>
      <c r="E23" s="2"/>
      <c r="F23" s="6">
        <f t="shared" si="0"/>
        <v>0</v>
      </c>
      <c r="G23" s="2"/>
      <c r="H23" s="7">
        <v>83.88</v>
      </c>
      <c r="I23" s="2"/>
      <c r="J23" s="6">
        <f t="shared" si="1"/>
        <v>0</v>
      </c>
      <c r="K23" s="2"/>
      <c r="L23" s="7">
        <f t="shared" si="2"/>
        <v>-930.77</v>
      </c>
      <c r="M23" s="2"/>
      <c r="N23" s="6">
        <f t="shared" si="3"/>
        <v>-11.096447305674774</v>
      </c>
      <c r="O23" s="11"/>
      <c r="P23" s="7">
        <v>0</v>
      </c>
      <c r="Q23" s="2"/>
      <c r="R23" s="6">
        <f t="shared" si="4"/>
        <v>0</v>
      </c>
      <c r="S23" s="2"/>
      <c r="T23" s="7">
        <v>763.42</v>
      </c>
      <c r="U23" s="2"/>
      <c r="V23" s="6">
        <f t="shared" si="5"/>
        <v>0</v>
      </c>
      <c r="W23" s="2"/>
      <c r="X23" s="7">
        <f t="shared" si="6"/>
        <v>-763.42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>
        <v>1011.34</v>
      </c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1011.34</v>
      </c>
      <c r="M24" s="2"/>
      <c r="N24" s="6">
        <f t="shared" si="3"/>
        <v>0</v>
      </c>
      <c r="O24" s="11"/>
      <c r="P24" s="7">
        <v>14655.15</v>
      </c>
      <c r="Q24" s="2"/>
      <c r="R24" s="6">
        <f t="shared" si="4"/>
        <v>0</v>
      </c>
      <c r="S24" s="2"/>
      <c r="T24" s="7">
        <v>10133.44</v>
      </c>
      <c r="U24" s="2"/>
      <c r="V24" s="6">
        <f t="shared" si="5"/>
        <v>0</v>
      </c>
      <c r="W24" s="2"/>
      <c r="X24" s="7">
        <f t="shared" si="6"/>
        <v>4521.7099999999991</v>
      </c>
      <c r="Y24" s="2"/>
      <c r="Z24" s="6">
        <f t="shared" si="7"/>
        <v>0.44621668456121505</v>
      </c>
    </row>
    <row r="25" spans="1:26" s="24" customFormat="1" hidden="1" outlineLevel="2" x14ac:dyDescent="0.3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4936.88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4936.88</v>
      </c>
      <c r="Y25" s="2"/>
      <c r="Z25" s="6">
        <f t="shared" si="7"/>
        <v>0</v>
      </c>
    </row>
    <row r="26" spans="1:26" s="24" customFormat="1" hidden="1" outlineLevel="2" x14ac:dyDescent="0.3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466.21</v>
      </c>
      <c r="E26" s="2"/>
      <c r="F26" s="6">
        <f t="shared" si="0"/>
        <v>0</v>
      </c>
      <c r="G26" s="2"/>
      <c r="H26" s="7">
        <v>424.66</v>
      </c>
      <c r="I26" s="2"/>
      <c r="J26" s="6">
        <f t="shared" si="1"/>
        <v>0</v>
      </c>
      <c r="K26" s="2"/>
      <c r="L26" s="7">
        <f t="shared" si="2"/>
        <v>41.549999999999955</v>
      </c>
      <c r="M26" s="2"/>
      <c r="N26" s="6">
        <f t="shared" si="3"/>
        <v>9.7842980266566085E-2</v>
      </c>
      <c r="O26" s="11"/>
      <c r="P26" s="7">
        <v>5718.55</v>
      </c>
      <c r="Q26" s="2"/>
      <c r="R26" s="6">
        <f t="shared" si="4"/>
        <v>0</v>
      </c>
      <c r="S26" s="2"/>
      <c r="T26" s="7">
        <v>4148.9399999999996</v>
      </c>
      <c r="U26" s="2"/>
      <c r="V26" s="6">
        <f t="shared" si="5"/>
        <v>0</v>
      </c>
      <c r="W26" s="2"/>
      <c r="X26" s="7">
        <f t="shared" si="6"/>
        <v>1569.6100000000006</v>
      </c>
      <c r="Y26" s="2"/>
      <c r="Z26" s="6">
        <f t="shared" si="7"/>
        <v>0.37831590719557301</v>
      </c>
    </row>
    <row r="27" spans="1:26" s="24" customFormat="1" hidden="1" outlineLevel="2" x14ac:dyDescent="0.35">
      <c r="A27" s="27"/>
      <c r="B27" s="11" t="str">
        <f>CONCATENATE("          ", "6118", " - ", "VACATION")</f>
        <v xml:space="preserve">          6118 - VACATION</v>
      </c>
      <c r="C27" s="11"/>
      <c r="D27" s="7">
        <v>472.52</v>
      </c>
      <c r="E27" s="2"/>
      <c r="F27" s="6">
        <f t="shared" si="0"/>
        <v>0</v>
      </c>
      <c r="G27" s="2"/>
      <c r="H27" s="7">
        <v>1048.5999999999999</v>
      </c>
      <c r="I27" s="2"/>
      <c r="J27" s="6">
        <f t="shared" si="1"/>
        <v>0</v>
      </c>
      <c r="K27" s="2"/>
      <c r="L27" s="7">
        <f t="shared" si="2"/>
        <v>-576.07999999999993</v>
      </c>
      <c r="M27" s="2"/>
      <c r="N27" s="6">
        <f t="shared" si="3"/>
        <v>-0.54938012588212848</v>
      </c>
      <c r="O27" s="11"/>
      <c r="P27" s="7">
        <v>20368.54</v>
      </c>
      <c r="Q27" s="2"/>
      <c r="R27" s="6">
        <f t="shared" si="4"/>
        <v>0</v>
      </c>
      <c r="S27" s="2"/>
      <c r="T27" s="7">
        <v>13870.04</v>
      </c>
      <c r="U27" s="2"/>
      <c r="V27" s="6">
        <f t="shared" si="5"/>
        <v>0</v>
      </c>
      <c r="W27" s="2"/>
      <c r="X27" s="7">
        <f t="shared" si="6"/>
        <v>6498.5</v>
      </c>
      <c r="Y27" s="2"/>
      <c r="Z27" s="6">
        <f t="shared" si="7"/>
        <v>0.46852784851377499</v>
      </c>
    </row>
    <row r="28" spans="1:26" s="24" customFormat="1" hidden="1" outlineLevel="2" x14ac:dyDescent="0.35">
      <c r="A28" s="27"/>
      <c r="B28" s="11" t="str">
        <f>CONCATENATE("          ", "6119", " - ", "SICK LEAVE")</f>
        <v xml:space="preserve">          6119 - SICK LEAVE</v>
      </c>
      <c r="C28" s="11"/>
      <c r="D28" s="7">
        <v>900.74</v>
      </c>
      <c r="E28" s="2"/>
      <c r="F28" s="6">
        <f t="shared" si="0"/>
        <v>0</v>
      </c>
      <c r="G28" s="2"/>
      <c r="H28" s="7">
        <v>757.44</v>
      </c>
      <c r="I28" s="2"/>
      <c r="J28" s="6">
        <f t="shared" si="1"/>
        <v>0</v>
      </c>
      <c r="K28" s="2"/>
      <c r="L28" s="7">
        <f t="shared" si="2"/>
        <v>143.29999999999995</v>
      </c>
      <c r="M28" s="2"/>
      <c r="N28" s="6">
        <f t="shared" si="3"/>
        <v>0.18918990283058718</v>
      </c>
      <c r="O28" s="11"/>
      <c r="P28" s="7">
        <v>14579.58</v>
      </c>
      <c r="Q28" s="2"/>
      <c r="R28" s="6">
        <f t="shared" si="4"/>
        <v>0</v>
      </c>
      <c r="S28" s="2"/>
      <c r="T28" s="7">
        <v>9776.9699999999993</v>
      </c>
      <c r="U28" s="2"/>
      <c r="V28" s="6">
        <f t="shared" si="5"/>
        <v>0</v>
      </c>
      <c r="W28" s="2"/>
      <c r="X28" s="7">
        <f t="shared" si="6"/>
        <v>4802.6100000000006</v>
      </c>
      <c r="Y28" s="2"/>
      <c r="Z28" s="6">
        <f t="shared" si="7"/>
        <v>0.4912166039171646</v>
      </c>
    </row>
    <row r="29" spans="1:26" s="24" customFormat="1" hidden="1" outlineLevel="2" x14ac:dyDescent="0.35">
      <c r="A29" s="27"/>
      <c r="B29" s="11" t="str">
        <f>CONCATENATE("          ", "6156", " - ", "EMPLOYEE MEALS")</f>
        <v xml:space="preserve">          6156 - EMPLOYEE MEALS</v>
      </c>
      <c r="C29" s="11"/>
      <c r="D29" s="7">
        <v>8</v>
      </c>
      <c r="E29" s="2"/>
      <c r="F29" s="6">
        <f t="shared" si="0"/>
        <v>0</v>
      </c>
      <c r="G29" s="2"/>
      <c r="H29" s="7">
        <v>317.99</v>
      </c>
      <c r="I29" s="2"/>
      <c r="J29" s="6">
        <f t="shared" si="1"/>
        <v>0</v>
      </c>
      <c r="K29" s="2"/>
      <c r="L29" s="7">
        <f t="shared" si="2"/>
        <v>-309.99</v>
      </c>
      <c r="M29" s="2"/>
      <c r="N29" s="6">
        <f t="shared" si="3"/>
        <v>-0.97484197616277246</v>
      </c>
      <c r="O29" s="11"/>
      <c r="P29" s="7">
        <v>3660.96</v>
      </c>
      <c r="Q29" s="2"/>
      <c r="R29" s="6">
        <f t="shared" si="4"/>
        <v>0</v>
      </c>
      <c r="S29" s="2"/>
      <c r="T29" s="7">
        <v>4491.3100000000004</v>
      </c>
      <c r="U29" s="2"/>
      <c r="V29" s="6">
        <f t="shared" si="5"/>
        <v>0</v>
      </c>
      <c r="W29" s="2"/>
      <c r="X29" s="7">
        <f t="shared" si="6"/>
        <v>-830.35000000000036</v>
      </c>
      <c r="Y29" s="2"/>
      <c r="Z29" s="6">
        <f t="shared" si="7"/>
        <v>-0.18487924458565547</v>
      </c>
    </row>
    <row r="30" spans="1:26" s="25" customFormat="1" outlineLevel="1" collapsed="1" x14ac:dyDescent="0.35">
      <c r="A30" s="26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26355.91</v>
      </c>
      <c r="E30" s="1"/>
      <c r="F30" s="5">
        <f t="shared" ref="F30:F35" si="8">IF(D$12=0,0,D30/D$12)</f>
        <v>0</v>
      </c>
      <c r="G30" s="1"/>
      <c r="H30" s="1">
        <f>SUM(OSRRefH22_1x_0)</f>
        <v>20769.399999999998</v>
      </c>
      <c r="I30" s="1"/>
      <c r="J30" s="5">
        <f t="shared" ref="J30:J35" si="9">IF(H$12=0,0,H30/H$12)</f>
        <v>0</v>
      </c>
      <c r="K30" s="1"/>
      <c r="L30" s="1">
        <f t="shared" ref="L30:L35" si="10">+D30-H30</f>
        <v>5586.510000000002</v>
      </c>
      <c r="M30" s="1"/>
      <c r="N30" s="5">
        <f t="shared" ref="N30:N35" si="11">IF(H30=0,0,L30/H30)</f>
        <v>0.26897791943917504</v>
      </c>
      <c r="O30" s="12"/>
      <c r="P30" s="1">
        <f>SUM(OSRRefP22_1x_0)</f>
        <v>325084.53000000003</v>
      </c>
      <c r="Q30" s="1"/>
      <c r="R30" s="5">
        <f t="shared" ref="R30:R35" si="12">IF(P$12=0,0,P30/P$12)</f>
        <v>0</v>
      </c>
      <c r="S30" s="1"/>
      <c r="T30" s="1">
        <f>SUM(OSRRefT22_1x_0)</f>
        <v>260527.81000000003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64556.72</v>
      </c>
      <c r="Y30" s="1"/>
      <c r="Z30" s="5">
        <f t="shared" ref="Z30:Z35" si="15">IF(T30=0,0,X30/T30)</f>
        <v>0.24779204953206338</v>
      </c>
    </row>
    <row r="31" spans="1:26" s="24" customFormat="1" hidden="1" outlineLevel="2" x14ac:dyDescent="0.3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9894.68</v>
      </c>
      <c r="E31" s="2"/>
      <c r="F31" s="6">
        <f t="shared" si="8"/>
        <v>0</v>
      </c>
      <c r="G31" s="2"/>
      <c r="H31" s="7">
        <v>7342.04</v>
      </c>
      <c r="I31" s="2"/>
      <c r="J31" s="6">
        <f t="shared" si="9"/>
        <v>0</v>
      </c>
      <c r="K31" s="2"/>
      <c r="L31" s="7">
        <f t="shared" si="10"/>
        <v>2552.6400000000003</v>
      </c>
      <c r="M31" s="2"/>
      <c r="N31" s="6">
        <f t="shared" si="11"/>
        <v>0.34767448828935832</v>
      </c>
      <c r="O31" s="11"/>
      <c r="P31" s="7">
        <v>112844.3</v>
      </c>
      <c r="Q31" s="2"/>
      <c r="R31" s="6">
        <f t="shared" si="12"/>
        <v>0</v>
      </c>
      <c r="S31" s="2"/>
      <c r="T31" s="7">
        <v>95446.49</v>
      </c>
      <c r="U31" s="2"/>
      <c r="V31" s="6">
        <f t="shared" si="13"/>
        <v>0</v>
      </c>
      <c r="W31" s="2"/>
      <c r="X31" s="7">
        <f t="shared" si="14"/>
        <v>17397.809999999998</v>
      </c>
      <c r="Y31" s="2"/>
      <c r="Z31" s="6">
        <f t="shared" si="15"/>
        <v>0.18227815396878394</v>
      </c>
    </row>
    <row r="32" spans="1:26" s="24" customFormat="1" hidden="1" outlineLevel="2" x14ac:dyDescent="0.35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>
        <v>21069.18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21069.18</v>
      </c>
      <c r="Y32" s="2"/>
      <c r="Z32" s="6">
        <f t="shared" si="15"/>
        <v>0</v>
      </c>
    </row>
    <row r="33" spans="1:26" s="24" customFormat="1" hidden="1" outlineLevel="2" x14ac:dyDescent="0.35">
      <c r="A33" s="27"/>
      <c r="B33" s="11" t="str">
        <f>CONCATENATE("          ", "6004", " - ", "STAFF HOURLY")</f>
        <v xml:space="preserve">          6004 - STAFF HOURLY</v>
      </c>
      <c r="C33" s="11"/>
      <c r="D33" s="7">
        <v>9973.52</v>
      </c>
      <c r="E33" s="2"/>
      <c r="F33" s="6">
        <f t="shared" si="8"/>
        <v>0</v>
      </c>
      <c r="G33" s="2"/>
      <c r="H33" s="7">
        <v>8295.92</v>
      </c>
      <c r="I33" s="2"/>
      <c r="J33" s="6">
        <f t="shared" si="9"/>
        <v>0</v>
      </c>
      <c r="K33" s="2"/>
      <c r="L33" s="7">
        <f t="shared" si="10"/>
        <v>1677.6000000000004</v>
      </c>
      <c r="M33" s="2"/>
      <c r="N33" s="6">
        <f t="shared" si="11"/>
        <v>0.20221988640199043</v>
      </c>
      <c r="O33" s="11"/>
      <c r="P33" s="7">
        <v>121467.52</v>
      </c>
      <c r="Q33" s="2"/>
      <c r="R33" s="6">
        <f t="shared" si="12"/>
        <v>0</v>
      </c>
      <c r="S33" s="2"/>
      <c r="T33" s="7">
        <v>105132.59</v>
      </c>
      <c r="U33" s="2"/>
      <c r="V33" s="6">
        <f t="shared" si="13"/>
        <v>0</v>
      </c>
      <c r="W33" s="2"/>
      <c r="X33" s="7">
        <f t="shared" si="14"/>
        <v>16334.930000000008</v>
      </c>
      <c r="Y33" s="2"/>
      <c r="Z33" s="6">
        <f t="shared" si="15"/>
        <v>0.1553745608283788</v>
      </c>
    </row>
    <row r="34" spans="1:26" s="24" customFormat="1" hidden="1" outlineLevel="2" x14ac:dyDescent="0.3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>
        <v>6487.71</v>
      </c>
      <c r="E34" s="2"/>
      <c r="F34" s="6">
        <f t="shared" si="8"/>
        <v>0</v>
      </c>
      <c r="G34" s="2"/>
      <c r="H34" s="7">
        <v>5131.4399999999996</v>
      </c>
      <c r="I34" s="2"/>
      <c r="J34" s="6">
        <f t="shared" si="9"/>
        <v>0</v>
      </c>
      <c r="K34" s="2"/>
      <c r="L34" s="7">
        <f t="shared" si="10"/>
        <v>1356.2700000000004</v>
      </c>
      <c r="M34" s="2"/>
      <c r="N34" s="6">
        <f t="shared" si="11"/>
        <v>0.26430592582199158</v>
      </c>
      <c r="O34" s="11"/>
      <c r="P34" s="7">
        <v>69703.53</v>
      </c>
      <c r="Q34" s="2"/>
      <c r="R34" s="6">
        <f t="shared" si="12"/>
        <v>0</v>
      </c>
      <c r="S34" s="2"/>
      <c r="T34" s="7">
        <v>43816.29</v>
      </c>
      <c r="U34" s="2"/>
      <c r="V34" s="6">
        <f t="shared" si="13"/>
        <v>0</v>
      </c>
      <c r="W34" s="2"/>
      <c r="X34" s="7">
        <f t="shared" si="14"/>
        <v>25887.239999999998</v>
      </c>
      <c r="Y34" s="2"/>
      <c r="Z34" s="6">
        <f t="shared" si="15"/>
        <v>0.59081314278319774</v>
      </c>
    </row>
    <row r="35" spans="1:26" s="24" customFormat="1" hidden="1" outlineLevel="2" x14ac:dyDescent="0.3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0</v>
      </c>
      <c r="Q35" s="2"/>
      <c r="R35" s="6">
        <f t="shared" si="12"/>
        <v>0</v>
      </c>
      <c r="S35" s="2"/>
      <c r="T35" s="7">
        <v>16132.44</v>
      </c>
      <c r="U35" s="2"/>
      <c r="V35" s="6">
        <f t="shared" si="13"/>
        <v>0</v>
      </c>
      <c r="W35" s="2"/>
      <c r="X35" s="7">
        <f t="shared" si="14"/>
        <v>-16132.44</v>
      </c>
      <c r="Y35" s="2"/>
      <c r="Z35" s="6">
        <f t="shared" si="15"/>
        <v>-1</v>
      </c>
    </row>
    <row r="36" spans="1:26" s="25" customFormat="1" outlineLevel="1" collapsed="1" x14ac:dyDescent="0.3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53" si="16">IF(D$12=0,0,D36/D$12)</f>
        <v>0</v>
      </c>
      <c r="G36" s="1"/>
      <c r="H36" s="1">
        <f>SUM(OSRRefH22_2x_0)</f>
        <v>1143.3699999999999</v>
      </c>
      <c r="I36" s="1"/>
      <c r="J36" s="5">
        <f t="shared" ref="J36:J53" si="17">IF(H$12=0,0,H36/H$12)</f>
        <v>0</v>
      </c>
      <c r="K36" s="1"/>
      <c r="L36" s="1">
        <f t="shared" ref="L36:L53" si="18">+D36-H36</f>
        <v>-1143.3699999999999</v>
      </c>
      <c r="M36" s="1"/>
      <c r="N36" s="5">
        <f t="shared" ref="N36:N53" si="19">IF(H36=0,0,L36/H36)</f>
        <v>-1</v>
      </c>
      <c r="O36" s="12"/>
      <c r="P36" s="1">
        <f>SUM(OSRRefP22_2x_0)</f>
        <v>1556.04</v>
      </c>
      <c r="Q36" s="1"/>
      <c r="R36" s="5">
        <f t="shared" ref="R36:R53" si="20">IF(P$12=0,0,P36/P$12)</f>
        <v>0</v>
      </c>
      <c r="S36" s="1"/>
      <c r="T36" s="1">
        <f>SUM(OSRRefT22_2x_0)</f>
        <v>5650.52</v>
      </c>
      <c r="U36" s="1"/>
      <c r="V36" s="5">
        <f t="shared" ref="V36:V53" si="21">IF(T$12=0,0,T36/T$12)</f>
        <v>0</v>
      </c>
      <c r="W36" s="1"/>
      <c r="X36" s="1">
        <f t="shared" ref="X36:X53" si="22">+P36-T36</f>
        <v>-4094.4800000000005</v>
      </c>
      <c r="Y36" s="1"/>
      <c r="Z36" s="5">
        <f t="shared" ref="Z36:Z53" si="23">IF(T36=0,0,X36/T36)</f>
        <v>-0.72462003497023286</v>
      </c>
    </row>
    <row r="37" spans="1:26" s="24" customFormat="1" hidden="1" outlineLevel="2" x14ac:dyDescent="0.3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>
        <v>1143.3699999999999</v>
      </c>
      <c r="I37" s="2"/>
      <c r="J37" s="6">
        <f t="shared" si="17"/>
        <v>0</v>
      </c>
      <c r="K37" s="2"/>
      <c r="L37" s="7">
        <f t="shared" si="18"/>
        <v>-1143.3699999999999</v>
      </c>
      <c r="M37" s="2"/>
      <c r="N37" s="6">
        <f t="shared" si="19"/>
        <v>-1</v>
      </c>
      <c r="O37" s="11"/>
      <c r="P37" s="7">
        <v>1556.04</v>
      </c>
      <c r="Q37" s="2"/>
      <c r="R37" s="6">
        <f t="shared" si="20"/>
        <v>0</v>
      </c>
      <c r="S37" s="2"/>
      <c r="T37" s="7">
        <v>5650.52</v>
      </c>
      <c r="U37" s="2"/>
      <c r="V37" s="6">
        <f t="shared" si="21"/>
        <v>0</v>
      </c>
      <c r="W37" s="2"/>
      <c r="X37" s="7">
        <f t="shared" si="22"/>
        <v>-4094.4800000000005</v>
      </c>
      <c r="Y37" s="2"/>
      <c r="Z37" s="6">
        <f t="shared" si="23"/>
        <v>-0.72462003497023286</v>
      </c>
    </row>
    <row r="38" spans="1:26" s="25" customFormat="1" outlineLevel="1" collapsed="1" x14ac:dyDescent="0.35">
      <c r="A38" s="26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224.2</v>
      </c>
      <c r="I38" s="1"/>
      <c r="J38" s="5">
        <f t="shared" si="17"/>
        <v>0</v>
      </c>
      <c r="K38" s="1"/>
      <c r="L38" s="1">
        <f t="shared" si="18"/>
        <v>-224.2</v>
      </c>
      <c r="M38" s="1"/>
      <c r="N38" s="5">
        <f t="shared" si="19"/>
        <v>-1</v>
      </c>
      <c r="O38" s="12"/>
      <c r="P38" s="1">
        <f>SUM(OSRRefP22_3x_0)</f>
        <v>2017.57</v>
      </c>
      <c r="Q38" s="1"/>
      <c r="R38" s="5">
        <f t="shared" si="20"/>
        <v>0</v>
      </c>
      <c r="S38" s="1"/>
      <c r="T38" s="1">
        <f>SUM(OSRRefT22_3x_0)</f>
        <v>2690.07</v>
      </c>
      <c r="U38" s="1"/>
      <c r="V38" s="5">
        <f t="shared" si="21"/>
        <v>0</v>
      </c>
      <c r="W38" s="1"/>
      <c r="X38" s="1">
        <f t="shared" si="22"/>
        <v>-672.50000000000023</v>
      </c>
      <c r="Y38" s="1"/>
      <c r="Z38" s="5">
        <f t="shared" si="23"/>
        <v>-0.24999349459307757</v>
      </c>
    </row>
    <row r="39" spans="1:26" s="24" customFormat="1" hidden="1" outlineLevel="2" x14ac:dyDescent="0.35">
      <c r="A39" s="27"/>
      <c r="B39" s="11" t="str">
        <f>CONCATENATE("          ", "6322", " - ", "EQUIPMENT DEPRECIATION EXPENSE")</f>
        <v xml:space="preserve">          6322 - EQUIPMENT DEPRECIATION EXPENSE</v>
      </c>
      <c r="C39" s="11"/>
      <c r="D39" s="7"/>
      <c r="E39" s="2"/>
      <c r="F39" s="6">
        <f t="shared" si="16"/>
        <v>0</v>
      </c>
      <c r="G39" s="2"/>
      <c r="H39" s="7">
        <v>224.2</v>
      </c>
      <c r="I39" s="2"/>
      <c r="J39" s="6">
        <f t="shared" si="17"/>
        <v>0</v>
      </c>
      <c r="K39" s="2"/>
      <c r="L39" s="7">
        <f t="shared" si="18"/>
        <v>-224.2</v>
      </c>
      <c r="M39" s="2"/>
      <c r="N39" s="6">
        <f t="shared" si="19"/>
        <v>-1</v>
      </c>
      <c r="O39" s="11"/>
      <c r="P39" s="7">
        <v>2017.57</v>
      </c>
      <c r="Q39" s="2"/>
      <c r="R39" s="6">
        <f t="shared" si="20"/>
        <v>0</v>
      </c>
      <c r="S39" s="2"/>
      <c r="T39" s="7">
        <v>2690.07</v>
      </c>
      <c r="U39" s="2"/>
      <c r="V39" s="6">
        <f t="shared" si="21"/>
        <v>0</v>
      </c>
      <c r="W39" s="2"/>
      <c r="X39" s="7">
        <f t="shared" si="22"/>
        <v>-672.50000000000023</v>
      </c>
      <c r="Y39" s="2"/>
      <c r="Z39" s="6">
        <f t="shared" si="23"/>
        <v>-0.24999349459307757</v>
      </c>
    </row>
    <row r="40" spans="1:26" s="25" customFormat="1" outlineLevel="1" collapsed="1" x14ac:dyDescent="0.35">
      <c r="A40" s="26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10767.95</v>
      </c>
      <c r="I40" s="1"/>
      <c r="J40" s="5">
        <f t="shared" si="17"/>
        <v>0</v>
      </c>
      <c r="K40" s="1"/>
      <c r="L40" s="1">
        <f t="shared" si="18"/>
        <v>-10767.95</v>
      </c>
      <c r="M40" s="1"/>
      <c r="N40" s="5">
        <f t="shared" si="19"/>
        <v>-1</v>
      </c>
      <c r="O40" s="12"/>
      <c r="P40" s="1">
        <f>SUM(OSRRefP22_4x_0)</f>
        <v>29521.939999999995</v>
      </c>
      <c r="Q40" s="1"/>
      <c r="R40" s="5">
        <f t="shared" si="20"/>
        <v>0</v>
      </c>
      <c r="S40" s="1"/>
      <c r="T40" s="1">
        <f>SUM(OSRRefT22_4x_0)</f>
        <v>57266.39</v>
      </c>
      <c r="U40" s="1"/>
      <c r="V40" s="5">
        <f t="shared" si="21"/>
        <v>0</v>
      </c>
      <c r="W40" s="1"/>
      <c r="X40" s="1">
        <f t="shared" si="22"/>
        <v>-27744.450000000004</v>
      </c>
      <c r="Y40" s="1"/>
      <c r="Z40" s="5">
        <f t="shared" si="23"/>
        <v>-0.48448051291516725</v>
      </c>
    </row>
    <row r="41" spans="1:26" s="24" customFormat="1" hidden="1" outlineLevel="2" x14ac:dyDescent="0.35">
      <c r="A41" s="27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16"/>
        <v>0</v>
      </c>
      <c r="G41" s="2"/>
      <c r="H41" s="7">
        <v>10767.95</v>
      </c>
      <c r="I41" s="2"/>
      <c r="J41" s="6">
        <f t="shared" si="17"/>
        <v>0</v>
      </c>
      <c r="K41" s="2"/>
      <c r="L41" s="7">
        <f t="shared" si="18"/>
        <v>-10767.95</v>
      </c>
      <c r="M41" s="2"/>
      <c r="N41" s="6">
        <f t="shared" si="19"/>
        <v>-1</v>
      </c>
      <c r="O41" s="11"/>
      <c r="P41" s="7">
        <v>29521.939999999995</v>
      </c>
      <c r="Q41" s="2"/>
      <c r="R41" s="6">
        <f t="shared" si="20"/>
        <v>0</v>
      </c>
      <c r="S41" s="2"/>
      <c r="T41" s="7">
        <v>57266.39</v>
      </c>
      <c r="U41" s="2"/>
      <c r="V41" s="6">
        <f t="shared" si="21"/>
        <v>0</v>
      </c>
      <c r="W41" s="2"/>
      <c r="X41" s="7">
        <f t="shared" si="22"/>
        <v>-27744.450000000004</v>
      </c>
      <c r="Y41" s="2"/>
      <c r="Z41" s="6">
        <f t="shared" si="23"/>
        <v>-0.48448051291516725</v>
      </c>
    </row>
    <row r="42" spans="1:26" s="25" customFormat="1" outlineLevel="1" collapsed="1" x14ac:dyDescent="0.35">
      <c r="A42" s="26"/>
      <c r="B42" s="12" t="str">
        <f>CONCATENATE("     ","Equipment Rental                                  ")</f>
        <v xml:space="preserve">     Equipment Rental                                  </v>
      </c>
      <c r="C42" s="12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91.26</v>
      </c>
      <c r="I42" s="1"/>
      <c r="J42" s="5">
        <f t="shared" si="17"/>
        <v>0</v>
      </c>
      <c r="K42" s="1"/>
      <c r="L42" s="1">
        <f t="shared" si="18"/>
        <v>-91.26</v>
      </c>
      <c r="M42" s="1"/>
      <c r="N42" s="5">
        <f t="shared" si="19"/>
        <v>-1</v>
      </c>
      <c r="O42" s="12"/>
      <c r="P42" s="1">
        <f>SUM(OSRRefP22_5x_0)</f>
        <v>273.77999999999997</v>
      </c>
      <c r="Q42" s="1"/>
      <c r="R42" s="5">
        <f t="shared" si="20"/>
        <v>0</v>
      </c>
      <c r="S42" s="1"/>
      <c r="T42" s="1">
        <f>SUM(OSRRefT22_5x_0)</f>
        <v>1095.1199999999999</v>
      </c>
      <c r="U42" s="1"/>
      <c r="V42" s="5">
        <f t="shared" si="21"/>
        <v>0</v>
      </c>
      <c r="W42" s="1"/>
      <c r="X42" s="1">
        <f t="shared" si="22"/>
        <v>-821.33999999999992</v>
      </c>
      <c r="Y42" s="1"/>
      <c r="Z42" s="5">
        <f t="shared" si="23"/>
        <v>-0.75</v>
      </c>
    </row>
    <row r="43" spans="1:26" s="24" customFormat="1" hidden="1" outlineLevel="2" x14ac:dyDescent="0.35">
      <c r="A43" s="27"/>
      <c r="B43" s="11" t="str">
        <f>CONCATENATE("          ", "6351", " - ", "EQUIPMENT RENTAL")</f>
        <v xml:space="preserve">          6351 - EQUIPMENT RENTAL</v>
      </c>
      <c r="C43" s="11"/>
      <c r="D43" s="7"/>
      <c r="E43" s="2"/>
      <c r="F43" s="6">
        <f t="shared" si="16"/>
        <v>0</v>
      </c>
      <c r="G43" s="2"/>
      <c r="H43" s="7">
        <v>91.26</v>
      </c>
      <c r="I43" s="2"/>
      <c r="J43" s="6">
        <f t="shared" si="17"/>
        <v>0</v>
      </c>
      <c r="K43" s="2"/>
      <c r="L43" s="7">
        <f t="shared" si="18"/>
        <v>-91.26</v>
      </c>
      <c r="M43" s="2"/>
      <c r="N43" s="6">
        <f t="shared" si="19"/>
        <v>-1</v>
      </c>
      <c r="O43" s="11"/>
      <c r="P43" s="7">
        <v>273.77999999999997</v>
      </c>
      <c r="Q43" s="2"/>
      <c r="R43" s="6">
        <f t="shared" si="20"/>
        <v>0</v>
      </c>
      <c r="S43" s="2"/>
      <c r="T43" s="7">
        <v>1095.1199999999999</v>
      </c>
      <c r="U43" s="2"/>
      <c r="V43" s="6">
        <f t="shared" si="21"/>
        <v>0</v>
      </c>
      <c r="W43" s="2"/>
      <c r="X43" s="7">
        <f t="shared" si="22"/>
        <v>-821.33999999999992</v>
      </c>
      <c r="Y43" s="2"/>
      <c r="Z43" s="6">
        <f t="shared" si="23"/>
        <v>-0.75</v>
      </c>
    </row>
    <row r="44" spans="1:26" s="25" customFormat="1" outlineLevel="1" collapsed="1" x14ac:dyDescent="0.35">
      <c r="A44" s="26"/>
      <c r="B44" s="12" t="str">
        <f>CONCATENATE("     ","Freight out/Postage                               ")</f>
        <v xml:space="preserve">     Freight out/Postage                               </v>
      </c>
      <c r="C44" s="12"/>
      <c r="D44" s="1">
        <f>SUM(OSRRefD22_6x_0)</f>
        <v>5.5</v>
      </c>
      <c r="E44" s="1"/>
      <c r="F44" s="5">
        <f t="shared" si="16"/>
        <v>0</v>
      </c>
      <c r="G44" s="1"/>
      <c r="H44" s="1">
        <f>SUM(OSRRefH22_6x_0)</f>
        <v>94.95</v>
      </c>
      <c r="I44" s="1"/>
      <c r="J44" s="5">
        <f t="shared" si="17"/>
        <v>0</v>
      </c>
      <c r="K44" s="1"/>
      <c r="L44" s="1">
        <f t="shared" si="18"/>
        <v>-89.45</v>
      </c>
      <c r="M44" s="1"/>
      <c r="N44" s="5">
        <f t="shared" si="19"/>
        <v>-0.94207477619799895</v>
      </c>
      <c r="O44" s="12"/>
      <c r="P44" s="1">
        <f>SUM(OSRRefP22_6x_0)</f>
        <v>1121</v>
      </c>
      <c r="Q44" s="1"/>
      <c r="R44" s="5">
        <f t="shared" si="20"/>
        <v>0</v>
      </c>
      <c r="S44" s="1"/>
      <c r="T44" s="1">
        <f>SUM(OSRRefT22_6x_0)</f>
        <v>1565.83</v>
      </c>
      <c r="U44" s="1"/>
      <c r="V44" s="5">
        <f t="shared" si="21"/>
        <v>0</v>
      </c>
      <c r="W44" s="1"/>
      <c r="X44" s="1">
        <f t="shared" si="22"/>
        <v>-444.82999999999993</v>
      </c>
      <c r="Y44" s="1"/>
      <c r="Z44" s="5">
        <f t="shared" si="23"/>
        <v>-0.2840857564358838</v>
      </c>
    </row>
    <row r="45" spans="1:26" s="24" customFormat="1" hidden="1" outlineLevel="2" x14ac:dyDescent="0.35">
      <c r="A45" s="27"/>
      <c r="B45" s="11" t="str">
        <f>CONCATENATE("          ", "6307", " - ", "POSTAGE")</f>
        <v xml:space="preserve">          6307 - POSTAGE</v>
      </c>
      <c r="C45" s="11"/>
      <c r="D45" s="7">
        <v>5.5</v>
      </c>
      <c r="E45" s="2"/>
      <c r="F45" s="6">
        <f t="shared" si="16"/>
        <v>0</v>
      </c>
      <c r="G45" s="2"/>
      <c r="H45" s="7">
        <v>94.95</v>
      </c>
      <c r="I45" s="2"/>
      <c r="J45" s="6">
        <f t="shared" si="17"/>
        <v>0</v>
      </c>
      <c r="K45" s="2"/>
      <c r="L45" s="7">
        <f t="shared" si="18"/>
        <v>-89.45</v>
      </c>
      <c r="M45" s="2"/>
      <c r="N45" s="6">
        <f t="shared" si="19"/>
        <v>-0.94207477619799895</v>
      </c>
      <c r="O45" s="11"/>
      <c r="P45" s="7">
        <v>1121</v>
      </c>
      <c r="Q45" s="2"/>
      <c r="R45" s="6">
        <f t="shared" si="20"/>
        <v>0</v>
      </c>
      <c r="S45" s="2"/>
      <c r="T45" s="7">
        <v>1565.83</v>
      </c>
      <c r="U45" s="2"/>
      <c r="V45" s="6">
        <f t="shared" si="21"/>
        <v>0</v>
      </c>
      <c r="W45" s="2"/>
      <c r="X45" s="7">
        <f t="shared" si="22"/>
        <v>-444.82999999999993</v>
      </c>
      <c r="Y45" s="2"/>
      <c r="Z45" s="6">
        <f t="shared" si="23"/>
        <v>-0.2840857564358838</v>
      </c>
    </row>
    <row r="46" spans="1:26" s="25" customFormat="1" outlineLevel="1" collapsed="1" x14ac:dyDescent="0.35">
      <c r="A46" s="26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SUM(OSRRefD22_7x_0)</f>
        <v>0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2"/>
      <c r="P46" s="1">
        <f>SUM(OSRRefP22_7x_0)</f>
        <v>700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0</v>
      </c>
      <c r="Y46" s="1"/>
      <c r="Z46" s="5">
        <f t="shared" si="23"/>
        <v>0</v>
      </c>
    </row>
    <row r="47" spans="1:26" s="24" customFormat="1" hidden="1" outlineLevel="2" x14ac:dyDescent="0.35">
      <c r="A47" s="27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700</v>
      </c>
      <c r="Q47" s="2"/>
      <c r="R47" s="6">
        <f t="shared" si="20"/>
        <v>0</v>
      </c>
      <c r="S47" s="2"/>
      <c r="T47" s="7">
        <v>700</v>
      </c>
      <c r="U47" s="2"/>
      <c r="V47" s="6">
        <f t="shared" si="21"/>
        <v>0</v>
      </c>
      <c r="W47" s="2"/>
      <c r="X47" s="7">
        <f t="shared" si="22"/>
        <v>0</v>
      </c>
      <c r="Y47" s="2"/>
      <c r="Z47" s="6">
        <f t="shared" si="23"/>
        <v>0</v>
      </c>
    </row>
    <row r="48" spans="1:26" s="25" customFormat="1" outlineLevel="1" collapsed="1" x14ac:dyDescent="0.35">
      <c r="A48" s="26"/>
      <c r="B48" s="12" t="str">
        <f>CONCATENATE("     ","Insurance                                         ")</f>
        <v xml:space="preserve">     Insurance                                         </v>
      </c>
      <c r="C48" s="12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61.68</v>
      </c>
      <c r="I48" s="1"/>
      <c r="J48" s="5">
        <f t="shared" si="17"/>
        <v>0</v>
      </c>
      <c r="K48" s="1"/>
      <c r="L48" s="1">
        <f t="shared" si="18"/>
        <v>3.7899999999999991</v>
      </c>
      <c r="M48" s="1"/>
      <c r="N48" s="5">
        <f t="shared" si="19"/>
        <v>6.1446173800259393E-2</v>
      </c>
      <c r="O48" s="12"/>
      <c r="P48" s="1">
        <f>SUM(OSRRefP22_8x_0)</f>
        <v>785.64</v>
      </c>
      <c r="Q48" s="1"/>
      <c r="R48" s="5">
        <f t="shared" si="20"/>
        <v>0</v>
      </c>
      <c r="S48" s="1"/>
      <c r="T48" s="1">
        <f>SUM(OSRRefT22_8x_0)</f>
        <v>630.1</v>
      </c>
      <c r="U48" s="1"/>
      <c r="V48" s="5">
        <f t="shared" si="21"/>
        <v>0</v>
      </c>
      <c r="W48" s="1"/>
      <c r="X48" s="1">
        <f t="shared" si="22"/>
        <v>155.53999999999996</v>
      </c>
      <c r="Y48" s="1"/>
      <c r="Z48" s="5">
        <f t="shared" si="23"/>
        <v>0.24684970639581011</v>
      </c>
    </row>
    <row r="49" spans="1:26" s="24" customFormat="1" hidden="1" outlineLevel="2" x14ac:dyDescent="0.35">
      <c r="A49" s="27"/>
      <c r="B49" s="11" t="str">
        <f>CONCATENATE("          ", "6314", " - ", "LIABILITY INSURANCE")</f>
        <v xml:space="preserve">          6314 - LIABILITY INSURANCE</v>
      </c>
      <c r="C49" s="11"/>
      <c r="D49" s="7">
        <v>65.47</v>
      </c>
      <c r="E49" s="2"/>
      <c r="F49" s="6">
        <f t="shared" si="16"/>
        <v>0</v>
      </c>
      <c r="G49" s="2"/>
      <c r="H49" s="7">
        <v>61.68</v>
      </c>
      <c r="I49" s="2"/>
      <c r="J49" s="6">
        <f t="shared" si="17"/>
        <v>0</v>
      </c>
      <c r="K49" s="2"/>
      <c r="L49" s="7">
        <f t="shared" si="18"/>
        <v>3.7899999999999991</v>
      </c>
      <c r="M49" s="2"/>
      <c r="N49" s="6">
        <f t="shared" si="19"/>
        <v>6.1446173800259393E-2</v>
      </c>
      <c r="O49" s="11"/>
      <c r="P49" s="7">
        <v>785.64</v>
      </c>
      <c r="Q49" s="2"/>
      <c r="R49" s="6">
        <f t="shared" si="20"/>
        <v>0</v>
      </c>
      <c r="S49" s="2"/>
      <c r="T49" s="7">
        <v>630.1</v>
      </c>
      <c r="U49" s="2"/>
      <c r="V49" s="6">
        <f t="shared" si="21"/>
        <v>0</v>
      </c>
      <c r="W49" s="2"/>
      <c r="X49" s="7">
        <f t="shared" si="22"/>
        <v>155.53999999999996</v>
      </c>
      <c r="Y49" s="2"/>
      <c r="Z49" s="6">
        <f t="shared" si="23"/>
        <v>0.24684970639581011</v>
      </c>
    </row>
    <row r="50" spans="1:26" s="25" customFormat="1" outlineLevel="1" collapsed="1" x14ac:dyDescent="0.35">
      <c r="A50" s="26"/>
      <c r="B50" s="12" t="str">
        <f>CONCATENATE("     ","Professional Services                             ")</f>
        <v xml:space="preserve">     Professional Services                             </v>
      </c>
      <c r="C50" s="12"/>
      <c r="D50" s="1">
        <f>SUM(OSRRefD22_9x_0)</f>
        <v>595</v>
      </c>
      <c r="E50" s="1"/>
      <c r="F50" s="5">
        <f t="shared" si="16"/>
        <v>0</v>
      </c>
      <c r="G50" s="1"/>
      <c r="H50" s="1">
        <f>SUM(OSRRefH22_9x_0)</f>
        <v>4689</v>
      </c>
      <c r="I50" s="1"/>
      <c r="J50" s="5">
        <f t="shared" si="17"/>
        <v>0</v>
      </c>
      <c r="K50" s="1"/>
      <c r="L50" s="1">
        <f t="shared" si="18"/>
        <v>-4094</v>
      </c>
      <c r="M50" s="1"/>
      <c r="N50" s="5">
        <f t="shared" si="19"/>
        <v>-0.87310727233951801</v>
      </c>
      <c r="O50" s="12"/>
      <c r="P50" s="1">
        <f>SUM(OSRRefP22_9x_0)</f>
        <v>89533.52</v>
      </c>
      <c r="Q50" s="1"/>
      <c r="R50" s="5">
        <f t="shared" si="20"/>
        <v>0</v>
      </c>
      <c r="S50" s="1"/>
      <c r="T50" s="1">
        <f>SUM(OSRRefT22_9x_0)</f>
        <v>59017.490000000005</v>
      </c>
      <c r="U50" s="1"/>
      <c r="V50" s="5">
        <f t="shared" si="21"/>
        <v>0</v>
      </c>
      <c r="W50" s="1"/>
      <c r="X50" s="1">
        <f t="shared" si="22"/>
        <v>30516.03</v>
      </c>
      <c r="Y50" s="1"/>
      <c r="Z50" s="5">
        <f t="shared" si="23"/>
        <v>0.51706756759733419</v>
      </c>
    </row>
    <row r="51" spans="1:26" s="24" customFormat="1" hidden="1" outlineLevel="2" x14ac:dyDescent="0.35">
      <c r="A51" s="27"/>
      <c r="B51" s="11" t="str">
        <f>CONCATENATE("          ", "6332", " - ", "CONSULTANT FEES")</f>
        <v xml:space="preserve">          6332 - CONSULTANT FEES</v>
      </c>
      <c r="C51" s="11"/>
      <c r="D51" s="7"/>
      <c r="E51" s="2"/>
      <c r="F51" s="6">
        <f t="shared" si="16"/>
        <v>0</v>
      </c>
      <c r="G51" s="2"/>
      <c r="H51" s="7"/>
      <c r="I51" s="2"/>
      <c r="J51" s="6">
        <f t="shared" si="17"/>
        <v>0</v>
      </c>
      <c r="K51" s="2"/>
      <c r="L51" s="7">
        <f t="shared" si="18"/>
        <v>0</v>
      </c>
      <c r="M51" s="2"/>
      <c r="N51" s="6">
        <f t="shared" si="19"/>
        <v>0</v>
      </c>
      <c r="O51" s="11"/>
      <c r="P51" s="7">
        <v>21750</v>
      </c>
      <c r="Q51" s="2"/>
      <c r="R51" s="6">
        <f t="shared" si="20"/>
        <v>0</v>
      </c>
      <c r="S51" s="2"/>
      <c r="T51" s="7">
        <v>41800</v>
      </c>
      <c r="U51" s="2"/>
      <c r="V51" s="6">
        <f t="shared" si="21"/>
        <v>0</v>
      </c>
      <c r="W51" s="2"/>
      <c r="X51" s="7">
        <f t="shared" si="22"/>
        <v>-20050</v>
      </c>
      <c r="Y51" s="2"/>
      <c r="Z51" s="6">
        <f t="shared" si="23"/>
        <v>-0.47966507177033491</v>
      </c>
    </row>
    <row r="52" spans="1:26" s="24" customFormat="1" hidden="1" outlineLevel="2" x14ac:dyDescent="0.35">
      <c r="A52" s="27"/>
      <c r="B52" s="11" t="str">
        <f>CONCATENATE("          ", "6334", " - ", "LEGAL COUNCIL EXPENSE")</f>
        <v xml:space="preserve">          6334 - LEGAL COUNCIL EXPENSE</v>
      </c>
      <c r="C52" s="11"/>
      <c r="D52" s="7">
        <v>595</v>
      </c>
      <c r="E52" s="2"/>
      <c r="F52" s="6">
        <f t="shared" si="16"/>
        <v>0</v>
      </c>
      <c r="G52" s="2"/>
      <c r="H52" s="7">
        <v>4235</v>
      </c>
      <c r="I52" s="2"/>
      <c r="J52" s="6">
        <f t="shared" si="17"/>
        <v>0</v>
      </c>
      <c r="K52" s="2"/>
      <c r="L52" s="7">
        <f t="shared" si="18"/>
        <v>-3640</v>
      </c>
      <c r="M52" s="2"/>
      <c r="N52" s="6">
        <f t="shared" si="19"/>
        <v>-0.85950413223140498</v>
      </c>
      <c r="O52" s="11"/>
      <c r="P52" s="7">
        <v>38605</v>
      </c>
      <c r="Q52" s="2"/>
      <c r="R52" s="6">
        <f t="shared" si="20"/>
        <v>0</v>
      </c>
      <c r="S52" s="2"/>
      <c r="T52" s="7">
        <v>5377.79</v>
      </c>
      <c r="U52" s="2"/>
      <c r="V52" s="6">
        <f t="shared" si="21"/>
        <v>0</v>
      </c>
      <c r="W52" s="2"/>
      <c r="X52" s="7">
        <f t="shared" si="22"/>
        <v>33227.21</v>
      </c>
      <c r="Y52" s="2"/>
      <c r="Z52" s="6">
        <f t="shared" si="23"/>
        <v>6.1785993874807312</v>
      </c>
    </row>
    <row r="53" spans="1:26" s="24" customFormat="1" hidden="1" outlineLevel="2" x14ac:dyDescent="0.35">
      <c r="A53" s="27"/>
      <c r="B53" s="11" t="str">
        <f>CONCATENATE("          ", "6336", " - ", "PROFESSIONAL SERVICES")</f>
        <v xml:space="preserve">          6336 - PROFESSIONAL SERVICES</v>
      </c>
      <c r="C53" s="11"/>
      <c r="D53" s="7"/>
      <c r="E53" s="2"/>
      <c r="F53" s="6">
        <f t="shared" si="16"/>
        <v>0</v>
      </c>
      <c r="G53" s="2"/>
      <c r="H53" s="7">
        <v>454</v>
      </c>
      <c r="I53" s="2"/>
      <c r="J53" s="6">
        <f t="shared" si="17"/>
        <v>0</v>
      </c>
      <c r="K53" s="2"/>
      <c r="L53" s="7">
        <f t="shared" si="18"/>
        <v>-454</v>
      </c>
      <c r="M53" s="2"/>
      <c r="N53" s="6">
        <f t="shared" si="19"/>
        <v>-1</v>
      </c>
      <c r="O53" s="11"/>
      <c r="P53" s="7">
        <v>29178.52</v>
      </c>
      <c r="Q53" s="2"/>
      <c r="R53" s="6">
        <f t="shared" si="20"/>
        <v>0</v>
      </c>
      <c r="S53" s="2"/>
      <c r="T53" s="7">
        <v>11839.7</v>
      </c>
      <c r="U53" s="2"/>
      <c r="V53" s="6">
        <f t="shared" si="21"/>
        <v>0</v>
      </c>
      <c r="W53" s="2"/>
      <c r="X53" s="7">
        <f t="shared" si="22"/>
        <v>17338.82</v>
      </c>
      <c r="Y53" s="2"/>
      <c r="Z53" s="6">
        <f t="shared" si="23"/>
        <v>1.464464471228156</v>
      </c>
    </row>
    <row r="54" spans="1:26" s="25" customFormat="1" outlineLevel="1" collapsed="1" x14ac:dyDescent="0.35">
      <c r="A54" s="26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SUM(OSRRefD22_10x_0)</f>
        <v>5005.3900000000003</v>
      </c>
      <c r="E54" s="1"/>
      <c r="F54" s="5">
        <f t="shared" ref="F54:F56" si="24">IF(D$12=0,0,D54/D$12)</f>
        <v>0</v>
      </c>
      <c r="G54" s="1"/>
      <c r="H54" s="1">
        <f>SUM(OSRRefH22_10x_0)</f>
        <v>13318.37</v>
      </c>
      <c r="I54" s="1"/>
      <c r="J54" s="5">
        <f t="shared" ref="J54:J56" si="25">IF(H$12=0,0,H54/H$12)</f>
        <v>0</v>
      </c>
      <c r="K54" s="1"/>
      <c r="L54" s="1">
        <f t="shared" ref="L54:L56" si="26">+D54-H54</f>
        <v>-8312.98</v>
      </c>
      <c r="M54" s="1"/>
      <c r="N54" s="5">
        <f t="shared" ref="N54:N56" si="27">IF(H54=0,0,L54/H54)</f>
        <v>-0.62417397924821127</v>
      </c>
      <c r="O54" s="12"/>
      <c r="P54" s="1">
        <f>SUM(OSRRefP22_10x_0)</f>
        <v>148921.76999999999</v>
      </c>
      <c r="Q54" s="1"/>
      <c r="R54" s="5">
        <f t="shared" ref="R54:R56" si="28">IF(P$12=0,0,P54/P$12)</f>
        <v>0</v>
      </c>
      <c r="S54" s="1"/>
      <c r="T54" s="1">
        <f>SUM(OSRRefT22_10x_0)</f>
        <v>159549.06999999998</v>
      </c>
      <c r="U54" s="1"/>
      <c r="V54" s="5">
        <f t="shared" ref="V54:V56" si="29">IF(T$12=0,0,T54/T$12)</f>
        <v>0</v>
      </c>
      <c r="W54" s="1"/>
      <c r="X54" s="1">
        <f t="shared" ref="X54:X56" si="30">+P54-T54</f>
        <v>-10627.299999999988</v>
      </c>
      <c r="Y54" s="1"/>
      <c r="Z54" s="5">
        <f t="shared" ref="Z54:Z56" si="31">IF(T54=0,0,X54/T54)</f>
        <v>-6.6608348140167722E-2</v>
      </c>
    </row>
    <row r="55" spans="1:26" s="24" customFormat="1" hidden="1" outlineLevel="2" x14ac:dyDescent="0.35">
      <c r="A55" s="27"/>
      <c r="B55" s="11" t="str">
        <f>CONCATENATE("          ", "6371", " - ", "COMPUTER SOFTWARE MAINTENANCE")</f>
        <v xml:space="preserve">          6371 - COMPUTER SOFTWARE MAINTENANCE</v>
      </c>
      <c r="C55" s="11"/>
      <c r="D55" s="7">
        <v>5005.3900000000003</v>
      </c>
      <c r="E55" s="2"/>
      <c r="F55" s="6">
        <f t="shared" si="24"/>
        <v>0</v>
      </c>
      <c r="G55" s="2"/>
      <c r="H55" s="7">
        <v>13301.92</v>
      </c>
      <c r="I55" s="2"/>
      <c r="J55" s="6">
        <f t="shared" si="25"/>
        <v>0</v>
      </c>
      <c r="K55" s="2"/>
      <c r="L55" s="7">
        <f t="shared" si="26"/>
        <v>-8296.5299999999988</v>
      </c>
      <c r="M55" s="2"/>
      <c r="N55" s="6">
        <f t="shared" si="27"/>
        <v>-0.62370920889615922</v>
      </c>
      <c r="O55" s="11"/>
      <c r="P55" s="7">
        <v>148094.15</v>
      </c>
      <c r="Q55" s="2"/>
      <c r="R55" s="6">
        <f t="shared" si="28"/>
        <v>0</v>
      </c>
      <c r="S55" s="2"/>
      <c r="T55" s="7">
        <v>156444.19999999998</v>
      </c>
      <c r="U55" s="2"/>
      <c r="V55" s="6">
        <f t="shared" si="29"/>
        <v>0</v>
      </c>
      <c r="W55" s="2"/>
      <c r="X55" s="7">
        <f t="shared" si="30"/>
        <v>-8350.0499999999884</v>
      </c>
      <c r="Y55" s="2"/>
      <c r="Z55" s="6">
        <f t="shared" si="31"/>
        <v>-5.3373982544574927E-2</v>
      </c>
    </row>
    <row r="56" spans="1:26" s="24" customFormat="1" hidden="1" outlineLevel="2" x14ac:dyDescent="0.35">
      <c r="A56" s="27"/>
      <c r="B56" s="11" t="str">
        <f>CONCATENATE("          ", "6373", " - ", "MAINTENANCE CONTRACTS")</f>
        <v xml:space="preserve">          6373 - MAINTENANCE CONTRACTS</v>
      </c>
      <c r="C56" s="11"/>
      <c r="D56" s="7"/>
      <c r="E56" s="2"/>
      <c r="F56" s="6">
        <f t="shared" si="24"/>
        <v>0</v>
      </c>
      <c r="G56" s="2"/>
      <c r="H56" s="7">
        <v>16.45</v>
      </c>
      <c r="I56" s="2"/>
      <c r="J56" s="6">
        <f t="shared" si="25"/>
        <v>0</v>
      </c>
      <c r="K56" s="2"/>
      <c r="L56" s="7">
        <f t="shared" si="26"/>
        <v>-16.45</v>
      </c>
      <c r="M56" s="2"/>
      <c r="N56" s="6">
        <f t="shared" si="27"/>
        <v>-1</v>
      </c>
      <c r="O56" s="11"/>
      <c r="P56" s="7">
        <v>827.62</v>
      </c>
      <c r="Q56" s="2"/>
      <c r="R56" s="6">
        <f t="shared" si="28"/>
        <v>0</v>
      </c>
      <c r="S56" s="2"/>
      <c r="T56" s="7">
        <v>3104.87</v>
      </c>
      <c r="U56" s="2"/>
      <c r="V56" s="6">
        <f t="shared" si="29"/>
        <v>0</v>
      </c>
      <c r="W56" s="2"/>
      <c r="X56" s="7">
        <f t="shared" si="30"/>
        <v>-2277.25</v>
      </c>
      <c r="Y56" s="2"/>
      <c r="Z56" s="6">
        <f t="shared" si="31"/>
        <v>-0.73344455645485962</v>
      </c>
    </row>
    <row r="57" spans="1:26" s="25" customFormat="1" outlineLevel="1" collapsed="1" x14ac:dyDescent="0.35">
      <c r="A57" s="26"/>
      <c r="B57" s="12" t="str">
        <f>CONCATENATE("     ","Subscriptions &amp; Dues                              ")</f>
        <v xml:space="preserve">     Subscriptions &amp; Dues                              </v>
      </c>
      <c r="C57" s="12"/>
      <c r="D57" s="1">
        <f>SUM(OSRRefD22_11x_0)</f>
        <v>0</v>
      </c>
      <c r="E57" s="1"/>
      <c r="F57" s="5">
        <f t="shared" ref="F57:F59" si="32">IF(D$12=0,0,D57/D$12)</f>
        <v>0</v>
      </c>
      <c r="G57" s="1"/>
      <c r="H57" s="1">
        <f>SUM(OSRRefH22_11x_0)</f>
        <v>0</v>
      </c>
      <c r="I57" s="1"/>
      <c r="J57" s="5">
        <f t="shared" ref="J57:J59" si="33">IF(H$12=0,0,H57/H$12)</f>
        <v>0</v>
      </c>
      <c r="K57" s="1"/>
      <c r="L57" s="1">
        <f t="shared" ref="L57:L59" si="34">+D57-H57</f>
        <v>0</v>
      </c>
      <c r="M57" s="1"/>
      <c r="N57" s="5">
        <f t="shared" ref="N57:N59" si="35">IF(H57=0,0,L57/H57)</f>
        <v>0</v>
      </c>
      <c r="O57" s="12"/>
      <c r="P57" s="1">
        <f>SUM(OSRRefP22_11x_0)</f>
        <v>587</v>
      </c>
      <c r="Q57" s="1"/>
      <c r="R57" s="5">
        <f t="shared" ref="R57:R59" si="36">IF(P$12=0,0,P57/P$12)</f>
        <v>0</v>
      </c>
      <c r="S57" s="1"/>
      <c r="T57" s="1">
        <f>SUM(OSRRefT22_11x_0)</f>
        <v>2473.0100000000002</v>
      </c>
      <c r="U57" s="1"/>
      <c r="V57" s="5">
        <f t="shared" ref="V57:V59" si="37">IF(T$12=0,0,T57/T$12)</f>
        <v>0</v>
      </c>
      <c r="W57" s="1"/>
      <c r="X57" s="1">
        <f t="shared" ref="X57:X59" si="38">+P57-T57</f>
        <v>-1886.0100000000002</v>
      </c>
      <c r="Y57" s="1"/>
      <c r="Z57" s="5">
        <f t="shared" ref="Z57:Z59" si="39">IF(T57=0,0,X57/T57)</f>
        <v>-0.7626374337345988</v>
      </c>
    </row>
    <row r="58" spans="1:26" s="24" customFormat="1" hidden="1" outlineLevel="2" x14ac:dyDescent="0.35">
      <c r="A58" s="27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587</v>
      </c>
      <c r="Q58" s="2"/>
      <c r="R58" s="6">
        <f t="shared" si="36"/>
        <v>0</v>
      </c>
      <c r="S58" s="2"/>
      <c r="T58" s="7">
        <v>587</v>
      </c>
      <c r="U58" s="2"/>
      <c r="V58" s="6">
        <f t="shared" si="37"/>
        <v>0</v>
      </c>
      <c r="W58" s="2"/>
      <c r="X58" s="7">
        <f t="shared" si="38"/>
        <v>0</v>
      </c>
      <c r="Y58" s="2"/>
      <c r="Z58" s="6">
        <f t="shared" si="39"/>
        <v>0</v>
      </c>
    </row>
    <row r="59" spans="1:26" s="24" customFormat="1" hidden="1" outlineLevel="2" x14ac:dyDescent="0.35">
      <c r="A59" s="27"/>
      <c r="B59" s="11" t="str">
        <f>CONCATENATE("          ", "6275", " - ", "SUBSCRIPTIONS")</f>
        <v xml:space="preserve">          6275 - SUBSCRIPTIONS</v>
      </c>
      <c r="C59" s="11"/>
      <c r="D59" s="7"/>
      <c r="E59" s="2"/>
      <c r="F59" s="6">
        <f t="shared" si="32"/>
        <v>0</v>
      </c>
      <c r="G59" s="2"/>
      <c r="H59" s="7"/>
      <c r="I59" s="2"/>
      <c r="J59" s="6">
        <f t="shared" si="33"/>
        <v>0</v>
      </c>
      <c r="K59" s="2"/>
      <c r="L59" s="7">
        <f t="shared" si="34"/>
        <v>0</v>
      </c>
      <c r="M59" s="2"/>
      <c r="N59" s="6">
        <f t="shared" si="35"/>
        <v>0</v>
      </c>
      <c r="O59" s="11"/>
      <c r="P59" s="7"/>
      <c r="Q59" s="2"/>
      <c r="R59" s="6">
        <f t="shared" si="36"/>
        <v>0</v>
      </c>
      <c r="S59" s="2"/>
      <c r="T59" s="7">
        <v>1886.01</v>
      </c>
      <c r="U59" s="2"/>
      <c r="V59" s="6">
        <f t="shared" si="37"/>
        <v>0</v>
      </c>
      <c r="W59" s="2"/>
      <c r="X59" s="7">
        <f t="shared" si="38"/>
        <v>-1886.01</v>
      </c>
      <c r="Y59" s="2"/>
      <c r="Z59" s="6">
        <f t="shared" si="39"/>
        <v>-1</v>
      </c>
    </row>
    <row r="60" spans="1:26" s="25" customFormat="1" outlineLevel="1" collapsed="1" x14ac:dyDescent="0.35">
      <c r="A60" s="26"/>
      <c r="B60" s="12" t="str">
        <f>CONCATENATE("     ","Supplies                                          ")</f>
        <v xml:space="preserve">     Supplies                                          </v>
      </c>
      <c r="C60" s="12"/>
      <c r="D60" s="1">
        <f>SUM(OSRRefD22_12x_0)</f>
        <v>1426.1899999999998</v>
      </c>
      <c r="E60" s="1"/>
      <c r="F60" s="5">
        <f t="shared" ref="F60:F64" si="40">IF(D$12=0,0,D60/D$12)</f>
        <v>0</v>
      </c>
      <c r="G60" s="1"/>
      <c r="H60" s="1">
        <f>SUM(OSRRefH22_12x_0)</f>
        <v>660.6</v>
      </c>
      <c r="I60" s="1"/>
      <c r="J60" s="5">
        <f t="shared" ref="J60:J64" si="41">IF(H$12=0,0,H60/H$12)</f>
        <v>0</v>
      </c>
      <c r="K60" s="1"/>
      <c r="L60" s="1">
        <f t="shared" ref="L60:L64" si="42">+D60-H60</f>
        <v>765.5899999999998</v>
      </c>
      <c r="M60" s="1"/>
      <c r="N60" s="5">
        <f t="shared" ref="N60:N64" si="43">IF(H60=0,0,L60/H60)</f>
        <v>1.1589312745988491</v>
      </c>
      <c r="O60" s="12"/>
      <c r="P60" s="1">
        <f>SUM(OSRRefP22_12x_0)</f>
        <v>18337.77</v>
      </c>
      <c r="Q60" s="1"/>
      <c r="R60" s="5">
        <f t="shared" ref="R60:R64" si="44">IF(P$12=0,0,P60/P$12)</f>
        <v>0</v>
      </c>
      <c r="S60" s="1"/>
      <c r="T60" s="1">
        <f>SUM(OSRRefT22_12x_0)</f>
        <v>21741.11</v>
      </c>
      <c r="U60" s="1"/>
      <c r="V60" s="5">
        <f t="shared" ref="V60:V64" si="45">IF(T$12=0,0,T60/T$12)</f>
        <v>0</v>
      </c>
      <c r="W60" s="1"/>
      <c r="X60" s="1">
        <f t="shared" ref="X60:X64" si="46">+P60-T60</f>
        <v>-3403.34</v>
      </c>
      <c r="Y60" s="1"/>
      <c r="Z60" s="5">
        <f t="shared" ref="Z60:Z64" si="47">IF(T60=0,0,X60/T60)</f>
        <v>-0.15653938552355423</v>
      </c>
    </row>
    <row r="61" spans="1:26" s="24" customFormat="1" hidden="1" outlineLevel="2" x14ac:dyDescent="0.35">
      <c r="A61" s="27"/>
      <c r="B61" s="11" t="str">
        <f>CONCATENATE("          ", "6235", " - ", "COVID-19 EXPENSES")</f>
        <v xml:space="preserve">          6235 - COVID-19 EXPENSES</v>
      </c>
      <c r="C61" s="11"/>
      <c r="D61" s="7">
        <v>1330.84</v>
      </c>
      <c r="E61" s="2"/>
      <c r="F61" s="6">
        <f t="shared" si="40"/>
        <v>0</v>
      </c>
      <c r="G61" s="2"/>
      <c r="H61" s="7"/>
      <c r="I61" s="2"/>
      <c r="J61" s="6">
        <f t="shared" si="41"/>
        <v>0</v>
      </c>
      <c r="K61" s="2"/>
      <c r="L61" s="7">
        <f t="shared" si="42"/>
        <v>1330.84</v>
      </c>
      <c r="M61" s="2"/>
      <c r="N61" s="6">
        <f t="shared" si="43"/>
        <v>0</v>
      </c>
      <c r="O61" s="11"/>
      <c r="P61" s="7">
        <v>1330.84</v>
      </c>
      <c r="Q61" s="2"/>
      <c r="R61" s="6">
        <f t="shared" si="44"/>
        <v>0</v>
      </c>
      <c r="S61" s="2"/>
      <c r="T61" s="7"/>
      <c r="U61" s="2"/>
      <c r="V61" s="6">
        <f t="shared" si="45"/>
        <v>0</v>
      </c>
      <c r="W61" s="2"/>
      <c r="X61" s="7">
        <f t="shared" si="46"/>
        <v>1330.84</v>
      </c>
      <c r="Y61" s="2"/>
      <c r="Z61" s="6">
        <f t="shared" si="47"/>
        <v>0</v>
      </c>
    </row>
    <row r="62" spans="1:26" s="24" customFormat="1" hidden="1" outlineLevel="2" x14ac:dyDescent="0.35">
      <c r="A62" s="27"/>
      <c r="B62" s="11" t="str">
        <f>CONCATENATE("          ", "6241", " - ", "OFFICE EXPENSE")</f>
        <v xml:space="preserve">          6241 - OFFICE EXPENSE</v>
      </c>
      <c r="C62" s="11"/>
      <c r="D62" s="7">
        <v>95.35</v>
      </c>
      <c r="E62" s="2"/>
      <c r="F62" s="6">
        <f t="shared" si="40"/>
        <v>0</v>
      </c>
      <c r="G62" s="2"/>
      <c r="H62" s="7">
        <v>550.14</v>
      </c>
      <c r="I62" s="2"/>
      <c r="J62" s="6">
        <f t="shared" si="41"/>
        <v>0</v>
      </c>
      <c r="K62" s="2"/>
      <c r="L62" s="7">
        <f t="shared" si="42"/>
        <v>-454.78999999999996</v>
      </c>
      <c r="M62" s="2"/>
      <c r="N62" s="6">
        <f t="shared" si="43"/>
        <v>-0.82668048133202454</v>
      </c>
      <c r="O62" s="11"/>
      <c r="P62" s="7">
        <v>12768.58</v>
      </c>
      <c r="Q62" s="2"/>
      <c r="R62" s="6">
        <f t="shared" si="44"/>
        <v>0</v>
      </c>
      <c r="S62" s="2"/>
      <c r="T62" s="7">
        <v>16597.5</v>
      </c>
      <c r="U62" s="2"/>
      <c r="V62" s="6">
        <f t="shared" si="45"/>
        <v>0</v>
      </c>
      <c r="W62" s="2"/>
      <c r="X62" s="7">
        <f t="shared" si="46"/>
        <v>-3828.92</v>
      </c>
      <c r="Y62" s="2"/>
      <c r="Z62" s="6">
        <f t="shared" si="47"/>
        <v>-0.23069257418285888</v>
      </c>
    </row>
    <row r="63" spans="1:26" s="24" customFormat="1" hidden="1" outlineLevel="2" x14ac:dyDescent="0.35">
      <c r="A63" s="27"/>
      <c r="B63" s="11" t="str">
        <f>CONCATENATE("          ", "6244", " - ", "SAFETY SUPPLY EXPENSE")</f>
        <v xml:space="preserve">          6244 - SAFETY SUPPLY EXPENSE</v>
      </c>
      <c r="C63" s="11"/>
      <c r="D63" s="7"/>
      <c r="E63" s="2"/>
      <c r="F63" s="6">
        <f t="shared" si="40"/>
        <v>0</v>
      </c>
      <c r="G63" s="2"/>
      <c r="H63" s="7">
        <v>75</v>
      </c>
      <c r="I63" s="2"/>
      <c r="J63" s="6">
        <f t="shared" si="41"/>
        <v>0</v>
      </c>
      <c r="K63" s="2"/>
      <c r="L63" s="7">
        <f t="shared" si="42"/>
        <v>-75</v>
      </c>
      <c r="M63" s="2"/>
      <c r="N63" s="6">
        <f t="shared" si="43"/>
        <v>-1</v>
      </c>
      <c r="O63" s="11"/>
      <c r="P63" s="7">
        <v>2034.69</v>
      </c>
      <c r="Q63" s="2"/>
      <c r="R63" s="6">
        <f t="shared" si="44"/>
        <v>0</v>
      </c>
      <c r="S63" s="2"/>
      <c r="T63" s="7">
        <v>3662.48</v>
      </c>
      <c r="U63" s="2"/>
      <c r="V63" s="6">
        <f t="shared" si="45"/>
        <v>0</v>
      </c>
      <c r="W63" s="2"/>
      <c r="X63" s="7">
        <f t="shared" si="46"/>
        <v>-1627.79</v>
      </c>
      <c r="Y63" s="2"/>
      <c r="Z63" s="6">
        <f t="shared" si="47"/>
        <v>-0.44445020860182172</v>
      </c>
    </row>
    <row r="64" spans="1:26" s="24" customFormat="1" hidden="1" outlineLevel="2" x14ac:dyDescent="0.35">
      <c r="A64" s="27"/>
      <c r="B64" s="11" t="str">
        <f>CONCATENATE("          ", "6245", " - ", "PRINTING")</f>
        <v xml:space="preserve">          6245 - PRINTING</v>
      </c>
      <c r="C64" s="11"/>
      <c r="D64" s="7"/>
      <c r="E64" s="2"/>
      <c r="F64" s="6">
        <f t="shared" si="40"/>
        <v>0</v>
      </c>
      <c r="G64" s="2"/>
      <c r="H64" s="7">
        <v>35.46</v>
      </c>
      <c r="I64" s="2"/>
      <c r="J64" s="6">
        <f t="shared" si="41"/>
        <v>0</v>
      </c>
      <c r="K64" s="2"/>
      <c r="L64" s="7">
        <f t="shared" si="42"/>
        <v>-35.46</v>
      </c>
      <c r="M64" s="2"/>
      <c r="N64" s="6">
        <f t="shared" si="43"/>
        <v>-1</v>
      </c>
      <c r="O64" s="11"/>
      <c r="P64" s="7">
        <v>2203.66</v>
      </c>
      <c r="Q64" s="2"/>
      <c r="R64" s="6">
        <f t="shared" si="44"/>
        <v>0</v>
      </c>
      <c r="S64" s="2"/>
      <c r="T64" s="7">
        <v>1481.13</v>
      </c>
      <c r="U64" s="2"/>
      <c r="V64" s="6">
        <f t="shared" si="45"/>
        <v>0</v>
      </c>
      <c r="W64" s="2"/>
      <c r="X64" s="7">
        <f t="shared" si="46"/>
        <v>722.52999999999975</v>
      </c>
      <c r="Y64" s="2"/>
      <c r="Z64" s="6">
        <f t="shared" si="47"/>
        <v>0.48782348612208226</v>
      </c>
    </row>
    <row r="65" spans="1:26" s="25" customFormat="1" outlineLevel="1" collapsed="1" x14ac:dyDescent="0.35">
      <c r="A65" s="26"/>
      <c r="B65" s="12" t="str">
        <f>CONCATENATE("     ","Telephone/Data Lines                              ")</f>
        <v xml:space="preserve">     Telephone/Data Lines                              </v>
      </c>
      <c r="C65" s="12"/>
      <c r="D65" s="1">
        <f>SUM(OSRRefD22_13x_0)</f>
        <v>304.85000000000002</v>
      </c>
      <c r="E65" s="1"/>
      <c r="F65" s="5">
        <f t="shared" ref="F65:F70" si="48">IF(D$12=0,0,D65/D$12)</f>
        <v>0</v>
      </c>
      <c r="G65" s="1"/>
      <c r="H65" s="1">
        <f>SUM(OSRRefH22_13x_0)</f>
        <v>304.39999999999998</v>
      </c>
      <c r="I65" s="1"/>
      <c r="J65" s="5">
        <f t="shared" ref="J65:J70" si="49">IF(H$12=0,0,H65/H$12)</f>
        <v>0</v>
      </c>
      <c r="K65" s="1"/>
      <c r="L65" s="1">
        <f t="shared" ref="L65:L70" si="50">+D65-H65</f>
        <v>0.45000000000004547</v>
      </c>
      <c r="M65" s="1"/>
      <c r="N65" s="5">
        <f t="shared" ref="N65:N70" si="51">IF(H65=0,0,L65/H65)</f>
        <v>1.4783180026282704E-3</v>
      </c>
      <c r="O65" s="12"/>
      <c r="P65" s="1">
        <f>SUM(OSRRefP22_13x_0)</f>
        <v>4043.67</v>
      </c>
      <c r="Q65" s="1"/>
      <c r="R65" s="5">
        <f t="shared" ref="R65:R70" si="52">IF(P$12=0,0,P65/P$12)</f>
        <v>0</v>
      </c>
      <c r="S65" s="1"/>
      <c r="T65" s="1">
        <f>SUM(OSRRefT22_13x_0)</f>
        <v>3974.95</v>
      </c>
      <c r="U65" s="1"/>
      <c r="V65" s="5">
        <f t="shared" ref="V65:V70" si="53">IF(T$12=0,0,T65/T$12)</f>
        <v>0</v>
      </c>
      <c r="W65" s="1"/>
      <c r="X65" s="1">
        <f t="shared" ref="X65:X70" si="54">+P65-T65</f>
        <v>68.720000000000255</v>
      </c>
      <c r="Y65" s="1"/>
      <c r="Z65" s="5">
        <f t="shared" ref="Z65:Z70" si="55">IF(T65=0,0,X65/T65)</f>
        <v>1.7288267776953234E-2</v>
      </c>
    </row>
    <row r="66" spans="1:26" s="24" customFormat="1" hidden="1" outlineLevel="2" x14ac:dyDescent="0.35">
      <c r="A66" s="27"/>
      <c r="B66" s="11" t="str">
        <f>CONCATENATE("          ", "6309", " - ", "TELEPHONE")</f>
        <v xml:space="preserve">          6309 - TELEPHONE</v>
      </c>
      <c r="C66" s="11"/>
      <c r="D66" s="7">
        <v>304.85000000000002</v>
      </c>
      <c r="E66" s="2"/>
      <c r="F66" s="6">
        <f t="shared" si="48"/>
        <v>0</v>
      </c>
      <c r="G66" s="2"/>
      <c r="H66" s="7">
        <v>304.39999999999998</v>
      </c>
      <c r="I66" s="2"/>
      <c r="J66" s="6">
        <f t="shared" si="49"/>
        <v>0</v>
      </c>
      <c r="K66" s="2"/>
      <c r="L66" s="7">
        <f t="shared" si="50"/>
        <v>0.45000000000004547</v>
      </c>
      <c r="M66" s="2"/>
      <c r="N66" s="6">
        <f t="shared" si="51"/>
        <v>1.4783180026282704E-3</v>
      </c>
      <c r="O66" s="11"/>
      <c r="P66" s="7">
        <v>4043.67</v>
      </c>
      <c r="Q66" s="2"/>
      <c r="R66" s="6">
        <f t="shared" si="52"/>
        <v>0</v>
      </c>
      <c r="S66" s="2"/>
      <c r="T66" s="7">
        <v>3974.95</v>
      </c>
      <c r="U66" s="2"/>
      <c r="V66" s="6">
        <f t="shared" si="53"/>
        <v>0</v>
      </c>
      <c r="W66" s="2"/>
      <c r="X66" s="7">
        <f t="shared" si="54"/>
        <v>68.720000000000255</v>
      </c>
      <c r="Y66" s="2"/>
      <c r="Z66" s="6">
        <f t="shared" si="55"/>
        <v>1.7288267776953234E-2</v>
      </c>
    </row>
    <row r="67" spans="1:26" s="25" customFormat="1" outlineLevel="1" collapsed="1" x14ac:dyDescent="0.35">
      <c r="A67" s="26"/>
      <c r="B67" s="12" t="str">
        <f>CONCATENATE("     ","Training                                          ")</f>
        <v xml:space="preserve">     Training                                          </v>
      </c>
      <c r="C67" s="12"/>
      <c r="D67" s="1">
        <f>SUM(OSRRefD22_14x_0)</f>
        <v>0</v>
      </c>
      <c r="E67" s="1"/>
      <c r="F67" s="5">
        <f t="shared" si="48"/>
        <v>0</v>
      </c>
      <c r="G67" s="1"/>
      <c r="H67" s="1">
        <f>SUM(OSRRefH22_14x_0)</f>
        <v>312.33999999999997</v>
      </c>
      <c r="I67" s="1"/>
      <c r="J67" s="5">
        <f t="shared" si="49"/>
        <v>0</v>
      </c>
      <c r="K67" s="1"/>
      <c r="L67" s="1">
        <f t="shared" si="50"/>
        <v>-312.33999999999997</v>
      </c>
      <c r="M67" s="1"/>
      <c r="N67" s="5">
        <f t="shared" si="51"/>
        <v>-1</v>
      </c>
      <c r="O67" s="12"/>
      <c r="P67" s="1">
        <f>SUM(OSRRefP22_14x_0)</f>
        <v>10624.8</v>
      </c>
      <c r="Q67" s="1"/>
      <c r="R67" s="5">
        <f t="shared" si="52"/>
        <v>0</v>
      </c>
      <c r="S67" s="1"/>
      <c r="T67" s="1">
        <f>SUM(OSRRefT22_14x_0)</f>
        <v>12224.46</v>
      </c>
      <c r="U67" s="1"/>
      <c r="V67" s="5">
        <f t="shared" si="53"/>
        <v>0</v>
      </c>
      <c r="W67" s="1"/>
      <c r="X67" s="1">
        <f t="shared" si="54"/>
        <v>-1599.6599999999999</v>
      </c>
      <c r="Y67" s="1"/>
      <c r="Z67" s="5">
        <f t="shared" si="55"/>
        <v>-0.13085731394270175</v>
      </c>
    </row>
    <row r="68" spans="1:26" s="24" customFormat="1" hidden="1" outlineLevel="2" x14ac:dyDescent="0.35">
      <c r="A68" s="27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48"/>
        <v>0</v>
      </c>
      <c r="G68" s="2"/>
      <c r="H68" s="7">
        <v>312.33999999999997</v>
      </c>
      <c r="I68" s="2"/>
      <c r="J68" s="6">
        <f t="shared" si="49"/>
        <v>0</v>
      </c>
      <c r="K68" s="2"/>
      <c r="L68" s="7">
        <f t="shared" si="50"/>
        <v>-312.33999999999997</v>
      </c>
      <c r="M68" s="2"/>
      <c r="N68" s="6">
        <f t="shared" si="51"/>
        <v>-1</v>
      </c>
      <c r="O68" s="11"/>
      <c r="P68" s="7">
        <v>10624.8</v>
      </c>
      <c r="Q68" s="2"/>
      <c r="R68" s="6">
        <f t="shared" si="52"/>
        <v>0</v>
      </c>
      <c r="S68" s="2"/>
      <c r="T68" s="7">
        <v>12224.46</v>
      </c>
      <c r="U68" s="2"/>
      <c r="V68" s="6">
        <f t="shared" si="53"/>
        <v>0</v>
      </c>
      <c r="W68" s="2"/>
      <c r="X68" s="7">
        <f t="shared" si="54"/>
        <v>-1599.6599999999999</v>
      </c>
      <c r="Y68" s="2"/>
      <c r="Z68" s="6">
        <f t="shared" si="55"/>
        <v>-0.13085731394270175</v>
      </c>
    </row>
    <row r="69" spans="1:26" s="25" customFormat="1" outlineLevel="1" collapsed="1" x14ac:dyDescent="0.35">
      <c r="A69" s="26"/>
      <c r="B69" s="12" t="str">
        <f>CONCATENATE("     ","Travel                                            ")</f>
        <v xml:space="preserve">     Travel                                            </v>
      </c>
      <c r="C69" s="12"/>
      <c r="D69" s="1">
        <f>SUM(OSRRefD22_15x_0)</f>
        <v>0</v>
      </c>
      <c r="E69" s="1"/>
      <c r="F69" s="5">
        <f t="shared" si="48"/>
        <v>0</v>
      </c>
      <c r="G69" s="1"/>
      <c r="H69" s="1">
        <f>SUM(OSRRefH22_15x_0)</f>
        <v>59.95</v>
      </c>
      <c r="I69" s="1"/>
      <c r="J69" s="5">
        <f t="shared" si="49"/>
        <v>0</v>
      </c>
      <c r="K69" s="1"/>
      <c r="L69" s="1">
        <f t="shared" si="50"/>
        <v>-59.95</v>
      </c>
      <c r="M69" s="1"/>
      <c r="N69" s="5">
        <f t="shared" si="51"/>
        <v>-1</v>
      </c>
      <c r="O69" s="12"/>
      <c r="P69" s="1">
        <f>SUM(OSRRefP22_15x_0)</f>
        <v>3487.01</v>
      </c>
      <c r="Q69" s="1"/>
      <c r="R69" s="5">
        <f t="shared" si="52"/>
        <v>0</v>
      </c>
      <c r="S69" s="1"/>
      <c r="T69" s="1">
        <f>SUM(OSRRefT22_15x_0)</f>
        <v>5706.48</v>
      </c>
      <c r="U69" s="1"/>
      <c r="V69" s="5">
        <f t="shared" si="53"/>
        <v>0</v>
      </c>
      <c r="W69" s="1"/>
      <c r="X69" s="1">
        <f t="shared" si="54"/>
        <v>-2219.4699999999993</v>
      </c>
      <c r="Y69" s="1"/>
      <c r="Z69" s="5">
        <f t="shared" si="55"/>
        <v>-0.38893854004570233</v>
      </c>
    </row>
    <row r="70" spans="1:26" s="24" customFormat="1" hidden="1" outlineLevel="2" x14ac:dyDescent="0.35">
      <c r="A70" s="27"/>
      <c r="B70" s="11" t="str">
        <f>CONCATENATE("          ", "6292", " - ", "TRAVEL/CONFERENCE")</f>
        <v xml:space="preserve">          6292 - TRAVEL/CONFERENCE</v>
      </c>
      <c r="C70" s="11"/>
      <c r="D70" s="7"/>
      <c r="E70" s="2"/>
      <c r="F70" s="6">
        <f t="shared" si="48"/>
        <v>0</v>
      </c>
      <c r="G70" s="2"/>
      <c r="H70" s="7">
        <v>59.95</v>
      </c>
      <c r="I70" s="2"/>
      <c r="J70" s="6">
        <f t="shared" si="49"/>
        <v>0</v>
      </c>
      <c r="K70" s="2"/>
      <c r="L70" s="7">
        <f t="shared" si="50"/>
        <v>-59.95</v>
      </c>
      <c r="M70" s="2"/>
      <c r="N70" s="6">
        <f t="shared" si="51"/>
        <v>-1</v>
      </c>
      <c r="O70" s="11"/>
      <c r="P70" s="7">
        <v>3487.01</v>
      </c>
      <c r="Q70" s="2"/>
      <c r="R70" s="6">
        <f t="shared" si="52"/>
        <v>0</v>
      </c>
      <c r="S70" s="2"/>
      <c r="T70" s="7">
        <v>5706.48</v>
      </c>
      <c r="U70" s="2"/>
      <c r="V70" s="6">
        <f t="shared" si="53"/>
        <v>0</v>
      </c>
      <c r="W70" s="2"/>
      <c r="X70" s="7">
        <f t="shared" si="54"/>
        <v>-2219.4699999999993</v>
      </c>
      <c r="Y70" s="2"/>
      <c r="Z70" s="6">
        <f t="shared" si="55"/>
        <v>-0.38893854004570233</v>
      </c>
    </row>
    <row r="71" spans="1:26" s="56" customFormat="1" x14ac:dyDescent="0.3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35">
      <c r="A72" s="10"/>
      <c r="B72" s="29" t="s">
        <v>0</v>
      </c>
      <c r="C72" s="10"/>
      <c r="D72" s="4">
        <f>SUM(0)</f>
        <v>0</v>
      </c>
      <c r="E72" s="4"/>
      <c r="F72" s="13">
        <f>IF(D$12=0,0,D72/D$12)</f>
        <v>0</v>
      </c>
      <c r="G72" s="4"/>
      <c r="H72" s="4">
        <f>SUM(0)</f>
        <v>0</v>
      </c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0"/>
      <c r="P72" s="4">
        <f>SUM(0)</f>
        <v>0</v>
      </c>
      <c r="Q72" s="4"/>
      <c r="R72" s="13">
        <f>IF(P$12=0,0,P72/P$12)</f>
        <v>0</v>
      </c>
      <c r="S72" s="4"/>
      <c r="T72" s="4">
        <f>SUM(0)</f>
        <v>0</v>
      </c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3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35">
      <c r="A74" s="10"/>
      <c r="B74" s="28" t="s">
        <v>3</v>
      </c>
      <c r="C74" s="28"/>
      <c r="D74" s="22">
        <f>+D16-D18+D72</f>
        <v>-43972.88</v>
      </c>
      <c r="E74" s="14"/>
      <c r="F74" s="21">
        <f>IF(D$12=0,0,D74/D$12)</f>
        <v>0</v>
      </c>
      <c r="G74" s="14"/>
      <c r="H74" s="22">
        <f>+H16-H18+H72</f>
        <v>-62743.329999999987</v>
      </c>
      <c r="I74" s="14"/>
      <c r="J74" s="21">
        <f>IF(H$12=0,0,H74/H$12)</f>
        <v>0</v>
      </c>
      <c r="K74" s="15"/>
      <c r="L74" s="22">
        <f>+D74-H74</f>
        <v>18770.44999999999</v>
      </c>
      <c r="M74" s="15"/>
      <c r="N74" s="21">
        <f>IF(H74=0,0,L74/H74)</f>
        <v>-0.29916247671266399</v>
      </c>
      <c r="O74" s="29"/>
      <c r="P74" s="22">
        <f>+P16-P18+P72</f>
        <v>-802300.28000000014</v>
      </c>
      <c r="Q74" s="14"/>
      <c r="R74" s="21">
        <f>IF(P$12=0,0,P74/P$12)</f>
        <v>0</v>
      </c>
      <c r="S74" s="14"/>
      <c r="T74" s="22">
        <f>+T16-T18+T72</f>
        <v>-727638.20999999985</v>
      </c>
      <c r="U74" s="14"/>
      <c r="V74" s="21">
        <f>IF(T$12=0,0,T74/T$12)</f>
        <v>0</v>
      </c>
      <c r="W74" s="15"/>
      <c r="X74" s="22">
        <f>+P74-T74</f>
        <v>-74662.070000000298</v>
      </c>
      <c r="Y74" s="15"/>
      <c r="Z74" s="21">
        <f>IF(T74=0,0,X74/T74)</f>
        <v>0.10260878136127612</v>
      </c>
    </row>
    <row r="75" spans="1:26" x14ac:dyDescent="0.3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5">
      <c r="A76" s="51"/>
      <c r="B76" s="10" t="s">
        <v>13</v>
      </c>
      <c r="C76" s="10"/>
      <c r="D76" s="4"/>
      <c r="E76" s="4"/>
      <c r="F76" s="13">
        <f>IF(D$12=0,0,D76/D$12)</f>
        <v>0</v>
      </c>
      <c r="G76" s="4"/>
      <c r="H76" s="4"/>
      <c r="I76" s="4"/>
      <c r="J76" s="13">
        <f>IF(H$12=0,0,H76/H$12)</f>
        <v>0</v>
      </c>
      <c r="K76" s="4"/>
      <c r="L76" s="4">
        <f>+D76-H76</f>
        <v>0</v>
      </c>
      <c r="M76" s="4"/>
      <c r="N76" s="13">
        <f>IF(H76=0,0,L76/H76)</f>
        <v>0</v>
      </c>
      <c r="O76" s="10"/>
      <c r="P76" s="4"/>
      <c r="Q76" s="4"/>
      <c r="R76" s="13">
        <f>IF(P$12=0,0,P76/P$12)</f>
        <v>0</v>
      </c>
      <c r="S76" s="4"/>
      <c r="T76" s="4"/>
      <c r="U76" s="4"/>
      <c r="V76" s="13">
        <f>IF(T$12=0,0,T76/T$12)</f>
        <v>0</v>
      </c>
      <c r="W76" s="4"/>
      <c r="X76" s="4">
        <f>+P76-T76</f>
        <v>0</v>
      </c>
      <c r="Y76" s="4"/>
      <c r="Z76" s="13">
        <f>IF(T76=0,0,X76/T76)</f>
        <v>0</v>
      </c>
    </row>
    <row r="77" spans="1:26" x14ac:dyDescent="0.3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4">
      <c r="A78" s="10"/>
      <c r="B78" s="28" t="s">
        <v>4</v>
      </c>
      <c r="C78" s="28"/>
      <c r="D78" s="34">
        <f>+D74-D76</f>
        <v>-43972.88</v>
      </c>
      <c r="E78" s="14"/>
      <c r="F78" s="32">
        <f>IF(D$12=0,0,D78/D$12)</f>
        <v>0</v>
      </c>
      <c r="G78" s="14"/>
      <c r="H78" s="34">
        <f>+H74-H76</f>
        <v>-62743.329999999987</v>
      </c>
      <c r="I78" s="14"/>
      <c r="J78" s="32">
        <f>IF(H$12=0,0,H78/H$12)</f>
        <v>0</v>
      </c>
      <c r="K78" s="15"/>
      <c r="L78" s="34">
        <f>D78-H78</f>
        <v>18770.44999999999</v>
      </c>
      <c r="M78" s="15"/>
      <c r="N78" s="32">
        <f>IF(H78=0,0,L78/H78)</f>
        <v>-0.29916247671266399</v>
      </c>
      <c r="O78" s="29"/>
      <c r="P78" s="34">
        <f>+P74-P76</f>
        <v>-802300.28000000014</v>
      </c>
      <c r="Q78" s="14"/>
      <c r="R78" s="32">
        <f>IF(P$12=0,0,P78/P$12)</f>
        <v>0</v>
      </c>
      <c r="S78" s="14"/>
      <c r="T78" s="34">
        <f>+T74-T76</f>
        <v>-727638.20999999985</v>
      </c>
      <c r="U78" s="14"/>
      <c r="V78" s="32">
        <f>IF(T$12=0,0,T78/T$12)</f>
        <v>0</v>
      </c>
      <c r="W78" s="15"/>
      <c r="X78" s="34">
        <f>P78-T78</f>
        <v>-74662.070000000298</v>
      </c>
      <c r="Y78" s="15"/>
      <c r="Z78" s="32">
        <f>IF(T78=0,0,X78/T78)</f>
        <v>0.10260878136127612</v>
      </c>
    </row>
    <row r="79" spans="1:26" ht="15" thickTop="1" x14ac:dyDescent="0.3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3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" thickBot="1" x14ac:dyDescent="0.4">
      <c r="A81" s="10"/>
      <c r="B81" s="28" t="s">
        <v>5</v>
      </c>
      <c r="C81" s="28"/>
      <c r="D81" s="35">
        <f>SUM(D78:D80)</f>
        <v>-43972.88</v>
      </c>
      <c r="E81" s="14"/>
      <c r="F81" s="33">
        <f>IF(D$12=0,0,D81/D$12)</f>
        <v>0</v>
      </c>
      <c r="G81" s="14"/>
      <c r="H81" s="35">
        <f>SUM(H78:H80)</f>
        <v>-62743.329999999987</v>
      </c>
      <c r="I81" s="14"/>
      <c r="J81" s="33">
        <f>IF(H$12=0,0,H81/H$12)</f>
        <v>0</v>
      </c>
      <c r="K81" s="15"/>
      <c r="L81" s="35">
        <f>+D81-H81</f>
        <v>18770.44999999999</v>
      </c>
      <c r="M81" s="15"/>
      <c r="N81" s="33">
        <f>IF(H81=0,0,L81/H81)</f>
        <v>-0.29916247671266399</v>
      </c>
      <c r="O81" s="29"/>
      <c r="P81" s="35">
        <f>SUM(P78:P80)</f>
        <v>-802300.28000000014</v>
      </c>
      <c r="Q81" s="14"/>
      <c r="R81" s="33">
        <f>IF(P$12=0,0,P81/P$12)</f>
        <v>0</v>
      </c>
      <c r="S81" s="14"/>
      <c r="T81" s="35">
        <f>SUM(T78:T80)</f>
        <v>-727638.20999999985</v>
      </c>
      <c r="U81" s="14"/>
      <c r="V81" s="33">
        <f>IF(T$12=0,0,T81/T$12)</f>
        <v>0</v>
      </c>
      <c r="W81" s="15"/>
      <c r="X81" s="35">
        <f>+P81-T81</f>
        <v>-74662.070000000298</v>
      </c>
      <c r="Y81" s="15"/>
      <c r="Z81" s="33">
        <f>IF(T81=0,0,X81/T81)</f>
        <v>0.10260878136127612</v>
      </c>
    </row>
    <row r="82" spans="1:26" ht="15" thickTop="1" x14ac:dyDescent="0.3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35">
      <c r="A83" s="9"/>
      <c r="B83" s="52">
        <v>44043.522626469909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5">
      <c r="A84" s="9"/>
      <c r="B84" s="61" t="s">
        <v>313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5">
      <c r="A85" s="9"/>
      <c r="B85" s="54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","204", " - ", "Information Technology")</f>
        <v>Department 204 - Information Technology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45858.31</v>
      </c>
      <c r="E18" s="20"/>
      <c r="F18" s="36">
        <f t="shared" ref="F18:F29" si="0">IF(D$12=0,0,D18/D$12)</f>
        <v>0</v>
      </c>
      <c r="G18" s="20"/>
      <c r="H18" s="20">
        <f>SUM(OSRRefH22x_0)</f>
        <v>42527.039999999994</v>
      </c>
      <c r="I18" s="20"/>
      <c r="J18" s="36">
        <f t="shared" ref="J18:J29" si="1">IF(H$12=0,0,H18/H$12)</f>
        <v>0</v>
      </c>
      <c r="K18" s="4"/>
      <c r="L18" s="20">
        <f t="shared" ref="L18:L29" si="2">+D18-H18</f>
        <v>3331.2700000000041</v>
      </c>
      <c r="M18" s="4"/>
      <c r="N18" s="36">
        <f t="shared" ref="N18:N29" si="3">IF(H18=0,0,L18/H18)</f>
        <v>7.8332985319458037E-2</v>
      </c>
      <c r="O18" s="10"/>
      <c r="P18" s="20">
        <f>SUM(OSRRefP22x_0)</f>
        <v>682956.21</v>
      </c>
      <c r="Q18" s="20"/>
      <c r="R18" s="36">
        <f t="shared" ref="R18:R29" si="4">IF(P$12=0,0,P18/P$12)</f>
        <v>0</v>
      </c>
      <c r="S18" s="20"/>
      <c r="T18" s="20">
        <f>SUM(OSRRefT22x_0)</f>
        <v>765533.83000000007</v>
      </c>
      <c r="U18" s="20"/>
      <c r="V18" s="36">
        <f t="shared" ref="V18:V29" si="5">IF(T$12=0,0,T18/T$12)</f>
        <v>0</v>
      </c>
      <c r="W18" s="4"/>
      <c r="X18" s="20">
        <f t="shared" ref="X18:X29" si="6">+P18-T18</f>
        <v>-82577.620000000112</v>
      </c>
      <c r="Y18" s="4"/>
      <c r="Z18" s="36">
        <f t="shared" ref="Z18:Z29" si="7">IF(T18=0,0,X18/T18)</f>
        <v>-0.10786932825685849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11709.130000000001</v>
      </c>
      <c r="E19" s="1"/>
      <c r="F19" s="5">
        <f t="shared" si="0"/>
        <v>0</v>
      </c>
      <c r="G19" s="1"/>
      <c r="H19" s="1">
        <f>SUM(OSRRefH22_0x_0)</f>
        <v>8854.51</v>
      </c>
      <c r="I19" s="1"/>
      <c r="J19" s="5">
        <f t="shared" si="1"/>
        <v>0</v>
      </c>
      <c r="K19" s="1"/>
      <c r="L19" s="1">
        <f t="shared" si="2"/>
        <v>2854.6200000000008</v>
      </c>
      <c r="M19" s="1"/>
      <c r="N19" s="5">
        <f t="shared" si="3"/>
        <v>0.32239163996652559</v>
      </c>
      <c r="O19" s="12"/>
      <c r="P19" s="1">
        <f>SUM(OSRRefP22_0x_0)</f>
        <v>153591.16999999998</v>
      </c>
      <c r="Q19" s="1"/>
      <c r="R19" s="5">
        <f t="shared" si="4"/>
        <v>0</v>
      </c>
      <c r="S19" s="1"/>
      <c r="T19" s="1">
        <f>SUM(OSRRefT22_0x_0)</f>
        <v>169876.13</v>
      </c>
      <c r="U19" s="1"/>
      <c r="V19" s="5">
        <f t="shared" si="5"/>
        <v>0</v>
      </c>
      <c r="W19" s="1"/>
      <c r="X19" s="1">
        <f t="shared" si="6"/>
        <v>-16284.960000000021</v>
      </c>
      <c r="Y19" s="1"/>
      <c r="Z19" s="5">
        <f t="shared" si="7"/>
        <v>-9.5863733180170871E-2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>
        <v>1652.7</v>
      </c>
      <c r="E20" s="2"/>
      <c r="F20" s="6">
        <f t="shared" si="0"/>
        <v>0</v>
      </c>
      <c r="G20" s="2"/>
      <c r="H20" s="7">
        <v>1420.9</v>
      </c>
      <c r="I20" s="2"/>
      <c r="J20" s="6">
        <f t="shared" si="1"/>
        <v>0</v>
      </c>
      <c r="K20" s="2"/>
      <c r="L20" s="7">
        <f t="shared" si="2"/>
        <v>231.79999999999995</v>
      </c>
      <c r="M20" s="2"/>
      <c r="N20" s="6">
        <f t="shared" si="3"/>
        <v>0.16313604053768735</v>
      </c>
      <c r="O20" s="11"/>
      <c r="P20" s="7">
        <v>24563.510000000002</v>
      </c>
      <c r="Q20" s="2"/>
      <c r="R20" s="6">
        <f t="shared" si="4"/>
        <v>0</v>
      </c>
      <c r="S20" s="2"/>
      <c r="T20" s="7">
        <v>27431.27</v>
      </c>
      <c r="U20" s="2"/>
      <c r="V20" s="6">
        <f t="shared" si="5"/>
        <v>0</v>
      </c>
      <c r="W20" s="2"/>
      <c r="X20" s="7">
        <f t="shared" si="6"/>
        <v>-2867.7599999999984</v>
      </c>
      <c r="Y20" s="2"/>
      <c r="Z20" s="6">
        <f t="shared" si="7"/>
        <v>-0.10454346444769047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73.45</v>
      </c>
      <c r="E21" s="2"/>
      <c r="F21" s="6">
        <f t="shared" si="0"/>
        <v>0</v>
      </c>
      <c r="G21" s="2"/>
      <c r="H21" s="7">
        <v>102.41</v>
      </c>
      <c r="I21" s="2"/>
      <c r="J21" s="6">
        <f t="shared" si="1"/>
        <v>0</v>
      </c>
      <c r="K21" s="2"/>
      <c r="L21" s="7">
        <f t="shared" si="2"/>
        <v>-28.959999999999994</v>
      </c>
      <c r="M21" s="2"/>
      <c r="N21" s="6">
        <f t="shared" si="3"/>
        <v>-0.28278488428864362</v>
      </c>
      <c r="O21" s="11"/>
      <c r="P21" s="7">
        <v>995.08</v>
      </c>
      <c r="Q21" s="2"/>
      <c r="R21" s="6">
        <f t="shared" si="4"/>
        <v>0</v>
      </c>
      <c r="S21" s="2"/>
      <c r="T21" s="7">
        <v>1062.3499999999999</v>
      </c>
      <c r="U21" s="2"/>
      <c r="V21" s="6">
        <f t="shared" si="5"/>
        <v>0</v>
      </c>
      <c r="W21" s="2"/>
      <c r="X21" s="7">
        <f t="shared" si="6"/>
        <v>-67.269999999999868</v>
      </c>
      <c r="Y21" s="2"/>
      <c r="Z21" s="6">
        <f t="shared" si="7"/>
        <v>-6.33218807361038E-2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>
        <v>5567.87</v>
      </c>
      <c r="E22" s="2"/>
      <c r="F22" s="6">
        <f t="shared" si="0"/>
        <v>0</v>
      </c>
      <c r="G22" s="2"/>
      <c r="H22" s="7">
        <v>4610.46</v>
      </c>
      <c r="I22" s="2"/>
      <c r="J22" s="6">
        <f t="shared" si="1"/>
        <v>0</v>
      </c>
      <c r="K22" s="2"/>
      <c r="L22" s="7">
        <f t="shared" si="2"/>
        <v>957.40999999999985</v>
      </c>
      <c r="M22" s="2"/>
      <c r="N22" s="6">
        <f t="shared" si="3"/>
        <v>0.20766040698758906</v>
      </c>
      <c r="O22" s="11"/>
      <c r="P22" s="7">
        <v>64383.000000000007</v>
      </c>
      <c r="Q22" s="2"/>
      <c r="R22" s="6">
        <f t="shared" si="4"/>
        <v>0</v>
      </c>
      <c r="S22" s="2"/>
      <c r="T22" s="7">
        <v>76223.59</v>
      </c>
      <c r="U22" s="2"/>
      <c r="V22" s="6">
        <f t="shared" si="5"/>
        <v>0</v>
      </c>
      <c r="W22" s="2"/>
      <c r="X22" s="7">
        <f t="shared" si="6"/>
        <v>-11840.589999999989</v>
      </c>
      <c r="Y22" s="2"/>
      <c r="Z22" s="6">
        <f t="shared" si="7"/>
        <v>-0.15534022997342412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-830.65</v>
      </c>
      <c r="E23" s="2"/>
      <c r="F23" s="6">
        <f t="shared" si="0"/>
        <v>0</v>
      </c>
      <c r="G23" s="2"/>
      <c r="H23" s="7">
        <v>85.89</v>
      </c>
      <c r="I23" s="2"/>
      <c r="J23" s="6">
        <f t="shared" si="1"/>
        <v>0</v>
      </c>
      <c r="K23" s="2"/>
      <c r="L23" s="7">
        <f t="shared" si="2"/>
        <v>-916.54</v>
      </c>
      <c r="M23" s="2"/>
      <c r="N23" s="6">
        <f t="shared" si="3"/>
        <v>-10.671090930259634</v>
      </c>
      <c r="O23" s="11"/>
      <c r="P23" s="7">
        <v>0</v>
      </c>
      <c r="Q23" s="2"/>
      <c r="R23" s="6">
        <f t="shared" si="4"/>
        <v>0</v>
      </c>
      <c r="S23" s="2"/>
      <c r="T23" s="7">
        <v>973.7</v>
      </c>
      <c r="U23" s="2"/>
      <c r="V23" s="6">
        <f t="shared" si="5"/>
        <v>0</v>
      </c>
      <c r="W23" s="2"/>
      <c r="X23" s="7">
        <f t="shared" si="6"/>
        <v>-973.7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>
        <v>1716.08</v>
      </c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1716.08</v>
      </c>
      <c r="M24" s="2"/>
      <c r="N24" s="6">
        <f t="shared" si="3"/>
        <v>0</v>
      </c>
      <c r="O24" s="11"/>
      <c r="P24" s="7">
        <v>19719.72</v>
      </c>
      <c r="Q24" s="2"/>
      <c r="R24" s="6">
        <f t="shared" si="4"/>
        <v>0</v>
      </c>
      <c r="S24" s="2"/>
      <c r="T24" s="7">
        <v>19746.560000000001</v>
      </c>
      <c r="U24" s="2"/>
      <c r="V24" s="6">
        <f t="shared" si="5"/>
        <v>0</v>
      </c>
      <c r="W24" s="2"/>
      <c r="X24" s="7">
        <f t="shared" si="6"/>
        <v>-26.840000000000146</v>
      </c>
      <c r="Y24" s="2"/>
      <c r="Z24" s="6">
        <f t="shared" si="7"/>
        <v>-1.3592240876385631E-3</v>
      </c>
    </row>
    <row r="25" spans="1:26" s="24" customFormat="1" hidden="1" outlineLevel="2" x14ac:dyDescent="0.35">
      <c r="A25" s="27"/>
      <c r="B25" s="11" t="str">
        <f>CONCATENATE("          ", "6116", " - ", "EDUCATIONAL BENEFITS")</f>
        <v xml:space="preserve">          6116 - EDUCATIONAL BENEFITS</v>
      </c>
      <c r="C25" s="11"/>
      <c r="D25" s="7">
        <v>744</v>
      </c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744</v>
      </c>
      <c r="M25" s="2"/>
      <c r="N25" s="6">
        <f t="shared" si="3"/>
        <v>0</v>
      </c>
      <c r="O25" s="11"/>
      <c r="P25" s="7">
        <v>878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878</v>
      </c>
      <c r="Y25" s="2"/>
      <c r="Z25" s="6">
        <f t="shared" si="7"/>
        <v>0</v>
      </c>
    </row>
    <row r="26" spans="1:26" s="24" customFormat="1" hidden="1" outlineLevel="2" x14ac:dyDescent="0.3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168</v>
      </c>
      <c r="E26" s="2"/>
      <c r="F26" s="6">
        <f t="shared" si="0"/>
        <v>0</v>
      </c>
      <c r="G26" s="2"/>
      <c r="H26" s="7">
        <v>196.45</v>
      </c>
      <c r="I26" s="2"/>
      <c r="J26" s="6">
        <f t="shared" si="1"/>
        <v>0</v>
      </c>
      <c r="K26" s="2"/>
      <c r="L26" s="7">
        <f t="shared" si="2"/>
        <v>-28.449999999999989</v>
      </c>
      <c r="M26" s="2"/>
      <c r="N26" s="6">
        <f t="shared" si="3"/>
        <v>-0.14482056502926949</v>
      </c>
      <c r="O26" s="11"/>
      <c r="P26" s="7">
        <v>4400.32</v>
      </c>
      <c r="Q26" s="2"/>
      <c r="R26" s="6">
        <f t="shared" si="4"/>
        <v>0</v>
      </c>
      <c r="S26" s="2"/>
      <c r="T26" s="7">
        <v>691.97</v>
      </c>
      <c r="U26" s="2"/>
      <c r="V26" s="6">
        <f t="shared" si="5"/>
        <v>0</v>
      </c>
      <c r="W26" s="2"/>
      <c r="X26" s="7">
        <f t="shared" si="6"/>
        <v>3708.3499999999995</v>
      </c>
      <c r="Y26" s="2"/>
      <c r="Z26" s="6">
        <f t="shared" si="7"/>
        <v>5.3591196150122107</v>
      </c>
    </row>
    <row r="27" spans="1:26" s="24" customFormat="1" hidden="1" outlineLevel="2" x14ac:dyDescent="0.35">
      <c r="A27" s="27"/>
      <c r="B27" s="11" t="str">
        <f>CONCATENATE("          ", "6118", " - ", "VACATION")</f>
        <v xml:space="preserve">          6118 - VACATION</v>
      </c>
      <c r="C27" s="11"/>
      <c r="D27" s="7">
        <v>1474.64</v>
      </c>
      <c r="E27" s="2"/>
      <c r="F27" s="6">
        <f t="shared" si="0"/>
        <v>0</v>
      </c>
      <c r="G27" s="2"/>
      <c r="H27" s="7">
        <v>1242</v>
      </c>
      <c r="I27" s="2"/>
      <c r="J27" s="6">
        <f t="shared" si="1"/>
        <v>0</v>
      </c>
      <c r="K27" s="2"/>
      <c r="L27" s="7">
        <f t="shared" si="2"/>
        <v>232.6400000000001</v>
      </c>
      <c r="M27" s="2"/>
      <c r="N27" s="6">
        <f t="shared" si="3"/>
        <v>0.18731078904991957</v>
      </c>
      <c r="O27" s="11"/>
      <c r="P27" s="7">
        <v>19681.560000000001</v>
      </c>
      <c r="Q27" s="2"/>
      <c r="R27" s="6">
        <f t="shared" si="4"/>
        <v>0</v>
      </c>
      <c r="S27" s="2"/>
      <c r="T27" s="7">
        <v>23934.870000000003</v>
      </c>
      <c r="U27" s="2"/>
      <c r="V27" s="6">
        <f t="shared" si="5"/>
        <v>0</v>
      </c>
      <c r="W27" s="2"/>
      <c r="X27" s="7">
        <f t="shared" si="6"/>
        <v>-4253.3100000000013</v>
      </c>
      <c r="Y27" s="2"/>
      <c r="Z27" s="6">
        <f t="shared" si="7"/>
        <v>-0.17770349285373185</v>
      </c>
    </row>
    <row r="28" spans="1:26" s="24" customFormat="1" hidden="1" outlineLevel="2" x14ac:dyDescent="0.35">
      <c r="A28" s="27"/>
      <c r="B28" s="11" t="str">
        <f>CONCATENATE("          ", "6119", " - ", "SICK LEAVE")</f>
        <v xml:space="preserve">          6119 - SICK LEAVE</v>
      </c>
      <c r="C28" s="11"/>
      <c r="D28" s="7">
        <v>999.04</v>
      </c>
      <c r="E28" s="2"/>
      <c r="F28" s="6">
        <f t="shared" si="0"/>
        <v>0</v>
      </c>
      <c r="G28" s="2"/>
      <c r="H28" s="7">
        <v>763.8</v>
      </c>
      <c r="I28" s="2"/>
      <c r="J28" s="6">
        <f t="shared" si="1"/>
        <v>0</v>
      </c>
      <c r="K28" s="2"/>
      <c r="L28" s="7">
        <f t="shared" si="2"/>
        <v>235.24</v>
      </c>
      <c r="M28" s="2"/>
      <c r="N28" s="6">
        <f t="shared" si="3"/>
        <v>0.30798638387012311</v>
      </c>
      <c r="O28" s="11"/>
      <c r="P28" s="7">
        <v>13222.18</v>
      </c>
      <c r="Q28" s="2"/>
      <c r="R28" s="6">
        <f t="shared" si="4"/>
        <v>0</v>
      </c>
      <c r="S28" s="2"/>
      <c r="T28" s="7">
        <v>12233.63</v>
      </c>
      <c r="U28" s="2"/>
      <c r="V28" s="6">
        <f t="shared" si="5"/>
        <v>0</v>
      </c>
      <c r="W28" s="2"/>
      <c r="X28" s="7">
        <f t="shared" si="6"/>
        <v>988.55000000000109</v>
      </c>
      <c r="Y28" s="2"/>
      <c r="Z28" s="6">
        <f t="shared" si="7"/>
        <v>8.0805942308211143E-2</v>
      </c>
    </row>
    <row r="29" spans="1:26" s="24" customFormat="1" hidden="1" outlineLevel="2" x14ac:dyDescent="0.35">
      <c r="A29" s="27"/>
      <c r="B29" s="11" t="str">
        <f>CONCATENATE("          ", "6156", " - ", "EMPLOYEE MEALS")</f>
        <v xml:space="preserve">          6156 - EMPLOYEE MEALS</v>
      </c>
      <c r="C29" s="11"/>
      <c r="D29" s="7">
        <v>144</v>
      </c>
      <c r="E29" s="2"/>
      <c r="F29" s="6">
        <f t="shared" si="0"/>
        <v>0</v>
      </c>
      <c r="G29" s="2"/>
      <c r="H29" s="7">
        <v>432.6</v>
      </c>
      <c r="I29" s="2"/>
      <c r="J29" s="6">
        <f t="shared" si="1"/>
        <v>0</v>
      </c>
      <c r="K29" s="2"/>
      <c r="L29" s="7">
        <f t="shared" si="2"/>
        <v>-288.60000000000002</v>
      </c>
      <c r="M29" s="2"/>
      <c r="N29" s="6">
        <f t="shared" si="3"/>
        <v>-0.66712898751733707</v>
      </c>
      <c r="O29" s="11"/>
      <c r="P29" s="7">
        <v>5747.8</v>
      </c>
      <c r="Q29" s="2"/>
      <c r="R29" s="6">
        <f t="shared" si="4"/>
        <v>0</v>
      </c>
      <c r="S29" s="2"/>
      <c r="T29" s="7">
        <v>7578.19</v>
      </c>
      <c r="U29" s="2"/>
      <c r="V29" s="6">
        <f t="shared" si="5"/>
        <v>0</v>
      </c>
      <c r="W29" s="2"/>
      <c r="X29" s="7">
        <f t="shared" si="6"/>
        <v>-1830.3899999999994</v>
      </c>
      <c r="Y29" s="2"/>
      <c r="Z29" s="6">
        <f t="shared" si="7"/>
        <v>-0.24153392828630577</v>
      </c>
    </row>
    <row r="30" spans="1:26" s="25" customFormat="1" outlineLevel="1" collapsed="1" x14ac:dyDescent="0.35">
      <c r="A30" s="26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18409.620000000003</v>
      </c>
      <c r="E30" s="1"/>
      <c r="F30" s="5">
        <f t="shared" ref="F30:F36" si="8">IF(D$12=0,0,D30/D$12)</f>
        <v>0</v>
      </c>
      <c r="G30" s="1"/>
      <c r="H30" s="1">
        <f>SUM(OSRRefH22_1x_0)</f>
        <v>16584.919999999998</v>
      </c>
      <c r="I30" s="1"/>
      <c r="J30" s="5">
        <f t="shared" ref="J30:J36" si="9">IF(H$12=0,0,H30/H$12)</f>
        <v>0</v>
      </c>
      <c r="K30" s="1"/>
      <c r="L30" s="1">
        <f t="shared" ref="L30:L36" si="10">+D30-H30</f>
        <v>1824.7000000000044</v>
      </c>
      <c r="M30" s="1"/>
      <c r="N30" s="5">
        <f t="shared" ref="N30:N36" si="11">IF(H30=0,0,L30/H30)</f>
        <v>0.11002163411098785</v>
      </c>
      <c r="O30" s="12"/>
      <c r="P30" s="1">
        <f>SUM(OSRRefP22_1x_0)</f>
        <v>293390.09999999998</v>
      </c>
      <c r="Q30" s="1"/>
      <c r="R30" s="5">
        <f t="shared" ref="R30:R36" si="12">IF(P$12=0,0,P30/P$12)</f>
        <v>0</v>
      </c>
      <c r="S30" s="1"/>
      <c r="T30" s="1">
        <f>SUM(OSRRefT22_1x_0)</f>
        <v>320375.77999999997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-26985.679999999993</v>
      </c>
      <c r="Y30" s="1"/>
      <c r="Z30" s="5">
        <f t="shared" ref="Z30:Z36" si="15">IF(T30=0,0,X30/T30)</f>
        <v>-8.4231336089138811E-2</v>
      </c>
    </row>
    <row r="31" spans="1:26" s="24" customFormat="1" hidden="1" outlineLevel="2" x14ac:dyDescent="0.35">
      <c r="A31" s="27"/>
      <c r="B31" s="11" t="str">
        <f>CONCATENATE("          ", "6002", " - ", "STAFF SALARIES")</f>
        <v xml:space="preserve">          6002 - STAFF SALARIES</v>
      </c>
      <c r="C31" s="11"/>
      <c r="D31" s="7">
        <v>15049.62</v>
      </c>
      <c r="E31" s="2"/>
      <c r="F31" s="6">
        <f t="shared" si="8"/>
        <v>0</v>
      </c>
      <c r="G31" s="2"/>
      <c r="H31" s="7">
        <v>10057.42</v>
      </c>
      <c r="I31" s="2"/>
      <c r="J31" s="6">
        <f t="shared" si="9"/>
        <v>0</v>
      </c>
      <c r="K31" s="2"/>
      <c r="L31" s="7">
        <f t="shared" si="10"/>
        <v>4992.2000000000007</v>
      </c>
      <c r="M31" s="2"/>
      <c r="N31" s="6">
        <f t="shared" si="11"/>
        <v>0.496369844353721</v>
      </c>
      <c r="O31" s="11"/>
      <c r="P31" s="7">
        <v>160206.75999999998</v>
      </c>
      <c r="Q31" s="2"/>
      <c r="R31" s="6">
        <f t="shared" si="12"/>
        <v>0</v>
      </c>
      <c r="S31" s="2"/>
      <c r="T31" s="7">
        <v>181815.41999999998</v>
      </c>
      <c r="U31" s="2"/>
      <c r="V31" s="6">
        <f t="shared" si="13"/>
        <v>0</v>
      </c>
      <c r="W31" s="2"/>
      <c r="X31" s="7">
        <f t="shared" si="14"/>
        <v>-21608.660000000003</v>
      </c>
      <c r="Y31" s="2"/>
      <c r="Z31" s="6">
        <f t="shared" si="15"/>
        <v>-0.11884943532292258</v>
      </c>
    </row>
    <row r="32" spans="1:26" s="24" customFormat="1" hidden="1" outlineLevel="2" x14ac:dyDescent="0.35">
      <c r="A32" s="27"/>
      <c r="B32" s="11" t="str">
        <f>CONCATENATE("          ", "6004", " - ", "STAFF HOURLY")</f>
        <v xml:space="preserve">          6004 - STAFF HOURLY</v>
      </c>
      <c r="C32" s="11"/>
      <c r="D32" s="7">
        <v>3360</v>
      </c>
      <c r="E32" s="2"/>
      <c r="F32" s="6">
        <f t="shared" si="8"/>
        <v>0</v>
      </c>
      <c r="G32" s="2"/>
      <c r="H32" s="7">
        <v>3477</v>
      </c>
      <c r="I32" s="2"/>
      <c r="J32" s="6">
        <f t="shared" si="9"/>
        <v>0</v>
      </c>
      <c r="K32" s="2"/>
      <c r="L32" s="7">
        <f t="shared" si="10"/>
        <v>-117</v>
      </c>
      <c r="M32" s="2"/>
      <c r="N32" s="6">
        <f t="shared" si="11"/>
        <v>-3.3649698015530631E-2</v>
      </c>
      <c r="O32" s="11"/>
      <c r="P32" s="7">
        <v>80619.600000000006</v>
      </c>
      <c r="Q32" s="2"/>
      <c r="R32" s="6">
        <f t="shared" si="12"/>
        <v>0</v>
      </c>
      <c r="S32" s="2"/>
      <c r="T32" s="7">
        <v>85093.83</v>
      </c>
      <c r="U32" s="2"/>
      <c r="V32" s="6">
        <f t="shared" si="13"/>
        <v>0</v>
      </c>
      <c r="W32" s="2"/>
      <c r="X32" s="7">
        <f t="shared" si="14"/>
        <v>-4474.2299999999959</v>
      </c>
      <c r="Y32" s="2"/>
      <c r="Z32" s="6">
        <f t="shared" si="15"/>
        <v>-5.2579957912342129E-2</v>
      </c>
    </row>
    <row r="33" spans="1:26" s="24" customFormat="1" hidden="1" outlineLevel="2" x14ac:dyDescent="0.3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1206</v>
      </c>
      <c r="I33" s="2"/>
      <c r="J33" s="6">
        <f t="shared" si="9"/>
        <v>0</v>
      </c>
      <c r="K33" s="2"/>
      <c r="L33" s="7">
        <f t="shared" si="10"/>
        <v>-1206</v>
      </c>
      <c r="M33" s="2"/>
      <c r="N33" s="6">
        <f t="shared" si="11"/>
        <v>-1</v>
      </c>
      <c r="O33" s="11"/>
      <c r="P33" s="7">
        <v>23545.86</v>
      </c>
      <c r="Q33" s="2"/>
      <c r="R33" s="6">
        <f t="shared" si="12"/>
        <v>0</v>
      </c>
      <c r="S33" s="2"/>
      <c r="T33" s="7">
        <v>28275.75</v>
      </c>
      <c r="U33" s="2"/>
      <c r="V33" s="6">
        <f t="shared" si="13"/>
        <v>0</v>
      </c>
      <c r="W33" s="2"/>
      <c r="X33" s="7">
        <f t="shared" si="14"/>
        <v>-4729.8899999999994</v>
      </c>
      <c r="Y33" s="2"/>
      <c r="Z33" s="6">
        <f t="shared" si="15"/>
        <v>-0.16727726055011802</v>
      </c>
    </row>
    <row r="34" spans="1:26" s="24" customFormat="1" hidden="1" outlineLevel="2" x14ac:dyDescent="0.35">
      <c r="A34" s="27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5997.79</v>
      </c>
      <c r="U34" s="2"/>
      <c r="V34" s="6">
        <f t="shared" si="13"/>
        <v>0</v>
      </c>
      <c r="W34" s="2"/>
      <c r="X34" s="7">
        <f t="shared" si="14"/>
        <v>-5997.79</v>
      </c>
      <c r="Y34" s="2"/>
      <c r="Z34" s="6">
        <f t="shared" si="15"/>
        <v>-1</v>
      </c>
    </row>
    <row r="35" spans="1:26" s="24" customFormat="1" hidden="1" outlineLevel="2" x14ac:dyDescent="0.3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787.5</v>
      </c>
      <c r="I35" s="2"/>
      <c r="J35" s="6">
        <f t="shared" si="9"/>
        <v>0</v>
      </c>
      <c r="K35" s="2"/>
      <c r="L35" s="7">
        <f t="shared" si="10"/>
        <v>-787.5</v>
      </c>
      <c r="M35" s="2"/>
      <c r="N35" s="6">
        <f t="shared" si="11"/>
        <v>-1</v>
      </c>
      <c r="O35" s="11"/>
      <c r="P35" s="7">
        <v>26497.88</v>
      </c>
      <c r="Q35" s="2"/>
      <c r="R35" s="6">
        <f t="shared" si="12"/>
        <v>0</v>
      </c>
      <c r="S35" s="2"/>
      <c r="T35" s="7">
        <v>18135.990000000002</v>
      </c>
      <c r="U35" s="2"/>
      <c r="V35" s="6">
        <f t="shared" si="13"/>
        <v>0</v>
      </c>
      <c r="W35" s="2"/>
      <c r="X35" s="7">
        <f t="shared" si="14"/>
        <v>8361.89</v>
      </c>
      <c r="Y35" s="2"/>
      <c r="Z35" s="6">
        <f t="shared" si="15"/>
        <v>0.46106609013348587</v>
      </c>
    </row>
    <row r="36" spans="1:26" s="24" customFormat="1" hidden="1" outlineLevel="2" x14ac:dyDescent="0.3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1057</v>
      </c>
      <c r="I36" s="2"/>
      <c r="J36" s="6">
        <f t="shared" si="9"/>
        <v>0</v>
      </c>
      <c r="K36" s="2"/>
      <c r="L36" s="7">
        <f t="shared" si="10"/>
        <v>-1057</v>
      </c>
      <c r="M36" s="2"/>
      <c r="N36" s="6">
        <f t="shared" si="11"/>
        <v>-1</v>
      </c>
      <c r="O36" s="11"/>
      <c r="P36" s="7">
        <v>2520</v>
      </c>
      <c r="Q36" s="2"/>
      <c r="R36" s="6">
        <f t="shared" si="12"/>
        <v>0</v>
      </c>
      <c r="S36" s="2"/>
      <c r="T36" s="7">
        <v>1057</v>
      </c>
      <c r="U36" s="2"/>
      <c r="V36" s="6">
        <f t="shared" si="13"/>
        <v>0</v>
      </c>
      <c r="W36" s="2"/>
      <c r="X36" s="7">
        <f t="shared" si="14"/>
        <v>1463</v>
      </c>
      <c r="Y36" s="2"/>
      <c r="Z36" s="6">
        <f t="shared" si="15"/>
        <v>1.3841059602649006</v>
      </c>
    </row>
    <row r="37" spans="1:26" s="25" customFormat="1" outlineLevel="1" collapsed="1" x14ac:dyDescent="0.35">
      <c r="A37" s="26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1" si="16">IF(D$12=0,0,D37/D$12)</f>
        <v>0</v>
      </c>
      <c r="G37" s="1"/>
      <c r="H37" s="1">
        <f>SUM(OSRRefH22_2x_0)</f>
        <v>6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-6</v>
      </c>
      <c r="M37" s="1"/>
      <c r="N37" s="5">
        <f t="shared" ref="N37:N41" si="19">IF(H37=0,0,L37/H37)</f>
        <v>-1</v>
      </c>
      <c r="O37" s="12"/>
      <c r="P37" s="1">
        <f>SUM(OSRRefP22_2x_0)</f>
        <v>9.99</v>
      </c>
      <c r="Q37" s="1"/>
      <c r="R37" s="5">
        <f t="shared" ref="R37:R41" si="20">IF(P$12=0,0,P37/P$12)</f>
        <v>0</v>
      </c>
      <c r="S37" s="1"/>
      <c r="T37" s="1">
        <f>SUM(OSRRefT22_2x_0)</f>
        <v>1038.5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-1028.51</v>
      </c>
      <c r="Y37" s="1"/>
      <c r="Z37" s="5">
        <f t="shared" ref="Z37:Z41" si="23">IF(T37=0,0,X37/T37)</f>
        <v>-0.99038035628310062</v>
      </c>
    </row>
    <row r="38" spans="1:26" s="24" customFormat="1" hidden="1" outlineLevel="2" x14ac:dyDescent="0.35">
      <c r="A38" s="27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16"/>
        <v>0</v>
      </c>
      <c r="G38" s="2"/>
      <c r="H38" s="7">
        <v>6</v>
      </c>
      <c r="I38" s="2"/>
      <c r="J38" s="6">
        <f t="shared" si="17"/>
        <v>0</v>
      </c>
      <c r="K38" s="2"/>
      <c r="L38" s="7">
        <f t="shared" si="18"/>
        <v>-6</v>
      </c>
      <c r="M38" s="2"/>
      <c r="N38" s="6">
        <f t="shared" si="19"/>
        <v>-1</v>
      </c>
      <c r="O38" s="11"/>
      <c r="P38" s="7">
        <v>9.99</v>
      </c>
      <c r="Q38" s="2"/>
      <c r="R38" s="6">
        <f t="shared" si="20"/>
        <v>0</v>
      </c>
      <c r="S38" s="2"/>
      <c r="T38" s="7">
        <v>1038.5</v>
      </c>
      <c r="U38" s="2"/>
      <c r="V38" s="6">
        <f t="shared" si="21"/>
        <v>0</v>
      </c>
      <c r="W38" s="2"/>
      <c r="X38" s="7">
        <f t="shared" si="22"/>
        <v>-1028.51</v>
      </c>
      <c r="Y38" s="2"/>
      <c r="Z38" s="6">
        <f t="shared" si="23"/>
        <v>-0.99038035628310062</v>
      </c>
    </row>
    <row r="39" spans="1:26" s="25" customFormat="1" outlineLevel="1" collapsed="1" x14ac:dyDescent="0.35">
      <c r="A39" s="26"/>
      <c r="B39" s="12" t="str">
        <f>CONCATENATE("     ","Depreciation                                      ")</f>
        <v xml:space="preserve">     Depreciation                                      </v>
      </c>
      <c r="C39" s="12"/>
      <c r="D39" s="1">
        <f>SUM(OSRRefD22_3x_0)</f>
        <v>5462</v>
      </c>
      <c r="E39" s="1"/>
      <c r="F39" s="5">
        <f t="shared" si="16"/>
        <v>0</v>
      </c>
      <c r="G39" s="1"/>
      <c r="H39" s="1">
        <f>SUM(OSRRefH22_3x_0)</f>
        <v>6497.7</v>
      </c>
      <c r="I39" s="1"/>
      <c r="J39" s="5">
        <f t="shared" si="17"/>
        <v>0</v>
      </c>
      <c r="K39" s="1"/>
      <c r="L39" s="1">
        <f t="shared" si="18"/>
        <v>-1035.6999999999998</v>
      </c>
      <c r="M39" s="1"/>
      <c r="N39" s="5">
        <f t="shared" si="19"/>
        <v>-0.15939486279760529</v>
      </c>
      <c r="O39" s="12"/>
      <c r="P39" s="1">
        <f>SUM(OSRRefP22_3x_0)</f>
        <v>72325.490000000005</v>
      </c>
      <c r="Q39" s="1"/>
      <c r="R39" s="5">
        <f t="shared" si="20"/>
        <v>0</v>
      </c>
      <c r="S39" s="1"/>
      <c r="T39" s="1">
        <f>SUM(OSRRefT22_3x_0)</f>
        <v>93066.389999999985</v>
      </c>
      <c r="U39" s="1"/>
      <c r="V39" s="5">
        <f t="shared" si="21"/>
        <v>0</v>
      </c>
      <c r="W39" s="1"/>
      <c r="X39" s="1">
        <f t="shared" si="22"/>
        <v>-20740.89999999998</v>
      </c>
      <c r="Y39" s="1"/>
      <c r="Z39" s="5">
        <f t="shared" si="23"/>
        <v>-0.22286133587001691</v>
      </c>
    </row>
    <row r="40" spans="1:26" s="24" customFormat="1" hidden="1" outlineLevel="2" x14ac:dyDescent="0.35">
      <c r="A40" s="27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5462</v>
      </c>
      <c r="E40" s="2"/>
      <c r="F40" s="6">
        <f t="shared" si="16"/>
        <v>0</v>
      </c>
      <c r="G40" s="2"/>
      <c r="H40" s="7">
        <v>6175.71</v>
      </c>
      <c r="I40" s="2"/>
      <c r="J40" s="6">
        <f t="shared" si="17"/>
        <v>0</v>
      </c>
      <c r="K40" s="2"/>
      <c r="L40" s="7">
        <f t="shared" si="18"/>
        <v>-713.71</v>
      </c>
      <c r="M40" s="2"/>
      <c r="N40" s="6">
        <f t="shared" si="19"/>
        <v>-0.11556727890396408</v>
      </c>
      <c r="O40" s="11"/>
      <c r="P40" s="7">
        <v>72325.490000000005</v>
      </c>
      <c r="Q40" s="2"/>
      <c r="R40" s="6">
        <f t="shared" si="20"/>
        <v>0</v>
      </c>
      <c r="S40" s="2"/>
      <c r="T40" s="7">
        <v>89201.959999999992</v>
      </c>
      <c r="U40" s="2"/>
      <c r="V40" s="6">
        <f t="shared" si="21"/>
        <v>0</v>
      </c>
      <c r="W40" s="2"/>
      <c r="X40" s="7">
        <f t="shared" si="22"/>
        <v>-16876.469999999987</v>
      </c>
      <c r="Y40" s="2"/>
      <c r="Z40" s="6">
        <f t="shared" si="23"/>
        <v>-0.18919393699420942</v>
      </c>
    </row>
    <row r="41" spans="1:26" s="24" customFormat="1" hidden="1" outlineLevel="2" x14ac:dyDescent="0.35">
      <c r="A41" s="27"/>
      <c r="B41" s="11" t="str">
        <f>CONCATENATE("          ", "6324", " - ", "FURNITURE + FIXT DEPRECIATION")</f>
        <v xml:space="preserve">          6324 - FURNITURE + FIXT DEPRECIATION</v>
      </c>
      <c r="C41" s="11"/>
      <c r="D41" s="7"/>
      <c r="E41" s="2"/>
      <c r="F41" s="6">
        <f t="shared" si="16"/>
        <v>0</v>
      </c>
      <c r="G41" s="2"/>
      <c r="H41" s="7">
        <v>321.99</v>
      </c>
      <c r="I41" s="2"/>
      <c r="J41" s="6">
        <f t="shared" si="17"/>
        <v>0</v>
      </c>
      <c r="K41" s="2"/>
      <c r="L41" s="7">
        <f t="shared" si="18"/>
        <v>-321.99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3864.43</v>
      </c>
      <c r="U41" s="2"/>
      <c r="V41" s="6">
        <f t="shared" si="21"/>
        <v>0</v>
      </c>
      <c r="W41" s="2"/>
      <c r="X41" s="7">
        <f t="shared" si="22"/>
        <v>-3864.43</v>
      </c>
      <c r="Y41" s="2"/>
      <c r="Z41" s="6">
        <f t="shared" si="23"/>
        <v>-1</v>
      </c>
    </row>
    <row r="42" spans="1:26" s="25" customFormat="1" outlineLevel="1" collapsed="1" x14ac:dyDescent="0.35">
      <c r="A42" s="26"/>
      <c r="B42" s="12" t="str">
        <f>CONCATENATE("     ","Employees' Appreciation                           ")</f>
        <v xml:space="preserve">     Employees' Appreciation                           </v>
      </c>
      <c r="C42" s="12"/>
      <c r="D42" s="1">
        <f>SUM(OSRRefD22_4x_0)</f>
        <v>0</v>
      </c>
      <c r="E42" s="1"/>
      <c r="F42" s="5">
        <f t="shared" ref="F42:F50" si="24">IF(D$12=0,0,D42/D$12)</f>
        <v>0</v>
      </c>
      <c r="G42" s="1"/>
      <c r="H42" s="1">
        <f>SUM(OSRRefH22_4x_0)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0</v>
      </c>
      <c r="M42" s="1"/>
      <c r="N42" s="5">
        <f t="shared" ref="N42:N50" si="27">IF(H42=0,0,L42/H42)</f>
        <v>0</v>
      </c>
      <c r="O42" s="12"/>
      <c r="P42" s="1">
        <f>SUM(OSRRefP22_4x_0)</f>
        <v>0</v>
      </c>
      <c r="Q42" s="1"/>
      <c r="R42" s="5">
        <f t="shared" ref="R42:R50" si="28">IF(P$12=0,0,P42/P$12)</f>
        <v>0</v>
      </c>
      <c r="S42" s="1"/>
      <c r="T42" s="1">
        <f>SUM(OSRRefT22_4x_0)</f>
        <v>486.19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-486.19</v>
      </c>
      <c r="Y42" s="1"/>
      <c r="Z42" s="5">
        <f t="shared" ref="Z42:Z50" si="31">IF(T42=0,0,X42/T42)</f>
        <v>-1</v>
      </c>
    </row>
    <row r="43" spans="1:26" s="24" customFormat="1" hidden="1" outlineLevel="2" x14ac:dyDescent="0.35">
      <c r="A43" s="27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0</v>
      </c>
      <c r="M43" s="2"/>
      <c r="N43" s="6">
        <f t="shared" si="27"/>
        <v>0</v>
      </c>
      <c r="O43" s="11"/>
      <c r="P43" s="7"/>
      <c r="Q43" s="2"/>
      <c r="R43" s="6">
        <f t="shared" si="28"/>
        <v>0</v>
      </c>
      <c r="S43" s="2"/>
      <c r="T43" s="7">
        <v>486.19</v>
      </c>
      <c r="U43" s="2"/>
      <c r="V43" s="6">
        <f t="shared" si="29"/>
        <v>0</v>
      </c>
      <c r="W43" s="2"/>
      <c r="X43" s="7">
        <f t="shared" si="30"/>
        <v>-486.19</v>
      </c>
      <c r="Y43" s="2"/>
      <c r="Z43" s="6">
        <f t="shared" si="31"/>
        <v>-1</v>
      </c>
    </row>
    <row r="44" spans="1:26" s="25" customFormat="1" outlineLevel="1" collapsed="1" x14ac:dyDescent="0.35">
      <c r="A44" s="26"/>
      <c r="B44" s="12" t="str">
        <f>CONCATENATE("     ","Insurance                                         ")</f>
        <v xml:space="preserve">     Insurance                                         </v>
      </c>
      <c r="C44" s="12"/>
      <c r="D44" s="1">
        <f>SUM(OSRRefD22_5x_0)</f>
        <v>56.34</v>
      </c>
      <c r="E44" s="1"/>
      <c r="F44" s="5">
        <f t="shared" si="24"/>
        <v>0</v>
      </c>
      <c r="G44" s="1"/>
      <c r="H44" s="1">
        <f>SUM(OSRRefH22_5x_0)</f>
        <v>53.08</v>
      </c>
      <c r="I44" s="1"/>
      <c r="J44" s="5">
        <f t="shared" si="25"/>
        <v>0</v>
      </c>
      <c r="K44" s="1"/>
      <c r="L44" s="1">
        <f t="shared" si="26"/>
        <v>3.2600000000000051</v>
      </c>
      <c r="M44" s="1"/>
      <c r="N44" s="5">
        <f t="shared" si="27"/>
        <v>6.1416729464958651E-2</v>
      </c>
      <c r="O44" s="12"/>
      <c r="P44" s="1">
        <f>SUM(OSRRefP22_5x_0)</f>
        <v>676.08</v>
      </c>
      <c r="Q44" s="1"/>
      <c r="R44" s="5">
        <f t="shared" si="28"/>
        <v>0</v>
      </c>
      <c r="S44" s="1"/>
      <c r="T44" s="1">
        <f>SUM(OSRRefT22_5x_0)</f>
        <v>542.26</v>
      </c>
      <c r="U44" s="1"/>
      <c r="V44" s="5">
        <f t="shared" si="29"/>
        <v>0</v>
      </c>
      <c r="W44" s="1"/>
      <c r="X44" s="1">
        <f t="shared" si="30"/>
        <v>133.82000000000005</v>
      </c>
      <c r="Y44" s="1"/>
      <c r="Z44" s="5">
        <f t="shared" si="31"/>
        <v>0.2467819865009406</v>
      </c>
    </row>
    <row r="45" spans="1:26" s="24" customFormat="1" hidden="1" outlineLevel="2" x14ac:dyDescent="0.35">
      <c r="A45" s="27"/>
      <c r="B45" s="11" t="str">
        <f>CONCATENATE("          ", "6314", " - ", "LIABILITY INSURANCE")</f>
        <v xml:space="preserve">          6314 - LIABILITY INSURANCE</v>
      </c>
      <c r="C45" s="11"/>
      <c r="D45" s="7">
        <v>56.34</v>
      </c>
      <c r="E45" s="2"/>
      <c r="F45" s="6">
        <f t="shared" si="24"/>
        <v>0</v>
      </c>
      <c r="G45" s="2"/>
      <c r="H45" s="7">
        <v>53.08</v>
      </c>
      <c r="I45" s="2"/>
      <c r="J45" s="6">
        <f t="shared" si="25"/>
        <v>0</v>
      </c>
      <c r="K45" s="2"/>
      <c r="L45" s="7">
        <f t="shared" si="26"/>
        <v>3.2600000000000051</v>
      </c>
      <c r="M45" s="2"/>
      <c r="N45" s="6">
        <f t="shared" si="27"/>
        <v>6.1416729464958651E-2</v>
      </c>
      <c r="O45" s="11"/>
      <c r="P45" s="7">
        <v>676.08</v>
      </c>
      <c r="Q45" s="2"/>
      <c r="R45" s="6">
        <f t="shared" si="28"/>
        <v>0</v>
      </c>
      <c r="S45" s="2"/>
      <c r="T45" s="7">
        <v>542.26</v>
      </c>
      <c r="U45" s="2"/>
      <c r="V45" s="6">
        <f t="shared" si="29"/>
        <v>0</v>
      </c>
      <c r="W45" s="2"/>
      <c r="X45" s="7">
        <f t="shared" si="30"/>
        <v>133.82000000000005</v>
      </c>
      <c r="Y45" s="2"/>
      <c r="Z45" s="6">
        <f t="shared" si="31"/>
        <v>0.2467819865009406</v>
      </c>
    </row>
    <row r="46" spans="1:26" s="25" customFormat="1" outlineLevel="1" collapsed="1" x14ac:dyDescent="0.35">
      <c r="A46" s="26"/>
      <c r="B46" s="12" t="str">
        <f>CONCATENATE("     ","Repair and Maintenance                            ")</f>
        <v xml:space="preserve">     Repair and Maintenance                            </v>
      </c>
      <c r="C46" s="12"/>
      <c r="D46" s="1">
        <f>SUM(OSRRefD22_6x_0)</f>
        <v>9532</v>
      </c>
      <c r="E46" s="1"/>
      <c r="F46" s="5">
        <f t="shared" si="24"/>
        <v>0</v>
      </c>
      <c r="G46" s="1"/>
      <c r="H46" s="1">
        <f>SUM(OSRRefH22_6x_0)</f>
        <v>8681.630000000001</v>
      </c>
      <c r="I46" s="1"/>
      <c r="J46" s="5">
        <f t="shared" si="25"/>
        <v>0</v>
      </c>
      <c r="K46" s="1"/>
      <c r="L46" s="1">
        <f t="shared" si="26"/>
        <v>850.36999999999898</v>
      </c>
      <c r="M46" s="1"/>
      <c r="N46" s="5">
        <f t="shared" si="27"/>
        <v>9.7950500078902103E-2</v>
      </c>
      <c r="O46" s="12"/>
      <c r="P46" s="1">
        <f>SUM(OSRRefP22_6x_0)</f>
        <v>117256.66999999998</v>
      </c>
      <c r="Q46" s="1"/>
      <c r="R46" s="5">
        <f t="shared" si="28"/>
        <v>0</v>
      </c>
      <c r="S46" s="1"/>
      <c r="T46" s="1">
        <f>SUM(OSRRefT22_6x_0)</f>
        <v>105001.39000000001</v>
      </c>
      <c r="U46" s="1"/>
      <c r="V46" s="5">
        <f t="shared" si="29"/>
        <v>0</v>
      </c>
      <c r="W46" s="1"/>
      <c r="X46" s="1">
        <f t="shared" si="30"/>
        <v>12255.27999999997</v>
      </c>
      <c r="Y46" s="1"/>
      <c r="Z46" s="5">
        <f t="shared" si="31"/>
        <v>0.11671540729127461</v>
      </c>
    </row>
    <row r="47" spans="1:26" s="24" customFormat="1" hidden="1" outlineLevel="2" x14ac:dyDescent="0.35">
      <c r="A47" s="27"/>
      <c r="B47" s="11" t="str">
        <f>CONCATENATE("          ", "6371", " - ", "COMPUTER SOFTWARE MAINTENANCE")</f>
        <v xml:space="preserve">          6371 - COMPUTER SOFTWARE MAINTENANCE</v>
      </c>
      <c r="C47" s="11"/>
      <c r="D47" s="7">
        <v>125</v>
      </c>
      <c r="E47" s="2"/>
      <c r="F47" s="6">
        <f t="shared" si="24"/>
        <v>0</v>
      </c>
      <c r="G47" s="2"/>
      <c r="H47" s="7">
        <v>90.95</v>
      </c>
      <c r="I47" s="2"/>
      <c r="J47" s="6">
        <f t="shared" si="25"/>
        <v>0</v>
      </c>
      <c r="K47" s="2"/>
      <c r="L47" s="7">
        <f t="shared" si="26"/>
        <v>34.049999999999997</v>
      </c>
      <c r="M47" s="2"/>
      <c r="N47" s="6">
        <f t="shared" si="27"/>
        <v>0.37438152831225946</v>
      </c>
      <c r="O47" s="11"/>
      <c r="P47" s="7">
        <v>3627.2</v>
      </c>
      <c r="Q47" s="2"/>
      <c r="R47" s="6">
        <f t="shared" si="28"/>
        <v>0</v>
      </c>
      <c r="S47" s="2"/>
      <c r="T47" s="7">
        <v>3046.57</v>
      </c>
      <c r="U47" s="2"/>
      <c r="V47" s="6">
        <f t="shared" si="29"/>
        <v>0</v>
      </c>
      <c r="W47" s="2"/>
      <c r="X47" s="7">
        <f t="shared" si="30"/>
        <v>580.62999999999965</v>
      </c>
      <c r="Y47" s="2"/>
      <c r="Z47" s="6">
        <f t="shared" si="31"/>
        <v>0.19058482161906656</v>
      </c>
    </row>
    <row r="48" spans="1:26" s="24" customFormat="1" hidden="1" outlineLevel="2" x14ac:dyDescent="0.35">
      <c r="A48" s="27"/>
      <c r="B48" s="11" t="str">
        <f>CONCATENATE("          ", "6372", " - ", "COMPUTER HARDWARE MAINTENANCE")</f>
        <v xml:space="preserve">          6372 - COMPUTER HARDWARE MAINTENANCE</v>
      </c>
      <c r="C48" s="11"/>
      <c r="D48" s="7"/>
      <c r="E48" s="2"/>
      <c r="F48" s="6">
        <f t="shared" si="24"/>
        <v>0</v>
      </c>
      <c r="G48" s="2"/>
      <c r="H48" s="7"/>
      <c r="I48" s="2"/>
      <c r="J48" s="6">
        <f t="shared" si="25"/>
        <v>0</v>
      </c>
      <c r="K48" s="2"/>
      <c r="L48" s="7">
        <f t="shared" si="26"/>
        <v>0</v>
      </c>
      <c r="M48" s="2"/>
      <c r="N48" s="6">
        <f t="shared" si="27"/>
        <v>0</v>
      </c>
      <c r="O48" s="11"/>
      <c r="P48" s="7"/>
      <c r="Q48" s="2"/>
      <c r="R48" s="6">
        <f t="shared" si="28"/>
        <v>0</v>
      </c>
      <c r="S48" s="2"/>
      <c r="T48" s="7">
        <v>321.92</v>
      </c>
      <c r="U48" s="2"/>
      <c r="V48" s="6">
        <f t="shared" si="29"/>
        <v>0</v>
      </c>
      <c r="W48" s="2"/>
      <c r="X48" s="7">
        <f t="shared" si="30"/>
        <v>-321.92</v>
      </c>
      <c r="Y48" s="2"/>
      <c r="Z48" s="6">
        <f t="shared" si="31"/>
        <v>-1</v>
      </c>
    </row>
    <row r="49" spans="1:26" s="24" customFormat="1" hidden="1" outlineLevel="2" x14ac:dyDescent="0.35">
      <c r="A49" s="27"/>
      <c r="B49" s="11" t="str">
        <f>CONCATENATE("          ", "6373", " - ", "MAINTENANCE CONTRACTS")</f>
        <v xml:space="preserve">          6373 - MAINTENANCE CONTRACTS</v>
      </c>
      <c r="C49" s="11"/>
      <c r="D49" s="7">
        <v>9407</v>
      </c>
      <c r="E49" s="2"/>
      <c r="F49" s="6">
        <f t="shared" si="24"/>
        <v>0</v>
      </c>
      <c r="G49" s="2"/>
      <c r="H49" s="7">
        <v>8559</v>
      </c>
      <c r="I49" s="2"/>
      <c r="J49" s="6">
        <f t="shared" si="25"/>
        <v>0</v>
      </c>
      <c r="K49" s="2"/>
      <c r="L49" s="7">
        <f t="shared" si="26"/>
        <v>848</v>
      </c>
      <c r="M49" s="2"/>
      <c r="N49" s="6">
        <f t="shared" si="27"/>
        <v>9.9076994976048605E-2</v>
      </c>
      <c r="O49" s="11"/>
      <c r="P49" s="7">
        <v>113471.06999999999</v>
      </c>
      <c r="Q49" s="2"/>
      <c r="R49" s="6">
        <f t="shared" si="28"/>
        <v>0</v>
      </c>
      <c r="S49" s="2"/>
      <c r="T49" s="7">
        <v>100802.85</v>
      </c>
      <c r="U49" s="2"/>
      <c r="V49" s="6">
        <f t="shared" si="29"/>
        <v>0</v>
      </c>
      <c r="W49" s="2"/>
      <c r="X49" s="7">
        <f t="shared" si="30"/>
        <v>12668.219999999987</v>
      </c>
      <c r="Y49" s="2"/>
      <c r="Z49" s="6">
        <f t="shared" si="31"/>
        <v>0.12567323245324896</v>
      </c>
    </row>
    <row r="50" spans="1:26" s="24" customFormat="1" hidden="1" outlineLevel="2" x14ac:dyDescent="0.35">
      <c r="A50" s="27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24"/>
        <v>0</v>
      </c>
      <c r="G50" s="2"/>
      <c r="H50" s="7">
        <v>31.68</v>
      </c>
      <c r="I50" s="2"/>
      <c r="J50" s="6">
        <f t="shared" si="25"/>
        <v>0</v>
      </c>
      <c r="K50" s="2"/>
      <c r="L50" s="7">
        <f t="shared" si="26"/>
        <v>-31.68</v>
      </c>
      <c r="M50" s="2"/>
      <c r="N50" s="6">
        <f t="shared" si="27"/>
        <v>-1</v>
      </c>
      <c r="O50" s="11"/>
      <c r="P50" s="7">
        <v>158.4</v>
      </c>
      <c r="Q50" s="2"/>
      <c r="R50" s="6">
        <f t="shared" si="28"/>
        <v>0</v>
      </c>
      <c r="S50" s="2"/>
      <c r="T50" s="7">
        <v>830.05</v>
      </c>
      <c r="U50" s="2"/>
      <c r="V50" s="6">
        <f t="shared" si="29"/>
        <v>0</v>
      </c>
      <c r="W50" s="2"/>
      <c r="X50" s="7">
        <f t="shared" si="30"/>
        <v>-671.65</v>
      </c>
      <c r="Y50" s="2"/>
      <c r="Z50" s="6">
        <f t="shared" si="31"/>
        <v>-0.80916812240226499</v>
      </c>
    </row>
    <row r="51" spans="1:26" s="25" customFormat="1" outlineLevel="1" collapsed="1" x14ac:dyDescent="0.35">
      <c r="A51" s="26"/>
      <c r="B51" s="12" t="str">
        <f>CONCATENATE("     ","Subscriptions &amp; Dues                              ")</f>
        <v xml:space="preserve">     Subscriptions &amp; Dues                              </v>
      </c>
      <c r="C51" s="12"/>
      <c r="D51" s="1">
        <f>SUM(OSRRefD22_7x_0)</f>
        <v>0</v>
      </c>
      <c r="E51" s="1"/>
      <c r="F51" s="5">
        <f t="shared" ref="F51:F55" si="32">IF(D$12=0,0,D51/D$12)</f>
        <v>0</v>
      </c>
      <c r="G51" s="1"/>
      <c r="H51" s="1">
        <f>SUM(OSRRefH22_7x_0)</f>
        <v>9.99</v>
      </c>
      <c r="I51" s="1"/>
      <c r="J51" s="5">
        <f t="shared" ref="J51:J55" si="33">IF(H$12=0,0,H51/H$12)</f>
        <v>0</v>
      </c>
      <c r="K51" s="1"/>
      <c r="L51" s="1">
        <f t="shared" ref="L51:L55" si="34">+D51-H51</f>
        <v>-9.99</v>
      </c>
      <c r="M51" s="1"/>
      <c r="N51" s="5">
        <f t="shared" ref="N51:N55" si="35">IF(H51=0,0,L51/H51)</f>
        <v>-1</v>
      </c>
      <c r="O51" s="12"/>
      <c r="P51" s="1">
        <f>SUM(OSRRefP22_7x_0)</f>
        <v>0</v>
      </c>
      <c r="Q51" s="1"/>
      <c r="R51" s="5">
        <f t="shared" ref="R51:R55" si="36">IF(P$12=0,0,P51/P$12)</f>
        <v>0</v>
      </c>
      <c r="S51" s="1"/>
      <c r="T51" s="1">
        <f>SUM(OSRRefT22_7x_0)</f>
        <v>9.99</v>
      </c>
      <c r="U51" s="1"/>
      <c r="V51" s="5">
        <f t="shared" ref="V51:V55" si="37">IF(T$12=0,0,T51/T$12)</f>
        <v>0</v>
      </c>
      <c r="W51" s="1"/>
      <c r="X51" s="1">
        <f t="shared" ref="X51:X55" si="38">+P51-T51</f>
        <v>-9.99</v>
      </c>
      <c r="Y51" s="1"/>
      <c r="Z51" s="5">
        <f t="shared" ref="Z51:Z55" si="39">IF(T51=0,0,X51/T51)</f>
        <v>-1</v>
      </c>
    </row>
    <row r="52" spans="1:26" s="24" customFormat="1" hidden="1" outlineLevel="2" x14ac:dyDescent="0.35">
      <c r="A52" s="27"/>
      <c r="B52" s="11" t="str">
        <f>CONCATENATE("          ", "6275", " - ", "SUBSCRIPTIONS")</f>
        <v xml:space="preserve">          6275 - SUBSCRIPTIONS</v>
      </c>
      <c r="C52" s="11"/>
      <c r="D52" s="7"/>
      <c r="E52" s="2"/>
      <c r="F52" s="6">
        <f t="shared" si="32"/>
        <v>0</v>
      </c>
      <c r="G52" s="2"/>
      <c r="H52" s="7">
        <v>9.99</v>
      </c>
      <c r="I52" s="2"/>
      <c r="J52" s="6">
        <f t="shared" si="33"/>
        <v>0</v>
      </c>
      <c r="K52" s="2"/>
      <c r="L52" s="7">
        <f t="shared" si="34"/>
        <v>-9.99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9.99</v>
      </c>
      <c r="U52" s="2"/>
      <c r="V52" s="6">
        <f t="shared" si="37"/>
        <v>0</v>
      </c>
      <c r="W52" s="2"/>
      <c r="X52" s="7">
        <f t="shared" si="38"/>
        <v>-9.99</v>
      </c>
      <c r="Y52" s="2"/>
      <c r="Z52" s="6">
        <f t="shared" si="39"/>
        <v>-1</v>
      </c>
    </row>
    <row r="53" spans="1:26" s="25" customFormat="1" outlineLevel="1" collapsed="1" x14ac:dyDescent="0.35">
      <c r="A53" s="26"/>
      <c r="B53" s="12" t="str">
        <f>CONCATENATE("     ","Supplies                                          ")</f>
        <v xml:space="preserve">     Supplies                                          </v>
      </c>
      <c r="C53" s="12"/>
      <c r="D53" s="1">
        <f>SUM(OSRRefD22_8x_0)</f>
        <v>1069.1400000000001</v>
      </c>
      <c r="E53" s="1"/>
      <c r="F53" s="5">
        <f t="shared" si="32"/>
        <v>0</v>
      </c>
      <c r="G53" s="1"/>
      <c r="H53" s="1">
        <f>SUM(OSRRefH22_8x_0)</f>
        <v>-355.33</v>
      </c>
      <c r="I53" s="1"/>
      <c r="J53" s="5">
        <f t="shared" si="33"/>
        <v>0</v>
      </c>
      <c r="K53" s="1"/>
      <c r="L53" s="1">
        <f t="shared" si="34"/>
        <v>1424.47</v>
      </c>
      <c r="M53" s="1"/>
      <c r="N53" s="5">
        <f t="shared" si="35"/>
        <v>-4.0088649987335723</v>
      </c>
      <c r="O53" s="12"/>
      <c r="P53" s="1">
        <f>SUM(OSRRefP22_8x_0)</f>
        <v>27192.59</v>
      </c>
      <c r="Q53" s="1"/>
      <c r="R53" s="5">
        <f t="shared" si="36"/>
        <v>0</v>
      </c>
      <c r="S53" s="1"/>
      <c r="T53" s="1">
        <f>SUM(OSRRefT22_8x_0)</f>
        <v>51436.86</v>
      </c>
      <c r="U53" s="1"/>
      <c r="V53" s="5">
        <f t="shared" si="37"/>
        <v>0</v>
      </c>
      <c r="W53" s="1"/>
      <c r="X53" s="1">
        <f t="shared" si="38"/>
        <v>-24244.27</v>
      </c>
      <c r="Y53" s="1"/>
      <c r="Z53" s="5">
        <f t="shared" si="39"/>
        <v>-0.47134039675050149</v>
      </c>
    </row>
    <row r="54" spans="1:26" s="24" customFormat="1" hidden="1" outlineLevel="2" x14ac:dyDescent="0.35">
      <c r="A54" s="27"/>
      <c r="B54" s="11" t="str">
        <f>CONCATENATE("          ", "6234", " - ", "EXPENDABLE SUPPLIES &amp; EQUIPMEN")</f>
        <v xml:space="preserve">          6234 - EXPENDABLE SUPPLIES &amp; EQUIPMEN</v>
      </c>
      <c r="C54" s="11"/>
      <c r="D54" s="7"/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0</v>
      </c>
      <c r="M54" s="2"/>
      <c r="N54" s="6">
        <f t="shared" si="35"/>
        <v>0</v>
      </c>
      <c r="O54" s="11"/>
      <c r="P54" s="7"/>
      <c r="Q54" s="2"/>
      <c r="R54" s="6">
        <f t="shared" si="36"/>
        <v>0</v>
      </c>
      <c r="S54" s="2"/>
      <c r="T54" s="7">
        <v>1245.83</v>
      </c>
      <c r="U54" s="2"/>
      <c r="V54" s="6">
        <f t="shared" si="37"/>
        <v>0</v>
      </c>
      <c r="W54" s="2"/>
      <c r="X54" s="7">
        <f t="shared" si="38"/>
        <v>-1245.83</v>
      </c>
      <c r="Y54" s="2"/>
      <c r="Z54" s="6">
        <f t="shared" si="39"/>
        <v>-1</v>
      </c>
    </row>
    <row r="55" spans="1:26" s="24" customFormat="1" hidden="1" outlineLevel="2" x14ac:dyDescent="0.35">
      <c r="A55" s="27"/>
      <c r="B55" s="11" t="str">
        <f>CONCATENATE("          ", "6241", " - ", "OFFICE EXPENSE")</f>
        <v xml:space="preserve">          6241 - OFFICE EXPENSE</v>
      </c>
      <c r="C55" s="11"/>
      <c r="D55" s="7">
        <v>1069.1400000000001</v>
      </c>
      <c r="E55" s="2"/>
      <c r="F55" s="6">
        <f t="shared" si="32"/>
        <v>0</v>
      </c>
      <c r="G55" s="2"/>
      <c r="H55" s="7">
        <v>-355.33</v>
      </c>
      <c r="I55" s="2"/>
      <c r="J55" s="6">
        <f t="shared" si="33"/>
        <v>0</v>
      </c>
      <c r="K55" s="2"/>
      <c r="L55" s="7">
        <f t="shared" si="34"/>
        <v>1424.47</v>
      </c>
      <c r="M55" s="2"/>
      <c r="N55" s="6">
        <f t="shared" si="35"/>
        <v>-4.0088649987335723</v>
      </c>
      <c r="O55" s="11"/>
      <c r="P55" s="7">
        <v>27192.59</v>
      </c>
      <c r="Q55" s="2"/>
      <c r="R55" s="6">
        <f t="shared" si="36"/>
        <v>0</v>
      </c>
      <c r="S55" s="2"/>
      <c r="T55" s="7">
        <v>50191.03</v>
      </c>
      <c r="U55" s="2"/>
      <c r="V55" s="6">
        <f t="shared" si="37"/>
        <v>0</v>
      </c>
      <c r="W55" s="2"/>
      <c r="X55" s="7">
        <f t="shared" si="38"/>
        <v>-22998.44</v>
      </c>
      <c r="Y55" s="2"/>
      <c r="Z55" s="6">
        <f t="shared" si="39"/>
        <v>-0.45821813180562343</v>
      </c>
    </row>
    <row r="56" spans="1:26" s="25" customFormat="1" outlineLevel="1" collapsed="1" x14ac:dyDescent="0.35">
      <c r="A56" s="26"/>
      <c r="B56" s="12" t="str">
        <f>CONCATENATE("     ","Telephone/Data Lines                              ")</f>
        <v xml:space="preserve">     Telephone/Data Lines                              </v>
      </c>
      <c r="C56" s="12"/>
      <c r="D56" s="1">
        <f>SUM(OSRRefD22_9x_0)</f>
        <v>973.25</v>
      </c>
      <c r="E56" s="1"/>
      <c r="F56" s="5">
        <f t="shared" ref="F56:F58" si="40">IF(D$12=0,0,D56/D$12)</f>
        <v>0</v>
      </c>
      <c r="G56" s="1"/>
      <c r="H56" s="1">
        <f>SUM(OSRRefH22_9x_0)</f>
        <v>1025.1600000000001</v>
      </c>
      <c r="I56" s="1"/>
      <c r="J56" s="5">
        <f t="shared" ref="J56:J58" si="41">IF(H$12=0,0,H56/H$12)</f>
        <v>0</v>
      </c>
      <c r="K56" s="1"/>
      <c r="L56" s="1">
        <f t="shared" ref="L56:L58" si="42">+D56-H56</f>
        <v>-51.910000000000082</v>
      </c>
      <c r="M56" s="1"/>
      <c r="N56" s="5">
        <f t="shared" ref="N56:N58" si="43">IF(H56=0,0,L56/H56)</f>
        <v>-5.0635998283194893E-2</v>
      </c>
      <c r="O56" s="12"/>
      <c r="P56" s="1">
        <f>SUM(OSRRefP22_9x_0)</f>
        <v>14138.230000000001</v>
      </c>
      <c r="Q56" s="1"/>
      <c r="R56" s="5">
        <f t="shared" ref="R56:R58" si="44">IF(P$12=0,0,P56/P$12)</f>
        <v>0</v>
      </c>
      <c r="S56" s="1"/>
      <c r="T56" s="1">
        <f>SUM(OSRRefT22_9x_0)</f>
        <v>12774.7</v>
      </c>
      <c r="U56" s="1"/>
      <c r="V56" s="5">
        <f t="shared" ref="V56:V58" si="45">IF(T$12=0,0,T56/T$12)</f>
        <v>0</v>
      </c>
      <c r="W56" s="1"/>
      <c r="X56" s="1">
        <f t="shared" ref="X56:X58" si="46">+P56-T56</f>
        <v>1363.5300000000007</v>
      </c>
      <c r="Y56" s="1"/>
      <c r="Z56" s="5">
        <f t="shared" ref="Z56:Z58" si="47">IF(T56=0,0,X56/T56)</f>
        <v>0.1067367531135761</v>
      </c>
    </row>
    <row r="57" spans="1:26" s="24" customFormat="1" hidden="1" outlineLevel="2" x14ac:dyDescent="0.35">
      <c r="A57" s="27"/>
      <c r="B57" s="11" t="str">
        <f>CONCATENATE("          ", "6303", " - ", "DATA PHONE LINES")</f>
        <v xml:space="preserve">          6303 - DATA PHONE LINES</v>
      </c>
      <c r="C57" s="11"/>
      <c r="D57" s="7">
        <v>208.97</v>
      </c>
      <c r="E57" s="2"/>
      <c r="F57" s="6">
        <f t="shared" si="40"/>
        <v>0</v>
      </c>
      <c r="G57" s="2"/>
      <c r="H57" s="7">
        <v>195.53</v>
      </c>
      <c r="I57" s="2"/>
      <c r="J57" s="6">
        <f t="shared" si="41"/>
        <v>0</v>
      </c>
      <c r="K57" s="2"/>
      <c r="L57" s="7">
        <f t="shared" si="42"/>
        <v>13.439999999999998</v>
      </c>
      <c r="M57" s="2"/>
      <c r="N57" s="6">
        <f t="shared" si="43"/>
        <v>6.8736255306091121E-2</v>
      </c>
      <c r="O57" s="11"/>
      <c r="P57" s="7">
        <v>1889.95</v>
      </c>
      <c r="Q57" s="2"/>
      <c r="R57" s="6">
        <f t="shared" si="44"/>
        <v>0</v>
      </c>
      <c r="S57" s="2"/>
      <c r="T57" s="7">
        <v>2118.17</v>
      </c>
      <c r="U57" s="2"/>
      <c r="V57" s="6">
        <f t="shared" si="45"/>
        <v>0</v>
      </c>
      <c r="W57" s="2"/>
      <c r="X57" s="7">
        <f t="shared" si="46"/>
        <v>-228.22000000000003</v>
      </c>
      <c r="Y57" s="2"/>
      <c r="Z57" s="6">
        <f t="shared" si="47"/>
        <v>-0.10774394878598036</v>
      </c>
    </row>
    <row r="58" spans="1:26" s="24" customFormat="1" hidden="1" outlineLevel="2" x14ac:dyDescent="0.35">
      <c r="A58" s="27"/>
      <c r="B58" s="11" t="str">
        <f>CONCATENATE("          ", "6309", " - ", "TELEPHONE")</f>
        <v xml:space="preserve">          6309 - TELEPHONE</v>
      </c>
      <c r="C58" s="11"/>
      <c r="D58" s="7">
        <v>764.28</v>
      </c>
      <c r="E58" s="2"/>
      <c r="F58" s="6">
        <f t="shared" si="40"/>
        <v>0</v>
      </c>
      <c r="G58" s="2"/>
      <c r="H58" s="7">
        <v>829.63</v>
      </c>
      <c r="I58" s="2"/>
      <c r="J58" s="6">
        <f t="shared" si="41"/>
        <v>0</v>
      </c>
      <c r="K58" s="2"/>
      <c r="L58" s="7">
        <f t="shared" si="42"/>
        <v>-65.350000000000023</v>
      </c>
      <c r="M58" s="2"/>
      <c r="N58" s="6">
        <f t="shared" si="43"/>
        <v>-7.8770054120511579E-2</v>
      </c>
      <c r="O58" s="11"/>
      <c r="P58" s="7">
        <v>12248.28</v>
      </c>
      <c r="Q58" s="2"/>
      <c r="R58" s="6">
        <f t="shared" si="44"/>
        <v>0</v>
      </c>
      <c r="S58" s="2"/>
      <c r="T58" s="7">
        <v>10656.53</v>
      </c>
      <c r="U58" s="2"/>
      <c r="V58" s="6">
        <f t="shared" si="45"/>
        <v>0</v>
      </c>
      <c r="W58" s="2"/>
      <c r="X58" s="7">
        <f t="shared" si="46"/>
        <v>1591.75</v>
      </c>
      <c r="Y58" s="2"/>
      <c r="Z58" s="6">
        <f t="shared" si="47"/>
        <v>0.14936850926145753</v>
      </c>
    </row>
    <row r="59" spans="1:26" s="25" customFormat="1" outlineLevel="1" collapsed="1" x14ac:dyDescent="0.35">
      <c r="A59" s="26"/>
      <c r="B59" s="12" t="str">
        <f>CONCATENATE("     ","Training                                          ")</f>
        <v xml:space="preserve">     Training                                          </v>
      </c>
      <c r="C59" s="12"/>
      <c r="D59" s="1">
        <f>SUM(OSRRefD22_10x_0)</f>
        <v>-1353.17</v>
      </c>
      <c r="E59" s="1"/>
      <c r="F59" s="5">
        <f t="shared" ref="F59:F63" si="48">IF(D$12=0,0,D59/D$12)</f>
        <v>0</v>
      </c>
      <c r="G59" s="1"/>
      <c r="H59" s="1">
        <f>SUM(OSRRefH22_10x_0)</f>
        <v>1169.3800000000001</v>
      </c>
      <c r="I59" s="1"/>
      <c r="J59" s="5">
        <f t="shared" ref="J59:J63" si="49">IF(H$12=0,0,H59/H$12)</f>
        <v>0</v>
      </c>
      <c r="K59" s="1"/>
      <c r="L59" s="1">
        <f t="shared" ref="L59:L63" si="50">+D59-H59</f>
        <v>-2522.5500000000002</v>
      </c>
      <c r="M59" s="1"/>
      <c r="N59" s="5">
        <f t="shared" ref="N59:N63" si="51">IF(H59=0,0,L59/H59)</f>
        <v>-2.1571687560929722</v>
      </c>
      <c r="O59" s="12"/>
      <c r="P59" s="1">
        <f>SUM(OSRRefP22_10x_0)</f>
        <v>2992.68</v>
      </c>
      <c r="Q59" s="1"/>
      <c r="R59" s="5">
        <f t="shared" ref="R59:R63" si="52">IF(P$12=0,0,P59/P$12)</f>
        <v>0</v>
      </c>
      <c r="S59" s="1"/>
      <c r="T59" s="1">
        <f>SUM(OSRRefT22_10x_0)</f>
        <v>9879.61</v>
      </c>
      <c r="U59" s="1"/>
      <c r="V59" s="5">
        <f t="shared" ref="V59:V63" si="53">IF(T$12=0,0,T59/T$12)</f>
        <v>0</v>
      </c>
      <c r="W59" s="1"/>
      <c r="X59" s="1">
        <f t="shared" ref="X59:X63" si="54">+P59-T59</f>
        <v>-6886.93</v>
      </c>
      <c r="Y59" s="1"/>
      <c r="Z59" s="5">
        <f t="shared" ref="Z59:Z63" si="55">IF(T59=0,0,X59/T59)</f>
        <v>-0.69708520882909342</v>
      </c>
    </row>
    <row r="60" spans="1:26" s="24" customFormat="1" hidden="1" outlineLevel="2" x14ac:dyDescent="0.35">
      <c r="A60" s="27"/>
      <c r="B60" s="11" t="str">
        <f>CONCATENATE("          ", "6376", " - ", "TRAINING")</f>
        <v xml:space="preserve">          6376 - TRAINING</v>
      </c>
      <c r="C60" s="11"/>
      <c r="D60" s="7">
        <v>-1353.17</v>
      </c>
      <c r="E60" s="2"/>
      <c r="F60" s="6">
        <f t="shared" si="48"/>
        <v>0</v>
      </c>
      <c r="G60" s="2"/>
      <c r="H60" s="7">
        <v>1169.3800000000001</v>
      </c>
      <c r="I60" s="2"/>
      <c r="J60" s="6">
        <f t="shared" si="49"/>
        <v>0</v>
      </c>
      <c r="K60" s="2"/>
      <c r="L60" s="7">
        <f t="shared" si="50"/>
        <v>-2522.5500000000002</v>
      </c>
      <c r="M60" s="2"/>
      <c r="N60" s="6">
        <f t="shared" si="51"/>
        <v>-2.1571687560929722</v>
      </c>
      <c r="O60" s="11"/>
      <c r="P60" s="7">
        <v>2992.68</v>
      </c>
      <c r="Q60" s="2"/>
      <c r="R60" s="6">
        <f t="shared" si="52"/>
        <v>0</v>
      </c>
      <c r="S60" s="2"/>
      <c r="T60" s="7">
        <v>9879.61</v>
      </c>
      <c r="U60" s="2"/>
      <c r="V60" s="6">
        <f t="shared" si="53"/>
        <v>0</v>
      </c>
      <c r="W60" s="2"/>
      <c r="X60" s="7">
        <f t="shared" si="54"/>
        <v>-6886.93</v>
      </c>
      <c r="Y60" s="2"/>
      <c r="Z60" s="6">
        <f t="shared" si="55"/>
        <v>-0.69708520882909342</v>
      </c>
    </row>
    <row r="61" spans="1:26" s="25" customFormat="1" outlineLevel="1" collapsed="1" x14ac:dyDescent="0.35">
      <c r="A61" s="26"/>
      <c r="B61" s="12" t="str">
        <f>CONCATENATE("     ","Travel                                            ")</f>
        <v xml:space="preserve">     Travel                                            </v>
      </c>
      <c r="C61" s="12"/>
      <c r="D61" s="1">
        <f>SUM(OSRRefD22_11x_0)</f>
        <v>0</v>
      </c>
      <c r="E61" s="1"/>
      <c r="F61" s="5">
        <f t="shared" si="48"/>
        <v>0</v>
      </c>
      <c r="G61" s="1"/>
      <c r="H61" s="1">
        <f>SUM(OSRRefH22_11x_0)</f>
        <v>0</v>
      </c>
      <c r="I61" s="1"/>
      <c r="J61" s="5">
        <f t="shared" si="49"/>
        <v>0</v>
      </c>
      <c r="K61" s="1"/>
      <c r="L61" s="1">
        <f t="shared" si="50"/>
        <v>0</v>
      </c>
      <c r="M61" s="1"/>
      <c r="N61" s="5">
        <f t="shared" si="51"/>
        <v>0</v>
      </c>
      <c r="O61" s="12"/>
      <c r="P61" s="1">
        <f>SUM(OSRRefP22_11x_0)</f>
        <v>1383.21</v>
      </c>
      <c r="Q61" s="1"/>
      <c r="R61" s="5">
        <f t="shared" si="52"/>
        <v>0</v>
      </c>
      <c r="S61" s="1"/>
      <c r="T61" s="1">
        <f>SUM(OSRRefT22_11x_0)</f>
        <v>1046.03</v>
      </c>
      <c r="U61" s="1"/>
      <c r="V61" s="5">
        <f t="shared" si="53"/>
        <v>0</v>
      </c>
      <c r="W61" s="1"/>
      <c r="X61" s="1">
        <f t="shared" si="54"/>
        <v>337.18000000000006</v>
      </c>
      <c r="Y61" s="1"/>
      <c r="Z61" s="5">
        <f t="shared" si="55"/>
        <v>0.32234257143676576</v>
      </c>
    </row>
    <row r="62" spans="1:26" s="24" customFormat="1" hidden="1" outlineLevel="2" x14ac:dyDescent="0.35">
      <c r="A62" s="27"/>
      <c r="B62" s="11" t="str">
        <f>CONCATENATE("          ", "6292", " - ", "TRAVEL/CONFERENCE")</f>
        <v xml:space="preserve">          6292 - TRAVEL/CONFERENCE</v>
      </c>
      <c r="C62" s="11"/>
      <c r="D62" s="7"/>
      <c r="E62" s="2"/>
      <c r="F62" s="6">
        <f t="shared" si="48"/>
        <v>0</v>
      </c>
      <c r="G62" s="2"/>
      <c r="H62" s="7"/>
      <c r="I62" s="2"/>
      <c r="J62" s="6">
        <f t="shared" si="49"/>
        <v>0</v>
      </c>
      <c r="K62" s="2"/>
      <c r="L62" s="7">
        <f t="shared" si="50"/>
        <v>0</v>
      </c>
      <c r="M62" s="2"/>
      <c r="N62" s="6">
        <f t="shared" si="51"/>
        <v>0</v>
      </c>
      <c r="O62" s="11"/>
      <c r="P62" s="7">
        <v>1359.31</v>
      </c>
      <c r="Q62" s="2"/>
      <c r="R62" s="6">
        <f t="shared" si="52"/>
        <v>0</v>
      </c>
      <c r="S62" s="2"/>
      <c r="T62" s="7">
        <v>1046.03</v>
      </c>
      <c r="U62" s="2"/>
      <c r="V62" s="6">
        <f t="shared" si="53"/>
        <v>0</v>
      </c>
      <c r="W62" s="2"/>
      <c r="X62" s="7">
        <f t="shared" si="54"/>
        <v>313.27999999999997</v>
      </c>
      <c r="Y62" s="2"/>
      <c r="Z62" s="6">
        <f t="shared" si="55"/>
        <v>0.29949427836677722</v>
      </c>
    </row>
    <row r="63" spans="1:26" s="24" customFormat="1" hidden="1" outlineLevel="2" x14ac:dyDescent="0.35">
      <c r="A63" s="27"/>
      <c r="B63" s="11" t="str">
        <f>CONCATENATE("          ", "6294", " - ", "TRAVEL OPERATIONAL")</f>
        <v xml:space="preserve">          6294 - TRAVEL OPERATIONAL</v>
      </c>
      <c r="C63" s="11"/>
      <c r="D63" s="7"/>
      <c r="E63" s="2"/>
      <c r="F63" s="6">
        <f t="shared" si="48"/>
        <v>0</v>
      </c>
      <c r="G63" s="2"/>
      <c r="H63" s="7"/>
      <c r="I63" s="2"/>
      <c r="J63" s="6">
        <f t="shared" si="49"/>
        <v>0</v>
      </c>
      <c r="K63" s="2"/>
      <c r="L63" s="7">
        <f t="shared" si="50"/>
        <v>0</v>
      </c>
      <c r="M63" s="2"/>
      <c r="N63" s="6">
        <f t="shared" si="51"/>
        <v>0</v>
      </c>
      <c r="O63" s="11"/>
      <c r="P63" s="7">
        <v>23.9</v>
      </c>
      <c r="Q63" s="2"/>
      <c r="R63" s="6">
        <f t="shared" si="52"/>
        <v>0</v>
      </c>
      <c r="S63" s="2"/>
      <c r="T63" s="7"/>
      <c r="U63" s="2"/>
      <c r="V63" s="6">
        <f t="shared" si="53"/>
        <v>0</v>
      </c>
      <c r="W63" s="2"/>
      <c r="X63" s="7">
        <f t="shared" si="54"/>
        <v>23.9</v>
      </c>
      <c r="Y63" s="2"/>
      <c r="Z63" s="6">
        <f t="shared" si="55"/>
        <v>0</v>
      </c>
    </row>
    <row r="64" spans="1:26" s="56" customFormat="1" x14ac:dyDescent="0.3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35">
      <c r="A65" s="10"/>
      <c r="B65" s="29" t="s">
        <v>0</v>
      </c>
      <c r="C65" s="10"/>
      <c r="D65" s="4">
        <f>SUM(0)</f>
        <v>0</v>
      </c>
      <c r="E65" s="4"/>
      <c r="F65" s="13">
        <f>IF(D$12=0,0,D65/D$12)</f>
        <v>0</v>
      </c>
      <c r="G65" s="4"/>
      <c r="H65" s="4">
        <f>SUM(0)</f>
        <v>0</v>
      </c>
      <c r="I65" s="4"/>
      <c r="J65" s="13">
        <f>IF(H$12=0,0,H65/H$12)</f>
        <v>0</v>
      </c>
      <c r="K65" s="4"/>
      <c r="L65" s="4">
        <f>+D65-H65</f>
        <v>0</v>
      </c>
      <c r="M65" s="4"/>
      <c r="N65" s="13">
        <f>IF(H65=0,0,L65/H65)</f>
        <v>0</v>
      </c>
      <c r="O65" s="10"/>
      <c r="P65" s="4">
        <f>SUM(0)</f>
        <v>0</v>
      </c>
      <c r="Q65" s="4"/>
      <c r="R65" s="13">
        <f>IF(P$12=0,0,P65/P$12)</f>
        <v>0</v>
      </c>
      <c r="S65" s="4"/>
      <c r="T65" s="4">
        <f>SUM(0)</f>
        <v>0</v>
      </c>
      <c r="U65" s="4"/>
      <c r="V65" s="13">
        <f>IF(T$12=0,0,T65/T$12)</f>
        <v>0</v>
      </c>
      <c r="W65" s="4"/>
      <c r="X65" s="4">
        <f>+P65-T65</f>
        <v>0</v>
      </c>
      <c r="Y65" s="4"/>
      <c r="Z65" s="13">
        <f>IF(T65=0,0,X65/T65)</f>
        <v>0</v>
      </c>
    </row>
    <row r="66" spans="1:26" x14ac:dyDescent="0.3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35">
      <c r="A67" s="10"/>
      <c r="B67" s="28" t="s">
        <v>3</v>
      </c>
      <c r="C67" s="28"/>
      <c r="D67" s="22">
        <f>+D16-D18+D65</f>
        <v>-45858.31</v>
      </c>
      <c r="E67" s="14"/>
      <c r="F67" s="21">
        <f>IF(D$12=0,0,D67/D$12)</f>
        <v>0</v>
      </c>
      <c r="G67" s="14"/>
      <c r="H67" s="22">
        <f>+H16-H18+H65</f>
        <v>-42527.039999999994</v>
      </c>
      <c r="I67" s="14"/>
      <c r="J67" s="21">
        <f>IF(H$12=0,0,H67/H$12)</f>
        <v>0</v>
      </c>
      <c r="K67" s="15"/>
      <c r="L67" s="22">
        <f>+D67-H67</f>
        <v>-3331.2700000000041</v>
      </c>
      <c r="M67" s="15"/>
      <c r="N67" s="21">
        <f>IF(H67=0,0,L67/H67)</f>
        <v>7.8332985319458037E-2</v>
      </c>
      <c r="O67" s="29"/>
      <c r="P67" s="22">
        <f>+P16-P18+P65</f>
        <v>-682956.21</v>
      </c>
      <c r="Q67" s="14"/>
      <c r="R67" s="21">
        <f>IF(P$12=0,0,P67/P$12)</f>
        <v>0</v>
      </c>
      <c r="S67" s="14"/>
      <c r="T67" s="22">
        <f>+T16-T18+T65</f>
        <v>-765533.83000000007</v>
      </c>
      <c r="U67" s="14"/>
      <c r="V67" s="21">
        <f>IF(T$12=0,0,T67/T$12)</f>
        <v>0</v>
      </c>
      <c r="W67" s="15"/>
      <c r="X67" s="22">
        <f>+P67-T67</f>
        <v>82577.620000000112</v>
      </c>
      <c r="Y67" s="15"/>
      <c r="Z67" s="21">
        <f>IF(T67=0,0,X67/T67)</f>
        <v>-0.10786932825685849</v>
      </c>
    </row>
    <row r="68" spans="1:26" x14ac:dyDescent="0.3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35">
      <c r="A69" s="51"/>
      <c r="B69" s="10" t="s">
        <v>13</v>
      </c>
      <c r="C69" s="10"/>
      <c r="D69" s="4"/>
      <c r="E69" s="4"/>
      <c r="F69" s="13">
        <f>IF(D$12=0,0,D69/D$12)</f>
        <v>0</v>
      </c>
      <c r="G69" s="4"/>
      <c r="H69" s="4"/>
      <c r="I69" s="4"/>
      <c r="J69" s="13">
        <f>IF(H$12=0,0,H69/H$12)</f>
        <v>0</v>
      </c>
      <c r="K69" s="4"/>
      <c r="L69" s="4">
        <f>+D69-H69</f>
        <v>0</v>
      </c>
      <c r="M69" s="4"/>
      <c r="N69" s="13">
        <f>IF(H69=0,0,L69/H69)</f>
        <v>0</v>
      </c>
      <c r="O69" s="10"/>
      <c r="P69" s="4"/>
      <c r="Q69" s="4"/>
      <c r="R69" s="13">
        <f>IF(P$12=0,0,P69/P$12)</f>
        <v>0</v>
      </c>
      <c r="S69" s="4"/>
      <c r="T69" s="4"/>
      <c r="U69" s="4"/>
      <c r="V69" s="13">
        <f>IF(T$12=0,0,T69/T$12)</f>
        <v>0</v>
      </c>
      <c r="W69" s="4"/>
      <c r="X69" s="4">
        <f>+P69-T69</f>
        <v>0</v>
      </c>
      <c r="Y69" s="4"/>
      <c r="Z69" s="13">
        <f>IF(T69=0,0,X69/T69)</f>
        <v>0</v>
      </c>
    </row>
    <row r="70" spans="1:26" x14ac:dyDescent="0.3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" thickBot="1" x14ac:dyDescent="0.4">
      <c r="A71" s="10"/>
      <c r="B71" s="28" t="s">
        <v>4</v>
      </c>
      <c r="C71" s="28"/>
      <c r="D71" s="34">
        <f>+D67-D69</f>
        <v>-45858.31</v>
      </c>
      <c r="E71" s="14"/>
      <c r="F71" s="32">
        <f>IF(D$12=0,0,D71/D$12)</f>
        <v>0</v>
      </c>
      <c r="G71" s="14"/>
      <c r="H71" s="34">
        <f>+H67-H69</f>
        <v>-42527.039999999994</v>
      </c>
      <c r="I71" s="14"/>
      <c r="J71" s="32">
        <f>IF(H$12=0,0,H71/H$12)</f>
        <v>0</v>
      </c>
      <c r="K71" s="15"/>
      <c r="L71" s="34">
        <f>D71-H71</f>
        <v>-3331.2700000000041</v>
      </c>
      <c r="M71" s="15"/>
      <c r="N71" s="32">
        <f>IF(H71=0,0,L71/H71)</f>
        <v>7.8332985319458037E-2</v>
      </c>
      <c r="O71" s="29"/>
      <c r="P71" s="34">
        <f>+P67-P69</f>
        <v>-682956.21</v>
      </c>
      <c r="Q71" s="14"/>
      <c r="R71" s="32">
        <f>IF(P$12=0,0,P71/P$12)</f>
        <v>0</v>
      </c>
      <c r="S71" s="14"/>
      <c r="T71" s="34">
        <f>+T67-T69</f>
        <v>-765533.83000000007</v>
      </c>
      <c r="U71" s="14"/>
      <c r="V71" s="32">
        <f>IF(T$12=0,0,T71/T$12)</f>
        <v>0</v>
      </c>
      <c r="W71" s="15"/>
      <c r="X71" s="34">
        <f>P71-T71</f>
        <v>82577.620000000112</v>
      </c>
      <c r="Y71" s="15"/>
      <c r="Z71" s="32">
        <f>IF(T71=0,0,X71/T71)</f>
        <v>-0.10786932825685849</v>
      </c>
    </row>
    <row r="72" spans="1:26" ht="15" thickTop="1" x14ac:dyDescent="0.3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3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4">
      <c r="A74" s="10"/>
      <c r="B74" s="28" t="s">
        <v>5</v>
      </c>
      <c r="C74" s="28"/>
      <c r="D74" s="35">
        <f>SUM(D71:D73)</f>
        <v>-45858.31</v>
      </c>
      <c r="E74" s="14"/>
      <c r="F74" s="33">
        <f>IF(D$12=0,0,D74/D$12)</f>
        <v>0</v>
      </c>
      <c r="G74" s="14"/>
      <c r="H74" s="35">
        <f>SUM(H71:H73)</f>
        <v>-42527.039999999994</v>
      </c>
      <c r="I74" s="14"/>
      <c r="J74" s="33">
        <f>IF(H$12=0,0,H74/H$12)</f>
        <v>0</v>
      </c>
      <c r="K74" s="15"/>
      <c r="L74" s="35">
        <f>+D74-H74</f>
        <v>-3331.2700000000041</v>
      </c>
      <c r="M74" s="15"/>
      <c r="N74" s="33">
        <f>IF(H74=0,0,L74/H74)</f>
        <v>7.8332985319458037E-2</v>
      </c>
      <c r="O74" s="29"/>
      <c r="P74" s="35">
        <f>SUM(P71:P73)</f>
        <v>-682956.21</v>
      </c>
      <c r="Q74" s="14"/>
      <c r="R74" s="33">
        <f>IF(P$12=0,0,P74/P$12)</f>
        <v>0</v>
      </c>
      <c r="S74" s="14"/>
      <c r="T74" s="35">
        <f>SUM(T71:T73)</f>
        <v>-765533.83000000007</v>
      </c>
      <c r="U74" s="14"/>
      <c r="V74" s="33">
        <f>IF(T$12=0,0,T74/T$12)</f>
        <v>0</v>
      </c>
      <c r="W74" s="15"/>
      <c r="X74" s="35">
        <f>+P74-T74</f>
        <v>82577.620000000112</v>
      </c>
      <c r="Y74" s="15"/>
      <c r="Z74" s="33">
        <f>IF(T74=0,0,X74/T74)</f>
        <v>-0.10786932825685849</v>
      </c>
    </row>
    <row r="75" spans="1:26" ht="15" thickTop="1" x14ac:dyDescent="0.35">
      <c r="A75" s="9"/>
      <c r="C75" s="9"/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35">
      <c r="A76" s="9"/>
      <c r="B76" s="52">
        <v>44043.522643946759</v>
      </c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5">
      <c r="A77" s="9"/>
      <c r="B77" s="61" t="s">
        <v>313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35">
      <c r="A78" s="9"/>
      <c r="B78" s="54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35"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","205", " - ", "Maintenance")</f>
        <v>Department 205 - Maintenance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6767.76</v>
      </c>
      <c r="E18" s="20"/>
      <c r="F18" s="36">
        <f t="shared" ref="F18:F27" si="0">IF(D$12=0,0,D18/D$12)</f>
        <v>0</v>
      </c>
      <c r="G18" s="20"/>
      <c r="H18" s="20">
        <f>SUM(OSRRefH22x_0)</f>
        <v>12104.809999999998</v>
      </c>
      <c r="I18" s="20"/>
      <c r="J18" s="36">
        <f t="shared" ref="J18:J27" si="1">IF(H$12=0,0,H18/H$12)</f>
        <v>0</v>
      </c>
      <c r="K18" s="4"/>
      <c r="L18" s="20">
        <f t="shared" ref="L18:L27" si="2">+D18-H18</f>
        <v>-5337.0499999999975</v>
      </c>
      <c r="M18" s="4"/>
      <c r="N18" s="36">
        <f t="shared" ref="N18:N27" si="3">IF(H18=0,0,L18/H18)</f>
        <v>-0.44090324424753452</v>
      </c>
      <c r="O18" s="10"/>
      <c r="P18" s="20">
        <f>SUM(OSRRefP22x_0)</f>
        <v>90939.59</v>
      </c>
      <c r="Q18" s="20"/>
      <c r="R18" s="36">
        <f t="shared" ref="R18:R27" si="4">IF(P$12=0,0,P18/P$12)</f>
        <v>0</v>
      </c>
      <c r="S18" s="20"/>
      <c r="T18" s="20">
        <f>SUM(OSRRefT22x_0)</f>
        <v>101277.34999999998</v>
      </c>
      <c r="U18" s="20"/>
      <c r="V18" s="36">
        <f t="shared" ref="V18:V27" si="5">IF(T$12=0,0,T18/T$12)</f>
        <v>0</v>
      </c>
      <c r="W18" s="4"/>
      <c r="X18" s="20">
        <f t="shared" ref="X18:X27" si="6">+P18-T18</f>
        <v>-10337.75999999998</v>
      </c>
      <c r="Y18" s="4"/>
      <c r="Z18" s="36">
        <f t="shared" ref="Z18:Z27" si="7">IF(T18=0,0,X18/T18)</f>
        <v>-0.10207376081621392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2113.48</v>
      </c>
      <c r="E19" s="1"/>
      <c r="F19" s="5">
        <f t="shared" si="0"/>
        <v>0</v>
      </c>
      <c r="G19" s="1"/>
      <c r="H19" s="1">
        <f>SUM(OSRRefH22_0x_0)</f>
        <v>2036.4799999999998</v>
      </c>
      <c r="I19" s="1"/>
      <c r="J19" s="5">
        <f t="shared" si="1"/>
        <v>0</v>
      </c>
      <c r="K19" s="1"/>
      <c r="L19" s="1">
        <f t="shared" si="2"/>
        <v>77.000000000000227</v>
      </c>
      <c r="M19" s="1"/>
      <c r="N19" s="5">
        <f t="shared" si="3"/>
        <v>3.7810339409176733E-2</v>
      </c>
      <c r="O19" s="12"/>
      <c r="P19" s="1">
        <f>SUM(OSRRefP22_0x_0)</f>
        <v>30746.67</v>
      </c>
      <c r="Q19" s="1"/>
      <c r="R19" s="5">
        <f t="shared" si="4"/>
        <v>0</v>
      </c>
      <c r="S19" s="1"/>
      <c r="T19" s="1">
        <f>SUM(OSRRefT22_0x_0)</f>
        <v>27957.89</v>
      </c>
      <c r="U19" s="1"/>
      <c r="V19" s="5">
        <f t="shared" si="5"/>
        <v>0</v>
      </c>
      <c r="W19" s="1"/>
      <c r="X19" s="1">
        <f t="shared" si="6"/>
        <v>2788.7799999999988</v>
      </c>
      <c r="Y19" s="1"/>
      <c r="Z19" s="5">
        <f t="shared" si="7"/>
        <v>9.9749301538849991E-2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>
        <v>315.83999999999997</v>
      </c>
      <c r="E20" s="2"/>
      <c r="F20" s="6">
        <f t="shared" si="0"/>
        <v>0</v>
      </c>
      <c r="G20" s="2"/>
      <c r="H20" s="7">
        <v>336.17</v>
      </c>
      <c r="I20" s="2"/>
      <c r="J20" s="6">
        <f t="shared" si="1"/>
        <v>0</v>
      </c>
      <c r="K20" s="2"/>
      <c r="L20" s="7">
        <f t="shared" si="2"/>
        <v>-20.330000000000041</v>
      </c>
      <c r="M20" s="2"/>
      <c r="N20" s="6">
        <f t="shared" si="3"/>
        <v>-6.0475354731237288E-2</v>
      </c>
      <c r="O20" s="11"/>
      <c r="P20" s="7">
        <v>4197.5600000000004</v>
      </c>
      <c r="Q20" s="2"/>
      <c r="R20" s="6">
        <f t="shared" si="4"/>
        <v>0</v>
      </c>
      <c r="S20" s="2"/>
      <c r="T20" s="7">
        <v>4064.24</v>
      </c>
      <c r="U20" s="2"/>
      <c r="V20" s="6">
        <f t="shared" si="5"/>
        <v>0</v>
      </c>
      <c r="W20" s="2"/>
      <c r="X20" s="7">
        <f t="shared" si="6"/>
        <v>133.32000000000062</v>
      </c>
      <c r="Y20" s="2"/>
      <c r="Z20" s="6">
        <f t="shared" si="7"/>
        <v>3.2803180914513078E-2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279.52</v>
      </c>
      <c r="E21" s="2"/>
      <c r="F21" s="6">
        <f t="shared" si="0"/>
        <v>0</v>
      </c>
      <c r="G21" s="2"/>
      <c r="H21" s="7">
        <v>274.12</v>
      </c>
      <c r="I21" s="2"/>
      <c r="J21" s="6">
        <f t="shared" si="1"/>
        <v>0</v>
      </c>
      <c r="K21" s="2"/>
      <c r="L21" s="7">
        <f t="shared" si="2"/>
        <v>5.3999999999999773</v>
      </c>
      <c r="M21" s="2"/>
      <c r="N21" s="6">
        <f t="shared" si="3"/>
        <v>1.9699401721873549E-2</v>
      </c>
      <c r="O21" s="11"/>
      <c r="P21" s="7">
        <v>3350.78</v>
      </c>
      <c r="Q21" s="2"/>
      <c r="R21" s="6">
        <f t="shared" si="4"/>
        <v>0</v>
      </c>
      <c r="S21" s="2"/>
      <c r="T21" s="7">
        <v>2158.4299999999998</v>
      </c>
      <c r="U21" s="2"/>
      <c r="V21" s="6">
        <f t="shared" si="5"/>
        <v>0</v>
      </c>
      <c r="W21" s="2"/>
      <c r="X21" s="7">
        <f t="shared" si="6"/>
        <v>1192.3500000000004</v>
      </c>
      <c r="Y21" s="2"/>
      <c r="Z21" s="6">
        <f t="shared" si="7"/>
        <v>0.55241541305485953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695.14</v>
      </c>
      <c r="I22" s="2"/>
      <c r="J22" s="6">
        <f t="shared" si="1"/>
        <v>0</v>
      </c>
      <c r="K22" s="2"/>
      <c r="L22" s="7">
        <f t="shared" si="2"/>
        <v>1.0199999999999818</v>
      </c>
      <c r="M22" s="2"/>
      <c r="N22" s="6">
        <f t="shared" si="3"/>
        <v>1.4673303219495091E-3</v>
      </c>
      <c r="O22" s="11"/>
      <c r="P22" s="7">
        <v>8347.7999999999993</v>
      </c>
      <c r="Q22" s="2"/>
      <c r="R22" s="6">
        <f t="shared" si="4"/>
        <v>0</v>
      </c>
      <c r="S22" s="2"/>
      <c r="T22" s="7">
        <v>7915.25</v>
      </c>
      <c r="U22" s="2"/>
      <c r="V22" s="6">
        <f t="shared" si="5"/>
        <v>0</v>
      </c>
      <c r="W22" s="2"/>
      <c r="X22" s="7">
        <f t="shared" si="6"/>
        <v>432.54999999999927</v>
      </c>
      <c r="Y22" s="2"/>
      <c r="Z22" s="6">
        <f t="shared" si="7"/>
        <v>5.4647673794257827E-2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-131</v>
      </c>
      <c r="E23" s="2"/>
      <c r="F23" s="6">
        <f t="shared" si="0"/>
        <v>0</v>
      </c>
      <c r="G23" s="2"/>
      <c r="H23" s="7">
        <v>16.309999999999999</v>
      </c>
      <c r="I23" s="2"/>
      <c r="J23" s="6">
        <f t="shared" si="1"/>
        <v>0</v>
      </c>
      <c r="K23" s="2"/>
      <c r="L23" s="7">
        <f t="shared" si="2"/>
        <v>-147.31</v>
      </c>
      <c r="M23" s="2"/>
      <c r="N23" s="6">
        <f t="shared" si="3"/>
        <v>-9.0318822808093202</v>
      </c>
      <c r="O23" s="11"/>
      <c r="P23" s="7">
        <v>0</v>
      </c>
      <c r="Q23" s="2"/>
      <c r="R23" s="6">
        <f t="shared" si="4"/>
        <v>0</v>
      </c>
      <c r="S23" s="2"/>
      <c r="T23" s="7">
        <v>142.33000000000001</v>
      </c>
      <c r="U23" s="2"/>
      <c r="V23" s="6">
        <f t="shared" si="5"/>
        <v>0</v>
      </c>
      <c r="W23" s="2"/>
      <c r="X23" s="7">
        <f t="shared" si="6"/>
        <v>-142.33000000000001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>
        <v>429.26</v>
      </c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429.26</v>
      </c>
      <c r="M24" s="2"/>
      <c r="N24" s="6">
        <f t="shared" si="3"/>
        <v>0</v>
      </c>
      <c r="O24" s="11"/>
      <c r="P24" s="7">
        <v>5365.74</v>
      </c>
      <c r="Q24" s="2"/>
      <c r="R24" s="6">
        <f t="shared" si="4"/>
        <v>0</v>
      </c>
      <c r="S24" s="2"/>
      <c r="T24" s="7">
        <v>4612.5</v>
      </c>
      <c r="U24" s="2"/>
      <c r="V24" s="6">
        <f t="shared" si="5"/>
        <v>0</v>
      </c>
      <c r="W24" s="2"/>
      <c r="X24" s="7">
        <f t="shared" si="6"/>
        <v>753.23999999999978</v>
      </c>
      <c r="Y24" s="2"/>
      <c r="Z24" s="6">
        <f t="shared" si="7"/>
        <v>0.16330406504065037</v>
      </c>
    </row>
    <row r="25" spans="1:26" s="24" customFormat="1" hidden="1" outlineLevel="2" x14ac:dyDescent="0.35">
      <c r="A25" s="27"/>
      <c r="B25" s="11" t="str">
        <f>CONCATENATE("          ", "6118", " - ", "VACATION")</f>
        <v xml:space="preserve">          6118 - VACATION</v>
      </c>
      <c r="C25" s="11"/>
      <c r="D25" s="7">
        <v>193.98</v>
      </c>
      <c r="E25" s="2"/>
      <c r="F25" s="6">
        <f t="shared" si="0"/>
        <v>0</v>
      </c>
      <c r="G25" s="2"/>
      <c r="H25" s="7">
        <v>376.66</v>
      </c>
      <c r="I25" s="2"/>
      <c r="J25" s="6">
        <f t="shared" si="1"/>
        <v>0</v>
      </c>
      <c r="K25" s="2"/>
      <c r="L25" s="7">
        <f t="shared" si="2"/>
        <v>-182.68000000000004</v>
      </c>
      <c r="M25" s="2"/>
      <c r="N25" s="6">
        <f t="shared" si="3"/>
        <v>-0.48499973450857542</v>
      </c>
      <c r="O25" s="11"/>
      <c r="P25" s="7">
        <v>4805.12</v>
      </c>
      <c r="Q25" s="2"/>
      <c r="R25" s="6">
        <f t="shared" si="4"/>
        <v>0</v>
      </c>
      <c r="S25" s="2"/>
      <c r="T25" s="7">
        <v>4088.38</v>
      </c>
      <c r="U25" s="2"/>
      <c r="V25" s="6">
        <f t="shared" si="5"/>
        <v>0</v>
      </c>
      <c r="W25" s="2"/>
      <c r="X25" s="7">
        <f t="shared" si="6"/>
        <v>716.73999999999978</v>
      </c>
      <c r="Y25" s="2"/>
      <c r="Z25" s="6">
        <f t="shared" si="7"/>
        <v>0.17531149257162978</v>
      </c>
    </row>
    <row r="26" spans="1:26" s="24" customFormat="1" hidden="1" outlineLevel="2" x14ac:dyDescent="0.35">
      <c r="A26" s="27"/>
      <c r="B26" s="11" t="str">
        <f>CONCATENATE("          ", "6119", " - ", "SICK LEAVE")</f>
        <v xml:space="preserve">          6119 - SICK LEAVE</v>
      </c>
      <c r="C26" s="11"/>
      <c r="D26" s="7">
        <v>193.72</v>
      </c>
      <c r="E26" s="2"/>
      <c r="F26" s="6">
        <f t="shared" si="0"/>
        <v>0</v>
      </c>
      <c r="G26" s="2"/>
      <c r="H26" s="7">
        <v>188.08</v>
      </c>
      <c r="I26" s="2"/>
      <c r="J26" s="6">
        <f t="shared" si="1"/>
        <v>0</v>
      </c>
      <c r="K26" s="2"/>
      <c r="L26" s="7">
        <f t="shared" si="2"/>
        <v>5.6399999999999864</v>
      </c>
      <c r="M26" s="2"/>
      <c r="N26" s="6">
        <f t="shared" si="3"/>
        <v>2.9987239472564792E-2</v>
      </c>
      <c r="O26" s="11"/>
      <c r="P26" s="7">
        <v>3363.4</v>
      </c>
      <c r="Q26" s="2"/>
      <c r="R26" s="6">
        <f t="shared" si="4"/>
        <v>0</v>
      </c>
      <c r="S26" s="2"/>
      <c r="T26" s="7">
        <v>3226.19</v>
      </c>
      <c r="U26" s="2"/>
      <c r="V26" s="6">
        <f t="shared" si="5"/>
        <v>0</v>
      </c>
      <c r="W26" s="2"/>
      <c r="X26" s="7">
        <f t="shared" si="6"/>
        <v>137.21000000000004</v>
      </c>
      <c r="Y26" s="2"/>
      <c r="Z26" s="6">
        <f t="shared" si="7"/>
        <v>4.2530043177866163E-2</v>
      </c>
    </row>
    <row r="27" spans="1:26" s="24" customFormat="1" hidden="1" outlineLevel="2" x14ac:dyDescent="0.35">
      <c r="A27" s="27"/>
      <c r="B27" s="11" t="str">
        <f>CONCATENATE("          ", "6156", " - ", "EMPLOYEE MEALS")</f>
        <v xml:space="preserve">          6156 - EMPLOYEE MEALS</v>
      </c>
      <c r="C27" s="11"/>
      <c r="D27" s="7">
        <v>136</v>
      </c>
      <c r="E27" s="2"/>
      <c r="F27" s="6">
        <f t="shared" si="0"/>
        <v>0</v>
      </c>
      <c r="G27" s="2"/>
      <c r="H27" s="7">
        <v>150</v>
      </c>
      <c r="I27" s="2"/>
      <c r="J27" s="6">
        <f t="shared" si="1"/>
        <v>0</v>
      </c>
      <c r="K27" s="2"/>
      <c r="L27" s="7">
        <f t="shared" si="2"/>
        <v>-14</v>
      </c>
      <c r="M27" s="2"/>
      <c r="N27" s="6">
        <f t="shared" si="3"/>
        <v>-9.3333333333333338E-2</v>
      </c>
      <c r="O27" s="11"/>
      <c r="P27" s="7">
        <v>1316.27</v>
      </c>
      <c r="Q27" s="2"/>
      <c r="R27" s="6">
        <f t="shared" si="4"/>
        <v>0</v>
      </c>
      <c r="S27" s="2"/>
      <c r="T27" s="7">
        <v>1750.57</v>
      </c>
      <c r="U27" s="2"/>
      <c r="V27" s="6">
        <f t="shared" si="5"/>
        <v>0</v>
      </c>
      <c r="W27" s="2"/>
      <c r="X27" s="7">
        <f t="shared" si="6"/>
        <v>-434.29999999999995</v>
      </c>
      <c r="Y27" s="2"/>
      <c r="Z27" s="6">
        <f t="shared" si="7"/>
        <v>-0.24809062191172015</v>
      </c>
    </row>
    <row r="28" spans="1:26" s="25" customFormat="1" outlineLevel="1" collapsed="1" x14ac:dyDescent="0.3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3569.77</v>
      </c>
      <c r="E28" s="1"/>
      <c r="F28" s="5">
        <f t="shared" ref="F28:F37" si="8">IF(D$12=0,0,D28/D$12)</f>
        <v>0</v>
      </c>
      <c r="G28" s="1"/>
      <c r="H28" s="1">
        <f>SUM(OSRRefH22_1x_0)</f>
        <v>4459.62</v>
      </c>
      <c r="I28" s="1"/>
      <c r="J28" s="5">
        <f t="shared" ref="J28:J37" si="9">IF(H$12=0,0,H28/H$12)</f>
        <v>0</v>
      </c>
      <c r="K28" s="1"/>
      <c r="L28" s="1">
        <f t="shared" ref="L28:L37" si="10">+D28-H28</f>
        <v>-889.84999999999991</v>
      </c>
      <c r="M28" s="1"/>
      <c r="N28" s="5">
        <f t="shared" ref="N28:N37" si="11">IF(H28=0,0,L28/H28)</f>
        <v>-0.19953493795435484</v>
      </c>
      <c r="O28" s="12"/>
      <c r="P28" s="1">
        <f>SUM(OSRRefP22_1x_0)</f>
        <v>36498.43</v>
      </c>
      <c r="Q28" s="1"/>
      <c r="R28" s="5">
        <f t="shared" ref="R28:R37" si="12">IF(P$12=0,0,P28/P$12)</f>
        <v>0</v>
      </c>
      <c r="S28" s="1"/>
      <c r="T28" s="1">
        <f>SUM(OSRRefT22_1x_0)</f>
        <v>48635.82</v>
      </c>
      <c r="U28" s="1"/>
      <c r="V28" s="5">
        <f t="shared" ref="V28:V37" si="13">IF(T$12=0,0,T28/T$12)</f>
        <v>0</v>
      </c>
      <c r="W28" s="1"/>
      <c r="X28" s="1">
        <f t="shared" ref="X28:X37" si="14">+P28-T28</f>
        <v>-12137.39</v>
      </c>
      <c r="Y28" s="1"/>
      <c r="Z28" s="5">
        <f t="shared" ref="Z28:Z37" si="15">IF(T28=0,0,X28/T28)</f>
        <v>-0.24955660252052911</v>
      </c>
    </row>
    <row r="29" spans="1:26" s="24" customFormat="1" hidden="1" outlineLevel="2" x14ac:dyDescent="0.35">
      <c r="A29" s="27"/>
      <c r="B29" s="11" t="str">
        <f>CONCATENATE("          ", "6002", " - ", "STAFF SALARIES")</f>
        <v xml:space="preserve">          6002 - STAFF SALARIES</v>
      </c>
      <c r="C29" s="11"/>
      <c r="D29" s="7">
        <v>3569.77</v>
      </c>
      <c r="E29" s="2"/>
      <c r="F29" s="6">
        <f t="shared" si="8"/>
        <v>0</v>
      </c>
      <c r="G29" s="2"/>
      <c r="H29" s="7">
        <v>4459.62</v>
      </c>
      <c r="I29" s="2"/>
      <c r="J29" s="6">
        <f t="shared" si="9"/>
        <v>0</v>
      </c>
      <c r="K29" s="2"/>
      <c r="L29" s="7">
        <f t="shared" si="10"/>
        <v>-889.84999999999991</v>
      </c>
      <c r="M29" s="2"/>
      <c r="N29" s="6">
        <f t="shared" si="11"/>
        <v>-0.19953493795435484</v>
      </c>
      <c r="O29" s="11"/>
      <c r="P29" s="7">
        <v>36498.43</v>
      </c>
      <c r="Q29" s="2"/>
      <c r="R29" s="6">
        <f t="shared" si="12"/>
        <v>0</v>
      </c>
      <c r="S29" s="2"/>
      <c r="T29" s="7">
        <v>48635.82</v>
      </c>
      <c r="U29" s="2"/>
      <c r="V29" s="6">
        <f t="shared" si="13"/>
        <v>0</v>
      </c>
      <c r="W29" s="2"/>
      <c r="X29" s="7">
        <f t="shared" si="14"/>
        <v>-12137.39</v>
      </c>
      <c r="Y29" s="2"/>
      <c r="Z29" s="6">
        <f t="shared" si="15"/>
        <v>-0.24955660252052911</v>
      </c>
    </row>
    <row r="30" spans="1:26" s="25" customFormat="1" outlineLevel="1" collapsed="1" x14ac:dyDescent="0.35">
      <c r="A30" s="26"/>
      <c r="B30" s="12" t="str">
        <f>CONCATENATE("     ","General                                           ")</f>
        <v xml:space="preserve">     General                                           </v>
      </c>
      <c r="C30" s="12"/>
      <c r="D30" s="1">
        <f>SUM(OSRRefD22_2x_0)</f>
        <v>-276.68</v>
      </c>
      <c r="E30" s="1"/>
      <c r="F30" s="5">
        <f t="shared" si="8"/>
        <v>0</v>
      </c>
      <c r="G30" s="1"/>
      <c r="H30" s="1">
        <f>SUM(OSRRefH22_2x_0)</f>
        <v>-138.25</v>
      </c>
      <c r="I30" s="1"/>
      <c r="J30" s="5">
        <f t="shared" si="9"/>
        <v>0</v>
      </c>
      <c r="K30" s="1"/>
      <c r="L30" s="1">
        <f t="shared" si="10"/>
        <v>-138.43</v>
      </c>
      <c r="M30" s="1"/>
      <c r="N30" s="5">
        <f t="shared" si="11"/>
        <v>1.0013019891500905</v>
      </c>
      <c r="O30" s="12"/>
      <c r="P30" s="1">
        <f>SUM(OSRRefP22_2x_0)</f>
        <v>-1185.6199999999999</v>
      </c>
      <c r="Q30" s="1"/>
      <c r="R30" s="5">
        <f t="shared" si="12"/>
        <v>0</v>
      </c>
      <c r="S30" s="1"/>
      <c r="T30" s="1">
        <f>SUM(OSRRefT22_2x_0)</f>
        <v>-3455.65</v>
      </c>
      <c r="U30" s="1"/>
      <c r="V30" s="5">
        <f t="shared" si="13"/>
        <v>0</v>
      </c>
      <c r="W30" s="1"/>
      <c r="X30" s="1">
        <f t="shared" si="14"/>
        <v>2270.0300000000002</v>
      </c>
      <c r="Y30" s="1"/>
      <c r="Z30" s="5">
        <f t="shared" si="15"/>
        <v>-0.6569039109863557</v>
      </c>
    </row>
    <row r="31" spans="1:26" s="24" customFormat="1" hidden="1" outlineLevel="2" x14ac:dyDescent="0.35">
      <c r="A31" s="27"/>
      <c r="B31" s="11" t="str">
        <f>CONCATENATE("          ", "6279", " - ", "GENERAL EXPENSE")</f>
        <v xml:space="preserve">          6279 - GENERAL EXPENSE</v>
      </c>
      <c r="C31" s="11"/>
      <c r="D31" s="7">
        <v>-276.68</v>
      </c>
      <c r="E31" s="2"/>
      <c r="F31" s="6">
        <f t="shared" si="8"/>
        <v>0</v>
      </c>
      <c r="G31" s="2"/>
      <c r="H31" s="7">
        <v>-138.25</v>
      </c>
      <c r="I31" s="2"/>
      <c r="J31" s="6">
        <f t="shared" si="9"/>
        <v>0</v>
      </c>
      <c r="K31" s="2"/>
      <c r="L31" s="7">
        <f t="shared" si="10"/>
        <v>-138.43</v>
      </c>
      <c r="M31" s="2"/>
      <c r="N31" s="6">
        <f t="shared" si="11"/>
        <v>1.0013019891500905</v>
      </c>
      <c r="O31" s="11"/>
      <c r="P31" s="7">
        <v>-1185.6199999999999</v>
      </c>
      <c r="Q31" s="2"/>
      <c r="R31" s="6">
        <f t="shared" si="12"/>
        <v>0</v>
      </c>
      <c r="S31" s="2"/>
      <c r="T31" s="7">
        <v>-3455.65</v>
      </c>
      <c r="U31" s="2"/>
      <c r="V31" s="6">
        <f t="shared" si="13"/>
        <v>0</v>
      </c>
      <c r="W31" s="2"/>
      <c r="X31" s="7">
        <f t="shared" si="14"/>
        <v>2270.0300000000002</v>
      </c>
      <c r="Y31" s="2"/>
      <c r="Z31" s="6">
        <f t="shared" si="15"/>
        <v>-0.6569039109863557</v>
      </c>
    </row>
    <row r="32" spans="1:26" s="25" customFormat="1" outlineLevel="1" collapsed="1" x14ac:dyDescent="0.35">
      <c r="A32" s="26"/>
      <c r="B32" s="12" t="str">
        <f>CONCATENATE("     ","Insurance                                         ")</f>
        <v xml:space="preserve">     Insurance                                         </v>
      </c>
      <c r="C32" s="12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2"/>
      <c r="P32" s="1">
        <f>SUM(OSRRefP22_3x_0)</f>
        <v>294.72000000000003</v>
      </c>
      <c r="Q32" s="1"/>
      <c r="R32" s="5">
        <f t="shared" si="12"/>
        <v>0</v>
      </c>
      <c r="S32" s="1"/>
      <c r="T32" s="1">
        <f>SUM(OSRRefT22_3x_0)</f>
        <v>236.39</v>
      </c>
      <c r="U32" s="1"/>
      <c r="V32" s="5">
        <f t="shared" si="13"/>
        <v>0</v>
      </c>
      <c r="W32" s="1"/>
      <c r="X32" s="1">
        <f t="shared" si="14"/>
        <v>58.330000000000041</v>
      </c>
      <c r="Y32" s="1"/>
      <c r="Z32" s="5">
        <f t="shared" si="15"/>
        <v>0.24675324675324695</v>
      </c>
    </row>
    <row r="33" spans="1:26" s="24" customFormat="1" hidden="1" outlineLevel="2" x14ac:dyDescent="0.35">
      <c r="A33" s="27"/>
      <c r="B33" s="11" t="str">
        <f>CONCATENATE("          ", "6314", " - ", "LIABILITY INSURANCE")</f>
        <v xml:space="preserve">          6314 - LIABILITY INSURANCE</v>
      </c>
      <c r="C33" s="11"/>
      <c r="D33" s="7">
        <v>24.56</v>
      </c>
      <c r="E33" s="2"/>
      <c r="F33" s="6">
        <f t="shared" si="8"/>
        <v>0</v>
      </c>
      <c r="G33" s="2"/>
      <c r="H33" s="7">
        <v>23.14</v>
      </c>
      <c r="I33" s="2"/>
      <c r="J33" s="6">
        <f t="shared" si="9"/>
        <v>0</v>
      </c>
      <c r="K33" s="2"/>
      <c r="L33" s="7">
        <f t="shared" si="10"/>
        <v>1.4199999999999982</v>
      </c>
      <c r="M33" s="2"/>
      <c r="N33" s="6">
        <f t="shared" si="11"/>
        <v>6.1365600691443305E-2</v>
      </c>
      <c r="O33" s="11"/>
      <c r="P33" s="7">
        <v>294.72000000000003</v>
      </c>
      <c r="Q33" s="2"/>
      <c r="R33" s="6">
        <f t="shared" si="12"/>
        <v>0</v>
      </c>
      <c r="S33" s="2"/>
      <c r="T33" s="7">
        <v>236.39</v>
      </c>
      <c r="U33" s="2"/>
      <c r="V33" s="6">
        <f t="shared" si="13"/>
        <v>0</v>
      </c>
      <c r="W33" s="2"/>
      <c r="X33" s="7">
        <f t="shared" si="14"/>
        <v>58.330000000000041</v>
      </c>
      <c r="Y33" s="2"/>
      <c r="Z33" s="6">
        <f t="shared" si="15"/>
        <v>0.24675324675324695</v>
      </c>
    </row>
    <row r="34" spans="1:26" s="25" customFormat="1" outlineLevel="1" collapsed="1" x14ac:dyDescent="0.35">
      <c r="A34" s="26"/>
      <c r="B34" s="12" t="str">
        <f>CONCATENATE("     ","Repair and Maintenance                            ")</f>
        <v xml:space="preserve">     Repair and Maintenance                            </v>
      </c>
      <c r="C34" s="12"/>
      <c r="D34" s="1">
        <f>SUM(OSRRefD22_4x_0)</f>
        <v>887.83</v>
      </c>
      <c r="E34" s="1"/>
      <c r="F34" s="5">
        <f t="shared" si="8"/>
        <v>0</v>
      </c>
      <c r="G34" s="1"/>
      <c r="H34" s="1">
        <f>SUM(OSRRefH22_4x_0)</f>
        <v>1405.95</v>
      </c>
      <c r="I34" s="1"/>
      <c r="J34" s="5">
        <f t="shared" si="9"/>
        <v>0</v>
      </c>
      <c r="K34" s="1"/>
      <c r="L34" s="1">
        <f t="shared" si="10"/>
        <v>-518.12</v>
      </c>
      <c r="M34" s="1"/>
      <c r="N34" s="5">
        <f t="shared" si="11"/>
        <v>-0.36851950638358405</v>
      </c>
      <c r="O34" s="12"/>
      <c r="P34" s="1">
        <f>SUM(OSRRefP22_4x_0)</f>
        <v>21916.65</v>
      </c>
      <c r="Q34" s="1"/>
      <c r="R34" s="5">
        <f t="shared" si="12"/>
        <v>0</v>
      </c>
      <c r="S34" s="1"/>
      <c r="T34" s="1">
        <f>SUM(OSRRefT22_4x_0)</f>
        <v>19419.509999999998</v>
      </c>
      <c r="U34" s="1"/>
      <c r="V34" s="5">
        <f t="shared" si="13"/>
        <v>0</v>
      </c>
      <c r="W34" s="1"/>
      <c r="X34" s="1">
        <f t="shared" si="14"/>
        <v>2497.1400000000031</v>
      </c>
      <c r="Y34" s="1"/>
      <c r="Z34" s="5">
        <f t="shared" si="15"/>
        <v>0.1285892383484446</v>
      </c>
    </row>
    <row r="35" spans="1:26" s="24" customFormat="1" hidden="1" outlineLevel="2" x14ac:dyDescent="0.35">
      <c r="A35" s="27"/>
      <c r="B35" s="11" t="str">
        <f>CONCATENATE("          ", "6371", " - ", "COMPUTER SOFTWARE MAINTENANCE")</f>
        <v xml:space="preserve">          6371 - COMPUTER SOFTWARE MAINTENANCE</v>
      </c>
      <c r="C35" s="11"/>
      <c r="D35" s="7"/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4968.9799999999996</v>
      </c>
      <c r="Q35" s="2"/>
      <c r="R35" s="6">
        <f t="shared" si="12"/>
        <v>0</v>
      </c>
      <c r="S35" s="2"/>
      <c r="T35" s="7"/>
      <c r="U35" s="2"/>
      <c r="V35" s="6">
        <f t="shared" si="13"/>
        <v>0</v>
      </c>
      <c r="W35" s="2"/>
      <c r="X35" s="7">
        <f t="shared" si="14"/>
        <v>4968.9799999999996</v>
      </c>
      <c r="Y35" s="2"/>
      <c r="Z35" s="6">
        <f t="shared" si="15"/>
        <v>0</v>
      </c>
    </row>
    <row r="36" spans="1:26" s="24" customFormat="1" hidden="1" outlineLevel="2" x14ac:dyDescent="0.35">
      <c r="A36" s="27"/>
      <c r="B36" s="11" t="str">
        <f>CONCATENATE("          ", "6373", " - ", "MAINTENANCE CONTRACTS")</f>
        <v xml:space="preserve">          6373 - MAINTENANCE CONTRACTS</v>
      </c>
      <c r="C36" s="11"/>
      <c r="D36" s="7">
        <v>866</v>
      </c>
      <c r="E36" s="2"/>
      <c r="F36" s="6">
        <f t="shared" si="8"/>
        <v>0</v>
      </c>
      <c r="G36" s="2"/>
      <c r="H36" s="7">
        <v>1405.95</v>
      </c>
      <c r="I36" s="2"/>
      <c r="J36" s="6">
        <f t="shared" si="9"/>
        <v>0</v>
      </c>
      <c r="K36" s="2"/>
      <c r="L36" s="7">
        <f t="shared" si="10"/>
        <v>-539.95000000000005</v>
      </c>
      <c r="M36" s="2"/>
      <c r="N36" s="6">
        <f t="shared" si="11"/>
        <v>-0.3840463743376365</v>
      </c>
      <c r="O36" s="11"/>
      <c r="P36" s="7">
        <v>14519.91</v>
      </c>
      <c r="Q36" s="2"/>
      <c r="R36" s="6">
        <f t="shared" si="12"/>
        <v>0</v>
      </c>
      <c r="S36" s="2"/>
      <c r="T36" s="7">
        <v>17741.75</v>
      </c>
      <c r="U36" s="2"/>
      <c r="V36" s="6">
        <f t="shared" si="13"/>
        <v>0</v>
      </c>
      <c r="W36" s="2"/>
      <c r="X36" s="7">
        <f t="shared" si="14"/>
        <v>-3221.84</v>
      </c>
      <c r="Y36" s="2"/>
      <c r="Z36" s="6">
        <f t="shared" si="15"/>
        <v>-0.18159651669085633</v>
      </c>
    </row>
    <row r="37" spans="1:26" s="24" customFormat="1" hidden="1" outlineLevel="2" x14ac:dyDescent="0.35">
      <c r="A37" s="27"/>
      <c r="B37" s="11" t="str">
        <f>CONCATENATE("          ", "6375", " - ", "OUTSIDE REPAIRS &amp; MAINTENANCE")</f>
        <v xml:space="preserve">          6375 - OUTSIDE REPAIRS &amp; MAINTENANCE</v>
      </c>
      <c r="C37" s="11"/>
      <c r="D37" s="7">
        <v>21.83</v>
      </c>
      <c r="E37" s="2"/>
      <c r="F37" s="6">
        <f t="shared" si="8"/>
        <v>0</v>
      </c>
      <c r="G37" s="2"/>
      <c r="H37" s="7"/>
      <c r="I37" s="2"/>
      <c r="J37" s="6">
        <f t="shared" si="9"/>
        <v>0</v>
      </c>
      <c r="K37" s="2"/>
      <c r="L37" s="7">
        <f t="shared" si="10"/>
        <v>21.83</v>
      </c>
      <c r="M37" s="2"/>
      <c r="N37" s="6">
        <f t="shared" si="11"/>
        <v>0</v>
      </c>
      <c r="O37" s="11"/>
      <c r="P37" s="7">
        <v>2427.7600000000002</v>
      </c>
      <c r="Q37" s="2"/>
      <c r="R37" s="6">
        <f t="shared" si="12"/>
        <v>0</v>
      </c>
      <c r="S37" s="2"/>
      <c r="T37" s="7">
        <v>1677.76</v>
      </c>
      <c r="U37" s="2"/>
      <c r="V37" s="6">
        <f t="shared" si="13"/>
        <v>0</v>
      </c>
      <c r="W37" s="2"/>
      <c r="X37" s="7">
        <f t="shared" si="14"/>
        <v>750.00000000000023</v>
      </c>
      <c r="Y37" s="2"/>
      <c r="Z37" s="6">
        <f t="shared" si="15"/>
        <v>0.44702460423421719</v>
      </c>
    </row>
    <row r="38" spans="1:26" s="25" customFormat="1" outlineLevel="1" collapsed="1" x14ac:dyDescent="0.35">
      <c r="A38" s="26"/>
      <c r="B38" s="12" t="str">
        <f>CONCATENATE("     ","Services                                          ")</f>
        <v xml:space="preserve">     Services                                          </v>
      </c>
      <c r="C38" s="12"/>
      <c r="D38" s="1">
        <f>SUM(OSRRefD22_5x_0)</f>
        <v>0</v>
      </c>
      <c r="E38" s="1"/>
      <c r="F38" s="5">
        <f t="shared" ref="F38:F42" si="16">IF(D$12=0,0,D38/D$12)</f>
        <v>0</v>
      </c>
      <c r="G38" s="1"/>
      <c r="H38" s="1">
        <f>SUM(OSRRefH22_5x_0)</f>
        <v>8.84</v>
      </c>
      <c r="I38" s="1"/>
      <c r="J38" s="5">
        <f t="shared" ref="J38:J42" si="17">IF(H$12=0,0,H38/H$12)</f>
        <v>0</v>
      </c>
      <c r="K38" s="1"/>
      <c r="L38" s="1">
        <f t="shared" ref="L38:L42" si="18">+D38-H38</f>
        <v>-8.84</v>
      </c>
      <c r="M38" s="1"/>
      <c r="N38" s="5">
        <f t="shared" ref="N38:N42" si="19">IF(H38=0,0,L38/H38)</f>
        <v>-1</v>
      </c>
      <c r="O38" s="12"/>
      <c r="P38" s="1">
        <f>SUM(OSRRefP22_5x_0)</f>
        <v>83.98</v>
      </c>
      <c r="Q38" s="1"/>
      <c r="R38" s="5">
        <f t="shared" ref="R38:R42" si="20">IF(P$12=0,0,P38/P$12)</f>
        <v>0</v>
      </c>
      <c r="S38" s="1"/>
      <c r="T38" s="1">
        <f>SUM(OSRRefT22_5x_0)</f>
        <v>98.22</v>
      </c>
      <c r="U38" s="1"/>
      <c r="V38" s="5">
        <f t="shared" ref="V38:V42" si="21">IF(T$12=0,0,T38/T$12)</f>
        <v>0</v>
      </c>
      <c r="W38" s="1"/>
      <c r="X38" s="1">
        <f t="shared" ref="X38:X42" si="22">+P38-T38</f>
        <v>-14.239999999999995</v>
      </c>
      <c r="Y38" s="1"/>
      <c r="Z38" s="5">
        <f t="shared" ref="Z38:Z42" si="23">IF(T38=0,0,X38/T38)</f>
        <v>-0.14498065567094273</v>
      </c>
    </row>
    <row r="39" spans="1:26" s="24" customFormat="1" hidden="1" outlineLevel="2" x14ac:dyDescent="0.35">
      <c r="A39" s="27"/>
      <c r="B39" s="11" t="str">
        <f>CONCATENATE("          ", "6286", " - ", "LAUNDRY EXPENSE")</f>
        <v xml:space="preserve">          6286 - LAUNDRY EXPENSE</v>
      </c>
      <c r="C39" s="11"/>
      <c r="D39" s="7"/>
      <c r="E39" s="2"/>
      <c r="F39" s="6">
        <f t="shared" si="16"/>
        <v>0</v>
      </c>
      <c r="G39" s="2"/>
      <c r="H39" s="7">
        <v>8.84</v>
      </c>
      <c r="I39" s="2"/>
      <c r="J39" s="6">
        <f t="shared" si="17"/>
        <v>0</v>
      </c>
      <c r="K39" s="2"/>
      <c r="L39" s="7">
        <f t="shared" si="18"/>
        <v>-8.84</v>
      </c>
      <c r="M39" s="2"/>
      <c r="N39" s="6">
        <f t="shared" si="19"/>
        <v>-1</v>
      </c>
      <c r="O39" s="11"/>
      <c r="P39" s="7">
        <v>83.98</v>
      </c>
      <c r="Q39" s="2"/>
      <c r="R39" s="6">
        <f t="shared" si="20"/>
        <v>0</v>
      </c>
      <c r="S39" s="2"/>
      <c r="T39" s="7">
        <v>98.22</v>
      </c>
      <c r="U39" s="2"/>
      <c r="V39" s="6">
        <f t="shared" si="21"/>
        <v>0</v>
      </c>
      <c r="W39" s="2"/>
      <c r="X39" s="7">
        <f t="shared" si="22"/>
        <v>-14.239999999999995</v>
      </c>
      <c r="Y39" s="2"/>
      <c r="Z39" s="6">
        <f t="shared" si="23"/>
        <v>-0.14498065567094273</v>
      </c>
    </row>
    <row r="40" spans="1:26" s="25" customFormat="1" outlineLevel="1" collapsed="1" x14ac:dyDescent="0.35">
      <c r="A40" s="26"/>
      <c r="B40" s="12" t="str">
        <f>CONCATENATE("     ","Supplies                                          ")</f>
        <v xml:space="preserve">     Supplies                                          </v>
      </c>
      <c r="C40" s="12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4211</v>
      </c>
      <c r="I40" s="1"/>
      <c r="J40" s="5">
        <f t="shared" si="17"/>
        <v>0</v>
      </c>
      <c r="K40" s="1"/>
      <c r="L40" s="1">
        <f t="shared" si="18"/>
        <v>-4211</v>
      </c>
      <c r="M40" s="1"/>
      <c r="N40" s="5">
        <f t="shared" si="19"/>
        <v>-1</v>
      </c>
      <c r="O40" s="12"/>
      <c r="P40" s="1">
        <f>SUM(OSRRefP22_6x_0)</f>
        <v>1123.9000000000001</v>
      </c>
      <c r="Q40" s="1"/>
      <c r="R40" s="5">
        <f t="shared" si="20"/>
        <v>0</v>
      </c>
      <c r="S40" s="1"/>
      <c r="T40" s="1">
        <f>SUM(OSRRefT22_6x_0)</f>
        <v>7514.4</v>
      </c>
      <c r="U40" s="1"/>
      <c r="V40" s="5">
        <f t="shared" si="21"/>
        <v>0</v>
      </c>
      <c r="W40" s="1"/>
      <c r="X40" s="1">
        <f t="shared" si="22"/>
        <v>-6390.5</v>
      </c>
      <c r="Y40" s="1"/>
      <c r="Z40" s="5">
        <f t="shared" si="23"/>
        <v>-0.85043383370595127</v>
      </c>
    </row>
    <row r="41" spans="1:26" s="24" customFormat="1" hidden="1" outlineLevel="2" x14ac:dyDescent="0.35">
      <c r="A41" s="27"/>
      <c r="B41" s="11" t="str">
        <f>CONCATENATE("          ", "6234", " - ", "EXPENDABLE SUPPLIES &amp; EQUIPMEN")</f>
        <v xml:space="preserve">          6234 - EXPENDABLE SUPPLIES &amp; EQUIPMEN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1006.59</v>
      </c>
      <c r="Q41" s="2"/>
      <c r="R41" s="6">
        <f t="shared" si="20"/>
        <v>0</v>
      </c>
      <c r="S41" s="2"/>
      <c r="T41" s="7">
        <v>1429</v>
      </c>
      <c r="U41" s="2"/>
      <c r="V41" s="6">
        <f t="shared" si="21"/>
        <v>0</v>
      </c>
      <c r="W41" s="2"/>
      <c r="X41" s="7">
        <f t="shared" si="22"/>
        <v>-422.40999999999997</v>
      </c>
      <c r="Y41" s="2"/>
      <c r="Z41" s="6">
        <f t="shared" si="23"/>
        <v>-0.29559832050384882</v>
      </c>
    </row>
    <row r="42" spans="1:26" s="24" customFormat="1" hidden="1" outlineLevel="2" x14ac:dyDescent="0.35">
      <c r="A42" s="27"/>
      <c r="B42" s="11" t="str">
        <f>CONCATENATE("          ", "6241", " - ", "OFFICE EXPENSE")</f>
        <v xml:space="preserve">          6241 - OFFICE EXPENSE</v>
      </c>
      <c r="C42" s="11"/>
      <c r="D42" s="7"/>
      <c r="E42" s="2"/>
      <c r="F42" s="6">
        <f t="shared" si="16"/>
        <v>0</v>
      </c>
      <c r="G42" s="2"/>
      <c r="H42" s="7">
        <v>4211</v>
      </c>
      <c r="I42" s="2"/>
      <c r="J42" s="6">
        <f t="shared" si="17"/>
        <v>0</v>
      </c>
      <c r="K42" s="2"/>
      <c r="L42" s="7">
        <f t="shared" si="18"/>
        <v>-4211</v>
      </c>
      <c r="M42" s="2"/>
      <c r="N42" s="6">
        <f t="shared" si="19"/>
        <v>-1</v>
      </c>
      <c r="O42" s="11"/>
      <c r="P42" s="7">
        <v>117.31</v>
      </c>
      <c r="Q42" s="2"/>
      <c r="R42" s="6">
        <f t="shared" si="20"/>
        <v>0</v>
      </c>
      <c r="S42" s="2"/>
      <c r="T42" s="7">
        <v>6085.4</v>
      </c>
      <c r="U42" s="2"/>
      <c r="V42" s="6">
        <f t="shared" si="21"/>
        <v>0</v>
      </c>
      <c r="W42" s="2"/>
      <c r="X42" s="7">
        <f t="shared" si="22"/>
        <v>-5968.0899999999992</v>
      </c>
      <c r="Y42" s="2"/>
      <c r="Z42" s="6">
        <f t="shared" si="23"/>
        <v>-0.98072271337956418</v>
      </c>
    </row>
    <row r="43" spans="1:26" s="25" customFormat="1" outlineLevel="1" collapsed="1" x14ac:dyDescent="0.35">
      <c r="A43" s="26"/>
      <c r="B43" s="12" t="str">
        <f>CONCATENATE("     ","Telephone/Data Lines                              ")</f>
        <v xml:space="preserve">     Telephone/Data Lines                              </v>
      </c>
      <c r="C43" s="12"/>
      <c r="D43" s="1">
        <f>SUM(OSRRefD22_7x_0)</f>
        <v>448.8</v>
      </c>
      <c r="E43" s="1"/>
      <c r="F43" s="5">
        <f t="shared" ref="F43:F46" si="24">IF(D$12=0,0,D43/D$12)</f>
        <v>0</v>
      </c>
      <c r="G43" s="1"/>
      <c r="H43" s="1">
        <f>SUM(OSRRefH22_7x_0)</f>
        <v>74.05</v>
      </c>
      <c r="I43" s="1"/>
      <c r="J43" s="5">
        <f t="shared" ref="J43:J46" si="25">IF(H$12=0,0,H43/H$12)</f>
        <v>0</v>
      </c>
      <c r="K43" s="1"/>
      <c r="L43" s="1">
        <f t="shared" ref="L43:L46" si="26">+D43-H43</f>
        <v>374.75</v>
      </c>
      <c r="M43" s="1"/>
      <c r="N43" s="5">
        <f t="shared" ref="N43:N46" si="27">IF(H43=0,0,L43/H43)</f>
        <v>5.0607697501688049</v>
      </c>
      <c r="O43" s="12"/>
      <c r="P43" s="1">
        <f>SUM(OSRRefP22_7x_0)</f>
        <v>1204</v>
      </c>
      <c r="Q43" s="1"/>
      <c r="R43" s="5">
        <f t="shared" ref="R43:R46" si="28">IF(P$12=0,0,P43/P$12)</f>
        <v>0</v>
      </c>
      <c r="S43" s="1"/>
      <c r="T43" s="1">
        <f>SUM(OSRRefT22_7x_0)</f>
        <v>579.26</v>
      </c>
      <c r="U43" s="1"/>
      <c r="V43" s="5">
        <f t="shared" ref="V43:V46" si="29">IF(T$12=0,0,T43/T$12)</f>
        <v>0</v>
      </c>
      <c r="W43" s="1"/>
      <c r="X43" s="1">
        <f t="shared" ref="X43:X46" si="30">+P43-T43</f>
        <v>624.74</v>
      </c>
      <c r="Y43" s="1"/>
      <c r="Z43" s="5">
        <f t="shared" ref="Z43:Z46" si="31">IF(T43=0,0,X43/T43)</f>
        <v>1.0785139660946725</v>
      </c>
    </row>
    <row r="44" spans="1:26" s="24" customFormat="1" hidden="1" outlineLevel="2" x14ac:dyDescent="0.35">
      <c r="A44" s="27"/>
      <c r="B44" s="11" t="str">
        <f>CONCATENATE("          ", "6309", " - ", "TELEPHONE")</f>
        <v xml:space="preserve">          6309 - TELEPHONE</v>
      </c>
      <c r="C44" s="11"/>
      <c r="D44" s="7">
        <v>448.8</v>
      </c>
      <c r="E44" s="2"/>
      <c r="F44" s="6">
        <f t="shared" si="24"/>
        <v>0</v>
      </c>
      <c r="G44" s="2"/>
      <c r="H44" s="7">
        <v>74.05</v>
      </c>
      <c r="I44" s="2"/>
      <c r="J44" s="6">
        <f t="shared" si="25"/>
        <v>0</v>
      </c>
      <c r="K44" s="2"/>
      <c r="L44" s="7">
        <f t="shared" si="26"/>
        <v>374.75</v>
      </c>
      <c r="M44" s="2"/>
      <c r="N44" s="6">
        <f t="shared" si="27"/>
        <v>5.0607697501688049</v>
      </c>
      <c r="O44" s="11"/>
      <c r="P44" s="7">
        <v>1204</v>
      </c>
      <c r="Q44" s="2"/>
      <c r="R44" s="6">
        <f t="shared" si="28"/>
        <v>0</v>
      </c>
      <c r="S44" s="2"/>
      <c r="T44" s="7">
        <v>579.26</v>
      </c>
      <c r="U44" s="2"/>
      <c r="V44" s="6">
        <f t="shared" si="29"/>
        <v>0</v>
      </c>
      <c r="W44" s="2"/>
      <c r="X44" s="7">
        <f t="shared" si="30"/>
        <v>624.74</v>
      </c>
      <c r="Y44" s="2"/>
      <c r="Z44" s="6">
        <f t="shared" si="31"/>
        <v>1.0785139660946725</v>
      </c>
    </row>
    <row r="45" spans="1:26" s="25" customFormat="1" outlineLevel="1" collapsed="1" x14ac:dyDescent="0.35">
      <c r="A45" s="26"/>
      <c r="B45" s="12" t="str">
        <f>CONCATENATE("     ","Travel                                            ")</f>
        <v xml:space="preserve">     Travel                                            </v>
      </c>
      <c r="C45" s="12"/>
      <c r="D45" s="1">
        <f>SUM(OSRRefD22_8x_0)</f>
        <v>0</v>
      </c>
      <c r="E45" s="1"/>
      <c r="F45" s="5">
        <f t="shared" si="24"/>
        <v>0</v>
      </c>
      <c r="G45" s="1"/>
      <c r="H45" s="1">
        <f>SUM(OSRRefH22_8x_0)</f>
        <v>23.98</v>
      </c>
      <c r="I45" s="1"/>
      <c r="J45" s="5">
        <f t="shared" si="25"/>
        <v>0</v>
      </c>
      <c r="K45" s="1"/>
      <c r="L45" s="1">
        <f t="shared" si="26"/>
        <v>-23.98</v>
      </c>
      <c r="M45" s="1"/>
      <c r="N45" s="5">
        <f t="shared" si="27"/>
        <v>-1</v>
      </c>
      <c r="O45" s="12"/>
      <c r="P45" s="1">
        <f>SUM(OSRRefP22_8x_0)</f>
        <v>256.86</v>
      </c>
      <c r="Q45" s="1"/>
      <c r="R45" s="5">
        <f t="shared" si="28"/>
        <v>0</v>
      </c>
      <c r="S45" s="1"/>
      <c r="T45" s="1">
        <f>SUM(OSRRefT22_8x_0)</f>
        <v>291.51</v>
      </c>
      <c r="U45" s="1"/>
      <c r="V45" s="5">
        <f t="shared" si="29"/>
        <v>0</v>
      </c>
      <c r="W45" s="1"/>
      <c r="X45" s="1">
        <f t="shared" si="30"/>
        <v>-34.649999999999977</v>
      </c>
      <c r="Y45" s="1"/>
      <c r="Z45" s="5">
        <f t="shared" si="31"/>
        <v>-0.11886384686631669</v>
      </c>
    </row>
    <row r="46" spans="1:26" s="24" customFormat="1" hidden="1" outlineLevel="2" x14ac:dyDescent="0.35">
      <c r="A46" s="27"/>
      <c r="B46" s="11" t="str">
        <f>CONCATENATE("          ", "6292", " - ", "TRAVEL/CONFERENCE")</f>
        <v xml:space="preserve">          6292 - TRAVEL/CONFERENCE</v>
      </c>
      <c r="C46" s="11"/>
      <c r="D46" s="7"/>
      <c r="E46" s="2"/>
      <c r="F46" s="6">
        <f t="shared" si="24"/>
        <v>0</v>
      </c>
      <c r="G46" s="2"/>
      <c r="H46" s="7">
        <v>23.98</v>
      </c>
      <c r="I46" s="2"/>
      <c r="J46" s="6">
        <f t="shared" si="25"/>
        <v>0</v>
      </c>
      <c r="K46" s="2"/>
      <c r="L46" s="7">
        <f t="shared" si="26"/>
        <v>-23.98</v>
      </c>
      <c r="M46" s="2"/>
      <c r="N46" s="6">
        <f t="shared" si="27"/>
        <v>-1</v>
      </c>
      <c r="O46" s="11"/>
      <c r="P46" s="7">
        <v>256.86</v>
      </c>
      <c r="Q46" s="2"/>
      <c r="R46" s="6">
        <f t="shared" si="28"/>
        <v>0</v>
      </c>
      <c r="S46" s="2"/>
      <c r="T46" s="7">
        <v>291.51</v>
      </c>
      <c r="U46" s="2"/>
      <c r="V46" s="6">
        <f t="shared" si="29"/>
        <v>0</v>
      </c>
      <c r="W46" s="2"/>
      <c r="X46" s="7">
        <f t="shared" si="30"/>
        <v>-34.649999999999977</v>
      </c>
      <c r="Y46" s="2"/>
      <c r="Z46" s="6">
        <f t="shared" si="31"/>
        <v>-0.11886384686631669</v>
      </c>
    </row>
    <row r="47" spans="1:26" s="56" customFormat="1" x14ac:dyDescent="0.3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35">
      <c r="A48" s="10"/>
      <c r="B48" s="29" t="s">
        <v>0</v>
      </c>
      <c r="C48" s="10"/>
      <c r="D48" s="4">
        <f>SUM(0)</f>
        <v>0</v>
      </c>
      <c r="E48" s="4"/>
      <c r="F48" s="13">
        <f>IF(D$12=0,0,D48/D$12)</f>
        <v>0</v>
      </c>
      <c r="G48" s="4"/>
      <c r="H48" s="4">
        <f>SUM(0)</f>
        <v>0</v>
      </c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0"/>
      <c r="P48" s="4">
        <f>SUM(0)</f>
        <v>0</v>
      </c>
      <c r="Q48" s="4"/>
      <c r="R48" s="13">
        <f>IF(P$12=0,0,P48/P$12)</f>
        <v>0</v>
      </c>
      <c r="S48" s="4"/>
      <c r="T48" s="4">
        <f>SUM(0)</f>
        <v>0</v>
      </c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3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5">
      <c r="A50" s="10"/>
      <c r="B50" s="28" t="s">
        <v>3</v>
      </c>
      <c r="C50" s="28"/>
      <c r="D50" s="22">
        <f>+D16-D18+D48</f>
        <v>-6767.76</v>
      </c>
      <c r="E50" s="14"/>
      <c r="F50" s="21">
        <f>IF(D$12=0,0,D50/D$12)</f>
        <v>0</v>
      </c>
      <c r="G50" s="14"/>
      <c r="H50" s="22">
        <f>+H16-H18+H48</f>
        <v>-12104.809999999998</v>
      </c>
      <c r="I50" s="14"/>
      <c r="J50" s="21">
        <f>IF(H$12=0,0,H50/H$12)</f>
        <v>0</v>
      </c>
      <c r="K50" s="15"/>
      <c r="L50" s="22">
        <f>+D50-H50</f>
        <v>5337.0499999999975</v>
      </c>
      <c r="M50" s="15"/>
      <c r="N50" s="21">
        <f>IF(H50=0,0,L50/H50)</f>
        <v>-0.44090324424753452</v>
      </c>
      <c r="O50" s="29"/>
      <c r="P50" s="22">
        <f>+P16-P18+P48</f>
        <v>-90939.59</v>
      </c>
      <c r="Q50" s="14"/>
      <c r="R50" s="21">
        <f>IF(P$12=0,0,P50/P$12)</f>
        <v>0</v>
      </c>
      <c r="S50" s="14"/>
      <c r="T50" s="22">
        <f>+T16-T18+T48</f>
        <v>-101277.34999999998</v>
      </c>
      <c r="U50" s="14"/>
      <c r="V50" s="21">
        <f>IF(T$12=0,0,T50/T$12)</f>
        <v>0</v>
      </c>
      <c r="W50" s="15"/>
      <c r="X50" s="22">
        <f>+P50-T50</f>
        <v>10337.75999999998</v>
      </c>
      <c r="Y50" s="15"/>
      <c r="Z50" s="21">
        <f>IF(T50=0,0,X50/T50)</f>
        <v>-0.10207376081621392</v>
      </c>
    </row>
    <row r="51" spans="1:26" x14ac:dyDescent="0.3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35">
      <c r="A52" s="51"/>
      <c r="B52" s="10" t="s">
        <v>13</v>
      </c>
      <c r="C52" s="10"/>
      <c r="D52" s="4"/>
      <c r="E52" s="4"/>
      <c r="F52" s="13">
        <f>IF(D$12=0,0,D52/D$12)</f>
        <v>0</v>
      </c>
      <c r="G52" s="4"/>
      <c r="H52" s="4"/>
      <c r="I52" s="4"/>
      <c r="J52" s="13">
        <f>IF(H$12=0,0,H52/H$12)</f>
        <v>0</v>
      </c>
      <c r="K52" s="4"/>
      <c r="L52" s="4">
        <f>+D52-H52</f>
        <v>0</v>
      </c>
      <c r="M52" s="4"/>
      <c r="N52" s="13">
        <f>IF(H52=0,0,L52/H52)</f>
        <v>0</v>
      </c>
      <c r="O52" s="10"/>
      <c r="P52" s="4"/>
      <c r="Q52" s="4"/>
      <c r="R52" s="13">
        <f>IF(P$12=0,0,P52/P$12)</f>
        <v>0</v>
      </c>
      <c r="S52" s="4"/>
      <c r="T52" s="4"/>
      <c r="U52" s="4"/>
      <c r="V52" s="13">
        <f>IF(T$12=0,0,T52/T$12)</f>
        <v>0</v>
      </c>
      <c r="W52" s="4"/>
      <c r="X52" s="4">
        <f>+P52-T52</f>
        <v>0</v>
      </c>
      <c r="Y52" s="4"/>
      <c r="Z52" s="13">
        <f>IF(T52=0,0,X52/T52)</f>
        <v>0</v>
      </c>
    </row>
    <row r="53" spans="1:26" x14ac:dyDescent="0.3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" thickBot="1" x14ac:dyDescent="0.4">
      <c r="A54" s="10"/>
      <c r="B54" s="28" t="s">
        <v>4</v>
      </c>
      <c r="C54" s="28"/>
      <c r="D54" s="34">
        <f>+D50-D52</f>
        <v>-6767.76</v>
      </c>
      <c r="E54" s="14"/>
      <c r="F54" s="32">
        <f>IF(D$12=0,0,D54/D$12)</f>
        <v>0</v>
      </c>
      <c r="G54" s="14"/>
      <c r="H54" s="34">
        <f>+H50-H52</f>
        <v>-12104.809999999998</v>
      </c>
      <c r="I54" s="14"/>
      <c r="J54" s="32">
        <f>IF(H$12=0,0,H54/H$12)</f>
        <v>0</v>
      </c>
      <c r="K54" s="15"/>
      <c r="L54" s="34">
        <f>D54-H54</f>
        <v>5337.0499999999975</v>
      </c>
      <c r="M54" s="15"/>
      <c r="N54" s="32">
        <f>IF(H54=0,0,L54/H54)</f>
        <v>-0.44090324424753452</v>
      </c>
      <c r="O54" s="29"/>
      <c r="P54" s="34">
        <f>+P50-P52</f>
        <v>-90939.59</v>
      </c>
      <c r="Q54" s="14"/>
      <c r="R54" s="32">
        <f>IF(P$12=0,0,P54/P$12)</f>
        <v>0</v>
      </c>
      <c r="S54" s="14"/>
      <c r="T54" s="34">
        <f>+T50-T52</f>
        <v>-101277.34999999998</v>
      </c>
      <c r="U54" s="14"/>
      <c r="V54" s="32">
        <f>IF(T$12=0,0,T54/T$12)</f>
        <v>0</v>
      </c>
      <c r="W54" s="15"/>
      <c r="X54" s="34">
        <f>P54-T54</f>
        <v>10337.75999999998</v>
      </c>
      <c r="Y54" s="15"/>
      <c r="Z54" s="32">
        <f>IF(T54=0,0,X54/T54)</f>
        <v>-0.10207376081621392</v>
      </c>
    </row>
    <row r="55" spans="1:26" ht="15" thickTop="1" x14ac:dyDescent="0.3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3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" thickBot="1" x14ac:dyDescent="0.4">
      <c r="A57" s="10"/>
      <c r="B57" s="28" t="s">
        <v>5</v>
      </c>
      <c r="C57" s="28"/>
      <c r="D57" s="35">
        <f>SUM(D54:D56)</f>
        <v>-6767.76</v>
      </c>
      <c r="E57" s="14"/>
      <c r="F57" s="33">
        <f>IF(D$12=0,0,D57/D$12)</f>
        <v>0</v>
      </c>
      <c r="G57" s="14"/>
      <c r="H57" s="35">
        <f>SUM(H54:H56)</f>
        <v>-12104.809999999998</v>
      </c>
      <c r="I57" s="14"/>
      <c r="J57" s="33">
        <f>IF(H$12=0,0,H57/H$12)</f>
        <v>0</v>
      </c>
      <c r="K57" s="15"/>
      <c r="L57" s="35">
        <f>+D57-H57</f>
        <v>5337.0499999999975</v>
      </c>
      <c r="M57" s="15"/>
      <c r="N57" s="33">
        <f>IF(H57=0,0,L57/H57)</f>
        <v>-0.44090324424753452</v>
      </c>
      <c r="O57" s="29"/>
      <c r="P57" s="35">
        <f>SUM(P54:P56)</f>
        <v>-90939.59</v>
      </c>
      <c r="Q57" s="14"/>
      <c r="R57" s="33">
        <f>IF(P$12=0,0,P57/P$12)</f>
        <v>0</v>
      </c>
      <c r="S57" s="14"/>
      <c r="T57" s="35">
        <f>SUM(T54:T56)</f>
        <v>-101277.34999999998</v>
      </c>
      <c r="U57" s="14"/>
      <c r="V57" s="33">
        <f>IF(T$12=0,0,T57/T$12)</f>
        <v>0</v>
      </c>
      <c r="W57" s="15"/>
      <c r="X57" s="35">
        <f>+P57-T57</f>
        <v>10337.75999999998</v>
      </c>
      <c r="Y57" s="15"/>
      <c r="Z57" s="33">
        <f>IF(T57=0,0,X57/T57)</f>
        <v>-0.10207376081621392</v>
      </c>
    </row>
    <row r="58" spans="1:26" ht="15" thickTop="1" x14ac:dyDescent="0.35">
      <c r="A58" s="9"/>
      <c r="C58" s="9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35">
      <c r="A59" s="9"/>
      <c r="B59" s="52">
        <v>44043.522659374998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35">
      <c r="A60" s="9"/>
      <c r="B60" s="61" t="s">
        <v>313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35">
      <c r="A61" s="9"/>
      <c r="B61" s="54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35"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","206", " - ", "Graphics")</f>
        <v>Department 206 - Graphics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8294.5400000000009</v>
      </c>
      <c r="E18" s="20"/>
      <c r="F18" s="36">
        <f t="shared" ref="F18:F27" si="0">IF(D$12=0,0,D18/D$12)</f>
        <v>0</v>
      </c>
      <c r="G18" s="20"/>
      <c r="H18" s="20">
        <f>SUM(OSRRefH22x_0)</f>
        <v>4970.5</v>
      </c>
      <c r="I18" s="20"/>
      <c r="J18" s="36">
        <f t="shared" ref="J18:J27" si="1">IF(H$12=0,0,H18/H$12)</f>
        <v>0</v>
      </c>
      <c r="K18" s="4"/>
      <c r="L18" s="20">
        <f t="shared" ref="L18:L27" si="2">+D18-H18</f>
        <v>3324.0400000000009</v>
      </c>
      <c r="M18" s="4"/>
      <c r="N18" s="36">
        <f t="shared" ref="N18:N27" si="3">IF(H18=0,0,L18/H18)</f>
        <v>0.66875364651443536</v>
      </c>
      <c r="O18" s="10"/>
      <c r="P18" s="20">
        <f>SUM(OSRRefP22x_0)</f>
        <v>106543.27999999998</v>
      </c>
      <c r="Q18" s="20"/>
      <c r="R18" s="36">
        <f t="shared" ref="R18:R27" si="4">IF(P$12=0,0,P18/P$12)</f>
        <v>0</v>
      </c>
      <c r="S18" s="20"/>
      <c r="T18" s="20">
        <f>SUM(OSRRefT22x_0)</f>
        <v>69392.909999999989</v>
      </c>
      <c r="U18" s="20"/>
      <c r="V18" s="36">
        <f t="shared" ref="V18:V27" si="5">IF(T$12=0,0,T18/T$12)</f>
        <v>0</v>
      </c>
      <c r="W18" s="4"/>
      <c r="X18" s="20">
        <f t="shared" ref="X18:X27" si="6">+P18-T18</f>
        <v>37150.369999999995</v>
      </c>
      <c r="Y18" s="4"/>
      <c r="Z18" s="36">
        <f t="shared" ref="Z18:Z27" si="7">IF(T18=0,0,X18/T18)</f>
        <v>0.53536261845770705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1211.44</v>
      </c>
      <c r="E19" s="1"/>
      <c r="F19" s="5">
        <f t="shared" si="0"/>
        <v>0</v>
      </c>
      <c r="G19" s="1"/>
      <c r="H19" s="1">
        <f>SUM(OSRRefH22_0x_0)</f>
        <v>2187.25</v>
      </c>
      <c r="I19" s="1"/>
      <c r="J19" s="5">
        <f t="shared" si="1"/>
        <v>0</v>
      </c>
      <c r="K19" s="1"/>
      <c r="L19" s="1">
        <f t="shared" si="2"/>
        <v>-975.81</v>
      </c>
      <c r="M19" s="1"/>
      <c r="N19" s="5">
        <f t="shared" si="3"/>
        <v>-0.44613555834952562</v>
      </c>
      <c r="O19" s="12"/>
      <c r="P19" s="1">
        <f>SUM(OSRRefP22_0x_0)</f>
        <v>20837.550000000003</v>
      </c>
      <c r="Q19" s="1"/>
      <c r="R19" s="5">
        <f t="shared" si="4"/>
        <v>0</v>
      </c>
      <c r="S19" s="1"/>
      <c r="T19" s="1">
        <f>SUM(OSRRefT22_0x_0)</f>
        <v>58547.85</v>
      </c>
      <c r="U19" s="1"/>
      <c r="V19" s="5">
        <f t="shared" si="5"/>
        <v>0</v>
      </c>
      <c r="W19" s="1"/>
      <c r="X19" s="1">
        <f t="shared" si="6"/>
        <v>-37710.299999999996</v>
      </c>
      <c r="Y19" s="1"/>
      <c r="Z19" s="5">
        <f t="shared" si="7"/>
        <v>-0.64409367722298938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>
        <v>370.37</v>
      </c>
      <c r="E20" s="2"/>
      <c r="F20" s="6">
        <f t="shared" si="0"/>
        <v>0</v>
      </c>
      <c r="G20" s="2"/>
      <c r="H20" s="7">
        <v>853.19</v>
      </c>
      <c r="I20" s="2"/>
      <c r="J20" s="6">
        <f t="shared" si="1"/>
        <v>0</v>
      </c>
      <c r="K20" s="2"/>
      <c r="L20" s="7">
        <f t="shared" si="2"/>
        <v>-482.82000000000005</v>
      </c>
      <c r="M20" s="2"/>
      <c r="N20" s="6">
        <f t="shared" si="3"/>
        <v>-0.56589974097211648</v>
      </c>
      <c r="O20" s="11"/>
      <c r="P20" s="7">
        <v>5453.03</v>
      </c>
      <c r="Q20" s="2"/>
      <c r="R20" s="6">
        <f t="shared" si="4"/>
        <v>0</v>
      </c>
      <c r="S20" s="2"/>
      <c r="T20" s="7">
        <v>12956.32</v>
      </c>
      <c r="U20" s="2"/>
      <c r="V20" s="6">
        <f t="shared" si="5"/>
        <v>0</v>
      </c>
      <c r="W20" s="2"/>
      <c r="X20" s="7">
        <f t="shared" si="6"/>
        <v>-7503.29</v>
      </c>
      <c r="Y20" s="2"/>
      <c r="Z20" s="6">
        <f t="shared" si="7"/>
        <v>-0.57912200377885081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20.66</v>
      </c>
      <c r="E21" s="2"/>
      <c r="F21" s="6">
        <f t="shared" si="0"/>
        <v>0</v>
      </c>
      <c r="G21" s="2"/>
      <c r="H21" s="7">
        <v>51.7</v>
      </c>
      <c r="I21" s="2"/>
      <c r="J21" s="6">
        <f t="shared" si="1"/>
        <v>0</v>
      </c>
      <c r="K21" s="2"/>
      <c r="L21" s="7">
        <f t="shared" si="2"/>
        <v>-31.040000000000003</v>
      </c>
      <c r="M21" s="2"/>
      <c r="N21" s="6">
        <f t="shared" si="3"/>
        <v>-0.60038684719535784</v>
      </c>
      <c r="O21" s="11"/>
      <c r="P21" s="7">
        <v>295.89999999999998</v>
      </c>
      <c r="Q21" s="2"/>
      <c r="R21" s="6">
        <f t="shared" si="4"/>
        <v>0</v>
      </c>
      <c r="S21" s="2"/>
      <c r="T21" s="7">
        <v>643.57000000000005</v>
      </c>
      <c r="U21" s="2"/>
      <c r="V21" s="6">
        <f t="shared" si="5"/>
        <v>0</v>
      </c>
      <c r="W21" s="2"/>
      <c r="X21" s="7">
        <f t="shared" si="6"/>
        <v>-347.67000000000007</v>
      </c>
      <c r="Y21" s="2"/>
      <c r="Z21" s="6">
        <f t="shared" si="7"/>
        <v>-0.54022095498547174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700.91</v>
      </c>
      <c r="I22" s="2"/>
      <c r="J22" s="6">
        <f t="shared" si="1"/>
        <v>0</v>
      </c>
      <c r="K22" s="2"/>
      <c r="L22" s="7">
        <f t="shared" si="2"/>
        <v>-3.999999999996362E-2</v>
      </c>
      <c r="M22" s="2"/>
      <c r="N22" s="6">
        <f t="shared" si="3"/>
        <v>-5.7068667874568234E-5</v>
      </c>
      <c r="O22" s="11"/>
      <c r="P22" s="7">
        <v>8410.68</v>
      </c>
      <c r="Q22" s="2"/>
      <c r="R22" s="6">
        <f t="shared" si="4"/>
        <v>0</v>
      </c>
      <c r="S22" s="2"/>
      <c r="T22" s="7">
        <v>30708.030000000002</v>
      </c>
      <c r="U22" s="2"/>
      <c r="V22" s="6">
        <f t="shared" si="5"/>
        <v>0</v>
      </c>
      <c r="W22" s="2"/>
      <c r="X22" s="7">
        <f t="shared" si="6"/>
        <v>-22297.350000000002</v>
      </c>
      <c r="Y22" s="2"/>
      <c r="Z22" s="6">
        <f t="shared" si="7"/>
        <v>-0.72610812220777432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-286.66000000000003</v>
      </c>
      <c r="E23" s="2"/>
      <c r="F23" s="6">
        <f t="shared" si="0"/>
        <v>0</v>
      </c>
      <c r="G23" s="2"/>
      <c r="H23" s="7">
        <v>43.36</v>
      </c>
      <c r="I23" s="2"/>
      <c r="J23" s="6">
        <f t="shared" si="1"/>
        <v>0</v>
      </c>
      <c r="K23" s="2"/>
      <c r="L23" s="7">
        <f t="shared" si="2"/>
        <v>-330.02000000000004</v>
      </c>
      <c r="M23" s="2"/>
      <c r="N23" s="6">
        <f t="shared" si="3"/>
        <v>-7.6111623616236175</v>
      </c>
      <c r="O23" s="11"/>
      <c r="P23" s="7">
        <v>0</v>
      </c>
      <c r="Q23" s="2"/>
      <c r="R23" s="6">
        <f t="shared" si="4"/>
        <v>0</v>
      </c>
      <c r="S23" s="2"/>
      <c r="T23" s="7">
        <v>585.27</v>
      </c>
      <c r="U23" s="2"/>
      <c r="V23" s="6">
        <f t="shared" si="5"/>
        <v>0</v>
      </c>
      <c r="W23" s="2"/>
      <c r="X23" s="7">
        <f t="shared" si="6"/>
        <v>-585.27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6000.81</v>
      </c>
      <c r="U24" s="2"/>
      <c r="V24" s="6">
        <f t="shared" si="5"/>
        <v>0</v>
      </c>
      <c r="W24" s="2"/>
      <c r="X24" s="7">
        <f t="shared" si="6"/>
        <v>-6000.81</v>
      </c>
      <c r="Y24" s="2"/>
      <c r="Z24" s="6">
        <f t="shared" si="7"/>
        <v>-1</v>
      </c>
    </row>
    <row r="25" spans="1:26" s="24" customFormat="1" hidden="1" outlineLevel="2" x14ac:dyDescent="0.35">
      <c r="A25" s="27"/>
      <c r="B25" s="11" t="str">
        <f>CONCATENATE("          ", "6118", " - ", "VACATION")</f>
        <v xml:space="preserve">          6118 - VACATION</v>
      </c>
      <c r="C25" s="11"/>
      <c r="D25" s="7">
        <v>184.8</v>
      </c>
      <c r="E25" s="2"/>
      <c r="F25" s="6">
        <f t="shared" si="0"/>
        <v>0</v>
      </c>
      <c r="G25" s="2"/>
      <c r="H25" s="7">
        <v>184.8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2402.4</v>
      </c>
      <c r="Q25" s="2"/>
      <c r="R25" s="6">
        <f t="shared" si="4"/>
        <v>0</v>
      </c>
      <c r="S25" s="2"/>
      <c r="T25" s="7">
        <v>8932.11</v>
      </c>
      <c r="U25" s="2"/>
      <c r="V25" s="6">
        <f t="shared" si="5"/>
        <v>0</v>
      </c>
      <c r="W25" s="2"/>
      <c r="X25" s="7">
        <f t="shared" si="6"/>
        <v>-6529.7100000000009</v>
      </c>
      <c r="Y25" s="2"/>
      <c r="Z25" s="6">
        <f t="shared" si="7"/>
        <v>-0.73103779510104561</v>
      </c>
    </row>
    <row r="26" spans="1:26" s="24" customFormat="1" hidden="1" outlineLevel="2" x14ac:dyDescent="0.35">
      <c r="A26" s="27"/>
      <c r="B26" s="11" t="str">
        <f>CONCATENATE("          ", "6119", " - ", "SICK LEAVE")</f>
        <v xml:space="preserve">          6119 - SICK LEAVE</v>
      </c>
      <c r="C26" s="11"/>
      <c r="D26" s="7">
        <v>221.4</v>
      </c>
      <c r="E26" s="2"/>
      <c r="F26" s="6">
        <f t="shared" si="0"/>
        <v>0</v>
      </c>
      <c r="G26" s="2"/>
      <c r="H26" s="7">
        <v>221.4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2878.2</v>
      </c>
      <c r="Q26" s="2"/>
      <c r="R26" s="6">
        <f t="shared" si="4"/>
        <v>0</v>
      </c>
      <c r="S26" s="2"/>
      <c r="T26" s="7">
        <v>-4250.45</v>
      </c>
      <c r="U26" s="2"/>
      <c r="V26" s="6">
        <f t="shared" si="5"/>
        <v>0</v>
      </c>
      <c r="W26" s="2"/>
      <c r="X26" s="7">
        <f t="shared" si="6"/>
        <v>7128.65</v>
      </c>
      <c r="Y26" s="2"/>
      <c r="Z26" s="6">
        <f t="shared" si="7"/>
        <v>-1.6771518309826019</v>
      </c>
    </row>
    <row r="27" spans="1:26" s="24" customFormat="1" hidden="1" outlineLevel="2" x14ac:dyDescent="0.35">
      <c r="A27" s="27"/>
      <c r="B27" s="11" t="str">
        <f>CONCATENATE("          ", "6156", " - ", "EMPLOYEE MEALS")</f>
        <v xml:space="preserve">          6156 - EMPLOYEE MEALS</v>
      </c>
      <c r="C27" s="11"/>
      <c r="D27" s="7"/>
      <c r="E27" s="2"/>
      <c r="F27" s="6">
        <f t="shared" si="0"/>
        <v>0</v>
      </c>
      <c r="G27" s="2"/>
      <c r="H27" s="7">
        <v>131.88999999999999</v>
      </c>
      <c r="I27" s="2"/>
      <c r="J27" s="6">
        <f t="shared" si="1"/>
        <v>0</v>
      </c>
      <c r="K27" s="2"/>
      <c r="L27" s="7">
        <f t="shared" si="2"/>
        <v>-131.88999999999999</v>
      </c>
      <c r="M27" s="2"/>
      <c r="N27" s="6">
        <f t="shared" si="3"/>
        <v>-1</v>
      </c>
      <c r="O27" s="11"/>
      <c r="P27" s="7">
        <v>1397.34</v>
      </c>
      <c r="Q27" s="2"/>
      <c r="R27" s="6">
        <f t="shared" si="4"/>
        <v>0</v>
      </c>
      <c r="S27" s="2"/>
      <c r="T27" s="7">
        <v>2972.19</v>
      </c>
      <c r="U27" s="2"/>
      <c r="V27" s="6">
        <f t="shared" si="5"/>
        <v>0</v>
      </c>
      <c r="W27" s="2"/>
      <c r="X27" s="7">
        <f t="shared" si="6"/>
        <v>-1574.8500000000001</v>
      </c>
      <c r="Y27" s="2"/>
      <c r="Z27" s="6">
        <f t="shared" si="7"/>
        <v>-0.52986181906271135</v>
      </c>
    </row>
    <row r="28" spans="1:26" s="25" customFormat="1" outlineLevel="1" collapsed="1" x14ac:dyDescent="0.3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6455.15</v>
      </c>
      <c r="E28" s="1"/>
      <c r="F28" s="5">
        <f t="shared" ref="F28:F34" si="8">IF(D$12=0,0,D28/D$12)</f>
        <v>0</v>
      </c>
      <c r="G28" s="1"/>
      <c r="H28" s="1">
        <f>SUM(OSRRefH22_1x_0)</f>
        <v>11403.27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-4948.1200000000008</v>
      </c>
      <c r="M28" s="1"/>
      <c r="N28" s="5">
        <f t="shared" ref="N28:N34" si="11">IF(H28=0,0,L28/H28)</f>
        <v>-0.43392114717971253</v>
      </c>
      <c r="O28" s="12"/>
      <c r="P28" s="1">
        <f>SUM(OSRRefP22_1x_0)</f>
        <v>119549.47</v>
      </c>
      <c r="Q28" s="1"/>
      <c r="R28" s="5">
        <f t="shared" ref="R28:R34" si="12">IF(P$12=0,0,P28/P$12)</f>
        <v>0</v>
      </c>
      <c r="S28" s="1"/>
      <c r="T28" s="1">
        <f>SUM(OSRRefT22_1x_0)</f>
        <v>187721.77000000002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-68172.300000000017</v>
      </c>
      <c r="Y28" s="1"/>
      <c r="Z28" s="5">
        <f t="shared" ref="Z28:Z34" si="15">IF(T28=0,0,X28/T28)</f>
        <v>-0.36315606868611994</v>
      </c>
    </row>
    <row r="29" spans="1:26" s="24" customFormat="1" hidden="1" outlineLevel="2" x14ac:dyDescent="0.3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/>
      <c r="Q29" s="2"/>
      <c r="R29" s="6">
        <f t="shared" si="12"/>
        <v>0</v>
      </c>
      <c r="S29" s="2"/>
      <c r="T29" s="7">
        <v>65342.400000000001</v>
      </c>
      <c r="U29" s="2"/>
      <c r="V29" s="6">
        <f t="shared" si="13"/>
        <v>0</v>
      </c>
      <c r="W29" s="2"/>
      <c r="X29" s="7">
        <f t="shared" si="14"/>
        <v>-65342.400000000001</v>
      </c>
      <c r="Y29" s="2"/>
      <c r="Z29" s="6">
        <f t="shared" si="15"/>
        <v>-1</v>
      </c>
    </row>
    <row r="30" spans="1:26" s="24" customFormat="1" hidden="1" outlineLevel="2" x14ac:dyDescent="0.35">
      <c r="A30" s="27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-168.26</v>
      </c>
      <c r="U30" s="2"/>
      <c r="V30" s="6">
        <f t="shared" si="13"/>
        <v>0</v>
      </c>
      <c r="W30" s="2"/>
      <c r="X30" s="7">
        <f t="shared" si="14"/>
        <v>168.26</v>
      </c>
      <c r="Y30" s="2"/>
      <c r="Z30" s="6">
        <f t="shared" si="15"/>
        <v>-1</v>
      </c>
    </row>
    <row r="31" spans="1:26" s="24" customFormat="1" hidden="1" outlineLevel="2" x14ac:dyDescent="0.35">
      <c r="A31" s="27"/>
      <c r="B31" s="11" t="str">
        <f>CONCATENATE("          ", "6004", " - ", "STAFF HOURLY")</f>
        <v xml:space="preserve">          6004 - STAFF HOURLY</v>
      </c>
      <c r="C31" s="11"/>
      <c r="D31" s="7">
        <v>5115</v>
      </c>
      <c r="E31" s="2"/>
      <c r="F31" s="6">
        <f t="shared" si="8"/>
        <v>0</v>
      </c>
      <c r="G31" s="2"/>
      <c r="H31" s="7">
        <v>4485</v>
      </c>
      <c r="I31" s="2"/>
      <c r="J31" s="6">
        <f t="shared" si="9"/>
        <v>0</v>
      </c>
      <c r="K31" s="2"/>
      <c r="L31" s="7">
        <f t="shared" si="10"/>
        <v>630</v>
      </c>
      <c r="M31" s="2"/>
      <c r="N31" s="6">
        <f t="shared" si="11"/>
        <v>0.14046822742474915</v>
      </c>
      <c r="O31" s="11"/>
      <c r="P31" s="7">
        <v>62899.5</v>
      </c>
      <c r="Q31" s="2"/>
      <c r="R31" s="6">
        <f t="shared" si="12"/>
        <v>0</v>
      </c>
      <c r="S31" s="2"/>
      <c r="T31" s="7">
        <v>48894.780000000006</v>
      </c>
      <c r="U31" s="2"/>
      <c r="V31" s="6">
        <f t="shared" si="13"/>
        <v>0</v>
      </c>
      <c r="W31" s="2"/>
      <c r="X31" s="7">
        <f t="shared" si="14"/>
        <v>14004.719999999994</v>
      </c>
      <c r="Y31" s="2"/>
      <c r="Z31" s="6">
        <f t="shared" si="15"/>
        <v>0.28642566752524484</v>
      </c>
    </row>
    <row r="32" spans="1:26" s="24" customFormat="1" hidden="1" outlineLevel="2" x14ac:dyDescent="0.35">
      <c r="A32" s="27"/>
      <c r="B32" s="11" t="str">
        <f>CONCATENATE("          ", "6006", " - ", "TEMPORARY PART TIME")</f>
        <v xml:space="preserve">          6006 - TEMPORARY PART TIME</v>
      </c>
      <c r="C32" s="11"/>
      <c r="D32" s="7"/>
      <c r="E32" s="2"/>
      <c r="F32" s="6">
        <f t="shared" si="8"/>
        <v>0</v>
      </c>
      <c r="G32" s="2"/>
      <c r="H32" s="7">
        <v>1086.21</v>
      </c>
      <c r="I32" s="2"/>
      <c r="J32" s="6">
        <f t="shared" si="9"/>
        <v>0</v>
      </c>
      <c r="K32" s="2"/>
      <c r="L32" s="7">
        <f t="shared" si="10"/>
        <v>-1086.21</v>
      </c>
      <c r="M32" s="2"/>
      <c r="N32" s="6">
        <f t="shared" si="11"/>
        <v>-1</v>
      </c>
      <c r="O32" s="11"/>
      <c r="P32" s="7">
        <v>2361.4299999999998</v>
      </c>
      <c r="Q32" s="2"/>
      <c r="R32" s="6">
        <f t="shared" si="12"/>
        <v>0</v>
      </c>
      <c r="S32" s="2"/>
      <c r="T32" s="7">
        <v>6605.56</v>
      </c>
      <c r="U32" s="2"/>
      <c r="V32" s="6">
        <f t="shared" si="13"/>
        <v>0</v>
      </c>
      <c r="W32" s="2"/>
      <c r="X32" s="7">
        <f t="shared" si="14"/>
        <v>-4244.130000000001</v>
      </c>
      <c r="Y32" s="2"/>
      <c r="Z32" s="6">
        <f t="shared" si="15"/>
        <v>-0.64250873506561146</v>
      </c>
    </row>
    <row r="33" spans="1:26" s="24" customFormat="1" hidden="1" outlineLevel="2" x14ac:dyDescent="0.35">
      <c r="A33" s="27"/>
      <c r="B33" s="11" t="str">
        <f>CONCATENATE("          ", "6007", " - ", "STUDENT HOURLY")</f>
        <v xml:space="preserve">          6007 - STUDENT HOURLY</v>
      </c>
      <c r="C33" s="11"/>
      <c r="D33" s="7"/>
      <c r="E33" s="2"/>
      <c r="F33" s="6">
        <f t="shared" si="8"/>
        <v>0</v>
      </c>
      <c r="G33" s="2"/>
      <c r="H33" s="7">
        <v>5832.06</v>
      </c>
      <c r="I33" s="2"/>
      <c r="J33" s="6">
        <f t="shared" si="9"/>
        <v>0</v>
      </c>
      <c r="K33" s="2"/>
      <c r="L33" s="7">
        <f t="shared" si="10"/>
        <v>-5832.06</v>
      </c>
      <c r="M33" s="2"/>
      <c r="N33" s="6">
        <f t="shared" si="11"/>
        <v>-1</v>
      </c>
      <c r="O33" s="11"/>
      <c r="P33" s="7">
        <v>41753.5</v>
      </c>
      <c r="Q33" s="2"/>
      <c r="R33" s="6">
        <f t="shared" si="12"/>
        <v>0</v>
      </c>
      <c r="S33" s="2"/>
      <c r="T33" s="7">
        <v>67047.289999999994</v>
      </c>
      <c r="U33" s="2"/>
      <c r="V33" s="6">
        <f t="shared" si="13"/>
        <v>0</v>
      </c>
      <c r="W33" s="2"/>
      <c r="X33" s="7">
        <f t="shared" si="14"/>
        <v>-25293.789999999994</v>
      </c>
      <c r="Y33" s="2"/>
      <c r="Z33" s="6">
        <f t="shared" si="15"/>
        <v>-0.37725298069467084</v>
      </c>
    </row>
    <row r="34" spans="1:26" s="24" customFormat="1" hidden="1" outlineLevel="2" x14ac:dyDescent="0.35">
      <c r="A34" s="27"/>
      <c r="B34" s="11" t="str">
        <f>CONCATENATE("          ", "6008", " - ", "STUDENT HOURLY-FICA EXEMPT")</f>
        <v xml:space="preserve">          6008 - STUDENT HOURLY-FICA EXEMPT</v>
      </c>
      <c r="C34" s="11"/>
      <c r="D34" s="7">
        <v>1340.15</v>
      </c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1340.15</v>
      </c>
      <c r="M34" s="2"/>
      <c r="N34" s="6">
        <f t="shared" si="11"/>
        <v>0</v>
      </c>
      <c r="O34" s="11"/>
      <c r="P34" s="7">
        <v>12535.04</v>
      </c>
      <c r="Q34" s="2"/>
      <c r="R34" s="6">
        <f t="shared" si="12"/>
        <v>0</v>
      </c>
      <c r="S34" s="2"/>
      <c r="T34" s="7"/>
      <c r="U34" s="2"/>
      <c r="V34" s="6">
        <f t="shared" si="13"/>
        <v>0</v>
      </c>
      <c r="W34" s="2"/>
      <c r="X34" s="7">
        <f t="shared" si="14"/>
        <v>12535.04</v>
      </c>
      <c r="Y34" s="2"/>
      <c r="Z34" s="6">
        <f t="shared" si="15"/>
        <v>0</v>
      </c>
    </row>
    <row r="35" spans="1:26" s="25" customFormat="1" outlineLevel="1" collapsed="1" x14ac:dyDescent="0.35">
      <c r="A35" s="26"/>
      <c r="B35" s="12" t="str">
        <f>CONCATENATE("     ","Advertising/Promo                                 ")</f>
        <v xml:space="preserve">     Advertising/Promo                                 </v>
      </c>
      <c r="C35" s="12"/>
      <c r="D35" s="1">
        <f>SUM(OSRRefD22_2x_0)</f>
        <v>346.42</v>
      </c>
      <c r="E35" s="1"/>
      <c r="F35" s="5">
        <f t="shared" ref="F35:F45" si="16">IF(D$12=0,0,D35/D$12)</f>
        <v>0</v>
      </c>
      <c r="G35" s="1"/>
      <c r="H35" s="1">
        <f>SUM(OSRRefH22_2x_0)</f>
        <v>-10262.33</v>
      </c>
      <c r="I35" s="1"/>
      <c r="J35" s="5">
        <f t="shared" ref="J35:J45" si="17">IF(H$12=0,0,H35/H$12)</f>
        <v>0</v>
      </c>
      <c r="K35" s="1"/>
      <c r="L35" s="1">
        <f t="shared" ref="L35:L45" si="18">+D35-H35</f>
        <v>10608.75</v>
      </c>
      <c r="M35" s="1"/>
      <c r="N35" s="5">
        <f t="shared" ref="N35:N45" si="19">IF(H35=0,0,L35/H35)</f>
        <v>-1.0337564666113837</v>
      </c>
      <c r="O35" s="12"/>
      <c r="P35" s="1">
        <f>SUM(OSRRefP22_2x_0)</f>
        <v>-45543.57</v>
      </c>
      <c r="Q35" s="1"/>
      <c r="R35" s="5">
        <f t="shared" ref="R35:R45" si="20">IF(P$12=0,0,P35/P$12)</f>
        <v>0</v>
      </c>
      <c r="S35" s="1"/>
      <c r="T35" s="1">
        <f>SUM(OSRRefT22_2x_0)</f>
        <v>-186087.98</v>
      </c>
      <c r="U35" s="1"/>
      <c r="V35" s="5">
        <f t="shared" ref="V35:V45" si="21">IF(T$12=0,0,T35/T$12)</f>
        <v>0</v>
      </c>
      <c r="W35" s="1"/>
      <c r="X35" s="1">
        <f t="shared" ref="X35:X45" si="22">+P35-T35</f>
        <v>140544.41</v>
      </c>
      <c r="Y35" s="1"/>
      <c r="Z35" s="5">
        <f t="shared" ref="Z35:Z45" si="23">IF(T35=0,0,X35/T35)</f>
        <v>-0.75525786243689674</v>
      </c>
    </row>
    <row r="36" spans="1:26" s="24" customFormat="1" hidden="1" outlineLevel="2" x14ac:dyDescent="0.35">
      <c r="A36" s="27"/>
      <c r="B36" s="11" t="str">
        <f>CONCATENATE("          ", "6362", " - ", "ADVERTISING EXPENSE")</f>
        <v xml:space="preserve">          6362 - ADVERTISING EXPENSE</v>
      </c>
      <c r="C36" s="11"/>
      <c r="D36" s="7">
        <v>346.42</v>
      </c>
      <c r="E36" s="2"/>
      <c r="F36" s="6">
        <f t="shared" si="16"/>
        <v>0</v>
      </c>
      <c r="G36" s="2"/>
      <c r="H36" s="7">
        <v>-10262.33</v>
      </c>
      <c r="I36" s="2"/>
      <c r="J36" s="6">
        <f t="shared" si="17"/>
        <v>0</v>
      </c>
      <c r="K36" s="2"/>
      <c r="L36" s="7">
        <f t="shared" si="18"/>
        <v>10608.75</v>
      </c>
      <c r="M36" s="2"/>
      <c r="N36" s="6">
        <f t="shared" si="19"/>
        <v>-1.0337564666113837</v>
      </c>
      <c r="O36" s="11"/>
      <c r="P36" s="7">
        <v>-45543.57</v>
      </c>
      <c r="Q36" s="2"/>
      <c r="R36" s="6">
        <f t="shared" si="20"/>
        <v>0</v>
      </c>
      <c r="S36" s="2"/>
      <c r="T36" s="7">
        <v>-186087.98</v>
      </c>
      <c r="U36" s="2"/>
      <c r="V36" s="6">
        <f t="shared" si="21"/>
        <v>0</v>
      </c>
      <c r="W36" s="2"/>
      <c r="X36" s="7">
        <f t="shared" si="22"/>
        <v>140544.41</v>
      </c>
      <c r="Y36" s="2"/>
      <c r="Z36" s="6">
        <f t="shared" si="23"/>
        <v>-0.75525786243689674</v>
      </c>
    </row>
    <row r="37" spans="1:26" s="25" customFormat="1" outlineLevel="1" collapsed="1" x14ac:dyDescent="0.35">
      <c r="A37" s="26"/>
      <c r="B37" s="12" t="str">
        <f>CONCATENATE("     ","Depreciation                                      ")</f>
        <v xml:space="preserve">     Depreciation                                      </v>
      </c>
      <c r="C37" s="12"/>
      <c r="D37" s="1">
        <f>SUM(OSRRefD22_3x_0)</f>
        <v>271.33999999999997</v>
      </c>
      <c r="E37" s="1"/>
      <c r="F37" s="5">
        <f t="shared" si="16"/>
        <v>0</v>
      </c>
      <c r="G37" s="1"/>
      <c r="H37" s="1">
        <f>SUM(OSRRefH22_3x_0)</f>
        <v>295.7</v>
      </c>
      <c r="I37" s="1"/>
      <c r="J37" s="5">
        <f t="shared" si="17"/>
        <v>0</v>
      </c>
      <c r="K37" s="1"/>
      <c r="L37" s="1">
        <f t="shared" si="18"/>
        <v>-24.360000000000014</v>
      </c>
      <c r="M37" s="1"/>
      <c r="N37" s="5">
        <f t="shared" si="19"/>
        <v>-8.2380791342576989E-2</v>
      </c>
      <c r="O37" s="12"/>
      <c r="P37" s="1">
        <f>SUM(OSRRefP22_3x_0)</f>
        <v>3474.95</v>
      </c>
      <c r="Q37" s="1"/>
      <c r="R37" s="5">
        <f t="shared" si="20"/>
        <v>0</v>
      </c>
      <c r="S37" s="1"/>
      <c r="T37" s="1">
        <f>SUM(OSRRefT22_3x_0)</f>
        <v>3548.18</v>
      </c>
      <c r="U37" s="1"/>
      <c r="V37" s="5">
        <f t="shared" si="21"/>
        <v>0</v>
      </c>
      <c r="W37" s="1"/>
      <c r="X37" s="1">
        <f t="shared" si="22"/>
        <v>-73.230000000000018</v>
      </c>
      <c r="Y37" s="1"/>
      <c r="Z37" s="5">
        <f t="shared" si="23"/>
        <v>-2.0638750007045872E-2</v>
      </c>
    </row>
    <row r="38" spans="1:26" s="24" customFormat="1" hidden="1" outlineLevel="2" x14ac:dyDescent="0.35">
      <c r="A38" s="27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271.33999999999997</v>
      </c>
      <c r="E38" s="2"/>
      <c r="F38" s="6">
        <f t="shared" si="16"/>
        <v>0</v>
      </c>
      <c r="G38" s="2"/>
      <c r="H38" s="7">
        <v>295.7</v>
      </c>
      <c r="I38" s="2"/>
      <c r="J38" s="6">
        <f t="shared" si="17"/>
        <v>0</v>
      </c>
      <c r="K38" s="2"/>
      <c r="L38" s="7">
        <f t="shared" si="18"/>
        <v>-24.360000000000014</v>
      </c>
      <c r="M38" s="2"/>
      <c r="N38" s="6">
        <f t="shared" si="19"/>
        <v>-8.2380791342576989E-2</v>
      </c>
      <c r="O38" s="11"/>
      <c r="P38" s="7">
        <v>3474.95</v>
      </c>
      <c r="Q38" s="2"/>
      <c r="R38" s="6">
        <f t="shared" si="20"/>
        <v>0</v>
      </c>
      <c r="S38" s="2"/>
      <c r="T38" s="7">
        <v>3548.18</v>
      </c>
      <c r="U38" s="2"/>
      <c r="V38" s="6">
        <f t="shared" si="21"/>
        <v>0</v>
      </c>
      <c r="W38" s="2"/>
      <c r="X38" s="7">
        <f t="shared" si="22"/>
        <v>-73.230000000000018</v>
      </c>
      <c r="Y38" s="2"/>
      <c r="Z38" s="6">
        <f t="shared" si="23"/>
        <v>-2.0638750007045872E-2</v>
      </c>
    </row>
    <row r="39" spans="1:26" s="25" customFormat="1" outlineLevel="1" collapsed="1" x14ac:dyDescent="0.35">
      <c r="A39" s="26"/>
      <c r="B39" s="12" t="str">
        <f>CONCATENATE("     ","Employees' Appreciation                           ")</f>
        <v xml:space="preserve">     Employees' Appreciation                           </v>
      </c>
      <c r="C39" s="12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2"/>
      <c r="P39" s="1">
        <f>SUM(OSRRefP22_4x_0)</f>
        <v>30.15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30.15</v>
      </c>
      <c r="Y39" s="1"/>
      <c r="Z39" s="5">
        <f t="shared" si="23"/>
        <v>0</v>
      </c>
    </row>
    <row r="40" spans="1:26" s="24" customFormat="1" hidden="1" outlineLevel="2" x14ac:dyDescent="0.35">
      <c r="A40" s="27"/>
      <c r="B40" s="11" t="str">
        <f>CONCATENATE("          ", "6277", " - ", "EMPLOYEE APPRECIATION")</f>
        <v xml:space="preserve">          6277 - EMPLOYEE APPRECIATION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30.15</v>
      </c>
      <c r="Q40" s="2"/>
      <c r="R40" s="6">
        <f t="shared" si="20"/>
        <v>0</v>
      </c>
      <c r="S40" s="2"/>
      <c r="T40" s="7"/>
      <c r="U40" s="2"/>
      <c r="V40" s="6">
        <f t="shared" si="21"/>
        <v>0</v>
      </c>
      <c r="W40" s="2"/>
      <c r="X40" s="7">
        <f t="shared" si="22"/>
        <v>30.15</v>
      </c>
      <c r="Y40" s="2"/>
      <c r="Z40" s="6">
        <f t="shared" si="23"/>
        <v>0</v>
      </c>
    </row>
    <row r="41" spans="1:26" s="25" customFormat="1" outlineLevel="1" collapsed="1" x14ac:dyDescent="0.35">
      <c r="A41" s="26"/>
      <c r="B41" s="12" t="str">
        <f>CONCATENATE("     ","General                                           ")</f>
        <v xml:space="preserve">     General                                           </v>
      </c>
      <c r="C41" s="12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298</v>
      </c>
      <c r="I41" s="1"/>
      <c r="J41" s="5">
        <f t="shared" si="17"/>
        <v>0</v>
      </c>
      <c r="K41" s="1"/>
      <c r="L41" s="1">
        <f t="shared" si="18"/>
        <v>-298</v>
      </c>
      <c r="M41" s="1"/>
      <c r="N41" s="5">
        <f t="shared" si="19"/>
        <v>-1</v>
      </c>
      <c r="O41" s="12"/>
      <c r="P41" s="1">
        <f>SUM(OSRRefP22_5x_0)</f>
        <v>1373.22</v>
      </c>
      <c r="Q41" s="1"/>
      <c r="R41" s="5">
        <f t="shared" si="20"/>
        <v>0</v>
      </c>
      <c r="S41" s="1"/>
      <c r="T41" s="1">
        <f>SUM(OSRRefT22_5x_0)</f>
        <v>298</v>
      </c>
      <c r="U41" s="1"/>
      <c r="V41" s="5">
        <f t="shared" si="21"/>
        <v>0</v>
      </c>
      <c r="W41" s="1"/>
      <c r="X41" s="1">
        <f t="shared" si="22"/>
        <v>1075.22</v>
      </c>
      <c r="Y41" s="1"/>
      <c r="Z41" s="5">
        <f t="shared" si="23"/>
        <v>3.6081208053691278</v>
      </c>
    </row>
    <row r="42" spans="1:26" s="24" customFormat="1" hidden="1" outlineLevel="2" x14ac:dyDescent="0.35">
      <c r="A42" s="27"/>
      <c r="B42" s="11" t="str">
        <f>CONCATENATE("          ", "6279", " - ", "GENERAL EXPENSE")</f>
        <v xml:space="preserve">          6279 - GENERAL EXPENSE</v>
      </c>
      <c r="C42" s="11"/>
      <c r="D42" s="7"/>
      <c r="E42" s="2"/>
      <c r="F42" s="6">
        <f t="shared" si="16"/>
        <v>0</v>
      </c>
      <c r="G42" s="2"/>
      <c r="H42" s="7">
        <v>298</v>
      </c>
      <c r="I42" s="2"/>
      <c r="J42" s="6">
        <f t="shared" si="17"/>
        <v>0</v>
      </c>
      <c r="K42" s="2"/>
      <c r="L42" s="7">
        <f t="shared" si="18"/>
        <v>-298</v>
      </c>
      <c r="M42" s="2"/>
      <c r="N42" s="6">
        <f t="shared" si="19"/>
        <v>-1</v>
      </c>
      <c r="O42" s="11"/>
      <c r="P42" s="7">
        <v>1373.22</v>
      </c>
      <c r="Q42" s="2"/>
      <c r="R42" s="6">
        <f t="shared" si="20"/>
        <v>0</v>
      </c>
      <c r="S42" s="2"/>
      <c r="T42" s="7">
        <v>298</v>
      </c>
      <c r="U42" s="2"/>
      <c r="V42" s="6">
        <f t="shared" si="21"/>
        <v>0</v>
      </c>
      <c r="W42" s="2"/>
      <c r="X42" s="7">
        <f t="shared" si="22"/>
        <v>1075.22</v>
      </c>
      <c r="Y42" s="2"/>
      <c r="Z42" s="6">
        <f t="shared" si="23"/>
        <v>3.6081208053691278</v>
      </c>
    </row>
    <row r="43" spans="1:26" s="25" customFormat="1" outlineLevel="1" collapsed="1" x14ac:dyDescent="0.35">
      <c r="A43" s="26"/>
      <c r="B43" s="12" t="str">
        <f>CONCATENATE("     ","Supplies                                          ")</f>
        <v xml:space="preserve">     Supplies                                          </v>
      </c>
      <c r="C43" s="12"/>
      <c r="D43" s="1">
        <f>SUM(OSRRefD22_6x_0)</f>
        <v>88.19</v>
      </c>
      <c r="E43" s="1"/>
      <c r="F43" s="5">
        <f t="shared" si="16"/>
        <v>0</v>
      </c>
      <c r="G43" s="1"/>
      <c r="H43" s="1">
        <f>SUM(OSRRefH22_6x_0)</f>
        <v>926.11</v>
      </c>
      <c r="I43" s="1"/>
      <c r="J43" s="5">
        <f t="shared" si="17"/>
        <v>0</v>
      </c>
      <c r="K43" s="1"/>
      <c r="L43" s="1">
        <f t="shared" si="18"/>
        <v>-837.92000000000007</v>
      </c>
      <c r="M43" s="1"/>
      <c r="N43" s="5">
        <f t="shared" si="19"/>
        <v>-0.90477373098228075</v>
      </c>
      <c r="O43" s="12"/>
      <c r="P43" s="1">
        <f>SUM(OSRRefP22_6x_0)</f>
        <v>2281.75</v>
      </c>
      <c r="Q43" s="1"/>
      <c r="R43" s="5">
        <f t="shared" si="20"/>
        <v>0</v>
      </c>
      <c r="S43" s="1"/>
      <c r="T43" s="1">
        <f>SUM(OSRRefT22_6x_0)</f>
        <v>1789.1799999999998</v>
      </c>
      <c r="U43" s="1"/>
      <c r="V43" s="5">
        <f t="shared" si="21"/>
        <v>0</v>
      </c>
      <c r="W43" s="1"/>
      <c r="X43" s="1">
        <f t="shared" si="22"/>
        <v>492.57000000000016</v>
      </c>
      <c r="Y43" s="1"/>
      <c r="Z43" s="5">
        <f t="shared" si="23"/>
        <v>0.27530488827284016</v>
      </c>
    </row>
    <row r="44" spans="1:26" s="24" customFormat="1" hidden="1" outlineLevel="2" x14ac:dyDescent="0.35">
      <c r="A44" s="27"/>
      <c r="B44" s="11" t="str">
        <f>CONCATENATE("          ", "6241", " - ", "OFFICE EXPENSE")</f>
        <v xml:space="preserve">          6241 - OFFICE EXPENSE</v>
      </c>
      <c r="C44" s="11"/>
      <c r="D44" s="7">
        <v>88.19</v>
      </c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88.19</v>
      </c>
      <c r="M44" s="2"/>
      <c r="N44" s="6">
        <f t="shared" si="19"/>
        <v>0</v>
      </c>
      <c r="O44" s="11"/>
      <c r="P44" s="7">
        <v>1935.33</v>
      </c>
      <c r="Q44" s="2"/>
      <c r="R44" s="6">
        <f t="shared" si="20"/>
        <v>0</v>
      </c>
      <c r="S44" s="2"/>
      <c r="T44" s="7">
        <v>851.16</v>
      </c>
      <c r="U44" s="2"/>
      <c r="V44" s="6">
        <f t="shared" si="21"/>
        <v>0</v>
      </c>
      <c r="W44" s="2"/>
      <c r="X44" s="7">
        <f t="shared" si="22"/>
        <v>1084.17</v>
      </c>
      <c r="Y44" s="2"/>
      <c r="Z44" s="6">
        <f t="shared" si="23"/>
        <v>1.2737558155928381</v>
      </c>
    </row>
    <row r="45" spans="1:26" s="24" customFormat="1" hidden="1" outlineLevel="2" x14ac:dyDescent="0.35">
      <c r="A45" s="27"/>
      <c r="B45" s="11" t="str">
        <f>CONCATENATE("          ", "6245", " - ", "PRINTING")</f>
        <v xml:space="preserve">          6245 - PRINTING</v>
      </c>
      <c r="C45" s="11"/>
      <c r="D45" s="7"/>
      <c r="E45" s="2"/>
      <c r="F45" s="6">
        <f t="shared" si="16"/>
        <v>0</v>
      </c>
      <c r="G45" s="2"/>
      <c r="H45" s="7">
        <v>926.11</v>
      </c>
      <c r="I45" s="2"/>
      <c r="J45" s="6">
        <f t="shared" si="17"/>
        <v>0</v>
      </c>
      <c r="K45" s="2"/>
      <c r="L45" s="7">
        <f t="shared" si="18"/>
        <v>-926.11</v>
      </c>
      <c r="M45" s="2"/>
      <c r="N45" s="6">
        <f t="shared" si="19"/>
        <v>-1</v>
      </c>
      <c r="O45" s="11"/>
      <c r="P45" s="7">
        <v>346.42</v>
      </c>
      <c r="Q45" s="2"/>
      <c r="R45" s="6">
        <f t="shared" si="20"/>
        <v>0</v>
      </c>
      <c r="S45" s="2"/>
      <c r="T45" s="7">
        <v>938.02</v>
      </c>
      <c r="U45" s="2"/>
      <c r="V45" s="6">
        <f t="shared" si="21"/>
        <v>0</v>
      </c>
      <c r="W45" s="2"/>
      <c r="X45" s="7">
        <f t="shared" si="22"/>
        <v>-591.59999999999991</v>
      </c>
      <c r="Y45" s="2"/>
      <c r="Z45" s="6">
        <f t="shared" si="23"/>
        <v>-0.63069017718172316</v>
      </c>
    </row>
    <row r="46" spans="1:26" s="25" customFormat="1" outlineLevel="1" collapsed="1" x14ac:dyDescent="0.35">
      <c r="A46" s="26"/>
      <c r="B46" s="12" t="str">
        <f>CONCATENATE("     ","Telephone/Data Lines                              ")</f>
        <v xml:space="preserve">     Telephone/Data Lines                              </v>
      </c>
      <c r="C46" s="12"/>
      <c r="D46" s="1">
        <f>SUM(OSRRefD22_7x_0)</f>
        <v>-78</v>
      </c>
      <c r="E46" s="1"/>
      <c r="F46" s="5">
        <f t="shared" ref="F46:F49" si="24">IF(D$12=0,0,D46/D$12)</f>
        <v>0</v>
      </c>
      <c r="G46" s="1"/>
      <c r="H46" s="1">
        <f>SUM(OSRRefH22_7x_0)</f>
        <v>122.5</v>
      </c>
      <c r="I46" s="1"/>
      <c r="J46" s="5">
        <f t="shared" ref="J46:J49" si="25">IF(H$12=0,0,H46/H$12)</f>
        <v>0</v>
      </c>
      <c r="K46" s="1"/>
      <c r="L46" s="1">
        <f t="shared" ref="L46:L49" si="26">+D46-H46</f>
        <v>-200.5</v>
      </c>
      <c r="M46" s="1"/>
      <c r="N46" s="5">
        <f t="shared" ref="N46:N49" si="27">IF(H46=0,0,L46/H46)</f>
        <v>-1.6367346938775511</v>
      </c>
      <c r="O46" s="12"/>
      <c r="P46" s="1">
        <f>SUM(OSRRefP22_7x_0)</f>
        <v>618.38</v>
      </c>
      <c r="Q46" s="1"/>
      <c r="R46" s="5">
        <f t="shared" ref="R46:R49" si="28">IF(P$12=0,0,P46/P$12)</f>
        <v>0</v>
      </c>
      <c r="S46" s="1"/>
      <c r="T46" s="1">
        <f>SUM(OSRRefT22_7x_0)</f>
        <v>1621.82</v>
      </c>
      <c r="U46" s="1"/>
      <c r="V46" s="5">
        <f t="shared" ref="V46:V49" si="29">IF(T$12=0,0,T46/T$12)</f>
        <v>0</v>
      </c>
      <c r="W46" s="1"/>
      <c r="X46" s="1">
        <f t="shared" ref="X46:X49" si="30">+P46-T46</f>
        <v>-1003.4399999999999</v>
      </c>
      <c r="Y46" s="1"/>
      <c r="Z46" s="5">
        <f t="shared" ref="Z46:Z49" si="31">IF(T46=0,0,X46/T46)</f>
        <v>-0.61871231086063805</v>
      </c>
    </row>
    <row r="47" spans="1:26" s="24" customFormat="1" hidden="1" outlineLevel="2" x14ac:dyDescent="0.35">
      <c r="A47" s="27"/>
      <c r="B47" s="11" t="str">
        <f>CONCATENATE("          ", "6309", " - ", "TELEPHONE")</f>
        <v xml:space="preserve">          6309 - TELEPHONE</v>
      </c>
      <c r="C47" s="11"/>
      <c r="D47" s="7">
        <v>-78</v>
      </c>
      <c r="E47" s="2"/>
      <c r="F47" s="6">
        <f t="shared" si="24"/>
        <v>0</v>
      </c>
      <c r="G47" s="2"/>
      <c r="H47" s="7">
        <v>122.5</v>
      </c>
      <c r="I47" s="2"/>
      <c r="J47" s="6">
        <f t="shared" si="25"/>
        <v>0</v>
      </c>
      <c r="K47" s="2"/>
      <c r="L47" s="7">
        <f t="shared" si="26"/>
        <v>-200.5</v>
      </c>
      <c r="M47" s="2"/>
      <c r="N47" s="6">
        <f t="shared" si="27"/>
        <v>-1.6367346938775511</v>
      </c>
      <c r="O47" s="11"/>
      <c r="P47" s="7">
        <v>618.38</v>
      </c>
      <c r="Q47" s="2"/>
      <c r="R47" s="6">
        <f t="shared" si="28"/>
        <v>0</v>
      </c>
      <c r="S47" s="2"/>
      <c r="T47" s="7">
        <v>1621.82</v>
      </c>
      <c r="U47" s="2"/>
      <c r="V47" s="6">
        <f t="shared" si="29"/>
        <v>0</v>
      </c>
      <c r="W47" s="2"/>
      <c r="X47" s="7">
        <f t="shared" si="30"/>
        <v>-1003.4399999999999</v>
      </c>
      <c r="Y47" s="2"/>
      <c r="Z47" s="6">
        <f t="shared" si="31"/>
        <v>-0.61871231086063805</v>
      </c>
    </row>
    <row r="48" spans="1:26" s="25" customFormat="1" outlineLevel="1" collapsed="1" x14ac:dyDescent="0.35">
      <c r="A48" s="26"/>
      <c r="B48" s="12" t="str">
        <f>CONCATENATE("     ","Travel                                            ")</f>
        <v xml:space="preserve">     Travel                                            </v>
      </c>
      <c r="C48" s="12"/>
      <c r="D48" s="1">
        <f>SUM(OSRRefD22_8x_0)</f>
        <v>0</v>
      </c>
      <c r="E48" s="1"/>
      <c r="F48" s="5">
        <f t="shared" si="24"/>
        <v>0</v>
      </c>
      <c r="G48" s="1"/>
      <c r="H48" s="1">
        <f>SUM(OSRRefH22_8x_0)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2"/>
      <c r="P48" s="1">
        <f>SUM(OSRRefP22_8x_0)</f>
        <v>3921.38</v>
      </c>
      <c r="Q48" s="1"/>
      <c r="R48" s="5">
        <f t="shared" si="28"/>
        <v>0</v>
      </c>
      <c r="S48" s="1"/>
      <c r="T48" s="1">
        <f>SUM(OSRRefT22_8x_0)</f>
        <v>1954.09</v>
      </c>
      <c r="U48" s="1"/>
      <c r="V48" s="5">
        <f t="shared" si="29"/>
        <v>0</v>
      </c>
      <c r="W48" s="1"/>
      <c r="X48" s="1">
        <f t="shared" si="30"/>
        <v>1967.2900000000002</v>
      </c>
      <c r="Y48" s="1"/>
      <c r="Z48" s="5">
        <f t="shared" si="31"/>
        <v>1.0067550624587405</v>
      </c>
    </row>
    <row r="49" spans="1:26" s="24" customFormat="1" hidden="1" outlineLevel="2" x14ac:dyDescent="0.35">
      <c r="A49" s="27"/>
      <c r="B49" s="11" t="str">
        <f>CONCATENATE("          ", "6292", " - ", "TRAVEL/CONFERENCE")</f>
        <v xml:space="preserve">          6292 - TRAVEL/CONFERENCE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>
        <v>3921.38</v>
      </c>
      <c r="Q49" s="2"/>
      <c r="R49" s="6">
        <f t="shared" si="28"/>
        <v>0</v>
      </c>
      <c r="S49" s="2"/>
      <c r="T49" s="7">
        <v>1954.09</v>
      </c>
      <c r="U49" s="2"/>
      <c r="V49" s="6">
        <f t="shared" si="29"/>
        <v>0</v>
      </c>
      <c r="W49" s="2"/>
      <c r="X49" s="7">
        <f t="shared" si="30"/>
        <v>1967.2900000000002</v>
      </c>
      <c r="Y49" s="2"/>
      <c r="Z49" s="6">
        <f t="shared" si="31"/>
        <v>1.0067550624587405</v>
      </c>
    </row>
    <row r="50" spans="1:26" s="56" customFormat="1" x14ac:dyDescent="0.3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35">
      <c r="A51" s="10"/>
      <c r="B51" s="29" t="s">
        <v>0</v>
      </c>
      <c r="C51" s="10"/>
      <c r="D51" s="4">
        <f>SUM(0)</f>
        <v>0</v>
      </c>
      <c r="E51" s="4"/>
      <c r="F51" s="13">
        <f>IF(D$12=0,0,D51/D$12)</f>
        <v>0</v>
      </c>
      <c r="G51" s="4"/>
      <c r="H51" s="4">
        <f>SUM(0)</f>
        <v>0</v>
      </c>
      <c r="I51" s="4"/>
      <c r="J51" s="13">
        <f>IF(H$12=0,0,H51/H$12)</f>
        <v>0</v>
      </c>
      <c r="K51" s="4"/>
      <c r="L51" s="4">
        <f>+D51-H51</f>
        <v>0</v>
      </c>
      <c r="M51" s="4"/>
      <c r="N51" s="13">
        <f>IF(H51=0,0,L51/H51)</f>
        <v>0</v>
      </c>
      <c r="O51" s="10"/>
      <c r="P51" s="4">
        <f>SUM(0)</f>
        <v>0</v>
      </c>
      <c r="Q51" s="4"/>
      <c r="R51" s="13">
        <f>IF(P$12=0,0,P51/P$12)</f>
        <v>0</v>
      </c>
      <c r="S51" s="4"/>
      <c r="T51" s="4">
        <f>SUM(0)</f>
        <v>0</v>
      </c>
      <c r="U51" s="4"/>
      <c r="V51" s="13">
        <f>IF(T$12=0,0,T51/T$12)</f>
        <v>0</v>
      </c>
      <c r="W51" s="4"/>
      <c r="X51" s="4">
        <f>+P51-T51</f>
        <v>0</v>
      </c>
      <c r="Y51" s="4"/>
      <c r="Z51" s="13">
        <f>IF(T51=0,0,X51/T51)</f>
        <v>0</v>
      </c>
    </row>
    <row r="52" spans="1:26" x14ac:dyDescent="0.3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35">
      <c r="A53" s="10"/>
      <c r="B53" s="28" t="s">
        <v>3</v>
      </c>
      <c r="C53" s="28"/>
      <c r="D53" s="22">
        <f>+D16-D18+D51</f>
        <v>-8294.5400000000009</v>
      </c>
      <c r="E53" s="14"/>
      <c r="F53" s="21">
        <f>IF(D$12=0,0,D53/D$12)</f>
        <v>0</v>
      </c>
      <c r="G53" s="14"/>
      <c r="H53" s="22">
        <f>+H16-H18+H51</f>
        <v>-4970.5</v>
      </c>
      <c r="I53" s="14"/>
      <c r="J53" s="21">
        <f>IF(H$12=0,0,H53/H$12)</f>
        <v>0</v>
      </c>
      <c r="K53" s="15"/>
      <c r="L53" s="22">
        <f>+D53-H53</f>
        <v>-3324.0400000000009</v>
      </c>
      <c r="M53" s="15"/>
      <c r="N53" s="21">
        <f>IF(H53=0,0,L53/H53)</f>
        <v>0.66875364651443536</v>
      </c>
      <c r="O53" s="29"/>
      <c r="P53" s="22">
        <f>+P16-P18+P51</f>
        <v>-106543.27999999998</v>
      </c>
      <c r="Q53" s="14"/>
      <c r="R53" s="21">
        <f>IF(P$12=0,0,P53/P$12)</f>
        <v>0</v>
      </c>
      <c r="S53" s="14"/>
      <c r="T53" s="22">
        <f>+T16-T18+T51</f>
        <v>-69392.909999999989</v>
      </c>
      <c r="U53" s="14"/>
      <c r="V53" s="21">
        <f>IF(T$12=0,0,T53/T$12)</f>
        <v>0</v>
      </c>
      <c r="W53" s="15"/>
      <c r="X53" s="22">
        <f>+P53-T53</f>
        <v>-37150.369999999995</v>
      </c>
      <c r="Y53" s="15"/>
      <c r="Z53" s="21">
        <f>IF(T53=0,0,X53/T53)</f>
        <v>0.53536261845770705</v>
      </c>
    </row>
    <row r="54" spans="1:26" x14ac:dyDescent="0.3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35">
      <c r="A55" s="51"/>
      <c r="B55" s="10" t="s">
        <v>13</v>
      </c>
      <c r="C55" s="10"/>
      <c r="D55" s="4"/>
      <c r="E55" s="4"/>
      <c r="F55" s="13">
        <f>IF(D$12=0,0,D55/D$12)</f>
        <v>0</v>
      </c>
      <c r="G55" s="4"/>
      <c r="H55" s="4"/>
      <c r="I55" s="4"/>
      <c r="J55" s="13">
        <f>IF(H$12=0,0,H55/H$12)</f>
        <v>0</v>
      </c>
      <c r="K55" s="4"/>
      <c r="L55" s="4">
        <f>+D55-H55</f>
        <v>0</v>
      </c>
      <c r="M55" s="4"/>
      <c r="N55" s="13">
        <f>IF(H55=0,0,L55/H55)</f>
        <v>0</v>
      </c>
      <c r="O55" s="10"/>
      <c r="P55" s="4"/>
      <c r="Q55" s="4"/>
      <c r="R55" s="13">
        <f>IF(P$12=0,0,P55/P$12)</f>
        <v>0</v>
      </c>
      <c r="S55" s="4"/>
      <c r="T55" s="4"/>
      <c r="U55" s="4"/>
      <c r="V55" s="13">
        <f>IF(T$12=0,0,T55/T$12)</f>
        <v>0</v>
      </c>
      <c r="W55" s="4"/>
      <c r="X55" s="4">
        <f>+P55-T55</f>
        <v>0</v>
      </c>
      <c r="Y55" s="4"/>
      <c r="Z55" s="13">
        <f>IF(T55=0,0,X55/T55)</f>
        <v>0</v>
      </c>
    </row>
    <row r="56" spans="1:26" x14ac:dyDescent="0.3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" thickBot="1" x14ac:dyDescent="0.4">
      <c r="A57" s="10"/>
      <c r="B57" s="28" t="s">
        <v>4</v>
      </c>
      <c r="C57" s="28"/>
      <c r="D57" s="34">
        <f>+D53-D55</f>
        <v>-8294.5400000000009</v>
      </c>
      <c r="E57" s="14"/>
      <c r="F57" s="32">
        <f>IF(D$12=0,0,D57/D$12)</f>
        <v>0</v>
      </c>
      <c r="G57" s="14"/>
      <c r="H57" s="34">
        <f>+H53-H55</f>
        <v>-4970.5</v>
      </c>
      <c r="I57" s="14"/>
      <c r="J57" s="32">
        <f>IF(H$12=0,0,H57/H$12)</f>
        <v>0</v>
      </c>
      <c r="K57" s="15"/>
      <c r="L57" s="34">
        <f>D57-H57</f>
        <v>-3324.0400000000009</v>
      </c>
      <c r="M57" s="15"/>
      <c r="N57" s="32">
        <f>IF(H57=0,0,L57/H57)</f>
        <v>0.66875364651443536</v>
      </c>
      <c r="O57" s="29"/>
      <c r="P57" s="34">
        <f>+P53-P55</f>
        <v>-106543.27999999998</v>
      </c>
      <c r="Q57" s="14"/>
      <c r="R57" s="32">
        <f>IF(P$12=0,0,P57/P$12)</f>
        <v>0</v>
      </c>
      <c r="S57" s="14"/>
      <c r="T57" s="34">
        <f>+T53-T55</f>
        <v>-69392.909999999989</v>
      </c>
      <c r="U57" s="14"/>
      <c r="V57" s="32">
        <f>IF(T$12=0,0,T57/T$12)</f>
        <v>0</v>
      </c>
      <c r="W57" s="15"/>
      <c r="X57" s="34">
        <f>P57-T57</f>
        <v>-37150.369999999995</v>
      </c>
      <c r="Y57" s="15"/>
      <c r="Z57" s="32">
        <f>IF(T57=0,0,X57/T57)</f>
        <v>0.53536261845770705</v>
      </c>
    </row>
    <row r="58" spans="1:26" ht="15" thickTop="1" x14ac:dyDescent="0.3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3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" thickBot="1" x14ac:dyDescent="0.4">
      <c r="A60" s="10"/>
      <c r="B60" s="28" t="s">
        <v>5</v>
      </c>
      <c r="C60" s="28"/>
      <c r="D60" s="35">
        <f>SUM(D57:D59)</f>
        <v>-8294.5400000000009</v>
      </c>
      <c r="E60" s="14"/>
      <c r="F60" s="33">
        <f>IF(D$12=0,0,D60/D$12)</f>
        <v>0</v>
      </c>
      <c r="G60" s="14"/>
      <c r="H60" s="35">
        <f>SUM(H57:H59)</f>
        <v>-4970.5</v>
      </c>
      <c r="I60" s="14"/>
      <c r="J60" s="33">
        <f>IF(H$12=0,0,H60/H$12)</f>
        <v>0</v>
      </c>
      <c r="K60" s="15"/>
      <c r="L60" s="35">
        <f>+D60-H60</f>
        <v>-3324.0400000000009</v>
      </c>
      <c r="M60" s="15"/>
      <c r="N60" s="33">
        <f>IF(H60=0,0,L60/H60)</f>
        <v>0.66875364651443536</v>
      </c>
      <c r="O60" s="29"/>
      <c r="P60" s="35">
        <f>SUM(P57:P59)</f>
        <v>-106543.27999999998</v>
      </c>
      <c r="Q60" s="14"/>
      <c r="R60" s="33">
        <f>IF(P$12=0,0,P60/P$12)</f>
        <v>0</v>
      </c>
      <c r="S60" s="14"/>
      <c r="T60" s="35">
        <f>SUM(T57:T59)</f>
        <v>-69392.909999999989</v>
      </c>
      <c r="U60" s="14"/>
      <c r="V60" s="33">
        <f>IF(T$12=0,0,T60/T$12)</f>
        <v>0</v>
      </c>
      <c r="W60" s="15"/>
      <c r="X60" s="35">
        <f>+P60-T60</f>
        <v>-37150.369999999995</v>
      </c>
      <c r="Y60" s="15"/>
      <c r="Z60" s="33">
        <f>IF(T60=0,0,X60/T60)</f>
        <v>0.53536261845770705</v>
      </c>
    </row>
    <row r="61" spans="1:26" ht="15" thickTop="1" x14ac:dyDescent="0.35">
      <c r="A61" s="9"/>
      <c r="C61" s="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35">
      <c r="A62" s="9"/>
      <c r="B62" s="52">
        <v>44043.522675312503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35">
      <c r="A63" s="9"/>
      <c r="B63" s="61" t="s">
        <v>313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35">
      <c r="A64" s="9"/>
      <c r="B64" s="54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4:24" x14ac:dyDescent="0.35"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","207", " - ", "Communications")</f>
        <v>Department 207 - Communications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SUM(0)</f>
        <v>0</v>
      </c>
      <c r="E18" s="20"/>
      <c r="F18" s="36">
        <f>IF(D$12=0,0,D18/D$12)</f>
        <v>0</v>
      </c>
      <c r="G18" s="20"/>
      <c r="H18" s="20">
        <f>SUM(0)</f>
        <v>0</v>
      </c>
      <c r="I18" s="20"/>
      <c r="J18" s="36">
        <f>IF(H$12=0,0,H18/H$12)</f>
        <v>0</v>
      </c>
      <c r="K18" s="4"/>
      <c r="L18" s="20">
        <f>+D18-H18</f>
        <v>0</v>
      </c>
      <c r="M18" s="4"/>
      <c r="N18" s="36">
        <f>IF(H18=0,0,L18/H18)</f>
        <v>0</v>
      </c>
      <c r="O18" s="10"/>
      <c r="P18" s="20">
        <f>SUM(0)</f>
        <v>0</v>
      </c>
      <c r="Q18" s="20"/>
      <c r="R18" s="36">
        <f>IF(P$12=0,0,P18/P$12)</f>
        <v>0</v>
      </c>
      <c r="S18" s="20"/>
      <c r="T18" s="20">
        <f>SUM(0)</f>
        <v>0</v>
      </c>
      <c r="U18" s="20"/>
      <c r="V18" s="36">
        <f>IF(T$12=0,0,T18/T$12)</f>
        <v>0</v>
      </c>
      <c r="W18" s="4"/>
      <c r="X18" s="20">
        <f>+P18-T18</f>
        <v>0</v>
      </c>
      <c r="Y18" s="4"/>
      <c r="Z18" s="36">
        <f>IF(T18=0,0,X18/T18)</f>
        <v>0</v>
      </c>
    </row>
    <row r="19" spans="1:26" s="56" customFormat="1" x14ac:dyDescent="0.3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0</v>
      </c>
      <c r="C20" s="10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0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3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5">
      <c r="A22" s="10"/>
      <c r="B22" s="28" t="s">
        <v>3</v>
      </c>
      <c r="C22" s="28"/>
      <c r="D22" s="22">
        <f>+D16-D18+D20</f>
        <v>0</v>
      </c>
      <c r="E22" s="14"/>
      <c r="F22" s="21">
        <f>IF(D$12=0,0,D22/D$12)</f>
        <v>0</v>
      </c>
      <c r="G22" s="14"/>
      <c r="H22" s="22">
        <f>+H16-H18+H20</f>
        <v>0</v>
      </c>
      <c r="I22" s="14"/>
      <c r="J22" s="21">
        <f>IF(H$12=0,0,H22/H$12)</f>
        <v>0</v>
      </c>
      <c r="K22" s="15"/>
      <c r="L22" s="22">
        <f>+D22-H22</f>
        <v>0</v>
      </c>
      <c r="M22" s="15"/>
      <c r="N22" s="21">
        <f>IF(H22=0,0,L22/H22)</f>
        <v>0</v>
      </c>
      <c r="O22" s="29"/>
      <c r="P22" s="22">
        <f>+P16-P18+P20</f>
        <v>0</v>
      </c>
      <c r="Q22" s="14"/>
      <c r="R22" s="21">
        <f>IF(P$12=0,0,P22/P$12)</f>
        <v>0</v>
      </c>
      <c r="S22" s="14"/>
      <c r="T22" s="22">
        <f>+T16-T18+T20</f>
        <v>0</v>
      </c>
      <c r="U22" s="14"/>
      <c r="V22" s="21">
        <f>IF(T$12=0,0,T22/T$12)</f>
        <v>0</v>
      </c>
      <c r="W22" s="15"/>
      <c r="X22" s="22">
        <f>+P22-T22</f>
        <v>0</v>
      </c>
      <c r="Y22" s="15"/>
      <c r="Z22" s="21">
        <f>IF(T22=0,0,X22/T22)</f>
        <v>0</v>
      </c>
    </row>
    <row r="23" spans="1:26" x14ac:dyDescent="0.3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5">
      <c r="A24" s="51"/>
      <c r="B24" s="10" t="s">
        <v>13</v>
      </c>
      <c r="C24" s="10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0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3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4">
      <c r="A26" s="10"/>
      <c r="B26" s="28" t="s">
        <v>4</v>
      </c>
      <c r="C26" s="28"/>
      <c r="D26" s="34">
        <f>+D22-D24</f>
        <v>0</v>
      </c>
      <c r="E26" s="14"/>
      <c r="F26" s="32">
        <f>IF(D$12=0,0,D26/D$12)</f>
        <v>0</v>
      </c>
      <c r="G26" s="14"/>
      <c r="H26" s="34">
        <f>+H22-H24</f>
        <v>0</v>
      </c>
      <c r="I26" s="14"/>
      <c r="J26" s="32">
        <f>IF(H$12=0,0,H26/H$12)</f>
        <v>0</v>
      </c>
      <c r="K26" s="15"/>
      <c r="L26" s="34">
        <f>D26-H26</f>
        <v>0</v>
      </c>
      <c r="M26" s="15"/>
      <c r="N26" s="32">
        <f>IF(H26=0,0,L26/H26)</f>
        <v>0</v>
      </c>
      <c r="O26" s="29"/>
      <c r="P26" s="34">
        <f>+P22-P24</f>
        <v>0</v>
      </c>
      <c r="Q26" s="14"/>
      <c r="R26" s="32">
        <f>IF(P$12=0,0,P26/P$12)</f>
        <v>0</v>
      </c>
      <c r="S26" s="14"/>
      <c r="T26" s="34">
        <f>+T22-T24</f>
        <v>0</v>
      </c>
      <c r="U26" s="14"/>
      <c r="V26" s="32">
        <f>IF(T$12=0,0,T26/T$12)</f>
        <v>0</v>
      </c>
      <c r="W26" s="15"/>
      <c r="X26" s="34">
        <f>P26-T26</f>
        <v>0</v>
      </c>
      <c r="Y26" s="15"/>
      <c r="Z26" s="32">
        <f>IF(T26=0,0,X26/T26)</f>
        <v>0</v>
      </c>
    </row>
    <row r="27" spans="1:26" ht="15" thickTop="1" x14ac:dyDescent="0.3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3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4">
      <c r="A29" s="10"/>
      <c r="B29" s="28" t="s">
        <v>5</v>
      </c>
      <c r="C29" s="28"/>
      <c r="D29" s="35">
        <f>SUM(D26:D28)</f>
        <v>0</v>
      </c>
      <c r="E29" s="14"/>
      <c r="F29" s="33">
        <f>IF(D$12=0,0,D29/D$12)</f>
        <v>0</v>
      </c>
      <c r="G29" s="14"/>
      <c r="H29" s="35">
        <f>SUM(H26:H28)</f>
        <v>0</v>
      </c>
      <c r="I29" s="14"/>
      <c r="J29" s="33">
        <f>IF(H$12=0,0,H29/H$12)</f>
        <v>0</v>
      </c>
      <c r="K29" s="15"/>
      <c r="L29" s="35">
        <f>+D29-H29</f>
        <v>0</v>
      </c>
      <c r="M29" s="15"/>
      <c r="N29" s="33">
        <f>IF(H29=0,0,L29/H29)</f>
        <v>0</v>
      </c>
      <c r="O29" s="29"/>
      <c r="P29" s="35">
        <f>SUM(P26:P28)</f>
        <v>0</v>
      </c>
      <c r="Q29" s="14"/>
      <c r="R29" s="33">
        <f>IF(P$12=0,0,P29/P$12)</f>
        <v>0</v>
      </c>
      <c r="S29" s="14"/>
      <c r="T29" s="35">
        <f>SUM(T26:T28)</f>
        <v>0</v>
      </c>
      <c r="U29" s="14"/>
      <c r="V29" s="33">
        <f>IF(T$12=0,0,T29/T$12)</f>
        <v>0</v>
      </c>
      <c r="W29" s="15"/>
      <c r="X29" s="35">
        <f>+P29-T29</f>
        <v>0</v>
      </c>
      <c r="Y29" s="15"/>
      <c r="Z29" s="33">
        <f>IF(T29=0,0,X29/T29)</f>
        <v>0</v>
      </c>
    </row>
    <row r="30" spans="1:26" ht="15" thickTop="1" x14ac:dyDescent="0.35">
      <c r="A30" s="9"/>
      <c r="C30" s="9"/>
      <c r="D30" s="17"/>
      <c r="E30" s="17"/>
      <c r="G30" s="17"/>
      <c r="H30" s="17"/>
      <c r="I30" s="17"/>
      <c r="J30" s="42"/>
      <c r="K30" s="17"/>
      <c r="L30" s="17"/>
      <c r="M30" s="17"/>
      <c r="P30" s="17"/>
      <c r="Q30" s="17"/>
      <c r="R30" s="42"/>
      <c r="S30" s="17"/>
      <c r="T30" s="17"/>
      <c r="U30" s="17"/>
      <c r="V30" s="42"/>
      <c r="W30" s="17"/>
      <c r="X30" s="17"/>
    </row>
    <row r="31" spans="1:26" x14ac:dyDescent="0.35">
      <c r="A31" s="9"/>
      <c r="B31" s="52">
        <v>44043.522691319442</v>
      </c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35">
      <c r="A32" s="9"/>
      <c r="B32" s="61" t="s">
        <v>313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5">
      <c r="A33" s="9"/>
      <c r="B33" s="54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5"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2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307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208172.59000000003</v>
      </c>
      <c r="E12" s="4"/>
      <c r="F12" s="13"/>
      <c r="G12" s="4"/>
      <c r="H12" s="4">
        <f>SUM(OSRRefH13x_0)</f>
        <v>309530.27999999997</v>
      </c>
      <c r="I12" s="4"/>
      <c r="J12" s="13"/>
      <c r="K12" s="4"/>
      <c r="L12" s="4">
        <f t="shared" ref="L12:L118" si="0">+D12-H12</f>
        <v>-101357.68999999994</v>
      </c>
      <c r="M12" s="4"/>
      <c r="N12" s="13">
        <f t="shared" ref="N12:N118" si="1">IF(H12=0,0,L12/H12)</f>
        <v>-0.3274564608024777</v>
      </c>
      <c r="O12" s="10"/>
      <c r="P12" s="4">
        <f>SUM(OSRRefP13x_0)</f>
        <v>11599536.650000002</v>
      </c>
      <c r="Q12" s="4"/>
      <c r="R12" s="13"/>
      <c r="S12" s="4"/>
      <c r="T12" s="4">
        <f>SUM(OSRRefT13x_0)</f>
        <v>14518525.95999999</v>
      </c>
      <c r="U12" s="4"/>
      <c r="V12" s="13"/>
      <c r="W12" s="4"/>
      <c r="X12" s="4">
        <f t="shared" ref="X12:X118" si="2">+P12-T12</f>
        <v>-2918989.3099999875</v>
      </c>
      <c r="Y12" s="4"/>
      <c r="Z12" s="13">
        <f t="shared" ref="Z12:Z118" si="3">IF(T12=0,0,X12/T12)</f>
        <v>-0.20105273207776733</v>
      </c>
    </row>
    <row r="13" spans="1:26" s="24" customFormat="1" hidden="1" outlineLevel="1" x14ac:dyDescent="0.3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3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--15904.07</f>
        <v>15904.07</v>
      </c>
      <c r="E14" s="2"/>
      <c r="F14" s="19"/>
      <c r="G14" s="2"/>
      <c r="H14" s="2">
        <f>--23249.99</f>
        <v>23249.99</v>
      </c>
      <c r="I14" s="2"/>
      <c r="J14" s="19"/>
      <c r="K14" s="2"/>
      <c r="L14" s="2">
        <f t="shared" si="0"/>
        <v>-7345.9200000000019</v>
      </c>
      <c r="M14" s="2"/>
      <c r="N14" s="19">
        <f t="shared" si="1"/>
        <v>-0.31595368428115461</v>
      </c>
      <c r="O14" s="11"/>
      <c r="P14" s="2">
        <f>--2451163.71</f>
        <v>2451163.71</v>
      </c>
      <c r="Q14" s="2"/>
      <c r="R14" s="19"/>
      <c r="S14" s="2"/>
      <c r="T14" s="2">
        <f>--3126487.75</f>
        <v>3126487.75</v>
      </c>
      <c r="U14" s="2"/>
      <c r="V14" s="19"/>
      <c r="W14" s="2"/>
      <c r="X14" s="2">
        <f t="shared" si="2"/>
        <v>-675324.04</v>
      </c>
      <c r="Y14" s="2"/>
      <c r="Z14" s="19">
        <f t="shared" si="3"/>
        <v>-0.21600085911099445</v>
      </c>
    </row>
    <row r="15" spans="1:26" s="24" customFormat="1" hidden="1" outlineLevel="1" x14ac:dyDescent="0.3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--15376.45</f>
        <v>15376.45</v>
      </c>
      <c r="E15" s="2"/>
      <c r="F15" s="19"/>
      <c r="G15" s="2"/>
      <c r="H15" s="2">
        <f>--10246.08</f>
        <v>10246.08</v>
      </c>
      <c r="I15" s="2"/>
      <c r="J15" s="19"/>
      <c r="K15" s="2"/>
      <c r="L15" s="2">
        <f t="shared" si="0"/>
        <v>5130.3700000000008</v>
      </c>
      <c r="M15" s="2"/>
      <c r="N15" s="19">
        <f t="shared" si="1"/>
        <v>0.50071539554639444</v>
      </c>
      <c r="O15" s="11"/>
      <c r="P15" s="2">
        <f>--1271803.19</f>
        <v>1271803.19</v>
      </c>
      <c r="Q15" s="2"/>
      <c r="R15" s="19"/>
      <c r="S15" s="2"/>
      <c r="T15" s="2">
        <f>--1404207.63</f>
        <v>1404207.63</v>
      </c>
      <c r="U15" s="2"/>
      <c r="V15" s="19"/>
      <c r="W15" s="2"/>
      <c r="X15" s="2">
        <f t="shared" si="2"/>
        <v>-132404.43999999994</v>
      </c>
      <c r="Y15" s="2"/>
      <c r="Z15" s="19">
        <f t="shared" si="3"/>
        <v>-9.4291212475465583E-2</v>
      </c>
    </row>
    <row r="16" spans="1:26" s="24" customFormat="1" hidden="1" outlineLevel="1" x14ac:dyDescent="0.3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--895</f>
        <v>895</v>
      </c>
      <c r="E16" s="2"/>
      <c r="F16" s="19"/>
      <c r="G16" s="2"/>
      <c r="H16" s="2">
        <f>--167.99</f>
        <v>167.99</v>
      </c>
      <c r="I16" s="2"/>
      <c r="J16" s="19"/>
      <c r="K16" s="2"/>
      <c r="L16" s="2">
        <f t="shared" si="0"/>
        <v>727.01</v>
      </c>
      <c r="M16" s="2"/>
      <c r="N16" s="19">
        <f t="shared" si="1"/>
        <v>4.3276980772665032</v>
      </c>
      <c r="O16" s="11"/>
      <c r="P16" s="2">
        <f>--34659.88</f>
        <v>34659.879999999997</v>
      </c>
      <c r="Q16" s="2"/>
      <c r="R16" s="19"/>
      <c r="S16" s="2"/>
      <c r="T16" s="2">
        <f>--15422.64</f>
        <v>15422.64</v>
      </c>
      <c r="U16" s="2"/>
      <c r="V16" s="19"/>
      <c r="W16" s="2"/>
      <c r="X16" s="2">
        <f t="shared" si="2"/>
        <v>19237.239999999998</v>
      </c>
      <c r="Y16" s="2"/>
      <c r="Z16" s="19">
        <f t="shared" si="3"/>
        <v>1.2473376801896432</v>
      </c>
    </row>
    <row r="17" spans="1:26" s="24" customFormat="1" hidden="1" outlineLevel="1" x14ac:dyDescent="0.3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--70418.64</f>
        <v>70418.64</v>
      </c>
      <c r="U17" s="2"/>
      <c r="V17" s="19"/>
      <c r="W17" s="2"/>
      <c r="X17" s="2">
        <f t="shared" si="2"/>
        <v>-28223.339999999997</v>
      </c>
      <c r="Y17" s="2"/>
      <c r="Z17" s="19">
        <f t="shared" si="3"/>
        <v>-0.40079359669542036</v>
      </c>
    </row>
    <row r="18" spans="1:26" s="24" customFormat="1" hidden="1" outlineLevel="1" x14ac:dyDescent="0.3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--3.88</f>
        <v>3.88</v>
      </c>
      <c r="I18" s="2"/>
      <c r="J18" s="19"/>
      <c r="K18" s="2"/>
      <c r="L18" s="2">
        <f t="shared" si="0"/>
        <v>-3.88</v>
      </c>
      <c r="M18" s="2"/>
      <c r="N18" s="19">
        <f t="shared" si="1"/>
        <v>-1</v>
      </c>
      <c r="O18" s="11"/>
      <c r="P18" s="2">
        <f>--1052.48</f>
        <v>1052.48</v>
      </c>
      <c r="Q18" s="2"/>
      <c r="R18" s="19"/>
      <c r="S18" s="2"/>
      <c r="T18" s="2">
        <f>--9.71</f>
        <v>9.7100000000000009</v>
      </c>
      <c r="U18" s="2"/>
      <c r="V18" s="19"/>
      <c r="W18" s="2"/>
      <c r="X18" s="2">
        <f t="shared" si="2"/>
        <v>1042.77</v>
      </c>
      <c r="Y18" s="2"/>
      <c r="Z18" s="19">
        <f t="shared" si="3"/>
        <v>107.39134912461378</v>
      </c>
    </row>
    <row r="19" spans="1:26" s="24" customFormat="1" hidden="1" outlineLevel="1" x14ac:dyDescent="0.3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--64.99</f>
        <v>64.989999999999995</v>
      </c>
      <c r="E19" s="2"/>
      <c r="F19" s="19"/>
      <c r="G19" s="2"/>
      <c r="H19" s="2">
        <f>--748.56</f>
        <v>748.56</v>
      </c>
      <c r="I19" s="2"/>
      <c r="J19" s="19"/>
      <c r="K19" s="2"/>
      <c r="L19" s="2">
        <f t="shared" si="0"/>
        <v>-683.56999999999994</v>
      </c>
      <c r="M19" s="2"/>
      <c r="N19" s="19">
        <f t="shared" si="1"/>
        <v>-0.91317997221331626</v>
      </c>
      <c r="O19" s="11"/>
      <c r="P19" s="2">
        <f>--2778.35</f>
        <v>2778.35</v>
      </c>
      <c r="Q19" s="2"/>
      <c r="R19" s="19"/>
      <c r="S19" s="2"/>
      <c r="T19" s="2">
        <f>--7572.79</f>
        <v>7572.79</v>
      </c>
      <c r="U19" s="2"/>
      <c r="V19" s="19"/>
      <c r="W19" s="2"/>
      <c r="X19" s="2">
        <f t="shared" si="2"/>
        <v>-4794.4400000000005</v>
      </c>
      <c r="Y19" s="2"/>
      <c r="Z19" s="19">
        <f t="shared" si="3"/>
        <v>-0.63311408344876863</v>
      </c>
    </row>
    <row r="20" spans="1:26" s="24" customFormat="1" hidden="1" outlineLevel="1" x14ac:dyDescent="0.3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--13.9</f>
        <v>13.9</v>
      </c>
      <c r="E20" s="2"/>
      <c r="F20" s="19"/>
      <c r="G20" s="2"/>
      <c r="H20" s="2">
        <f>--93.58</f>
        <v>93.58</v>
      </c>
      <c r="I20" s="2"/>
      <c r="J20" s="19"/>
      <c r="K20" s="2"/>
      <c r="L20" s="2">
        <f t="shared" si="0"/>
        <v>-79.679999999999993</v>
      </c>
      <c r="M20" s="2"/>
      <c r="N20" s="19">
        <f t="shared" si="1"/>
        <v>-0.85146398803163059</v>
      </c>
      <c r="O20" s="11"/>
      <c r="P20" s="2">
        <f>--1233.88</f>
        <v>1233.8800000000001</v>
      </c>
      <c r="Q20" s="2"/>
      <c r="R20" s="19"/>
      <c r="S20" s="2"/>
      <c r="T20" s="2">
        <f>--2221.33</f>
        <v>2221.33</v>
      </c>
      <c r="U20" s="2"/>
      <c r="V20" s="19"/>
      <c r="W20" s="2"/>
      <c r="X20" s="2">
        <f t="shared" si="2"/>
        <v>-987.44999999999982</v>
      </c>
      <c r="Y20" s="2"/>
      <c r="Z20" s="19">
        <f t="shared" si="3"/>
        <v>-0.44453097918814399</v>
      </c>
    </row>
    <row r="21" spans="1:26" s="24" customFormat="1" hidden="1" outlineLevel="1" x14ac:dyDescent="0.3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3" si="5">0</f>
        <v>0</v>
      </c>
      <c r="E21" s="2"/>
      <c r="F21" s="19"/>
      <c r="G21" s="2"/>
      <c r="H21" s="2">
        <f>--293.01</f>
        <v>293.01</v>
      </c>
      <c r="I21" s="2"/>
      <c r="J21" s="19"/>
      <c r="K21" s="2"/>
      <c r="L21" s="2">
        <f t="shared" si="0"/>
        <v>-293.01</v>
      </c>
      <c r="M21" s="2"/>
      <c r="N21" s="19">
        <f t="shared" si="1"/>
        <v>-1</v>
      </c>
      <c r="O21" s="11"/>
      <c r="P21" s="2">
        <f>--347.52</f>
        <v>347.52</v>
      </c>
      <c r="Q21" s="2"/>
      <c r="R21" s="19"/>
      <c r="S21" s="2"/>
      <c r="T21" s="2">
        <f>--1055.55</f>
        <v>1055.55</v>
      </c>
      <c r="U21" s="2"/>
      <c r="V21" s="19"/>
      <c r="W21" s="2"/>
      <c r="X21" s="2">
        <f t="shared" si="2"/>
        <v>-708.03</v>
      </c>
      <c r="Y21" s="2"/>
      <c r="Z21" s="19">
        <f t="shared" si="3"/>
        <v>-0.67076879351996588</v>
      </c>
    </row>
    <row r="22" spans="1:26" s="24" customFormat="1" hidden="1" outlineLevel="1" x14ac:dyDescent="0.3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>
        <f>--141</f>
        <v>141</v>
      </c>
      <c r="I22" s="2"/>
      <c r="J22" s="19"/>
      <c r="K22" s="2"/>
      <c r="L22" s="2">
        <f t="shared" si="0"/>
        <v>-141</v>
      </c>
      <c r="M22" s="2"/>
      <c r="N22" s="19">
        <f t="shared" si="1"/>
        <v>-1</v>
      </c>
      <c r="O22" s="11"/>
      <c r="P22" s="2">
        <f>--4179.3</f>
        <v>4179.3</v>
      </c>
      <c r="Q22" s="2"/>
      <c r="R22" s="19"/>
      <c r="S22" s="2"/>
      <c r="T22" s="2">
        <f>--6524.46</f>
        <v>6524.46</v>
      </c>
      <c r="U22" s="2"/>
      <c r="V22" s="19"/>
      <c r="W22" s="2"/>
      <c r="X22" s="2">
        <f t="shared" si="2"/>
        <v>-2345.16</v>
      </c>
      <c r="Y22" s="2"/>
      <c r="Z22" s="19">
        <f t="shared" si="3"/>
        <v>-0.35944124111420711</v>
      </c>
    </row>
    <row r="23" spans="1:26" s="24" customFormat="1" hidden="1" outlineLevel="1" x14ac:dyDescent="0.3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--81.89</f>
        <v>81.89</v>
      </c>
      <c r="U23" s="2"/>
      <c r="V23" s="19"/>
      <c r="W23" s="2"/>
      <c r="X23" s="2">
        <f t="shared" si="2"/>
        <v>-39.04</v>
      </c>
      <c r="Y23" s="2"/>
      <c r="Z23" s="19">
        <f t="shared" si="3"/>
        <v>-0.47673708633532785</v>
      </c>
    </row>
    <row r="24" spans="1:26" s="24" customFormat="1" hidden="1" outlineLevel="1" x14ac:dyDescent="0.3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--3099.74</f>
        <v>3099.74</v>
      </c>
      <c r="E24" s="2"/>
      <c r="F24" s="19"/>
      <c r="G24" s="2"/>
      <c r="H24" s="2">
        <f>--1050.08</f>
        <v>1050.08</v>
      </c>
      <c r="I24" s="2"/>
      <c r="J24" s="19"/>
      <c r="K24" s="2"/>
      <c r="L24" s="2">
        <f t="shared" si="0"/>
        <v>2049.66</v>
      </c>
      <c r="M24" s="2"/>
      <c r="N24" s="19">
        <f t="shared" si="1"/>
        <v>1.9519084260246837</v>
      </c>
      <c r="O24" s="11"/>
      <c r="P24" s="2">
        <f>--57819.85</f>
        <v>57819.85</v>
      </c>
      <c r="Q24" s="2"/>
      <c r="R24" s="19"/>
      <c r="S24" s="2"/>
      <c r="T24" s="2">
        <f>--61223.1</f>
        <v>61223.1</v>
      </c>
      <c r="U24" s="2"/>
      <c r="V24" s="19"/>
      <c r="W24" s="2"/>
      <c r="X24" s="2">
        <f t="shared" si="2"/>
        <v>-3403.25</v>
      </c>
      <c r="Y24" s="2"/>
      <c r="Z24" s="19">
        <f t="shared" si="3"/>
        <v>-5.5587678506968774E-2</v>
      </c>
    </row>
    <row r="25" spans="1:26" s="24" customFormat="1" hidden="1" outlineLevel="1" x14ac:dyDescent="0.3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--2531.99</f>
        <v>2531.9899999999998</v>
      </c>
      <c r="E25" s="2"/>
      <c r="F25" s="19"/>
      <c r="G25" s="2"/>
      <c r="H25" s="2">
        <f>--3059.93</f>
        <v>3059.93</v>
      </c>
      <c r="I25" s="2"/>
      <c r="J25" s="19"/>
      <c r="K25" s="2"/>
      <c r="L25" s="2">
        <f t="shared" si="0"/>
        <v>-527.94000000000005</v>
      </c>
      <c r="M25" s="2"/>
      <c r="N25" s="19">
        <f t="shared" si="1"/>
        <v>-0.17253335860624266</v>
      </c>
      <c r="O25" s="11"/>
      <c r="P25" s="2">
        <f>--83341.48</f>
        <v>83341.48</v>
      </c>
      <c r="Q25" s="2"/>
      <c r="R25" s="19"/>
      <c r="S25" s="2"/>
      <c r="T25" s="2">
        <f>--84530.93</f>
        <v>84530.93</v>
      </c>
      <c r="U25" s="2"/>
      <c r="V25" s="19"/>
      <c r="W25" s="2"/>
      <c r="X25" s="2">
        <f t="shared" si="2"/>
        <v>-1189.4499999999971</v>
      </c>
      <c r="Y25" s="2"/>
      <c r="Z25" s="19">
        <f t="shared" si="3"/>
        <v>-1.4071180809201994E-2</v>
      </c>
    </row>
    <row r="26" spans="1:26" s="24" customFormat="1" hidden="1" outlineLevel="1" x14ac:dyDescent="0.3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--4073.06</f>
        <v>4073.06</v>
      </c>
      <c r="E26" s="2"/>
      <c r="F26" s="19"/>
      <c r="G26" s="2"/>
      <c r="H26" s="2">
        <f>--17477.08</f>
        <v>17477.080000000002</v>
      </c>
      <c r="I26" s="2"/>
      <c r="J26" s="19"/>
      <c r="K26" s="2"/>
      <c r="L26" s="2">
        <f t="shared" si="0"/>
        <v>-13404.020000000002</v>
      </c>
      <c r="M26" s="2"/>
      <c r="N26" s="19">
        <f t="shared" si="1"/>
        <v>-0.76694848338509647</v>
      </c>
      <c r="O26" s="11"/>
      <c r="P26" s="2">
        <f>--280850.13</f>
        <v>280850.13</v>
      </c>
      <c r="Q26" s="2"/>
      <c r="R26" s="19"/>
      <c r="S26" s="2"/>
      <c r="T26" s="2">
        <f>--308997.93</f>
        <v>308997.93</v>
      </c>
      <c r="U26" s="2"/>
      <c r="V26" s="19"/>
      <c r="W26" s="2"/>
      <c r="X26" s="2">
        <f t="shared" si="2"/>
        <v>-28147.799999999988</v>
      </c>
      <c r="Y26" s="2"/>
      <c r="Z26" s="19">
        <f t="shared" si="3"/>
        <v>-9.1093814123609146E-2</v>
      </c>
    </row>
    <row r="27" spans="1:26" s="24" customFormat="1" hidden="1" outlineLevel="1" x14ac:dyDescent="0.3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--386.59</f>
        <v>386.59</v>
      </c>
      <c r="E27" s="2"/>
      <c r="F27" s="19"/>
      <c r="G27" s="2"/>
      <c r="H27" s="2">
        <f>--1510.21</f>
        <v>1510.21</v>
      </c>
      <c r="I27" s="2"/>
      <c r="J27" s="19"/>
      <c r="K27" s="2"/>
      <c r="L27" s="2">
        <f t="shared" si="0"/>
        <v>-1123.6200000000001</v>
      </c>
      <c r="M27" s="2"/>
      <c r="N27" s="19">
        <f t="shared" si="1"/>
        <v>-0.74401573291131706</v>
      </c>
      <c r="O27" s="11"/>
      <c r="P27" s="2">
        <f>--293577.64</f>
        <v>293577.64</v>
      </c>
      <c r="Q27" s="2"/>
      <c r="R27" s="19"/>
      <c r="S27" s="2"/>
      <c r="T27" s="2">
        <f>--346880.65</f>
        <v>346880.65</v>
      </c>
      <c r="U27" s="2"/>
      <c r="V27" s="19"/>
      <c r="W27" s="2"/>
      <c r="X27" s="2">
        <f t="shared" si="2"/>
        <v>-53303.010000000009</v>
      </c>
      <c r="Y27" s="2"/>
      <c r="Z27" s="19">
        <f t="shared" si="3"/>
        <v>-0.15366383221433655</v>
      </c>
    </row>
    <row r="28" spans="1:26" s="24" customFormat="1" hidden="1" outlineLevel="1" x14ac:dyDescent="0.3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6">0</f>
        <v>0</v>
      </c>
      <c r="E28" s="2"/>
      <c r="F28" s="19"/>
      <c r="G28" s="2"/>
      <c r="H28" s="2">
        <f>--140.23</f>
        <v>140.22999999999999</v>
      </c>
      <c r="I28" s="2"/>
      <c r="J28" s="19"/>
      <c r="K28" s="2"/>
      <c r="L28" s="2">
        <f t="shared" si="0"/>
        <v>-140.22999999999999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--834.06</f>
        <v>834.06</v>
      </c>
      <c r="U28" s="2"/>
      <c r="V28" s="19"/>
      <c r="W28" s="2"/>
      <c r="X28" s="2">
        <f t="shared" si="2"/>
        <v>-347.71999999999997</v>
      </c>
      <c r="Y28" s="2"/>
      <c r="Z28" s="19">
        <f t="shared" si="3"/>
        <v>-0.4169004627964415</v>
      </c>
    </row>
    <row r="29" spans="1:26" s="24" customFormat="1" hidden="1" outlineLevel="1" x14ac:dyDescent="0.3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6"/>
        <v>0</v>
      </c>
      <c r="E29" s="2"/>
      <c r="F29" s="19"/>
      <c r="G29" s="2"/>
      <c r="H29" s="2">
        <f>--4700.46</f>
        <v>4700.46</v>
      </c>
      <c r="I29" s="2"/>
      <c r="J29" s="19"/>
      <c r="K29" s="2"/>
      <c r="L29" s="2">
        <f t="shared" si="0"/>
        <v>-4700.46</v>
      </c>
      <c r="M29" s="2"/>
      <c r="N29" s="19">
        <f t="shared" si="1"/>
        <v>-1</v>
      </c>
      <c r="O29" s="11"/>
      <c r="P29" s="2">
        <f>--277654.52</f>
        <v>277654.52</v>
      </c>
      <c r="Q29" s="2"/>
      <c r="R29" s="19"/>
      <c r="S29" s="2"/>
      <c r="T29" s="2">
        <f>--370657.73</f>
        <v>370657.73</v>
      </c>
      <c r="U29" s="2"/>
      <c r="V29" s="19"/>
      <c r="W29" s="2"/>
      <c r="X29" s="2">
        <f t="shared" si="2"/>
        <v>-93003.209999999963</v>
      </c>
      <c r="Y29" s="2"/>
      <c r="Z29" s="19">
        <f t="shared" si="3"/>
        <v>-0.25091399011157806</v>
      </c>
    </row>
    <row r="30" spans="1:26" s="24" customFormat="1" hidden="1" outlineLevel="1" x14ac:dyDescent="0.3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--0.3</f>
        <v>0.3</v>
      </c>
      <c r="I30" s="2"/>
      <c r="J30" s="19"/>
      <c r="K30" s="2"/>
      <c r="L30" s="2">
        <f t="shared" si="0"/>
        <v>-0.3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--284.14</f>
        <v>284.14</v>
      </c>
      <c r="U30" s="2"/>
      <c r="V30" s="19"/>
      <c r="W30" s="2"/>
      <c r="X30" s="2">
        <f t="shared" si="2"/>
        <v>-78.609999999999985</v>
      </c>
      <c r="Y30" s="2"/>
      <c r="Z30" s="19">
        <f t="shared" si="3"/>
        <v>-0.27665939325684519</v>
      </c>
    </row>
    <row r="31" spans="1:26" s="24" customFormat="1" hidden="1" outlineLevel="1" x14ac:dyDescent="0.3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--555.89</f>
        <v>555.89</v>
      </c>
      <c r="I31" s="2"/>
      <c r="J31" s="19"/>
      <c r="K31" s="2"/>
      <c r="L31" s="2">
        <f t="shared" si="0"/>
        <v>-555.89</v>
      </c>
      <c r="M31" s="2"/>
      <c r="N31" s="19">
        <f t="shared" si="1"/>
        <v>-1</v>
      </c>
      <c r="O31" s="11"/>
      <c r="P31" s="2">
        <f>--10925.46</f>
        <v>10925.46</v>
      </c>
      <c r="Q31" s="2"/>
      <c r="R31" s="19"/>
      <c r="S31" s="2"/>
      <c r="T31" s="2">
        <f>--12143.32</f>
        <v>12143.32</v>
      </c>
      <c r="U31" s="2"/>
      <c r="V31" s="19"/>
      <c r="W31" s="2"/>
      <c r="X31" s="2">
        <f t="shared" si="2"/>
        <v>-1217.8600000000006</v>
      </c>
      <c r="Y31" s="2"/>
      <c r="Z31" s="19">
        <f t="shared" si="3"/>
        <v>-0.10029053010214674</v>
      </c>
    </row>
    <row r="32" spans="1:26" s="24" customFormat="1" hidden="1" outlineLevel="1" x14ac:dyDescent="0.3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--5.47</f>
        <v>5.47</v>
      </c>
      <c r="I32" s="2"/>
      <c r="J32" s="19"/>
      <c r="K32" s="2"/>
      <c r="L32" s="2">
        <f t="shared" si="0"/>
        <v>-5.47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--2675.56</f>
        <v>2675.56</v>
      </c>
      <c r="U32" s="2"/>
      <c r="V32" s="19"/>
      <c r="W32" s="2"/>
      <c r="X32" s="2">
        <f t="shared" si="2"/>
        <v>-693.72</v>
      </c>
      <c r="Y32" s="2"/>
      <c r="Z32" s="19">
        <f t="shared" si="3"/>
        <v>-0.25928030019883691</v>
      </c>
    </row>
    <row r="33" spans="1:26" s="24" customFormat="1" hidden="1" outlineLevel="1" x14ac:dyDescent="0.3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--11.04</f>
        <v>11.04</v>
      </c>
      <c r="I33" s="2"/>
      <c r="J33" s="19"/>
      <c r="K33" s="2"/>
      <c r="L33" s="2">
        <f t="shared" si="0"/>
        <v>-11.04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--881.19</f>
        <v>881.19</v>
      </c>
      <c r="U33" s="2"/>
      <c r="V33" s="19"/>
      <c r="W33" s="2"/>
      <c r="X33" s="2">
        <f t="shared" si="2"/>
        <v>-367.68000000000006</v>
      </c>
      <c r="Y33" s="2"/>
      <c r="Z33" s="19">
        <f t="shared" si="3"/>
        <v>-0.41725394069383454</v>
      </c>
    </row>
    <row r="34" spans="1:26" s="24" customFormat="1" hidden="1" outlineLevel="1" x14ac:dyDescent="0.3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--46364.3</f>
        <v>46364.3</v>
      </c>
      <c r="E34" s="2"/>
      <c r="F34" s="19"/>
      <c r="G34" s="2"/>
      <c r="H34" s="2">
        <f>--124399.79</f>
        <v>124399.79</v>
      </c>
      <c r="I34" s="2"/>
      <c r="J34" s="19"/>
      <c r="K34" s="2"/>
      <c r="L34" s="2">
        <f t="shared" si="0"/>
        <v>-78035.489999999991</v>
      </c>
      <c r="M34" s="2"/>
      <c r="N34" s="19">
        <f t="shared" si="1"/>
        <v>-0.6272959946315021</v>
      </c>
      <c r="O34" s="11"/>
      <c r="P34" s="2">
        <f>--1941274.42</f>
        <v>1941274.42</v>
      </c>
      <c r="Q34" s="2"/>
      <c r="R34" s="19"/>
      <c r="S34" s="2"/>
      <c r="T34" s="2">
        <f>--2503852.42</f>
        <v>2503852.42</v>
      </c>
      <c r="U34" s="2"/>
      <c r="V34" s="19"/>
      <c r="W34" s="2"/>
      <c r="X34" s="2">
        <f t="shared" si="2"/>
        <v>-562578</v>
      </c>
      <c r="Y34" s="2"/>
      <c r="Z34" s="19">
        <f t="shared" si="3"/>
        <v>-0.22468496765476298</v>
      </c>
    </row>
    <row r="35" spans="1:26" s="24" customFormat="1" hidden="1" outlineLevel="1" x14ac:dyDescent="0.3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--29904.23</f>
        <v>29904.23</v>
      </c>
      <c r="E35" s="2"/>
      <c r="F35" s="19"/>
      <c r="G35" s="2"/>
      <c r="H35" s="2">
        <f>--30632.03</f>
        <v>30632.03</v>
      </c>
      <c r="I35" s="2"/>
      <c r="J35" s="19"/>
      <c r="K35" s="2"/>
      <c r="L35" s="2">
        <f t="shared" si="0"/>
        <v>-727.79999999999927</v>
      </c>
      <c r="M35" s="2"/>
      <c r="N35" s="19">
        <f t="shared" si="1"/>
        <v>-2.3759443954579545E-2</v>
      </c>
      <c r="O35" s="11"/>
      <c r="P35" s="2">
        <f>--556536.79</f>
        <v>556536.79</v>
      </c>
      <c r="Q35" s="2"/>
      <c r="R35" s="19"/>
      <c r="S35" s="2"/>
      <c r="T35" s="2">
        <f>--859767.82</f>
        <v>859767.82</v>
      </c>
      <c r="U35" s="2"/>
      <c r="V35" s="19"/>
      <c r="W35" s="2"/>
      <c r="X35" s="2">
        <f t="shared" si="2"/>
        <v>-303231.02999999991</v>
      </c>
      <c r="Y35" s="2"/>
      <c r="Z35" s="19">
        <f t="shared" si="3"/>
        <v>-0.35268943887664922</v>
      </c>
    </row>
    <row r="36" spans="1:26" s="24" customFormat="1" hidden="1" outlineLevel="1" x14ac:dyDescent="0.3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--2836.85</f>
        <v>2836.85</v>
      </c>
      <c r="E36" s="2"/>
      <c r="F36" s="19"/>
      <c r="G36" s="2"/>
      <c r="H36" s="2">
        <f>--9489.04</f>
        <v>9489.0400000000009</v>
      </c>
      <c r="I36" s="2"/>
      <c r="J36" s="19"/>
      <c r="K36" s="2"/>
      <c r="L36" s="2">
        <f t="shared" si="0"/>
        <v>-6652.1900000000005</v>
      </c>
      <c r="M36" s="2"/>
      <c r="N36" s="19">
        <f t="shared" si="1"/>
        <v>-0.70103930429210959</v>
      </c>
      <c r="O36" s="11"/>
      <c r="P36" s="2">
        <f>--285558.05</f>
        <v>285558.05</v>
      </c>
      <c r="Q36" s="2"/>
      <c r="R36" s="19"/>
      <c r="S36" s="2"/>
      <c r="T36" s="2">
        <f>--334175.22</f>
        <v>334175.21999999997</v>
      </c>
      <c r="U36" s="2"/>
      <c r="V36" s="19"/>
      <c r="W36" s="2"/>
      <c r="X36" s="2">
        <f t="shared" si="2"/>
        <v>-48617.169999999984</v>
      </c>
      <c r="Y36" s="2"/>
      <c r="Z36" s="19">
        <f t="shared" si="3"/>
        <v>-0.14548406671206796</v>
      </c>
    </row>
    <row r="37" spans="1:26" s="24" customFormat="1" hidden="1" outlineLevel="1" x14ac:dyDescent="0.3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--54.96</f>
        <v>54.96</v>
      </c>
      <c r="E37" s="2"/>
      <c r="F37" s="19"/>
      <c r="G37" s="2"/>
      <c r="H37" s="2">
        <f>--75.61</f>
        <v>75.61</v>
      </c>
      <c r="I37" s="2"/>
      <c r="J37" s="19"/>
      <c r="K37" s="2"/>
      <c r="L37" s="2">
        <f t="shared" si="0"/>
        <v>-20.65</v>
      </c>
      <c r="M37" s="2"/>
      <c r="N37" s="19">
        <f t="shared" si="1"/>
        <v>-0.27311202221928316</v>
      </c>
      <c r="O37" s="11"/>
      <c r="P37" s="2">
        <f>--77324.14</f>
        <v>77324.14</v>
      </c>
      <c r="Q37" s="2"/>
      <c r="R37" s="19"/>
      <c r="S37" s="2"/>
      <c r="T37" s="2">
        <f>--4859.22</f>
        <v>4859.22</v>
      </c>
      <c r="U37" s="2"/>
      <c r="V37" s="19"/>
      <c r="W37" s="2"/>
      <c r="X37" s="2">
        <f t="shared" si="2"/>
        <v>72464.92</v>
      </c>
      <c r="Y37" s="2"/>
      <c r="Z37" s="19">
        <f t="shared" si="3"/>
        <v>14.912870789962174</v>
      </c>
    </row>
    <row r="38" spans="1:26" s="24" customFormat="1" hidden="1" outlineLevel="1" x14ac:dyDescent="0.3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--2524.8</f>
        <v>2524.8000000000002</v>
      </c>
      <c r="E38" s="2"/>
      <c r="F38" s="19"/>
      <c r="G38" s="2"/>
      <c r="H38" s="2">
        <f>--2130.34</f>
        <v>2130.34</v>
      </c>
      <c r="I38" s="2"/>
      <c r="J38" s="19"/>
      <c r="K38" s="2"/>
      <c r="L38" s="2">
        <f t="shared" si="0"/>
        <v>394.46000000000004</v>
      </c>
      <c r="M38" s="2"/>
      <c r="N38" s="19">
        <f t="shared" si="1"/>
        <v>0.18516293173859572</v>
      </c>
      <c r="O38" s="11"/>
      <c r="P38" s="2">
        <f>--73780.56</f>
        <v>73780.56</v>
      </c>
      <c r="Q38" s="2"/>
      <c r="R38" s="19"/>
      <c r="S38" s="2"/>
      <c r="T38" s="2">
        <f>--87817.61</f>
        <v>87817.61</v>
      </c>
      <c r="U38" s="2"/>
      <c r="V38" s="19"/>
      <c r="W38" s="2"/>
      <c r="X38" s="2">
        <f t="shared" si="2"/>
        <v>-14037.050000000003</v>
      </c>
      <c r="Y38" s="2"/>
      <c r="Z38" s="19">
        <f t="shared" si="3"/>
        <v>-0.15984322506613427</v>
      </c>
    </row>
    <row r="39" spans="1:26" s="24" customFormat="1" hidden="1" outlineLevel="1" x14ac:dyDescent="0.3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--26263.53</f>
        <v>26263.53</v>
      </c>
      <c r="E39" s="2"/>
      <c r="F39" s="19"/>
      <c r="G39" s="2"/>
      <c r="H39" s="2">
        <f>--25755.32</f>
        <v>25755.32</v>
      </c>
      <c r="I39" s="2"/>
      <c r="J39" s="19"/>
      <c r="K39" s="2"/>
      <c r="L39" s="2">
        <f t="shared" si="0"/>
        <v>508.20999999999913</v>
      </c>
      <c r="M39" s="2"/>
      <c r="N39" s="19">
        <f t="shared" si="1"/>
        <v>1.97322339617601E-2</v>
      </c>
      <c r="O39" s="11"/>
      <c r="P39" s="2">
        <f>--123103.09</f>
        <v>123103.09</v>
      </c>
      <c r="Q39" s="2"/>
      <c r="R39" s="19"/>
      <c r="S39" s="2"/>
      <c r="T39" s="2">
        <f>--219240.28</f>
        <v>219240.28</v>
      </c>
      <c r="U39" s="2"/>
      <c r="V39" s="19"/>
      <c r="W39" s="2"/>
      <c r="X39" s="2">
        <f t="shared" si="2"/>
        <v>-96137.19</v>
      </c>
      <c r="Y39" s="2"/>
      <c r="Z39" s="19">
        <f t="shared" si="3"/>
        <v>-0.43850149251770709</v>
      </c>
    </row>
    <row r="40" spans="1:26" s="24" customFormat="1" hidden="1" outlineLevel="1" x14ac:dyDescent="0.3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6" si="7">0</f>
        <v>0</v>
      </c>
      <c r="E40" s="2"/>
      <c r="F40" s="19"/>
      <c r="G40" s="2"/>
      <c r="H40" s="2">
        <f>--245.97</f>
        <v>245.97</v>
      </c>
      <c r="I40" s="2"/>
      <c r="J40" s="19"/>
      <c r="K40" s="2"/>
      <c r="L40" s="2">
        <f t="shared" si="0"/>
        <v>-245.97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--5818.6</f>
        <v>5818.6</v>
      </c>
      <c r="U40" s="2"/>
      <c r="V40" s="19"/>
      <c r="W40" s="2"/>
      <c r="X40" s="2">
        <f t="shared" si="2"/>
        <v>-3142.4600000000005</v>
      </c>
      <c r="Y40" s="2"/>
      <c r="Z40" s="19">
        <f t="shared" si="3"/>
        <v>-0.5400714948613069</v>
      </c>
    </row>
    <row r="41" spans="1:26" s="24" customFormat="1" hidden="1" outlineLevel="1" x14ac:dyDescent="0.3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7"/>
        <v>0</v>
      </c>
      <c r="E41" s="2"/>
      <c r="F41" s="19"/>
      <c r="G41" s="2"/>
      <c r="H41" s="2">
        <f>--3983.11</f>
        <v>3983.11</v>
      </c>
      <c r="I41" s="2"/>
      <c r="J41" s="19"/>
      <c r="K41" s="2"/>
      <c r="L41" s="2">
        <f t="shared" si="0"/>
        <v>-3983.11</v>
      </c>
      <c r="M41" s="2"/>
      <c r="N41" s="19">
        <f t="shared" si="1"/>
        <v>-1</v>
      </c>
      <c r="O41" s="11"/>
      <c r="P41" s="2">
        <f>--149404.53</f>
        <v>149404.53</v>
      </c>
      <c r="Q41" s="2"/>
      <c r="R41" s="19"/>
      <c r="S41" s="2"/>
      <c r="T41" s="2">
        <f>--238608.7</f>
        <v>238608.7</v>
      </c>
      <c r="U41" s="2"/>
      <c r="V41" s="19"/>
      <c r="W41" s="2"/>
      <c r="X41" s="2">
        <f t="shared" si="2"/>
        <v>-89204.170000000013</v>
      </c>
      <c r="Y41" s="2"/>
      <c r="Z41" s="19">
        <f t="shared" si="3"/>
        <v>-0.37385128874177687</v>
      </c>
    </row>
    <row r="42" spans="1:26" s="24" customFormat="1" hidden="1" outlineLevel="1" x14ac:dyDescent="0.3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7"/>
        <v>0</v>
      </c>
      <c r="E42" s="2"/>
      <c r="F42" s="19"/>
      <c r="G42" s="2"/>
      <c r="H42" s="2">
        <f>--22.97</f>
        <v>22.97</v>
      </c>
      <c r="I42" s="2"/>
      <c r="J42" s="19"/>
      <c r="K42" s="2"/>
      <c r="L42" s="2">
        <f t="shared" si="0"/>
        <v>-22.97</v>
      </c>
      <c r="M42" s="2"/>
      <c r="N42" s="19">
        <f t="shared" si="1"/>
        <v>-1</v>
      </c>
      <c r="O42" s="11"/>
      <c r="P42" s="2">
        <f>--3174.93</f>
        <v>3174.93</v>
      </c>
      <c r="Q42" s="2"/>
      <c r="R42" s="19"/>
      <c r="S42" s="2"/>
      <c r="T42" s="2">
        <f>--4426.51</f>
        <v>4426.51</v>
      </c>
      <c r="U42" s="2"/>
      <c r="V42" s="19"/>
      <c r="W42" s="2"/>
      <c r="X42" s="2">
        <f t="shared" si="2"/>
        <v>-1251.5800000000004</v>
      </c>
      <c r="Y42" s="2"/>
      <c r="Z42" s="19">
        <f t="shared" si="3"/>
        <v>-0.28274645262294684</v>
      </c>
    </row>
    <row r="43" spans="1:26" s="24" customFormat="1" hidden="1" outlineLevel="1" x14ac:dyDescent="0.3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7"/>
        <v>0</v>
      </c>
      <c r="E43" s="2"/>
      <c r="F43" s="19"/>
      <c r="G43" s="2"/>
      <c r="H43" s="2">
        <f t="shared" ref="H43:H46" si="8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--363.94</f>
        <v>363.94</v>
      </c>
      <c r="Q43" s="2"/>
      <c r="R43" s="19"/>
      <c r="S43" s="2"/>
      <c r="T43" s="2">
        <f>--1650</f>
        <v>1650</v>
      </c>
      <c r="U43" s="2"/>
      <c r="V43" s="19"/>
      <c r="W43" s="2"/>
      <c r="X43" s="2">
        <f t="shared" si="2"/>
        <v>-1286.06</v>
      </c>
      <c r="Y43" s="2"/>
      <c r="Z43" s="19">
        <f t="shared" si="3"/>
        <v>-0.77943030303030303</v>
      </c>
    </row>
    <row r="44" spans="1:26" s="24" customFormat="1" hidden="1" outlineLevel="1" x14ac:dyDescent="0.3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7"/>
        <v>0</v>
      </c>
      <c r="E44" s="2"/>
      <c r="F44" s="19"/>
      <c r="G44" s="2"/>
      <c r="H44" s="2">
        <f t="shared" si="8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--914.33</f>
        <v>914.33</v>
      </c>
      <c r="Q44" s="2"/>
      <c r="R44" s="19"/>
      <c r="S44" s="2"/>
      <c r="T44" s="2">
        <f>--1403.83</f>
        <v>1403.83</v>
      </c>
      <c r="U44" s="2"/>
      <c r="V44" s="19"/>
      <c r="W44" s="2"/>
      <c r="X44" s="2">
        <f t="shared" si="2"/>
        <v>-489.49999999999989</v>
      </c>
      <c r="Y44" s="2"/>
      <c r="Z44" s="19">
        <f t="shared" si="3"/>
        <v>-0.3486889438179836</v>
      </c>
    </row>
    <row r="45" spans="1:26" s="24" customFormat="1" hidden="1" outlineLevel="1" x14ac:dyDescent="0.3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7"/>
        <v>0</v>
      </c>
      <c r="E45" s="2"/>
      <c r="F45" s="19"/>
      <c r="G45" s="2"/>
      <c r="H45" s="2">
        <f t="shared" si="8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--813.74</f>
        <v>813.74</v>
      </c>
      <c r="Q45" s="2"/>
      <c r="R45" s="19"/>
      <c r="S45" s="2"/>
      <c r="T45" s="2">
        <f>--2115.11</f>
        <v>2115.11</v>
      </c>
      <c r="U45" s="2"/>
      <c r="V45" s="19"/>
      <c r="W45" s="2"/>
      <c r="X45" s="2">
        <f t="shared" si="2"/>
        <v>-1301.3700000000001</v>
      </c>
      <c r="Y45" s="2"/>
      <c r="Z45" s="19">
        <f t="shared" si="3"/>
        <v>-0.61527296452666769</v>
      </c>
    </row>
    <row r="46" spans="1:26" s="24" customFormat="1" hidden="1" outlineLevel="1" x14ac:dyDescent="0.35">
      <c r="A46" s="44"/>
      <c r="B46" s="11" t="str">
        <f>CONCATENATE("          ", "4091", " - ", "TAXABLE SALES-GRAD ANNOUNCEMEN")</f>
        <v xml:space="preserve">          4091 - TAXABLE SALES-GRAD ANNOUNCEMEN</v>
      </c>
      <c r="C46" s="11"/>
      <c r="D46" s="2">
        <f t="shared" si="7"/>
        <v>0</v>
      </c>
      <c r="E46" s="2"/>
      <c r="F46" s="19"/>
      <c r="G46" s="2"/>
      <c r="H46" s="2">
        <f t="shared" si="8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0</f>
        <v>0</v>
      </c>
      <c r="Q46" s="2"/>
      <c r="R46" s="19"/>
      <c r="S46" s="2"/>
      <c r="T46" s="2">
        <f>0</f>
        <v>0</v>
      </c>
      <c r="U46" s="2"/>
      <c r="V46" s="19"/>
      <c r="W46" s="2"/>
      <c r="X46" s="2">
        <f t="shared" si="2"/>
        <v>0</v>
      </c>
      <c r="Y46" s="2"/>
      <c r="Z46" s="19">
        <f t="shared" si="3"/>
        <v>0</v>
      </c>
    </row>
    <row r="47" spans="1:26" s="24" customFormat="1" hidden="1" outlineLevel="1" x14ac:dyDescent="0.35">
      <c r="A47" s="44"/>
      <c r="B47" s="11" t="str">
        <f>CONCATENATE("          ", "4092", " - ", "TAXABLE SALES-GRAD MERCH")</f>
        <v xml:space="preserve">          4092 - TAXABLE SALES-GRAD MERCH</v>
      </c>
      <c r="C47" s="11"/>
      <c r="D47" s="2">
        <f>--6332.23</f>
        <v>6332.23</v>
      </c>
      <c r="E47" s="2"/>
      <c r="F47" s="19"/>
      <c r="G47" s="2"/>
      <c r="H47" s="2">
        <f>--466.49</f>
        <v>466.49</v>
      </c>
      <c r="I47" s="2"/>
      <c r="J47" s="19"/>
      <c r="K47" s="2"/>
      <c r="L47" s="2">
        <f t="shared" si="0"/>
        <v>5865.74</v>
      </c>
      <c r="M47" s="2"/>
      <c r="N47" s="19">
        <f t="shared" si="1"/>
        <v>12.574203091170228</v>
      </c>
      <c r="O47" s="11"/>
      <c r="P47" s="2">
        <f>--41685.94</f>
        <v>41685.94</v>
      </c>
      <c r="Q47" s="2"/>
      <c r="R47" s="19"/>
      <c r="S47" s="2"/>
      <c r="T47" s="2">
        <f>--223303.91</f>
        <v>223303.91</v>
      </c>
      <c r="U47" s="2"/>
      <c r="V47" s="19"/>
      <c r="W47" s="2"/>
      <c r="X47" s="2">
        <f t="shared" si="2"/>
        <v>-181617.97</v>
      </c>
      <c r="Y47" s="2"/>
      <c r="Z47" s="19">
        <f t="shared" si="3"/>
        <v>-0.81332194317600615</v>
      </c>
    </row>
    <row r="48" spans="1:26" s="24" customFormat="1" hidden="1" outlineLevel="1" x14ac:dyDescent="0.35">
      <c r="A48" s="44"/>
      <c r="B48" s="11" t="str">
        <f>CONCATENATE("          ", "4095", " - ", "TAXABLE SALES-CUSTOMER SERVICE")</f>
        <v xml:space="preserve">          4095 - TAXABLE SALES-CUSTOMER SERVICE</v>
      </c>
      <c r="C48" s="11"/>
      <c r="D48" s="2">
        <f>0</f>
        <v>0</v>
      </c>
      <c r="E48" s="2"/>
      <c r="F48" s="19"/>
      <c r="G48" s="2"/>
      <c r="H48" s="2">
        <f>--17.82</f>
        <v>17.82</v>
      </c>
      <c r="I48" s="2"/>
      <c r="J48" s="19"/>
      <c r="K48" s="2"/>
      <c r="L48" s="2">
        <f t="shared" si="0"/>
        <v>-17.82</v>
      </c>
      <c r="M48" s="2"/>
      <c r="N48" s="19">
        <f t="shared" si="1"/>
        <v>-1</v>
      </c>
      <c r="O48" s="11"/>
      <c r="P48" s="2">
        <f>--309.26</f>
        <v>309.26</v>
      </c>
      <c r="Q48" s="2"/>
      <c r="R48" s="19"/>
      <c r="S48" s="2"/>
      <c r="T48" s="2">
        <f>--2235.12</f>
        <v>2235.12</v>
      </c>
      <c r="U48" s="2"/>
      <c r="V48" s="19"/>
      <c r="W48" s="2"/>
      <c r="X48" s="2">
        <f t="shared" si="2"/>
        <v>-1925.86</v>
      </c>
      <c r="Y48" s="2"/>
      <c r="Z48" s="19">
        <f t="shared" si="3"/>
        <v>-0.86163606428290207</v>
      </c>
    </row>
    <row r="49" spans="1:26" s="24" customFormat="1" hidden="1" outlineLevel="1" x14ac:dyDescent="0.35">
      <c r="A49" s="44"/>
      <c r="B49" s="11" t="str">
        <f>CONCATENATE("          ", "4100", " - ", "NON-TAXABLE SALES")</f>
        <v xml:space="preserve">          4100 - NON-TAXABLE SALES</v>
      </c>
      <c r="C49" s="11"/>
      <c r="D49" s="2">
        <f>-16200.52</f>
        <v>-16200.52</v>
      </c>
      <c r="E49" s="2"/>
      <c r="F49" s="19"/>
      <c r="G49" s="2"/>
      <c r="H49" s="2">
        <f>--2784.85</f>
        <v>2784.85</v>
      </c>
      <c r="I49" s="2"/>
      <c r="J49" s="19"/>
      <c r="K49" s="2"/>
      <c r="L49" s="2">
        <f t="shared" si="0"/>
        <v>-18985.37</v>
      </c>
      <c r="M49" s="2"/>
      <c r="N49" s="19">
        <f t="shared" si="1"/>
        <v>-6.8173761602958862</v>
      </c>
      <c r="O49" s="11"/>
      <c r="P49" s="2">
        <f>--591246.5</f>
        <v>591246.5</v>
      </c>
      <c r="Q49" s="2"/>
      <c r="R49" s="19"/>
      <c r="S49" s="2"/>
      <c r="T49" s="2">
        <f>--792359.45</f>
        <v>792359.45</v>
      </c>
      <c r="U49" s="2"/>
      <c r="V49" s="19"/>
      <c r="W49" s="2"/>
      <c r="X49" s="2">
        <f t="shared" si="2"/>
        <v>-201112.94999999995</v>
      </c>
      <c r="Y49" s="2"/>
      <c r="Z49" s="19">
        <f t="shared" si="3"/>
        <v>-0.25381529809482295</v>
      </c>
    </row>
    <row r="50" spans="1:26" s="24" customFormat="1" hidden="1" outlineLevel="1" x14ac:dyDescent="0.35">
      <c r="A50" s="44"/>
      <c r="B50" s="11" t="str">
        <f>CONCATENATE("          ", "4101", " - ", "NON-TAXABLE SALES-NEW TEXT")</f>
        <v xml:space="preserve">          4101 - NON-TAXABLE SALES-NEW TEXT</v>
      </c>
      <c r="C50" s="11"/>
      <c r="D50" s="2">
        <f>--2671.34</f>
        <v>2671.34</v>
      </c>
      <c r="E50" s="2"/>
      <c r="F50" s="19"/>
      <c r="G50" s="2"/>
      <c r="H50" s="2">
        <f>--1051.16</f>
        <v>1051.1600000000001</v>
      </c>
      <c r="I50" s="2"/>
      <c r="J50" s="19"/>
      <c r="K50" s="2"/>
      <c r="L50" s="2">
        <f t="shared" si="0"/>
        <v>1620.18</v>
      </c>
      <c r="M50" s="2"/>
      <c r="N50" s="19">
        <f t="shared" si="1"/>
        <v>1.5413257734312569</v>
      </c>
      <c r="O50" s="11"/>
      <c r="P50" s="2">
        <f>--153953.68</f>
        <v>153953.68</v>
      </c>
      <c r="Q50" s="2"/>
      <c r="R50" s="19"/>
      <c r="S50" s="2"/>
      <c r="T50" s="2">
        <f>--281995.26</f>
        <v>281995.26</v>
      </c>
      <c r="U50" s="2"/>
      <c r="V50" s="19"/>
      <c r="W50" s="2"/>
      <c r="X50" s="2">
        <f t="shared" si="2"/>
        <v>-128041.58000000002</v>
      </c>
      <c r="Y50" s="2"/>
      <c r="Z50" s="19">
        <f t="shared" si="3"/>
        <v>-0.45405578802991231</v>
      </c>
    </row>
    <row r="51" spans="1:26" s="24" customFormat="1" hidden="1" outlineLevel="1" x14ac:dyDescent="0.35">
      <c r="A51" s="44"/>
      <c r="B51" s="11" t="str">
        <f>CONCATENATE("          ", "4102", " - ", "NON-TAXABLE SALES-USED TEXT")</f>
        <v xml:space="preserve">          4102 - NON-TAXABLE SALES-USED TEXT</v>
      </c>
      <c r="C51" s="11"/>
      <c r="D51" s="2">
        <f>--1718.15</f>
        <v>1718.15</v>
      </c>
      <c r="E51" s="2"/>
      <c r="F51" s="19"/>
      <c r="G51" s="2"/>
      <c r="H51" s="2">
        <f>--2191.44</f>
        <v>2191.44</v>
      </c>
      <c r="I51" s="2"/>
      <c r="J51" s="19"/>
      <c r="K51" s="2"/>
      <c r="L51" s="2">
        <f t="shared" si="0"/>
        <v>-473.28999999999996</v>
      </c>
      <c r="M51" s="2"/>
      <c r="N51" s="19">
        <f t="shared" si="1"/>
        <v>-0.21597214616872923</v>
      </c>
      <c r="O51" s="11"/>
      <c r="P51" s="2">
        <f>--71943.61</f>
        <v>71943.61</v>
      </c>
      <c r="Q51" s="2"/>
      <c r="R51" s="19"/>
      <c r="S51" s="2"/>
      <c r="T51" s="2">
        <f>--98541.39</f>
        <v>98541.39</v>
      </c>
      <c r="U51" s="2"/>
      <c r="V51" s="19"/>
      <c r="W51" s="2"/>
      <c r="X51" s="2">
        <f t="shared" si="2"/>
        <v>-26597.78</v>
      </c>
      <c r="Y51" s="2"/>
      <c r="Z51" s="19">
        <f t="shared" si="3"/>
        <v>-0.26991480432739989</v>
      </c>
    </row>
    <row r="52" spans="1:26" s="24" customFormat="1" hidden="1" outlineLevel="1" x14ac:dyDescent="0.35">
      <c r="A52" s="44"/>
      <c r="B52" s="11" t="str">
        <f>CONCATENATE("          ", "4103", " - ", "NON-TAXABLE SALES-RENTAL TEXT")</f>
        <v xml:space="preserve">          4103 - NON-TAXABLE SALES-RENTAL TEXT</v>
      </c>
      <c r="C52" s="11"/>
      <c r="D52" s="2">
        <f>0</f>
        <v>0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--664.97</f>
        <v>664.97</v>
      </c>
      <c r="Q52" s="2"/>
      <c r="R52" s="19"/>
      <c r="S52" s="2"/>
      <c r="T52" s="2">
        <f>--830.85</f>
        <v>830.85</v>
      </c>
      <c r="U52" s="2"/>
      <c r="V52" s="19"/>
      <c r="W52" s="2"/>
      <c r="X52" s="2">
        <f t="shared" si="2"/>
        <v>-165.88</v>
      </c>
      <c r="Y52" s="2"/>
      <c r="Z52" s="19">
        <f t="shared" si="3"/>
        <v>-0.19965095986038392</v>
      </c>
    </row>
    <row r="53" spans="1:26" s="24" customFormat="1" hidden="1" outlineLevel="1" x14ac:dyDescent="0.35">
      <c r="A53" s="44"/>
      <c r="B53" s="11" t="str">
        <f>CONCATENATE("          ", "4104", " - ", "NON-TAXABLE SALES-DIGITAL TEXT")</f>
        <v xml:space="preserve">          4104 - NON-TAXABLE SALES-DIGITAL TEXT</v>
      </c>
      <c r="C53" s="11"/>
      <c r="D53" s="2">
        <f>--1836.93</f>
        <v>1836.93</v>
      </c>
      <c r="E53" s="2"/>
      <c r="F53" s="19"/>
      <c r="G53" s="2"/>
      <c r="H53" s="2">
        <f>--1779.5</f>
        <v>1779.5</v>
      </c>
      <c r="I53" s="2"/>
      <c r="J53" s="19"/>
      <c r="K53" s="2"/>
      <c r="L53" s="2">
        <f t="shared" si="0"/>
        <v>57.430000000000064</v>
      </c>
      <c r="M53" s="2"/>
      <c r="N53" s="19">
        <f t="shared" si="1"/>
        <v>3.2273110424276517E-2</v>
      </c>
      <c r="O53" s="11"/>
      <c r="P53" s="2">
        <f>--533640.31</f>
        <v>533640.31000000006</v>
      </c>
      <c r="Q53" s="2"/>
      <c r="R53" s="19"/>
      <c r="S53" s="2"/>
      <c r="T53" s="2">
        <f>--535221.75</f>
        <v>535221.75</v>
      </c>
      <c r="U53" s="2"/>
      <c r="V53" s="19"/>
      <c r="W53" s="2"/>
      <c r="X53" s="2">
        <f t="shared" si="2"/>
        <v>-1581.4399999999441</v>
      </c>
      <c r="Y53" s="2"/>
      <c r="Z53" s="19">
        <f t="shared" si="3"/>
        <v>-2.9547379193763036E-3</v>
      </c>
    </row>
    <row r="54" spans="1:26" s="24" customFormat="1" hidden="1" outlineLevel="1" x14ac:dyDescent="0.35">
      <c r="A54" s="44"/>
      <c r="B54" s="11" t="str">
        <f>CONCATENATE("          ", "4111", " - ", "NON-TAXABLE SALES-NO VALUE TEX")</f>
        <v xml:space="preserve">          4111 - NON-TAXABLE SALES-NO VALUE TEX</v>
      </c>
      <c r="C54" s="11"/>
      <c r="D54" s="2">
        <f>--679.21</f>
        <v>679.21</v>
      </c>
      <c r="E54" s="2"/>
      <c r="F54" s="19"/>
      <c r="G54" s="2"/>
      <c r="H54" s="2">
        <f>--3194.97</f>
        <v>3194.97</v>
      </c>
      <c r="I54" s="2"/>
      <c r="J54" s="19"/>
      <c r="K54" s="2"/>
      <c r="L54" s="2">
        <f t="shared" si="0"/>
        <v>-2515.7599999999998</v>
      </c>
      <c r="M54" s="2"/>
      <c r="N54" s="19">
        <f t="shared" si="1"/>
        <v>-0.78741271436038518</v>
      </c>
      <c r="O54" s="11"/>
      <c r="P54" s="2">
        <f>--16342.67</f>
        <v>16342.67</v>
      </c>
      <c r="Q54" s="2"/>
      <c r="R54" s="19"/>
      <c r="S54" s="2"/>
      <c r="T54" s="2">
        <f>--25086.75</f>
        <v>25086.75</v>
      </c>
      <c r="U54" s="2"/>
      <c r="V54" s="19"/>
      <c r="W54" s="2"/>
      <c r="X54" s="2">
        <f t="shared" si="2"/>
        <v>-8744.08</v>
      </c>
      <c r="Y54" s="2"/>
      <c r="Z54" s="19">
        <f t="shared" si="3"/>
        <v>-0.34855371859647022</v>
      </c>
    </row>
    <row r="55" spans="1:26" s="24" customFormat="1" hidden="1" outlineLevel="1" x14ac:dyDescent="0.35">
      <c r="A55" s="44"/>
      <c r="B55" s="11" t="str">
        <f>CONCATENATE("          ", "4113", " - ", "NON-TAXABLE SALES-TRADE BOOKS")</f>
        <v xml:space="preserve">          4113 - NON-TAXABLE SALES-TRADE BOOKS</v>
      </c>
      <c r="C55" s="11"/>
      <c r="D55" s="2">
        <f t="shared" ref="D55:D56" si="9">0</f>
        <v>0</v>
      </c>
      <c r="E55" s="2"/>
      <c r="F55" s="19"/>
      <c r="G55" s="2"/>
      <c r="H55" s="2">
        <f>--1600</f>
        <v>1600</v>
      </c>
      <c r="I55" s="2"/>
      <c r="J55" s="19"/>
      <c r="K55" s="2"/>
      <c r="L55" s="2">
        <f t="shared" si="0"/>
        <v>-1600</v>
      </c>
      <c r="M55" s="2"/>
      <c r="N55" s="19">
        <f t="shared" si="1"/>
        <v>-1</v>
      </c>
      <c r="O55" s="11"/>
      <c r="P55" s="2">
        <f>--8266.16</f>
        <v>8266.16</v>
      </c>
      <c r="Q55" s="2"/>
      <c r="R55" s="19"/>
      <c r="S55" s="2"/>
      <c r="T55" s="2">
        <f>--5373</f>
        <v>5373</v>
      </c>
      <c r="U55" s="2"/>
      <c r="V55" s="19"/>
      <c r="W55" s="2"/>
      <c r="X55" s="2">
        <f t="shared" si="2"/>
        <v>2893.16</v>
      </c>
      <c r="Y55" s="2"/>
      <c r="Z55" s="19">
        <f t="shared" si="3"/>
        <v>0.53846268378931694</v>
      </c>
    </row>
    <row r="56" spans="1:26" s="24" customFormat="1" hidden="1" outlineLevel="1" x14ac:dyDescent="0.35">
      <c r="A56" s="44"/>
      <c r="B56" s="11" t="str">
        <f>CONCATENATE("          ", "4114", " - ", "NON-TAXABLE SALES-REMAINDERS")</f>
        <v xml:space="preserve">          4114 - NON-TAXABLE SALES-REMAINDERS</v>
      </c>
      <c r="C56" s="11"/>
      <c r="D56" s="2">
        <f t="shared" si="9"/>
        <v>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--3.19</f>
        <v>3.19</v>
      </c>
      <c r="Q56" s="2"/>
      <c r="R56" s="19"/>
      <c r="S56" s="2"/>
      <c r="T56" s="2">
        <f>0</f>
        <v>0</v>
      </c>
      <c r="U56" s="2"/>
      <c r="V56" s="19"/>
      <c r="W56" s="2"/>
      <c r="X56" s="2">
        <f t="shared" si="2"/>
        <v>3.19</v>
      </c>
      <c r="Y56" s="2"/>
      <c r="Z56" s="19">
        <f t="shared" si="3"/>
        <v>0</v>
      </c>
    </row>
    <row r="57" spans="1:26" s="24" customFormat="1" hidden="1" outlineLevel="1" x14ac:dyDescent="0.3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--10.09</f>
        <v>10.09</v>
      </c>
      <c r="E57" s="2"/>
      <c r="F57" s="19"/>
      <c r="G57" s="2"/>
      <c r="H57" s="2">
        <f>--2507</f>
        <v>2507</v>
      </c>
      <c r="I57" s="2"/>
      <c r="J57" s="19"/>
      <c r="K57" s="2"/>
      <c r="L57" s="2">
        <f t="shared" si="0"/>
        <v>-2496.91</v>
      </c>
      <c r="M57" s="2"/>
      <c r="N57" s="19">
        <f t="shared" si="1"/>
        <v>-0.99597526924611079</v>
      </c>
      <c r="O57" s="11"/>
      <c r="P57" s="2">
        <f>--126.03</f>
        <v>126.03</v>
      </c>
      <c r="Q57" s="2"/>
      <c r="R57" s="19"/>
      <c r="S57" s="2"/>
      <c r="T57" s="2">
        <f>--2773.48</f>
        <v>2773.48</v>
      </c>
      <c r="U57" s="2"/>
      <c r="V57" s="19"/>
      <c r="W57" s="2"/>
      <c r="X57" s="2">
        <f t="shared" si="2"/>
        <v>-2647.45</v>
      </c>
      <c r="Y57" s="2"/>
      <c r="Z57" s="19">
        <f t="shared" si="3"/>
        <v>-0.95455889352005419</v>
      </c>
    </row>
    <row r="58" spans="1:26" s="24" customFormat="1" hidden="1" outlineLevel="1" x14ac:dyDescent="0.3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--185</f>
        <v>185</v>
      </c>
      <c r="E58" s="2"/>
      <c r="F58" s="19"/>
      <c r="G58" s="2"/>
      <c r="H58" s="2">
        <f>--12.94</f>
        <v>12.94</v>
      </c>
      <c r="I58" s="2"/>
      <c r="J58" s="19"/>
      <c r="K58" s="2"/>
      <c r="L58" s="2">
        <f t="shared" si="0"/>
        <v>172.06</v>
      </c>
      <c r="M58" s="2"/>
      <c r="N58" s="19">
        <f t="shared" si="1"/>
        <v>13.2967542503864</v>
      </c>
      <c r="O58" s="11"/>
      <c r="P58" s="2">
        <f>--452.61</f>
        <v>452.61</v>
      </c>
      <c r="Q58" s="2"/>
      <c r="R58" s="19"/>
      <c r="S58" s="2"/>
      <c r="T58" s="2">
        <f>--331.15</f>
        <v>331.15</v>
      </c>
      <c r="U58" s="2"/>
      <c r="V58" s="19"/>
      <c r="W58" s="2"/>
      <c r="X58" s="2">
        <f t="shared" si="2"/>
        <v>121.46000000000004</v>
      </c>
      <c r="Y58" s="2"/>
      <c r="Z58" s="19">
        <f t="shared" si="3"/>
        <v>0.36678242488298368</v>
      </c>
    </row>
    <row r="59" spans="1:26" s="24" customFormat="1" hidden="1" outlineLevel="1" x14ac:dyDescent="0.3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--168.02</f>
        <v>168.02</v>
      </c>
      <c r="E59" s="2"/>
      <c r="F59" s="19"/>
      <c r="G59" s="2"/>
      <c r="H59" s="2">
        <f>--160.46</f>
        <v>160.46</v>
      </c>
      <c r="I59" s="2"/>
      <c r="J59" s="19"/>
      <c r="K59" s="2"/>
      <c r="L59" s="2">
        <f t="shared" si="0"/>
        <v>7.5600000000000023</v>
      </c>
      <c r="M59" s="2"/>
      <c r="N59" s="19">
        <f t="shared" si="1"/>
        <v>4.7114545681166659E-2</v>
      </c>
      <c r="O59" s="11"/>
      <c r="P59" s="2">
        <f>--3301.44</f>
        <v>3301.44</v>
      </c>
      <c r="Q59" s="2"/>
      <c r="R59" s="19"/>
      <c r="S59" s="2"/>
      <c r="T59" s="2">
        <f>--4171.98</f>
        <v>4171.9799999999996</v>
      </c>
      <c r="U59" s="2"/>
      <c r="V59" s="19"/>
      <c r="W59" s="2"/>
      <c r="X59" s="2">
        <f t="shared" si="2"/>
        <v>-870.53999999999951</v>
      </c>
      <c r="Y59" s="2"/>
      <c r="Z59" s="19">
        <f t="shared" si="3"/>
        <v>-0.2086635122891288</v>
      </c>
    </row>
    <row r="60" spans="1:26" s="24" customFormat="1" hidden="1" outlineLevel="1" x14ac:dyDescent="0.3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--97.62</f>
        <v>97.62</v>
      </c>
      <c r="E60" s="2"/>
      <c r="F60" s="19"/>
      <c r="G60" s="2"/>
      <c r="H60" s="2">
        <f>--83.39</f>
        <v>83.39</v>
      </c>
      <c r="I60" s="2"/>
      <c r="J60" s="19"/>
      <c r="K60" s="2"/>
      <c r="L60" s="2">
        <f t="shared" si="0"/>
        <v>14.230000000000004</v>
      </c>
      <c r="M60" s="2"/>
      <c r="N60" s="19">
        <f t="shared" si="1"/>
        <v>0.17064396210576813</v>
      </c>
      <c r="O60" s="11"/>
      <c r="P60" s="2">
        <f>--6471.33</f>
        <v>6471.33</v>
      </c>
      <c r="Q60" s="2"/>
      <c r="R60" s="19"/>
      <c r="S60" s="2"/>
      <c r="T60" s="2">
        <f>--12627.65</f>
        <v>12627.65</v>
      </c>
      <c r="U60" s="2"/>
      <c r="V60" s="19"/>
      <c r="W60" s="2"/>
      <c r="X60" s="2">
        <f t="shared" si="2"/>
        <v>-6156.32</v>
      </c>
      <c r="Y60" s="2"/>
      <c r="Z60" s="19">
        <f t="shared" si="3"/>
        <v>-0.48752697453603799</v>
      </c>
    </row>
    <row r="61" spans="1:26" s="24" customFormat="1" hidden="1" outlineLevel="1" x14ac:dyDescent="0.3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--0.74</f>
        <v>0.74</v>
      </c>
      <c r="E61" s="2"/>
      <c r="F61" s="19"/>
      <c r="G61" s="2"/>
      <c r="H61" s="2">
        <f>--16.55</f>
        <v>16.55</v>
      </c>
      <c r="I61" s="2"/>
      <c r="J61" s="19"/>
      <c r="K61" s="2"/>
      <c r="L61" s="2">
        <f t="shared" si="0"/>
        <v>-15.81</v>
      </c>
      <c r="M61" s="2"/>
      <c r="N61" s="19">
        <f t="shared" si="1"/>
        <v>-0.9552870090634441</v>
      </c>
      <c r="O61" s="11"/>
      <c r="P61" s="2">
        <f>--731.36</f>
        <v>731.36</v>
      </c>
      <c r="Q61" s="2"/>
      <c r="R61" s="19"/>
      <c r="S61" s="2"/>
      <c r="T61" s="2">
        <f>--894.51</f>
        <v>894.51</v>
      </c>
      <c r="U61" s="2"/>
      <c r="V61" s="19"/>
      <c r="W61" s="2"/>
      <c r="X61" s="2">
        <f t="shared" si="2"/>
        <v>-163.14999999999998</v>
      </c>
      <c r="Y61" s="2"/>
      <c r="Z61" s="19">
        <f t="shared" si="3"/>
        <v>-0.18239035896747938</v>
      </c>
    </row>
    <row r="62" spans="1:26" s="24" customFormat="1" hidden="1" outlineLevel="1" x14ac:dyDescent="0.3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--64.14</f>
        <v>64.14</v>
      </c>
      <c r="E62" s="2"/>
      <c r="F62" s="19"/>
      <c r="G62" s="2"/>
      <c r="H62" s="2">
        <f>--182.35</f>
        <v>182.35</v>
      </c>
      <c r="I62" s="2"/>
      <c r="J62" s="19"/>
      <c r="K62" s="2"/>
      <c r="L62" s="2">
        <f t="shared" si="0"/>
        <v>-118.21</v>
      </c>
      <c r="M62" s="2"/>
      <c r="N62" s="19">
        <f t="shared" si="1"/>
        <v>-0.64825884288456259</v>
      </c>
      <c r="O62" s="11"/>
      <c r="P62" s="2">
        <f>--57960.32</f>
        <v>57960.32</v>
      </c>
      <c r="Q62" s="2"/>
      <c r="R62" s="19"/>
      <c r="S62" s="2"/>
      <c r="T62" s="2">
        <f>--74222.68</f>
        <v>74222.679999999993</v>
      </c>
      <c r="U62" s="2"/>
      <c r="V62" s="19"/>
      <c r="W62" s="2"/>
      <c r="X62" s="2">
        <f t="shared" si="2"/>
        <v>-16262.359999999993</v>
      </c>
      <c r="Y62" s="2"/>
      <c r="Z62" s="19">
        <f t="shared" si="3"/>
        <v>-0.21910230134508743</v>
      </c>
    </row>
    <row r="63" spans="1:26" s="24" customFormat="1" hidden="1" outlineLevel="1" x14ac:dyDescent="0.3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--114.48</f>
        <v>114.48</v>
      </c>
      <c r="E63" s="2"/>
      <c r="F63" s="19"/>
      <c r="G63" s="2"/>
      <c r="H63" s="2">
        <f>--19904.73</f>
        <v>19904.73</v>
      </c>
      <c r="I63" s="2"/>
      <c r="J63" s="19"/>
      <c r="K63" s="2"/>
      <c r="L63" s="2">
        <f t="shared" si="0"/>
        <v>-19790.25</v>
      </c>
      <c r="M63" s="2"/>
      <c r="N63" s="19">
        <f t="shared" si="1"/>
        <v>-0.99424860322144537</v>
      </c>
      <c r="O63" s="11"/>
      <c r="P63" s="2">
        <f>--1110092.26</f>
        <v>1110092.26</v>
      </c>
      <c r="Q63" s="2"/>
      <c r="R63" s="19"/>
      <c r="S63" s="2"/>
      <c r="T63" s="2">
        <f>--1323494.5</f>
        <v>1323494.5</v>
      </c>
      <c r="U63" s="2"/>
      <c r="V63" s="19"/>
      <c r="W63" s="2"/>
      <c r="X63" s="2">
        <f t="shared" si="2"/>
        <v>-213402.23999999999</v>
      </c>
      <c r="Y63" s="2"/>
      <c r="Z63" s="19">
        <f t="shared" si="3"/>
        <v>-0.16124150119248701</v>
      </c>
    </row>
    <row r="64" spans="1:26" s="24" customFormat="1" hidden="1" outlineLevel="1" x14ac:dyDescent="0.3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--13.47</f>
        <v>13.47</v>
      </c>
      <c r="E64" s="2"/>
      <c r="F64" s="19"/>
      <c r="G64" s="2"/>
      <c r="H64" s="2">
        <f>--294.41</f>
        <v>294.41000000000003</v>
      </c>
      <c r="I64" s="2"/>
      <c r="J64" s="19"/>
      <c r="K64" s="2"/>
      <c r="L64" s="2">
        <f t="shared" si="0"/>
        <v>-280.94</v>
      </c>
      <c r="M64" s="2"/>
      <c r="N64" s="19">
        <f t="shared" si="1"/>
        <v>-0.95424747800686105</v>
      </c>
      <c r="O64" s="11"/>
      <c r="P64" s="2">
        <f>--18151.79</f>
        <v>18151.79</v>
      </c>
      <c r="Q64" s="2"/>
      <c r="R64" s="19"/>
      <c r="S64" s="2"/>
      <c r="T64" s="2">
        <f>--23768.73</f>
        <v>23768.73</v>
      </c>
      <c r="U64" s="2"/>
      <c r="V64" s="19"/>
      <c r="W64" s="2"/>
      <c r="X64" s="2">
        <f t="shared" si="2"/>
        <v>-5616.9399999999987</v>
      </c>
      <c r="Y64" s="2"/>
      <c r="Z64" s="19">
        <f t="shared" si="3"/>
        <v>-0.2363163702898724</v>
      </c>
    </row>
    <row r="65" spans="1:26" s="24" customFormat="1" hidden="1" outlineLevel="1" x14ac:dyDescent="0.3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>--4.99</f>
        <v>4.99</v>
      </c>
      <c r="E65" s="2"/>
      <c r="F65" s="19"/>
      <c r="G65" s="2"/>
      <c r="H65" s="2">
        <f t="shared" ref="H65:H66" si="10">0</f>
        <v>0</v>
      </c>
      <c r="I65" s="2"/>
      <c r="J65" s="19"/>
      <c r="K65" s="2"/>
      <c r="L65" s="2">
        <f t="shared" si="0"/>
        <v>4.99</v>
      </c>
      <c r="M65" s="2"/>
      <c r="N65" s="19">
        <f t="shared" si="1"/>
        <v>0</v>
      </c>
      <c r="O65" s="11"/>
      <c r="P65" s="2">
        <f>--101.72</f>
        <v>101.72</v>
      </c>
      <c r="Q65" s="2"/>
      <c r="R65" s="19"/>
      <c r="S65" s="2"/>
      <c r="T65" s="2">
        <f>--167.19</f>
        <v>167.19</v>
      </c>
      <c r="U65" s="2"/>
      <c r="V65" s="19"/>
      <c r="W65" s="2"/>
      <c r="X65" s="2">
        <f t="shared" si="2"/>
        <v>-65.47</v>
      </c>
      <c r="Y65" s="2"/>
      <c r="Z65" s="19">
        <f t="shared" si="3"/>
        <v>-0.39159040612476825</v>
      </c>
    </row>
    <row r="66" spans="1:26" s="24" customFormat="1" hidden="1" outlineLevel="1" x14ac:dyDescent="0.3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 t="shared" ref="D66:D67" si="11">0</f>
        <v>0</v>
      </c>
      <c r="E66" s="2"/>
      <c r="F66" s="19"/>
      <c r="G66" s="2"/>
      <c r="H66" s="2">
        <f t="shared" si="10"/>
        <v>0</v>
      </c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--161.4</f>
        <v>161.4</v>
      </c>
      <c r="Q66" s="2"/>
      <c r="R66" s="19"/>
      <c r="S66" s="2"/>
      <c r="T66" s="2">
        <f>--383.81</f>
        <v>383.81</v>
      </c>
      <c r="U66" s="2"/>
      <c r="V66" s="19"/>
      <c r="W66" s="2"/>
      <c r="X66" s="2">
        <f t="shared" si="2"/>
        <v>-222.41</v>
      </c>
      <c r="Y66" s="2"/>
      <c r="Z66" s="19">
        <f t="shared" si="3"/>
        <v>-0.57947942992626555</v>
      </c>
    </row>
    <row r="67" spans="1:26" s="24" customFormat="1" hidden="1" outlineLevel="1" x14ac:dyDescent="0.3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 t="shared" si="11"/>
        <v>0</v>
      </c>
      <c r="E67" s="2"/>
      <c r="F67" s="19"/>
      <c r="G67" s="2"/>
      <c r="H67" s="2">
        <f>--117.87</f>
        <v>117.87</v>
      </c>
      <c r="I67" s="2"/>
      <c r="J67" s="19"/>
      <c r="K67" s="2"/>
      <c r="L67" s="2">
        <f t="shared" si="0"/>
        <v>-117.87</v>
      </c>
      <c r="M67" s="2"/>
      <c r="N67" s="19">
        <f t="shared" si="1"/>
        <v>-1</v>
      </c>
      <c r="O67" s="11"/>
      <c r="P67" s="2">
        <f>--10094.74</f>
        <v>10094.74</v>
      </c>
      <c r="Q67" s="2"/>
      <c r="R67" s="19"/>
      <c r="S67" s="2"/>
      <c r="T67" s="2">
        <f>--12501.55</f>
        <v>12501.55</v>
      </c>
      <c r="U67" s="2"/>
      <c r="V67" s="19"/>
      <c r="W67" s="2"/>
      <c r="X67" s="2">
        <f t="shared" si="2"/>
        <v>-2406.8099999999995</v>
      </c>
      <c r="Y67" s="2"/>
      <c r="Z67" s="19">
        <f t="shared" si="3"/>
        <v>-0.19252092740500176</v>
      </c>
    </row>
    <row r="68" spans="1:26" s="24" customFormat="1" hidden="1" outlineLevel="1" x14ac:dyDescent="0.3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--40740.37</f>
        <v>40740.370000000003</v>
      </c>
      <c r="E68" s="2"/>
      <c r="F68" s="19"/>
      <c r="G68" s="2"/>
      <c r="H68" s="2">
        <f>--6820.39</f>
        <v>6820.39</v>
      </c>
      <c r="I68" s="2"/>
      <c r="J68" s="19"/>
      <c r="K68" s="2"/>
      <c r="L68" s="2">
        <f t="shared" si="0"/>
        <v>33919.980000000003</v>
      </c>
      <c r="M68" s="2"/>
      <c r="N68" s="19">
        <f t="shared" si="1"/>
        <v>4.9733197075240572</v>
      </c>
      <c r="O68" s="11"/>
      <c r="P68" s="2">
        <f>--176221.13</f>
        <v>176221.13</v>
      </c>
      <c r="Q68" s="2"/>
      <c r="R68" s="19"/>
      <c r="S68" s="2"/>
      <c r="T68" s="2">
        <f>--62811.11</f>
        <v>62811.11</v>
      </c>
      <c r="U68" s="2"/>
      <c r="V68" s="19"/>
      <c r="W68" s="2"/>
      <c r="X68" s="2">
        <f t="shared" si="2"/>
        <v>113410.02</v>
      </c>
      <c r="Y68" s="2"/>
      <c r="Z68" s="19">
        <f t="shared" si="3"/>
        <v>1.8055726128705576</v>
      </c>
    </row>
    <row r="69" spans="1:26" s="24" customFormat="1" hidden="1" outlineLevel="1" x14ac:dyDescent="0.3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--6641.14</f>
        <v>6641.14</v>
      </c>
      <c r="E69" s="2"/>
      <c r="F69" s="19"/>
      <c r="G69" s="2"/>
      <c r="H69" s="2">
        <f>--392.25</f>
        <v>392.25</v>
      </c>
      <c r="I69" s="2"/>
      <c r="J69" s="19"/>
      <c r="K69" s="2"/>
      <c r="L69" s="2">
        <f t="shared" si="0"/>
        <v>6248.89</v>
      </c>
      <c r="M69" s="2"/>
      <c r="N69" s="19">
        <f t="shared" si="1"/>
        <v>15.930885914595285</v>
      </c>
      <c r="O69" s="11"/>
      <c r="P69" s="2">
        <f>--23601.45</f>
        <v>23601.45</v>
      </c>
      <c r="Q69" s="2"/>
      <c r="R69" s="19"/>
      <c r="S69" s="2"/>
      <c r="T69" s="2">
        <f>--6856.03</f>
        <v>6856.03</v>
      </c>
      <c r="U69" s="2"/>
      <c r="V69" s="19"/>
      <c r="W69" s="2"/>
      <c r="X69" s="2">
        <f t="shared" si="2"/>
        <v>16745.420000000002</v>
      </c>
      <c r="Y69" s="2"/>
      <c r="Z69" s="19">
        <f t="shared" si="3"/>
        <v>2.4424368038062849</v>
      </c>
    </row>
    <row r="70" spans="1:26" s="24" customFormat="1" hidden="1" outlineLevel="1" x14ac:dyDescent="0.3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--1018.52</f>
        <v>1018.52</v>
      </c>
      <c r="E70" s="2"/>
      <c r="F70" s="19"/>
      <c r="G70" s="2"/>
      <c r="H70" s="2">
        <f>--208.83</f>
        <v>208.83</v>
      </c>
      <c r="I70" s="2"/>
      <c r="J70" s="19"/>
      <c r="K70" s="2"/>
      <c r="L70" s="2">
        <f t="shared" si="0"/>
        <v>809.68999999999994</v>
      </c>
      <c r="M70" s="2"/>
      <c r="N70" s="19">
        <f t="shared" si="1"/>
        <v>3.8772685916774403</v>
      </c>
      <c r="O70" s="11"/>
      <c r="P70" s="2">
        <f>--16350.74</f>
        <v>16350.74</v>
      </c>
      <c r="Q70" s="2"/>
      <c r="R70" s="19"/>
      <c r="S70" s="2"/>
      <c r="T70" s="2">
        <f>--21317.71</f>
        <v>21317.71</v>
      </c>
      <c r="U70" s="2"/>
      <c r="V70" s="19"/>
      <c r="W70" s="2"/>
      <c r="X70" s="2">
        <f t="shared" si="2"/>
        <v>-4966.9699999999993</v>
      </c>
      <c r="Y70" s="2"/>
      <c r="Z70" s="19">
        <f t="shared" si="3"/>
        <v>-0.23299735290516663</v>
      </c>
    </row>
    <row r="71" spans="1:26" s="24" customFormat="1" hidden="1" outlineLevel="1" x14ac:dyDescent="0.3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0</f>
        <v>0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--19.98</f>
        <v>19.98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19.98</v>
      </c>
      <c r="Y71" s="2"/>
      <c r="Z71" s="19">
        <f t="shared" si="3"/>
        <v>0</v>
      </c>
    </row>
    <row r="72" spans="1:26" s="24" customFormat="1" hidden="1" outlineLevel="1" x14ac:dyDescent="0.3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--386.9</f>
        <v>386.9</v>
      </c>
      <c r="E72" s="2"/>
      <c r="F72" s="19"/>
      <c r="G72" s="2"/>
      <c r="H72" s="2">
        <f>--19.95</f>
        <v>19.95</v>
      </c>
      <c r="I72" s="2"/>
      <c r="J72" s="19"/>
      <c r="K72" s="2"/>
      <c r="L72" s="2">
        <f t="shared" si="0"/>
        <v>366.95</v>
      </c>
      <c r="M72" s="2"/>
      <c r="N72" s="19">
        <f t="shared" si="1"/>
        <v>18.393483709273184</v>
      </c>
      <c r="O72" s="11"/>
      <c r="P72" s="2">
        <f>--3710.92</f>
        <v>3710.92</v>
      </c>
      <c r="Q72" s="2"/>
      <c r="R72" s="19"/>
      <c r="S72" s="2"/>
      <c r="T72" s="2">
        <f>--659.84</f>
        <v>659.84</v>
      </c>
      <c r="U72" s="2"/>
      <c r="V72" s="19"/>
      <c r="W72" s="2"/>
      <c r="X72" s="2">
        <f t="shared" si="2"/>
        <v>3051.08</v>
      </c>
      <c r="Y72" s="2"/>
      <c r="Z72" s="19">
        <f t="shared" si="3"/>
        <v>4.6239694471387001</v>
      </c>
    </row>
    <row r="73" spans="1:26" s="24" customFormat="1" hidden="1" outlineLevel="1" x14ac:dyDescent="0.3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--19379.5</f>
        <v>19379.5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19379.5</v>
      </c>
      <c r="M73" s="2"/>
      <c r="N73" s="19">
        <f t="shared" si="1"/>
        <v>0</v>
      </c>
      <c r="O73" s="11"/>
      <c r="P73" s="2">
        <f>--27208.18</f>
        <v>27208.18</v>
      </c>
      <c r="Q73" s="2"/>
      <c r="R73" s="19"/>
      <c r="S73" s="2"/>
      <c r="T73" s="2">
        <f>--2382.85</f>
        <v>2382.85</v>
      </c>
      <c r="U73" s="2"/>
      <c r="V73" s="19"/>
      <c r="W73" s="2"/>
      <c r="X73" s="2">
        <f t="shared" si="2"/>
        <v>24825.33</v>
      </c>
      <c r="Y73" s="2"/>
      <c r="Z73" s="19">
        <f t="shared" si="3"/>
        <v>10.418335186856076</v>
      </c>
    </row>
    <row r="74" spans="1:26" s="24" customFormat="1" hidden="1" outlineLevel="1" x14ac:dyDescent="0.3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 t="shared" ref="D74:D80" si="12">0</f>
        <v>0</v>
      </c>
      <c r="E74" s="2"/>
      <c r="F74" s="19"/>
      <c r="G74" s="2"/>
      <c r="H74" s="2">
        <f>--2296.45</f>
        <v>2296.4499999999998</v>
      </c>
      <c r="I74" s="2"/>
      <c r="J74" s="19"/>
      <c r="K74" s="2"/>
      <c r="L74" s="2">
        <f t="shared" si="0"/>
        <v>-2296.4499999999998</v>
      </c>
      <c r="M74" s="2"/>
      <c r="N74" s="19">
        <f t="shared" si="1"/>
        <v>-1</v>
      </c>
      <c r="O74" s="11"/>
      <c r="P74" s="2">
        <f>--205908.65</f>
        <v>205908.65</v>
      </c>
      <c r="Q74" s="2"/>
      <c r="R74" s="19"/>
      <c r="S74" s="2"/>
      <c r="T74" s="2">
        <f>--288251.29</f>
        <v>288251.28999999998</v>
      </c>
      <c r="U74" s="2"/>
      <c r="V74" s="19"/>
      <c r="W74" s="2"/>
      <c r="X74" s="2">
        <f t="shared" si="2"/>
        <v>-82342.639999999985</v>
      </c>
      <c r="Y74" s="2"/>
      <c r="Z74" s="19">
        <f t="shared" si="3"/>
        <v>-0.28566269382523835</v>
      </c>
    </row>
    <row r="75" spans="1:26" s="24" customFormat="1" hidden="1" outlineLevel="1" x14ac:dyDescent="0.3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 t="shared" si="12"/>
        <v>0</v>
      </c>
      <c r="E75" s="2"/>
      <c r="F75" s="19"/>
      <c r="G75" s="2"/>
      <c r="H75" s="2">
        <f>--31</f>
        <v>31</v>
      </c>
      <c r="I75" s="2"/>
      <c r="J75" s="19"/>
      <c r="K75" s="2"/>
      <c r="L75" s="2">
        <f t="shared" si="0"/>
        <v>-31</v>
      </c>
      <c r="M75" s="2"/>
      <c r="N75" s="19">
        <f t="shared" si="1"/>
        <v>-1</v>
      </c>
      <c r="O75" s="11"/>
      <c r="P75" s="2">
        <f>--3446.37</f>
        <v>3446.37</v>
      </c>
      <c r="Q75" s="2"/>
      <c r="R75" s="19"/>
      <c r="S75" s="2"/>
      <c r="T75" s="2">
        <f>--959.73</f>
        <v>959.73</v>
      </c>
      <c r="U75" s="2"/>
      <c r="V75" s="19"/>
      <c r="W75" s="2"/>
      <c r="X75" s="2">
        <f t="shared" si="2"/>
        <v>2486.64</v>
      </c>
      <c r="Y75" s="2"/>
      <c r="Z75" s="19">
        <f t="shared" si="3"/>
        <v>2.5909787127629644</v>
      </c>
    </row>
    <row r="76" spans="1:26" s="24" customFormat="1" hidden="1" outlineLevel="1" x14ac:dyDescent="0.35">
      <c r="A76" s="44"/>
      <c r="B76" s="11" t="str">
        <f>CONCATENATE("          ", "4151", " - ", "NON-TAXABLE SALES-FOOD")</f>
        <v xml:space="preserve">          4151 - NON-TAXABLE SALES-FOOD</v>
      </c>
      <c r="C76" s="11"/>
      <c r="D76" s="2">
        <f t="shared" si="12"/>
        <v>0</v>
      </c>
      <c r="E76" s="2"/>
      <c r="F76" s="19"/>
      <c r="G76" s="2"/>
      <c r="H76" s="2">
        <f>--16645.25</f>
        <v>16645.25</v>
      </c>
      <c r="I76" s="2"/>
      <c r="J76" s="19"/>
      <c r="K76" s="2"/>
      <c r="L76" s="2">
        <f t="shared" si="0"/>
        <v>-16645.25</v>
      </c>
      <c r="M76" s="2"/>
      <c r="N76" s="19">
        <f t="shared" si="1"/>
        <v>-1</v>
      </c>
      <c r="O76" s="11"/>
      <c r="P76" s="2">
        <f>--828068.07</f>
        <v>828068.07</v>
      </c>
      <c r="Q76" s="2"/>
      <c r="R76" s="19"/>
      <c r="S76" s="2"/>
      <c r="T76" s="2">
        <f>--1094407.35</f>
        <v>1094407.3500000001</v>
      </c>
      <c r="U76" s="2"/>
      <c r="V76" s="19"/>
      <c r="W76" s="2"/>
      <c r="X76" s="2">
        <f t="shared" si="2"/>
        <v>-266339.28000000014</v>
      </c>
      <c r="Y76" s="2"/>
      <c r="Z76" s="19">
        <f t="shared" si="3"/>
        <v>-0.24336393574111151</v>
      </c>
    </row>
    <row r="77" spans="1:26" s="24" customFormat="1" hidden="1" outlineLevel="1" x14ac:dyDescent="0.35">
      <c r="A77" s="44"/>
      <c r="B77" s="11" t="str">
        <f>CONCATENATE("          ", "4153", " - ", "NON-TAXABLE SALES-FOOD")</f>
        <v xml:space="preserve">          4153 - NON-TAXABLE SALES-FOOD</v>
      </c>
      <c r="C77" s="11"/>
      <c r="D77" s="2">
        <f t="shared" si="12"/>
        <v>0</v>
      </c>
      <c r="E77" s="2"/>
      <c r="F77" s="19"/>
      <c r="G77" s="2"/>
      <c r="H77" s="2">
        <f>--302.25</f>
        <v>302.25</v>
      </c>
      <c r="I77" s="2"/>
      <c r="J77" s="19"/>
      <c r="K77" s="2"/>
      <c r="L77" s="2">
        <f t="shared" si="0"/>
        <v>-302.25</v>
      </c>
      <c r="M77" s="2"/>
      <c r="N77" s="19">
        <f t="shared" si="1"/>
        <v>-1</v>
      </c>
      <c r="O77" s="11"/>
      <c r="P77" s="2">
        <f>--12812.5</f>
        <v>12812.5</v>
      </c>
      <c r="Q77" s="2"/>
      <c r="R77" s="19"/>
      <c r="S77" s="2"/>
      <c r="T77" s="2">
        <f>--14530.67</f>
        <v>14530.67</v>
      </c>
      <c r="U77" s="2"/>
      <c r="V77" s="19"/>
      <c r="W77" s="2"/>
      <c r="X77" s="2">
        <f t="shared" si="2"/>
        <v>-1718.17</v>
      </c>
      <c r="Y77" s="2"/>
      <c r="Z77" s="19">
        <f t="shared" si="3"/>
        <v>-0.11824437551744001</v>
      </c>
    </row>
    <row r="78" spans="1:26" s="24" customFormat="1" hidden="1" outlineLevel="1" x14ac:dyDescent="0.35">
      <c r="A78" s="44"/>
      <c r="B78" s="11" t="str">
        <f>CONCATENATE("          ", "4186", " - ", "NON-TAXABLE SALES-COMPUTER SUP")</f>
        <v xml:space="preserve">          4186 - NON-TAXABLE SALES-COMPUTER SUP</v>
      </c>
      <c r="C78" s="11"/>
      <c r="D78" s="2">
        <f t="shared" si="12"/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-30.97</f>
        <v>-30.97</v>
      </c>
      <c r="Q78" s="2"/>
      <c r="R78" s="19"/>
      <c r="S78" s="2"/>
      <c r="T78" s="2">
        <f>-174.68</f>
        <v>-174.68</v>
      </c>
      <c r="U78" s="2"/>
      <c r="V78" s="19"/>
      <c r="W78" s="2"/>
      <c r="X78" s="2">
        <f t="shared" si="2"/>
        <v>143.71</v>
      </c>
      <c r="Y78" s="2"/>
      <c r="Z78" s="19">
        <f t="shared" si="3"/>
        <v>-0.82270437371193039</v>
      </c>
    </row>
    <row r="79" spans="1:26" s="24" customFormat="1" hidden="1" outlineLevel="1" x14ac:dyDescent="0.35">
      <c r="A79" s="44"/>
      <c r="B79" s="11" t="str">
        <f>CONCATENATE("          ", "4192", " - ", "NON-TAXABLE SALES-GRAD MERCH")</f>
        <v xml:space="preserve">          4192 - NON-TAXABLE SALES-GRAD MERCH</v>
      </c>
      <c r="C79" s="11"/>
      <c r="D79" s="2">
        <f t="shared" si="12"/>
        <v>0</v>
      </c>
      <c r="E79" s="2"/>
      <c r="F79" s="19"/>
      <c r="G79" s="2"/>
      <c r="H79" s="2">
        <f>-510</f>
        <v>-510</v>
      </c>
      <c r="I79" s="2"/>
      <c r="J79" s="19"/>
      <c r="K79" s="2"/>
      <c r="L79" s="2">
        <f t="shared" si="0"/>
        <v>510</v>
      </c>
      <c r="M79" s="2"/>
      <c r="N79" s="19">
        <f t="shared" si="1"/>
        <v>-1</v>
      </c>
      <c r="O79" s="11"/>
      <c r="P79" s="2">
        <f>--119.4</f>
        <v>119.4</v>
      </c>
      <c r="Q79" s="2"/>
      <c r="R79" s="19"/>
      <c r="S79" s="2"/>
      <c r="T79" s="2">
        <f>--21.25</f>
        <v>21.25</v>
      </c>
      <c r="U79" s="2"/>
      <c r="V79" s="19"/>
      <c r="W79" s="2"/>
      <c r="X79" s="2">
        <f t="shared" si="2"/>
        <v>98.15</v>
      </c>
      <c r="Y79" s="2"/>
      <c r="Z79" s="19">
        <f t="shared" si="3"/>
        <v>4.618823529411765</v>
      </c>
    </row>
    <row r="80" spans="1:26" s="24" customFormat="1" hidden="1" outlineLevel="1" x14ac:dyDescent="0.35">
      <c r="A80" s="44"/>
      <c r="B80" s="11" t="str">
        <f>CONCATENATE("          ", "4201", " - ", "SALES RETURN TAXABLE-NEW TEXT")</f>
        <v xml:space="preserve">          4201 - SALES RETURN TAXABLE-NEW TEXT</v>
      </c>
      <c r="C80" s="11"/>
      <c r="D80" s="2">
        <f t="shared" si="12"/>
        <v>0</v>
      </c>
      <c r="E80" s="2"/>
      <c r="F80" s="19"/>
      <c r="G80" s="2"/>
      <c r="H80" s="2">
        <f>-1869.01</f>
        <v>-1869.01</v>
      </c>
      <c r="I80" s="2"/>
      <c r="J80" s="19"/>
      <c r="K80" s="2"/>
      <c r="L80" s="2">
        <f t="shared" si="0"/>
        <v>1869.01</v>
      </c>
      <c r="M80" s="2"/>
      <c r="N80" s="19">
        <f t="shared" si="1"/>
        <v>-1</v>
      </c>
      <c r="O80" s="11"/>
      <c r="P80" s="2">
        <f>-121451.61</f>
        <v>-121451.61</v>
      </c>
      <c r="Q80" s="2"/>
      <c r="R80" s="19"/>
      <c r="S80" s="2"/>
      <c r="T80" s="2">
        <f>-180616.86</f>
        <v>-180616.86</v>
      </c>
      <c r="U80" s="2"/>
      <c r="V80" s="19"/>
      <c r="W80" s="2"/>
      <c r="X80" s="2">
        <f t="shared" si="2"/>
        <v>59165.249999999985</v>
      </c>
      <c r="Y80" s="2"/>
      <c r="Z80" s="19">
        <f t="shared" si="3"/>
        <v>-0.32757323984040021</v>
      </c>
    </row>
    <row r="81" spans="1:26" s="24" customFormat="1" hidden="1" outlineLevel="1" x14ac:dyDescent="0.35">
      <c r="A81" s="44"/>
      <c r="B81" s="11" t="str">
        <f>CONCATENATE("          ", "4202", " - ", "SALES RETURN TAXABLE-USED TEXT")</f>
        <v xml:space="preserve">          4202 - SALES RETURN TAXABLE-USED TEXT</v>
      </c>
      <c r="C81" s="11"/>
      <c r="D81" s="2">
        <f>-186.35</f>
        <v>-186.35</v>
      </c>
      <c r="E81" s="2"/>
      <c r="F81" s="19"/>
      <c r="G81" s="2"/>
      <c r="H81" s="2">
        <f>-393.35</f>
        <v>-393.35</v>
      </c>
      <c r="I81" s="2"/>
      <c r="J81" s="19"/>
      <c r="K81" s="2"/>
      <c r="L81" s="2">
        <f t="shared" si="0"/>
        <v>207.00000000000003</v>
      </c>
      <c r="M81" s="2"/>
      <c r="N81" s="19">
        <f t="shared" si="1"/>
        <v>-0.52624888775899326</v>
      </c>
      <c r="O81" s="11"/>
      <c r="P81" s="2">
        <f>-45799.46</f>
        <v>-45799.46</v>
      </c>
      <c r="Q81" s="2"/>
      <c r="R81" s="19"/>
      <c r="S81" s="2"/>
      <c r="T81" s="2">
        <f>-47688.8</f>
        <v>-47688.800000000003</v>
      </c>
      <c r="U81" s="2"/>
      <c r="V81" s="19"/>
      <c r="W81" s="2"/>
      <c r="X81" s="2">
        <f t="shared" si="2"/>
        <v>1889.3400000000038</v>
      </c>
      <c r="Y81" s="2"/>
      <c r="Z81" s="19">
        <f t="shared" si="3"/>
        <v>-3.9618107396285997E-2</v>
      </c>
    </row>
    <row r="82" spans="1:26" s="24" customFormat="1" hidden="1" outlineLevel="1" x14ac:dyDescent="0.35">
      <c r="A82" s="44"/>
      <c r="B82" s="11" t="str">
        <f>CONCATENATE("          ", "4203", " - ", "SALES RETURN TAXABLE-RENTAL TE")</f>
        <v xml:space="preserve">          4203 - SALES RETURN TAXABLE-RENTAL TE</v>
      </c>
      <c r="C82" s="11"/>
      <c r="D82" s="2">
        <f t="shared" ref="D82:D83" si="13">0</f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-144.99</f>
        <v>-144.99</v>
      </c>
      <c r="Q82" s="2"/>
      <c r="R82" s="19"/>
      <c r="S82" s="2"/>
      <c r="T82" s="2">
        <f>-1699.5</f>
        <v>-1699.5</v>
      </c>
      <c r="U82" s="2"/>
      <c r="V82" s="19"/>
      <c r="W82" s="2"/>
      <c r="X82" s="2">
        <f t="shared" si="2"/>
        <v>1554.51</v>
      </c>
      <c r="Y82" s="2"/>
      <c r="Z82" s="19">
        <f t="shared" si="3"/>
        <v>-0.9146866725507502</v>
      </c>
    </row>
    <row r="83" spans="1:26" s="24" customFormat="1" hidden="1" outlineLevel="1" x14ac:dyDescent="0.35">
      <c r="A83" s="44"/>
      <c r="B83" s="11" t="str">
        <f>CONCATENATE("          ", "4204", " - ", "SALES RETURN TAXABLE-DIGITAL T")</f>
        <v xml:space="preserve">          4204 - SALES RETURN TAXABLE-DIGITAL T</v>
      </c>
      <c r="C83" s="11"/>
      <c r="D83" s="2">
        <f t="shared" si="13"/>
        <v>0</v>
      </c>
      <c r="E83" s="2"/>
      <c r="F83" s="19"/>
      <c r="G83" s="2"/>
      <c r="H83" s="2">
        <f>-44.1</f>
        <v>-44.1</v>
      </c>
      <c r="I83" s="2"/>
      <c r="J83" s="19"/>
      <c r="K83" s="2"/>
      <c r="L83" s="2">
        <f t="shared" si="0"/>
        <v>44.1</v>
      </c>
      <c r="M83" s="2"/>
      <c r="N83" s="19">
        <f t="shared" si="1"/>
        <v>-1</v>
      </c>
      <c r="O83" s="11"/>
      <c r="P83" s="2">
        <f>-17255.33</f>
        <v>-17255.330000000002</v>
      </c>
      <c r="Q83" s="2"/>
      <c r="R83" s="19"/>
      <c r="S83" s="2"/>
      <c r="T83" s="2">
        <f>-27147</f>
        <v>-27147</v>
      </c>
      <c r="U83" s="2"/>
      <c r="V83" s="19"/>
      <c r="W83" s="2"/>
      <c r="X83" s="2">
        <f t="shared" si="2"/>
        <v>9891.6699999999983</v>
      </c>
      <c r="Y83" s="2"/>
      <c r="Z83" s="19">
        <f t="shared" si="3"/>
        <v>-0.36437433233874822</v>
      </c>
    </row>
    <row r="84" spans="1:26" s="24" customFormat="1" hidden="1" outlineLevel="1" x14ac:dyDescent="0.35">
      <c r="A84" s="44"/>
      <c r="B84" s="11" t="str">
        <f>CONCATENATE("          ", "4213", " - ", "NON-TAXABLE SALES-TRADE BOOKS")</f>
        <v xml:space="preserve">          4213 - NON-TAXABLE SALES-TRADE BOOKS</v>
      </c>
      <c r="C84" s="11"/>
      <c r="D84" s="2">
        <f>-100.7</f>
        <v>-100.7</v>
      </c>
      <c r="E84" s="2"/>
      <c r="F84" s="19"/>
      <c r="G84" s="2"/>
      <c r="H84" s="2">
        <f>-5.95</f>
        <v>-5.95</v>
      </c>
      <c r="I84" s="2"/>
      <c r="J84" s="19"/>
      <c r="K84" s="2"/>
      <c r="L84" s="2">
        <f t="shared" si="0"/>
        <v>-94.75</v>
      </c>
      <c r="M84" s="2"/>
      <c r="N84" s="19">
        <f t="shared" si="1"/>
        <v>15.92436974789916</v>
      </c>
      <c r="O84" s="11"/>
      <c r="P84" s="2">
        <f>-2869.37</f>
        <v>-2869.37</v>
      </c>
      <c r="Q84" s="2"/>
      <c r="R84" s="19"/>
      <c r="S84" s="2"/>
      <c r="T84" s="2">
        <f>-1554.3</f>
        <v>-1554.3</v>
      </c>
      <c r="U84" s="2"/>
      <c r="V84" s="19"/>
      <c r="W84" s="2"/>
      <c r="X84" s="2">
        <f t="shared" si="2"/>
        <v>-1315.07</v>
      </c>
      <c r="Y84" s="2"/>
      <c r="Z84" s="19">
        <f t="shared" si="3"/>
        <v>0.84608505436530912</v>
      </c>
    </row>
    <row r="85" spans="1:26" s="24" customFormat="1" hidden="1" outlineLevel="1" x14ac:dyDescent="0.35">
      <c r="A85" s="44"/>
      <c r="B85" s="11" t="str">
        <f>CONCATENATE("          ", "4214", " - ", "SALES RETURN TAXABLE-REMAINDER")</f>
        <v xml:space="preserve">          4214 - SALES RETURN TAXABLE-REMAINDER</v>
      </c>
      <c r="C85" s="11"/>
      <c r="D85" s="2">
        <f t="shared" ref="D85:D89" si="14">0</f>
        <v>0</v>
      </c>
      <c r="E85" s="2"/>
      <c r="F85" s="19"/>
      <c r="G85" s="2"/>
      <c r="H85" s="2">
        <f t="shared" ref="H85:H87" si="15"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-11.94</f>
        <v>-11.94</v>
      </c>
      <c r="Q85" s="2"/>
      <c r="R85" s="19"/>
      <c r="S85" s="2"/>
      <c r="T85" s="2">
        <f>-19.84</f>
        <v>-19.84</v>
      </c>
      <c r="U85" s="2"/>
      <c r="V85" s="19"/>
      <c r="W85" s="2"/>
      <c r="X85" s="2">
        <f t="shared" si="2"/>
        <v>7.9</v>
      </c>
      <c r="Y85" s="2"/>
      <c r="Z85" s="19">
        <f t="shared" si="3"/>
        <v>-0.39818548387096775</v>
      </c>
    </row>
    <row r="86" spans="1:26" s="24" customFormat="1" hidden="1" outlineLevel="1" x14ac:dyDescent="0.35">
      <c r="A86" s="44"/>
      <c r="B86" s="11" t="str">
        <f>CONCATENATE("          ", "4217", " - ", "NON-TAXABLE SALES-DORM/HOUSEWA")</f>
        <v xml:space="preserve">          4217 - NON-TAXABLE SALES-DORM/HOUSEWA</v>
      </c>
      <c r="C86" s="11"/>
      <c r="D86" s="2">
        <f t="shared" si="14"/>
        <v>0</v>
      </c>
      <c r="E86" s="2"/>
      <c r="F86" s="19"/>
      <c r="G86" s="2"/>
      <c r="H86" s="2">
        <f t="shared" si="15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-2.98</f>
        <v>-2.98</v>
      </c>
      <c r="Q86" s="2"/>
      <c r="R86" s="19"/>
      <c r="S86" s="2"/>
      <c r="T86" s="2">
        <f>-2.99</f>
        <v>-2.99</v>
      </c>
      <c r="U86" s="2"/>
      <c r="V86" s="19"/>
      <c r="W86" s="2"/>
      <c r="X86" s="2">
        <f t="shared" si="2"/>
        <v>1.0000000000000231E-2</v>
      </c>
      <c r="Y86" s="2"/>
      <c r="Z86" s="19">
        <f t="shared" si="3"/>
        <v>-3.3444816053512477E-3</v>
      </c>
    </row>
    <row r="87" spans="1:26" s="24" customFormat="1" hidden="1" outlineLevel="1" x14ac:dyDescent="0.35">
      <c r="A87" s="44"/>
      <c r="B87" s="11" t="str">
        <f>CONCATENATE("          ", "4218", " - ", "SALES RETURN TAXABLE-STUDY GUI")</f>
        <v xml:space="preserve">          4218 - SALES RETURN TAXABLE-STUDY GUI</v>
      </c>
      <c r="C87" s="11"/>
      <c r="D87" s="2">
        <f t="shared" si="14"/>
        <v>0</v>
      </c>
      <c r="E87" s="2"/>
      <c r="F87" s="19"/>
      <c r="G87" s="2"/>
      <c r="H87" s="2">
        <f t="shared" si="15"/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-39.25</f>
        <v>-39.25</v>
      </c>
      <c r="Q87" s="2"/>
      <c r="R87" s="19"/>
      <c r="S87" s="2"/>
      <c r="T87" s="2">
        <f>-67.6</f>
        <v>-67.599999999999994</v>
      </c>
      <c r="U87" s="2"/>
      <c r="V87" s="19"/>
      <c r="W87" s="2"/>
      <c r="X87" s="2">
        <f t="shared" si="2"/>
        <v>28.349999999999994</v>
      </c>
      <c r="Y87" s="2"/>
      <c r="Z87" s="19">
        <f t="shared" si="3"/>
        <v>-0.41937869822485202</v>
      </c>
    </row>
    <row r="88" spans="1:26" s="24" customFormat="1" hidden="1" outlineLevel="1" x14ac:dyDescent="0.35">
      <c r="A88" s="44"/>
      <c r="B88" s="11" t="str">
        <f>CONCATENATE("          ", "4225", " - ", "SALES RETURN TAXABLE-TEST FORM")</f>
        <v xml:space="preserve">          4225 - SALES RETURN TAXABLE-TEST FORM</v>
      </c>
      <c r="C88" s="11"/>
      <c r="D88" s="2">
        <f t="shared" si="14"/>
        <v>0</v>
      </c>
      <c r="E88" s="2"/>
      <c r="F88" s="19"/>
      <c r="G88" s="2"/>
      <c r="H88" s="2">
        <f>-3.39</f>
        <v>-3.39</v>
      </c>
      <c r="I88" s="2"/>
      <c r="J88" s="19"/>
      <c r="K88" s="2"/>
      <c r="L88" s="2">
        <f t="shared" si="0"/>
        <v>3.39</v>
      </c>
      <c r="M88" s="2"/>
      <c r="N88" s="19">
        <f t="shared" si="1"/>
        <v>-1</v>
      </c>
      <c r="O88" s="11"/>
      <c r="P88" s="2">
        <f>-205.91</f>
        <v>-205.91</v>
      </c>
      <c r="Q88" s="2"/>
      <c r="R88" s="19"/>
      <c r="S88" s="2"/>
      <c r="T88" s="2">
        <f>-191.21</f>
        <v>-191.21</v>
      </c>
      <c r="U88" s="2"/>
      <c r="V88" s="19"/>
      <c r="W88" s="2"/>
      <c r="X88" s="2">
        <f t="shared" si="2"/>
        <v>-14.699999999999989</v>
      </c>
      <c r="Y88" s="2"/>
      <c r="Z88" s="19">
        <f t="shared" si="3"/>
        <v>7.6878824329271414E-2</v>
      </c>
    </row>
    <row r="89" spans="1:26" s="24" customFormat="1" hidden="1" outlineLevel="1" x14ac:dyDescent="0.35">
      <c r="A89" s="44"/>
      <c r="B89" s="11" t="str">
        <f>CONCATENATE("          ", "4226", " - ", "SALES RETURN TAXABLE-WRITING I")</f>
        <v xml:space="preserve">          4226 - SALES RETURN TAXABLE-WRITING I</v>
      </c>
      <c r="C89" s="11"/>
      <c r="D89" s="2">
        <f t="shared" si="14"/>
        <v>0</v>
      </c>
      <c r="E89" s="2"/>
      <c r="F89" s="19"/>
      <c r="G89" s="2"/>
      <c r="H89" s="2">
        <f>-44.61</f>
        <v>-44.61</v>
      </c>
      <c r="I89" s="2"/>
      <c r="J89" s="19"/>
      <c r="K89" s="2"/>
      <c r="L89" s="2">
        <f t="shared" si="0"/>
        <v>44.61</v>
      </c>
      <c r="M89" s="2"/>
      <c r="N89" s="19">
        <f t="shared" si="1"/>
        <v>-1</v>
      </c>
      <c r="O89" s="11"/>
      <c r="P89" s="2">
        <f>-924.44</f>
        <v>-924.44</v>
      </c>
      <c r="Q89" s="2"/>
      <c r="R89" s="19"/>
      <c r="S89" s="2"/>
      <c r="T89" s="2">
        <f>-766.52</f>
        <v>-766.52</v>
      </c>
      <c r="U89" s="2"/>
      <c r="V89" s="19"/>
      <c r="W89" s="2"/>
      <c r="X89" s="2">
        <f t="shared" si="2"/>
        <v>-157.92000000000007</v>
      </c>
      <c r="Y89" s="2"/>
      <c r="Z89" s="19">
        <f t="shared" si="3"/>
        <v>0.20602202160413308</v>
      </c>
    </row>
    <row r="90" spans="1:26" s="24" customFormat="1" hidden="1" outlineLevel="1" x14ac:dyDescent="0.35">
      <c r="A90" s="44"/>
      <c r="B90" s="11" t="str">
        <f>CONCATENATE("          ", "4227", " - ", "SALES RETURN TAXABLE-SCHOOL SU")</f>
        <v xml:space="preserve">          4227 - SALES RETURN TAXABLE-SCHOOL SU</v>
      </c>
      <c r="C90" s="11"/>
      <c r="D90" s="2">
        <f>-81.87</f>
        <v>-81.87</v>
      </c>
      <c r="E90" s="2"/>
      <c r="F90" s="19"/>
      <c r="G90" s="2"/>
      <c r="H90" s="2">
        <f>-179.06</f>
        <v>-179.06</v>
      </c>
      <c r="I90" s="2"/>
      <c r="J90" s="19"/>
      <c r="K90" s="2"/>
      <c r="L90" s="2">
        <f t="shared" si="0"/>
        <v>97.19</v>
      </c>
      <c r="M90" s="2"/>
      <c r="N90" s="19">
        <f t="shared" si="1"/>
        <v>-0.54277895677426558</v>
      </c>
      <c r="O90" s="11"/>
      <c r="P90" s="2">
        <f>-8728.9</f>
        <v>-8728.9</v>
      </c>
      <c r="Q90" s="2"/>
      <c r="R90" s="19"/>
      <c r="S90" s="2"/>
      <c r="T90" s="2">
        <f>-6986.53</f>
        <v>-6986.53</v>
      </c>
      <c r="U90" s="2"/>
      <c r="V90" s="19"/>
      <c r="W90" s="2"/>
      <c r="X90" s="2">
        <f t="shared" si="2"/>
        <v>-1742.37</v>
      </c>
      <c r="Y90" s="2"/>
      <c r="Z90" s="19">
        <f t="shared" si="3"/>
        <v>0.2493898974168865</v>
      </c>
    </row>
    <row r="91" spans="1:26" s="24" customFormat="1" hidden="1" outlineLevel="1" x14ac:dyDescent="0.35">
      <c r="A91" s="44"/>
      <c r="B91" s="11" t="str">
        <f>CONCATENATE("          ", "4228", " - ", "SALES RETURN TAXABLE-ART/TECH")</f>
        <v xml:space="preserve">          4228 - SALES RETURN TAXABLE-ART/TECH</v>
      </c>
      <c r="C91" s="11"/>
      <c r="D91" s="2">
        <f t="shared" ref="D91:D93" si="16">0</f>
        <v>0</v>
      </c>
      <c r="E91" s="2"/>
      <c r="F91" s="19"/>
      <c r="G91" s="2"/>
      <c r="H91" s="2">
        <f>-17.45</f>
        <v>-17.45</v>
      </c>
      <c r="I91" s="2"/>
      <c r="J91" s="19"/>
      <c r="K91" s="2"/>
      <c r="L91" s="2">
        <f t="shared" si="0"/>
        <v>17.45</v>
      </c>
      <c r="M91" s="2"/>
      <c r="N91" s="19">
        <f t="shared" si="1"/>
        <v>-1</v>
      </c>
      <c r="O91" s="11"/>
      <c r="P91" s="2">
        <f>-4739.1</f>
        <v>-4739.1000000000004</v>
      </c>
      <c r="Q91" s="2"/>
      <c r="R91" s="19"/>
      <c r="S91" s="2"/>
      <c r="T91" s="2">
        <f>-8342.73</f>
        <v>-8342.73</v>
      </c>
      <c r="U91" s="2"/>
      <c r="V91" s="19"/>
      <c r="W91" s="2"/>
      <c r="X91" s="2">
        <f t="shared" si="2"/>
        <v>3603.6299999999992</v>
      </c>
      <c r="Y91" s="2"/>
      <c r="Z91" s="19">
        <f t="shared" si="3"/>
        <v>-0.4319485348321232</v>
      </c>
    </row>
    <row r="92" spans="1:26" s="24" customFormat="1" hidden="1" outlineLevel="1" x14ac:dyDescent="0.35">
      <c r="A92" s="44"/>
      <c r="B92" s="11" t="str">
        <f>CONCATENATE("          ", "4233", " - ", "SALES RETURN TAXABLE-CANDY")</f>
        <v xml:space="preserve">          4233 - SALES RETURN TAXABLE-CANDY</v>
      </c>
      <c r="C92" s="11"/>
      <c r="D92" s="2">
        <f t="shared" si="16"/>
        <v>0</v>
      </c>
      <c r="E92" s="2"/>
      <c r="F92" s="19"/>
      <c r="G92" s="2"/>
      <c r="H92" s="2">
        <f>-139.92</f>
        <v>-139.91999999999999</v>
      </c>
      <c r="I92" s="2"/>
      <c r="J92" s="19"/>
      <c r="K92" s="2"/>
      <c r="L92" s="2">
        <f t="shared" si="0"/>
        <v>139.91999999999999</v>
      </c>
      <c r="M92" s="2"/>
      <c r="N92" s="19">
        <f t="shared" si="1"/>
        <v>-1</v>
      </c>
      <c r="O92" s="11"/>
      <c r="P92" s="2">
        <f>-8.25</f>
        <v>-8.25</v>
      </c>
      <c r="Q92" s="2"/>
      <c r="R92" s="19"/>
      <c r="S92" s="2"/>
      <c r="T92" s="2">
        <f>-145.19</f>
        <v>-145.19</v>
      </c>
      <c r="U92" s="2"/>
      <c r="V92" s="19"/>
      <c r="W92" s="2"/>
      <c r="X92" s="2">
        <f t="shared" si="2"/>
        <v>136.94</v>
      </c>
      <c r="Y92" s="2"/>
      <c r="Z92" s="19">
        <f t="shared" si="3"/>
        <v>-0.94317790481438113</v>
      </c>
    </row>
    <row r="93" spans="1:26" s="24" customFormat="1" hidden="1" outlineLevel="1" x14ac:dyDescent="0.35">
      <c r="A93" s="44"/>
      <c r="B93" s="11" t="str">
        <f>CONCATENATE("          ", "4234", " - ", "SALES RETURN TAXABLE-SODA")</f>
        <v xml:space="preserve">          4234 - SALES RETURN TAXABLE-SODA</v>
      </c>
      <c r="C93" s="11"/>
      <c r="D93" s="2">
        <f t="shared" si="16"/>
        <v>0</v>
      </c>
      <c r="E93" s="2"/>
      <c r="F93" s="19"/>
      <c r="G93" s="2"/>
      <c r="H93" s="2">
        <f>-362.88</f>
        <v>-362.88</v>
      </c>
      <c r="I93" s="2"/>
      <c r="J93" s="19"/>
      <c r="K93" s="2"/>
      <c r="L93" s="2">
        <f t="shared" si="0"/>
        <v>362.88</v>
      </c>
      <c r="M93" s="2"/>
      <c r="N93" s="19">
        <f t="shared" si="1"/>
        <v>-1</v>
      </c>
      <c r="O93" s="11"/>
      <c r="P93" s="2">
        <f>0</f>
        <v>0</v>
      </c>
      <c r="Q93" s="2"/>
      <c r="R93" s="19"/>
      <c r="S93" s="2"/>
      <c r="T93" s="2">
        <f>-368.16</f>
        <v>-368.16</v>
      </c>
      <c r="U93" s="2"/>
      <c r="V93" s="19"/>
      <c r="W93" s="2"/>
      <c r="X93" s="2">
        <f t="shared" si="2"/>
        <v>368.16</v>
      </c>
      <c r="Y93" s="2"/>
      <c r="Z93" s="19">
        <f t="shared" si="3"/>
        <v>-1</v>
      </c>
    </row>
    <row r="94" spans="1:26" s="24" customFormat="1" hidden="1" outlineLevel="1" x14ac:dyDescent="0.35">
      <c r="A94" s="44"/>
      <c r="B94" s="11" t="str">
        <f>CONCATENATE("          ", "4240", " - ", "SALES RETURN TAXABLE-LOGO CLOT")</f>
        <v xml:space="preserve">          4240 - SALES RETURN TAXABLE-LOGO CLOT</v>
      </c>
      <c r="C94" s="11"/>
      <c r="D94" s="2">
        <f>-2702.34</f>
        <v>-2702.34</v>
      </c>
      <c r="E94" s="2"/>
      <c r="F94" s="19"/>
      <c r="G94" s="2"/>
      <c r="H94" s="2">
        <f>-4511.18</f>
        <v>-4511.18</v>
      </c>
      <c r="I94" s="2"/>
      <c r="J94" s="19"/>
      <c r="K94" s="2"/>
      <c r="L94" s="2">
        <f t="shared" si="0"/>
        <v>1808.8400000000001</v>
      </c>
      <c r="M94" s="2"/>
      <c r="N94" s="19">
        <f t="shared" si="1"/>
        <v>-0.40096826107581607</v>
      </c>
      <c r="O94" s="11"/>
      <c r="P94" s="2">
        <f>-80387.11</f>
        <v>-80387.11</v>
      </c>
      <c r="Q94" s="2"/>
      <c r="R94" s="19"/>
      <c r="S94" s="2"/>
      <c r="T94" s="2">
        <f>-98015.21</f>
        <v>-98015.21</v>
      </c>
      <c r="U94" s="2"/>
      <c r="V94" s="19"/>
      <c r="W94" s="2"/>
      <c r="X94" s="2">
        <f t="shared" si="2"/>
        <v>17628.100000000006</v>
      </c>
      <c r="Y94" s="2"/>
      <c r="Z94" s="19">
        <f t="shared" si="3"/>
        <v>-0.17985065787238536</v>
      </c>
    </row>
    <row r="95" spans="1:26" s="24" customFormat="1" hidden="1" outlineLevel="1" x14ac:dyDescent="0.35">
      <c r="A95" s="44"/>
      <c r="B95" s="11" t="str">
        <f>CONCATENATE("          ", "4241", " - ", "SALES RETURN TAXABLE-LOGO GIFT")</f>
        <v xml:space="preserve">          4241 - SALES RETURN TAXABLE-LOGO GIFT</v>
      </c>
      <c r="C95" s="11"/>
      <c r="D95" s="2">
        <f>-525.51</f>
        <v>-525.51</v>
      </c>
      <c r="E95" s="2"/>
      <c r="F95" s="19"/>
      <c r="G95" s="2"/>
      <c r="H95" s="2">
        <f>-930.18</f>
        <v>-930.18</v>
      </c>
      <c r="I95" s="2"/>
      <c r="J95" s="19"/>
      <c r="K95" s="2"/>
      <c r="L95" s="2">
        <f t="shared" si="0"/>
        <v>404.66999999999996</v>
      </c>
      <c r="M95" s="2"/>
      <c r="N95" s="19">
        <f t="shared" si="1"/>
        <v>-0.43504483003289685</v>
      </c>
      <c r="O95" s="11"/>
      <c r="P95" s="2">
        <f>-7990.78</f>
        <v>-7990.78</v>
      </c>
      <c r="Q95" s="2"/>
      <c r="R95" s="19"/>
      <c r="S95" s="2"/>
      <c r="T95" s="2">
        <f>-16238.22</f>
        <v>-16238.22</v>
      </c>
      <c r="U95" s="2"/>
      <c r="V95" s="19"/>
      <c r="W95" s="2"/>
      <c r="X95" s="2">
        <f t="shared" si="2"/>
        <v>8247.4399999999987</v>
      </c>
      <c r="Y95" s="2"/>
      <c r="Z95" s="19">
        <f t="shared" si="3"/>
        <v>-0.50790295980717093</v>
      </c>
    </row>
    <row r="96" spans="1:26" s="24" customFormat="1" hidden="1" outlineLevel="1" x14ac:dyDescent="0.35">
      <c r="A96" s="44"/>
      <c r="B96" s="11" t="str">
        <f>CONCATENATE("          ", "4242", " - ", "SALES RETURN TAXABLE-EVERYDAY")</f>
        <v xml:space="preserve">          4242 - SALES RETURN TAXABLE-EVERYDAY</v>
      </c>
      <c r="C96" s="11"/>
      <c r="D96" s="2">
        <f>-51.44</f>
        <v>-51.44</v>
      </c>
      <c r="E96" s="2"/>
      <c r="F96" s="19"/>
      <c r="G96" s="2"/>
      <c r="H96" s="2">
        <f>-229.78</f>
        <v>-229.78</v>
      </c>
      <c r="I96" s="2"/>
      <c r="J96" s="19"/>
      <c r="K96" s="2"/>
      <c r="L96" s="2">
        <f t="shared" si="0"/>
        <v>178.34</v>
      </c>
      <c r="M96" s="2"/>
      <c r="N96" s="19">
        <f t="shared" si="1"/>
        <v>-0.77613369309774571</v>
      </c>
      <c r="O96" s="11"/>
      <c r="P96" s="2">
        <f>-4232.85</f>
        <v>-4232.8500000000004</v>
      </c>
      <c r="Q96" s="2"/>
      <c r="R96" s="19"/>
      <c r="S96" s="2"/>
      <c r="T96" s="2">
        <f>-5238.15</f>
        <v>-5238.1499999999996</v>
      </c>
      <c r="U96" s="2"/>
      <c r="V96" s="19"/>
      <c r="W96" s="2"/>
      <c r="X96" s="2">
        <f t="shared" si="2"/>
        <v>1005.2999999999993</v>
      </c>
      <c r="Y96" s="2"/>
      <c r="Z96" s="19">
        <f t="shared" si="3"/>
        <v>-0.19191890266601747</v>
      </c>
    </row>
    <row r="97" spans="1:26" s="24" customFormat="1" hidden="1" outlineLevel="1" x14ac:dyDescent="0.35">
      <c r="A97" s="44"/>
      <c r="B97" s="11" t="str">
        <f>CONCATENATE("          ", "4243", " - ", "SALES RETURN TAXABLE-CARDS")</f>
        <v xml:space="preserve">          4243 - SALES RETURN TAXABLE-CARDS</v>
      </c>
      <c r="C97" s="11"/>
      <c r="D97" s="2">
        <f>-19.99</f>
        <v>-19.989999999999998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-19.989999999999998</v>
      </c>
      <c r="M97" s="2"/>
      <c r="N97" s="19">
        <f t="shared" si="1"/>
        <v>0</v>
      </c>
      <c r="O97" s="11"/>
      <c r="P97" s="2">
        <f>-3026.3</f>
        <v>-3026.3</v>
      </c>
      <c r="Q97" s="2"/>
      <c r="R97" s="19"/>
      <c r="S97" s="2"/>
      <c r="T97" s="2">
        <f>-25.94</f>
        <v>-25.94</v>
      </c>
      <c r="U97" s="2"/>
      <c r="V97" s="19"/>
      <c r="W97" s="2"/>
      <c r="X97" s="2">
        <f t="shared" si="2"/>
        <v>-3000.36</v>
      </c>
      <c r="Y97" s="2"/>
      <c r="Z97" s="19">
        <f t="shared" si="3"/>
        <v>115.66538164996145</v>
      </c>
    </row>
    <row r="98" spans="1:26" s="24" customFormat="1" hidden="1" outlineLevel="1" x14ac:dyDescent="0.35">
      <c r="A98" s="44"/>
      <c r="B98" s="11" t="str">
        <f>CONCATENATE("          ", "4244", " - ", "SALES RETURN TAXABLE-ACCESSORI")</f>
        <v xml:space="preserve">          4244 - SALES RETURN TAXABLE-ACCESSORI</v>
      </c>
      <c r="C98" s="11"/>
      <c r="D98" s="2">
        <f>0</f>
        <v>0</v>
      </c>
      <c r="E98" s="2"/>
      <c r="F98" s="19"/>
      <c r="G98" s="2"/>
      <c r="H98" s="2">
        <f>-9.95</f>
        <v>-9.9499999999999993</v>
      </c>
      <c r="I98" s="2"/>
      <c r="J98" s="19"/>
      <c r="K98" s="2"/>
      <c r="L98" s="2">
        <f t="shared" si="0"/>
        <v>9.9499999999999993</v>
      </c>
      <c r="M98" s="2"/>
      <c r="N98" s="19">
        <f t="shared" si="1"/>
        <v>-1</v>
      </c>
      <c r="O98" s="11"/>
      <c r="P98" s="2">
        <f>-2726.41</f>
        <v>-2726.41</v>
      </c>
      <c r="Q98" s="2"/>
      <c r="R98" s="19"/>
      <c r="S98" s="2"/>
      <c r="T98" s="2">
        <f>-3985.97</f>
        <v>-3985.97</v>
      </c>
      <c r="U98" s="2"/>
      <c r="V98" s="19"/>
      <c r="W98" s="2"/>
      <c r="X98" s="2">
        <f t="shared" si="2"/>
        <v>1259.56</v>
      </c>
      <c r="Y98" s="2"/>
      <c r="Z98" s="19">
        <f t="shared" si="3"/>
        <v>-0.31599836426265127</v>
      </c>
    </row>
    <row r="99" spans="1:26" s="24" customFormat="1" hidden="1" outlineLevel="1" x14ac:dyDescent="0.35">
      <c r="A99" s="44"/>
      <c r="B99" s="11" t="str">
        <f>CONCATENATE("          ", "4245", " - ", "SALES RETURN TAXABLE-SPECIAL O")</f>
        <v xml:space="preserve">          4245 - SALES RETURN TAXABLE-SPECIAL O</v>
      </c>
      <c r="C99" s="11"/>
      <c r="D99" s="2">
        <f>-2187.5</f>
        <v>-2187.5</v>
      </c>
      <c r="E99" s="2"/>
      <c r="F99" s="19"/>
      <c r="G99" s="2"/>
      <c r="H99" s="2">
        <f>-937.5</f>
        <v>-937.5</v>
      </c>
      <c r="I99" s="2"/>
      <c r="J99" s="19"/>
      <c r="K99" s="2"/>
      <c r="L99" s="2">
        <f t="shared" si="0"/>
        <v>-1250</v>
      </c>
      <c r="M99" s="2"/>
      <c r="N99" s="19">
        <f t="shared" si="1"/>
        <v>1.3333333333333333</v>
      </c>
      <c r="O99" s="11"/>
      <c r="P99" s="2">
        <f>-4097.53</f>
        <v>-4097.53</v>
      </c>
      <c r="Q99" s="2"/>
      <c r="R99" s="19"/>
      <c r="S99" s="2"/>
      <c r="T99" s="2">
        <f>-2848.22</f>
        <v>-2848.22</v>
      </c>
      <c r="U99" s="2"/>
      <c r="V99" s="19"/>
      <c r="W99" s="2"/>
      <c r="X99" s="2">
        <f t="shared" si="2"/>
        <v>-1249.31</v>
      </c>
      <c r="Y99" s="2"/>
      <c r="Z99" s="19">
        <f t="shared" si="3"/>
        <v>0.43862833629424697</v>
      </c>
    </row>
    <row r="100" spans="1:26" s="24" customFormat="1" hidden="1" outlineLevel="1" x14ac:dyDescent="0.35">
      <c r="A100" s="44"/>
      <c r="B100" s="11" t="str">
        <f>CONCATENATE("          ", "4281", " - ", "SALES RETURN TAXABLE-ELECTRONI")</f>
        <v xml:space="preserve">          4281 - SALES RETURN TAXABLE-ELECTRONI</v>
      </c>
      <c r="C100" s="11"/>
      <c r="D100" s="2">
        <f>0</f>
        <v>0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-54.97</f>
        <v>-54.97</v>
      </c>
      <c r="Q100" s="2"/>
      <c r="R100" s="19"/>
      <c r="S100" s="2"/>
      <c r="T100" s="2">
        <f>-64.95</f>
        <v>-64.95</v>
      </c>
      <c r="U100" s="2"/>
      <c r="V100" s="19"/>
      <c r="W100" s="2"/>
      <c r="X100" s="2">
        <f t="shared" si="2"/>
        <v>9.980000000000004</v>
      </c>
      <c r="Y100" s="2"/>
      <c r="Z100" s="19">
        <f t="shared" si="3"/>
        <v>-0.1536566589684373</v>
      </c>
    </row>
    <row r="101" spans="1:26" s="24" customFormat="1" hidden="1" outlineLevel="1" x14ac:dyDescent="0.35">
      <c r="A101" s="44"/>
      <c r="B101" s="11" t="str">
        <f>CONCATENATE("          ", "4292", " - ", "SALES RETURN TAXABLE-GRAD MERC")</f>
        <v xml:space="preserve">          4292 - SALES RETURN TAXABLE-GRAD MERC</v>
      </c>
      <c r="C101" s="11"/>
      <c r="D101" s="2">
        <f>-214.68</f>
        <v>-214.68</v>
      </c>
      <c r="E101" s="2"/>
      <c r="F101" s="19"/>
      <c r="G101" s="2"/>
      <c r="H101" s="2">
        <f>-39.95</f>
        <v>-39.950000000000003</v>
      </c>
      <c r="I101" s="2"/>
      <c r="J101" s="19"/>
      <c r="K101" s="2"/>
      <c r="L101" s="2">
        <f t="shared" si="0"/>
        <v>-174.73000000000002</v>
      </c>
      <c r="M101" s="2"/>
      <c r="N101" s="19">
        <f t="shared" si="1"/>
        <v>4.3737171464330418</v>
      </c>
      <c r="O101" s="11"/>
      <c r="P101" s="2">
        <f>-793.52</f>
        <v>-793.52</v>
      </c>
      <c r="Q101" s="2"/>
      <c r="R101" s="19"/>
      <c r="S101" s="2"/>
      <c r="T101" s="2">
        <f>-8552.26</f>
        <v>-8552.26</v>
      </c>
      <c r="U101" s="2"/>
      <c r="V101" s="19"/>
      <c r="W101" s="2"/>
      <c r="X101" s="2">
        <f t="shared" si="2"/>
        <v>7758.74</v>
      </c>
      <c r="Y101" s="2"/>
      <c r="Z101" s="19">
        <f t="shared" si="3"/>
        <v>-0.90721516885595144</v>
      </c>
    </row>
    <row r="102" spans="1:26" s="24" customFormat="1" hidden="1" outlineLevel="1" x14ac:dyDescent="0.35">
      <c r="A102" s="44"/>
      <c r="B102" s="11" t="str">
        <f>CONCATENATE("          ", "4295", " - ", "SALES RETURN TAXABLE-CUSTOMER")</f>
        <v xml:space="preserve">          4295 - SALES RETURN TAXABLE-CUSTOMER</v>
      </c>
      <c r="C102" s="11"/>
      <c r="D102" s="2">
        <f>0</f>
        <v>0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--0.99</f>
        <v>0.99</v>
      </c>
      <c r="Q102" s="2"/>
      <c r="R102" s="19"/>
      <c r="S102" s="2"/>
      <c r="T102" s="2">
        <f>-126.72</f>
        <v>-126.72</v>
      </c>
      <c r="U102" s="2"/>
      <c r="V102" s="19"/>
      <c r="W102" s="2"/>
      <c r="X102" s="2">
        <f t="shared" si="2"/>
        <v>127.71</v>
      </c>
      <c r="Y102" s="2"/>
      <c r="Z102" s="19">
        <f t="shared" si="3"/>
        <v>-1.0078125</v>
      </c>
    </row>
    <row r="103" spans="1:26" s="24" customFormat="1" hidden="1" outlineLevel="1" x14ac:dyDescent="0.35">
      <c r="A103" s="44"/>
      <c r="B103" s="11" t="str">
        <f>CONCATENATE("          ", "4301", " - ", "SALES RETURN NON TAXABLE-NEW T")</f>
        <v xml:space="preserve">          4301 - SALES RETURN NON TAXABLE-NEW T</v>
      </c>
      <c r="C103" s="11"/>
      <c r="D103" s="2">
        <f>-253.49</f>
        <v>-253.49</v>
      </c>
      <c r="E103" s="2"/>
      <c r="F103" s="19"/>
      <c r="G103" s="2"/>
      <c r="H103" s="2">
        <f>-429.12</f>
        <v>-429.12</v>
      </c>
      <c r="I103" s="2"/>
      <c r="J103" s="19"/>
      <c r="K103" s="2"/>
      <c r="L103" s="2">
        <f t="shared" si="0"/>
        <v>175.63</v>
      </c>
      <c r="M103" s="2"/>
      <c r="N103" s="19">
        <f t="shared" si="1"/>
        <v>-0.40927945563012674</v>
      </c>
      <c r="O103" s="11"/>
      <c r="P103" s="2">
        <f>-21543.36</f>
        <v>-21543.360000000001</v>
      </c>
      <c r="Q103" s="2"/>
      <c r="R103" s="19"/>
      <c r="S103" s="2"/>
      <c r="T103" s="2">
        <f>-51917.32</f>
        <v>-51917.32</v>
      </c>
      <c r="U103" s="2"/>
      <c r="V103" s="19"/>
      <c r="W103" s="2"/>
      <c r="X103" s="2">
        <f t="shared" si="2"/>
        <v>30373.96</v>
      </c>
      <c r="Y103" s="2"/>
      <c r="Z103" s="19">
        <f t="shared" si="3"/>
        <v>-0.58504483667492846</v>
      </c>
    </row>
    <row r="104" spans="1:26" s="24" customFormat="1" hidden="1" outlineLevel="1" x14ac:dyDescent="0.35">
      <c r="A104" s="44"/>
      <c r="B104" s="11" t="str">
        <f>CONCATENATE("          ", "4302", " - ", "SALES RETURN NON TAXABLE-TEXT")</f>
        <v xml:space="preserve">          4302 - SALES RETURN NON TAXABLE-TEXT</v>
      </c>
      <c r="C104" s="11"/>
      <c r="D104" s="2">
        <f>-95.75</f>
        <v>-95.75</v>
      </c>
      <c r="E104" s="2"/>
      <c r="F104" s="19"/>
      <c r="G104" s="2"/>
      <c r="H104" s="2">
        <f>-452.04</f>
        <v>-452.04</v>
      </c>
      <c r="I104" s="2"/>
      <c r="J104" s="19"/>
      <c r="K104" s="2"/>
      <c r="L104" s="2">
        <f t="shared" si="0"/>
        <v>356.29</v>
      </c>
      <c r="M104" s="2"/>
      <c r="N104" s="19">
        <f t="shared" si="1"/>
        <v>-0.78818246172905049</v>
      </c>
      <c r="O104" s="11"/>
      <c r="P104" s="2">
        <f>-1475.62</f>
        <v>-1475.62</v>
      </c>
      <c r="Q104" s="2"/>
      <c r="R104" s="19"/>
      <c r="S104" s="2"/>
      <c r="T104" s="2">
        <f>-6780.29</f>
        <v>-6780.29</v>
      </c>
      <c r="U104" s="2"/>
      <c r="V104" s="19"/>
      <c r="W104" s="2"/>
      <c r="X104" s="2">
        <f t="shared" si="2"/>
        <v>5304.67</v>
      </c>
      <c r="Y104" s="2"/>
      <c r="Z104" s="19">
        <f t="shared" si="3"/>
        <v>-0.78236624097199381</v>
      </c>
    </row>
    <row r="105" spans="1:26" s="24" customFormat="1" hidden="1" outlineLevel="1" x14ac:dyDescent="0.35">
      <c r="A105" s="44"/>
      <c r="B105" s="11" t="str">
        <f>CONCATENATE("          ", "4303", " - ", "SALES RETURN NON-TAXABLE-RENTA")</f>
        <v xml:space="preserve">          4303 - SALES RETURN NON-TAXABLE-RENTA</v>
      </c>
      <c r="C105" s="11"/>
      <c r="D105" s="2">
        <f>0</f>
        <v>0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-184.99</f>
        <v>-184.99</v>
      </c>
      <c r="Q105" s="2"/>
      <c r="R105" s="19"/>
      <c r="S105" s="2"/>
      <c r="T105" s="2">
        <f>-509.85</f>
        <v>-509.85</v>
      </c>
      <c r="U105" s="2"/>
      <c r="V105" s="19"/>
      <c r="W105" s="2"/>
      <c r="X105" s="2">
        <f t="shared" si="2"/>
        <v>324.86</v>
      </c>
      <c r="Y105" s="2"/>
      <c r="Z105" s="19">
        <f t="shared" si="3"/>
        <v>-0.63716779444934779</v>
      </c>
    </row>
    <row r="106" spans="1:26" s="24" customFormat="1" hidden="1" outlineLevel="1" x14ac:dyDescent="0.35">
      <c r="A106" s="44"/>
      <c r="B106" s="11" t="str">
        <f>CONCATENATE("          ", "4304", " - ", "SALES RETURN NON TAXABLE-DIGIT")</f>
        <v xml:space="preserve">          4304 - SALES RETURN NON TAXABLE-DIGIT</v>
      </c>
      <c r="C106" s="11"/>
      <c r="D106" s="2">
        <f>-398.87</f>
        <v>-398.87</v>
      </c>
      <c r="E106" s="2"/>
      <c r="F106" s="19"/>
      <c r="G106" s="2"/>
      <c r="H106" s="2">
        <f>-124.01</f>
        <v>-124.01</v>
      </c>
      <c r="I106" s="2"/>
      <c r="J106" s="19"/>
      <c r="K106" s="2"/>
      <c r="L106" s="2">
        <f t="shared" si="0"/>
        <v>-274.86</v>
      </c>
      <c r="M106" s="2"/>
      <c r="N106" s="19">
        <f t="shared" si="1"/>
        <v>2.216434158535602</v>
      </c>
      <c r="O106" s="11"/>
      <c r="P106" s="2">
        <f>-19873.2</f>
        <v>-19873.2</v>
      </c>
      <c r="Q106" s="2"/>
      <c r="R106" s="19"/>
      <c r="S106" s="2"/>
      <c r="T106" s="2">
        <f>-6171.97</f>
        <v>-6171.97</v>
      </c>
      <c r="U106" s="2"/>
      <c r="V106" s="19"/>
      <c r="W106" s="2"/>
      <c r="X106" s="2">
        <f t="shared" si="2"/>
        <v>-13701.23</v>
      </c>
      <c r="Y106" s="2"/>
      <c r="Z106" s="19">
        <f t="shared" si="3"/>
        <v>2.2199119567982346</v>
      </c>
    </row>
    <row r="107" spans="1:26" s="24" customFormat="1" hidden="1" outlineLevel="1" x14ac:dyDescent="0.35">
      <c r="A107" s="44"/>
      <c r="B107" s="11" t="str">
        <f>CONCATENATE("          ", "4311", " - ", "SALES RETURN NON TAXABLE-NO VA")</f>
        <v xml:space="preserve">          4311 - SALES RETURN NON TAXABLE-NO VA</v>
      </c>
      <c r="C107" s="11"/>
      <c r="D107" s="2">
        <f>-70.37</f>
        <v>-70.37</v>
      </c>
      <c r="E107" s="2"/>
      <c r="F107" s="19"/>
      <c r="G107" s="2"/>
      <c r="H107" s="2">
        <f>-289.3</f>
        <v>-289.3</v>
      </c>
      <c r="I107" s="2"/>
      <c r="J107" s="19"/>
      <c r="K107" s="2"/>
      <c r="L107" s="2">
        <f t="shared" si="0"/>
        <v>218.93</v>
      </c>
      <c r="M107" s="2"/>
      <c r="N107" s="19">
        <f t="shared" si="1"/>
        <v>-0.75675769097822332</v>
      </c>
      <c r="O107" s="11"/>
      <c r="P107" s="2">
        <f>-1011.65</f>
        <v>-1011.65</v>
      </c>
      <c r="Q107" s="2"/>
      <c r="R107" s="19"/>
      <c r="S107" s="2"/>
      <c r="T107" s="2">
        <f>-2399.84</f>
        <v>-2399.84</v>
      </c>
      <c r="U107" s="2"/>
      <c r="V107" s="19"/>
      <c r="W107" s="2"/>
      <c r="X107" s="2">
        <f t="shared" si="2"/>
        <v>1388.19</v>
      </c>
      <c r="Y107" s="2"/>
      <c r="Z107" s="19">
        <f t="shared" si="3"/>
        <v>-0.57845106340422692</v>
      </c>
    </row>
    <row r="108" spans="1:26" s="24" customFormat="1" hidden="1" outlineLevel="1" x14ac:dyDescent="0.35">
      <c r="A108" s="44"/>
      <c r="B108" s="11" t="str">
        <f>CONCATENATE("          ", "4313", " - ", "SALES RETURN NON TAXABLE-TRADE")</f>
        <v xml:space="preserve">          4313 - SALES RETURN NON TAXABLE-TRADE</v>
      </c>
      <c r="C108" s="11"/>
      <c r="D108" s="2">
        <f t="shared" ref="D108:D109" si="17">0</f>
        <v>0</v>
      </c>
      <c r="E108" s="2"/>
      <c r="F108" s="19"/>
      <c r="G108" s="2"/>
      <c r="H108" s="2">
        <f>-800</f>
        <v>-800</v>
      </c>
      <c r="I108" s="2"/>
      <c r="J108" s="19"/>
      <c r="K108" s="2"/>
      <c r="L108" s="2">
        <f t="shared" si="0"/>
        <v>800</v>
      </c>
      <c r="M108" s="2"/>
      <c r="N108" s="19">
        <f t="shared" si="1"/>
        <v>-1</v>
      </c>
      <c r="O108" s="11"/>
      <c r="P108" s="2">
        <f>-2481.44</f>
        <v>-2481.44</v>
      </c>
      <c r="Q108" s="2"/>
      <c r="R108" s="19"/>
      <c r="S108" s="2"/>
      <c r="T108" s="2">
        <f>-800</f>
        <v>-800</v>
      </c>
      <c r="U108" s="2"/>
      <c r="V108" s="19"/>
      <c r="W108" s="2"/>
      <c r="X108" s="2">
        <f t="shared" si="2"/>
        <v>-1681.44</v>
      </c>
      <c r="Y108" s="2"/>
      <c r="Z108" s="19">
        <f t="shared" si="3"/>
        <v>2.1017999999999999</v>
      </c>
    </row>
    <row r="109" spans="1:26" s="24" customFormat="1" hidden="1" outlineLevel="1" x14ac:dyDescent="0.35">
      <c r="A109" s="44"/>
      <c r="B109" s="11" t="str">
        <f>CONCATENATE("          ", "4318", " - ", "SALES RETURN NON TAXABLE-STUDY")</f>
        <v xml:space="preserve">          4318 - SALES RETURN NON TAXABLE-STUDY</v>
      </c>
      <c r="C109" s="11"/>
      <c r="D109" s="2">
        <f t="shared" si="17"/>
        <v>0</v>
      </c>
      <c r="E109" s="2"/>
      <c r="F109" s="19"/>
      <c r="G109" s="2"/>
      <c r="H109" s="2">
        <f>-1253.5</f>
        <v>-1253.5</v>
      </c>
      <c r="I109" s="2"/>
      <c r="J109" s="19"/>
      <c r="K109" s="2"/>
      <c r="L109" s="2">
        <f t="shared" si="0"/>
        <v>1253.5</v>
      </c>
      <c r="M109" s="2"/>
      <c r="N109" s="19">
        <f t="shared" si="1"/>
        <v>-1</v>
      </c>
      <c r="O109" s="11"/>
      <c r="P109" s="2">
        <f>0</f>
        <v>0</v>
      </c>
      <c r="Q109" s="2"/>
      <c r="R109" s="19"/>
      <c r="S109" s="2"/>
      <c r="T109" s="2">
        <f>-1258.54</f>
        <v>-1258.54</v>
      </c>
      <c r="U109" s="2"/>
      <c r="V109" s="19"/>
      <c r="W109" s="2"/>
      <c r="X109" s="2">
        <f t="shared" si="2"/>
        <v>1258.54</v>
      </c>
      <c r="Y109" s="2"/>
      <c r="Z109" s="19">
        <f t="shared" si="3"/>
        <v>-1</v>
      </c>
    </row>
    <row r="110" spans="1:26" s="24" customFormat="1" hidden="1" outlineLevel="1" x14ac:dyDescent="0.35">
      <c r="A110" s="44"/>
      <c r="B110" s="11" t="str">
        <f>CONCATENATE("          ", "4326", " - ", "SALES RETURN NON TAXABLE-WRITI")</f>
        <v xml:space="preserve">          4326 - SALES RETURN NON TAXABLE-WRITI</v>
      </c>
      <c r="C110" s="11"/>
      <c r="D110" s="2">
        <f>-2.98</f>
        <v>-2.98</v>
      </c>
      <c r="E110" s="2"/>
      <c r="F110" s="19"/>
      <c r="G110" s="2"/>
      <c r="H110" s="2">
        <f t="shared" ref="H110:H113" si="18">0</f>
        <v>0</v>
      </c>
      <c r="I110" s="2"/>
      <c r="J110" s="19"/>
      <c r="K110" s="2"/>
      <c r="L110" s="2">
        <f t="shared" si="0"/>
        <v>-2.98</v>
      </c>
      <c r="M110" s="2"/>
      <c r="N110" s="19">
        <f t="shared" si="1"/>
        <v>0</v>
      </c>
      <c r="O110" s="11"/>
      <c r="P110" s="2">
        <f>-2.98</f>
        <v>-2.98</v>
      </c>
      <c r="Q110" s="2"/>
      <c r="R110" s="19"/>
      <c r="S110" s="2"/>
      <c r="T110" s="2">
        <f>-28.23</f>
        <v>-28.23</v>
      </c>
      <c r="U110" s="2"/>
      <c r="V110" s="19"/>
      <c r="W110" s="2"/>
      <c r="X110" s="2">
        <f t="shared" si="2"/>
        <v>25.25</v>
      </c>
      <c r="Y110" s="2"/>
      <c r="Z110" s="19">
        <f t="shared" si="3"/>
        <v>-0.8944385405596883</v>
      </c>
    </row>
    <row r="111" spans="1:26" s="24" customFormat="1" hidden="1" outlineLevel="1" x14ac:dyDescent="0.35">
      <c r="A111" s="44"/>
      <c r="B111" s="11" t="str">
        <f>CONCATENATE("          ", "4327", " - ", "SALES RETURN NON TAXABLE-SCHOO")</f>
        <v xml:space="preserve">          4327 - SALES RETURN NON TAXABLE-SCHOO</v>
      </c>
      <c r="C111" s="11"/>
      <c r="D111" s="2">
        <f t="shared" ref="D111:D113" si="19">0</f>
        <v>0</v>
      </c>
      <c r="E111" s="2"/>
      <c r="F111" s="19"/>
      <c r="G111" s="2"/>
      <c r="H111" s="2">
        <f t="shared" si="18"/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-21.87</f>
        <v>-21.87</v>
      </c>
      <c r="Q111" s="2"/>
      <c r="R111" s="19"/>
      <c r="S111" s="2"/>
      <c r="T111" s="2">
        <f>-4.99</f>
        <v>-4.99</v>
      </c>
      <c r="U111" s="2"/>
      <c r="V111" s="19"/>
      <c r="W111" s="2"/>
      <c r="X111" s="2">
        <f t="shared" si="2"/>
        <v>-16.880000000000003</v>
      </c>
      <c r="Y111" s="2"/>
      <c r="Z111" s="19">
        <f t="shared" si="3"/>
        <v>3.3827655310621245</v>
      </c>
    </row>
    <row r="112" spans="1:26" s="24" customFormat="1" hidden="1" outlineLevel="1" x14ac:dyDescent="0.35">
      <c r="A112" s="44"/>
      <c r="B112" s="11" t="str">
        <f>CONCATENATE("          ", "4331", " - ", "SALES RETURN NON TAXABLE-FOOD")</f>
        <v xml:space="preserve">          4331 - SALES RETURN NON TAXABLE-FOOD</v>
      </c>
      <c r="C112" s="11"/>
      <c r="D112" s="2">
        <f t="shared" si="19"/>
        <v>0</v>
      </c>
      <c r="E112" s="2"/>
      <c r="F112" s="19"/>
      <c r="G112" s="2"/>
      <c r="H112" s="2">
        <f t="shared" si="18"/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-12.57</f>
        <v>-12.57</v>
      </c>
      <c r="Q112" s="2"/>
      <c r="R112" s="19"/>
      <c r="S112" s="2"/>
      <c r="T112" s="2">
        <f t="shared" ref="T112:T113" si="20">0</f>
        <v>0</v>
      </c>
      <c r="U112" s="2"/>
      <c r="V112" s="19"/>
      <c r="W112" s="2"/>
      <c r="X112" s="2">
        <f t="shared" si="2"/>
        <v>-12.57</v>
      </c>
      <c r="Y112" s="2"/>
      <c r="Z112" s="19">
        <f t="shared" si="3"/>
        <v>0</v>
      </c>
    </row>
    <row r="113" spans="1:26" s="24" customFormat="1" hidden="1" outlineLevel="1" x14ac:dyDescent="0.35">
      <c r="A113" s="44"/>
      <c r="B113" s="11" t="str">
        <f>CONCATENATE("          ", "4332", " - ", "SALES RETURN NON TAXABLE-JUICE")</f>
        <v xml:space="preserve">          4332 - SALES RETURN NON TAXABLE-JUICE</v>
      </c>
      <c r="C113" s="11"/>
      <c r="D113" s="2">
        <f t="shared" si="19"/>
        <v>0</v>
      </c>
      <c r="E113" s="2"/>
      <c r="F113" s="19"/>
      <c r="G113" s="2"/>
      <c r="H113" s="2">
        <f t="shared" si="18"/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-2.79</f>
        <v>-2.79</v>
      </c>
      <c r="Q113" s="2"/>
      <c r="R113" s="19"/>
      <c r="S113" s="2"/>
      <c r="T113" s="2">
        <f t="shared" si="20"/>
        <v>0</v>
      </c>
      <c r="U113" s="2"/>
      <c r="V113" s="19"/>
      <c r="W113" s="2"/>
      <c r="X113" s="2">
        <f t="shared" si="2"/>
        <v>-2.79</v>
      </c>
      <c r="Y113" s="2"/>
      <c r="Z113" s="19">
        <f t="shared" si="3"/>
        <v>0</v>
      </c>
    </row>
    <row r="114" spans="1:26" s="24" customFormat="1" hidden="1" outlineLevel="1" x14ac:dyDescent="0.35">
      <c r="A114" s="44"/>
      <c r="B114" s="11" t="str">
        <f>CONCATENATE("          ", "4340", " - ", "SALES RETURN NON TAXABLE-LOGO")</f>
        <v xml:space="preserve">          4340 - SALES RETURN NON TAXABLE-LOGO</v>
      </c>
      <c r="C114" s="11"/>
      <c r="D114" s="2">
        <f>-1045.65</f>
        <v>-1045.6500000000001</v>
      </c>
      <c r="E114" s="2"/>
      <c r="F114" s="19"/>
      <c r="G114" s="2"/>
      <c r="H114" s="2">
        <f>-96.85</f>
        <v>-96.85</v>
      </c>
      <c r="I114" s="2"/>
      <c r="J114" s="19"/>
      <c r="K114" s="2"/>
      <c r="L114" s="2">
        <f t="shared" si="0"/>
        <v>-948.80000000000007</v>
      </c>
      <c r="M114" s="2"/>
      <c r="N114" s="19">
        <f t="shared" si="1"/>
        <v>9.796592669075892</v>
      </c>
      <c r="O114" s="11"/>
      <c r="P114" s="2">
        <f>-2664.48</f>
        <v>-2664.48</v>
      </c>
      <c r="Q114" s="2"/>
      <c r="R114" s="19"/>
      <c r="S114" s="2"/>
      <c r="T114" s="2">
        <f>-1132.72</f>
        <v>-1132.72</v>
      </c>
      <c r="U114" s="2"/>
      <c r="V114" s="19"/>
      <c r="W114" s="2"/>
      <c r="X114" s="2">
        <f t="shared" si="2"/>
        <v>-1531.76</v>
      </c>
      <c r="Y114" s="2"/>
      <c r="Z114" s="19">
        <f t="shared" si="3"/>
        <v>1.3522847658732962</v>
      </c>
    </row>
    <row r="115" spans="1:26" s="24" customFormat="1" hidden="1" outlineLevel="1" x14ac:dyDescent="0.35">
      <c r="A115" s="44"/>
      <c r="B115" s="11" t="str">
        <f>CONCATENATE("          ", "4341", " - ", "SALES RETURN NON TAXABLE-LOGO")</f>
        <v xml:space="preserve">          4341 - SALES RETURN NON TAXABLE-LOGO</v>
      </c>
      <c r="C115" s="11"/>
      <c r="D115" s="2">
        <f>-9.9</f>
        <v>-9.9</v>
      </c>
      <c r="E115" s="2"/>
      <c r="F115" s="19"/>
      <c r="G115" s="2"/>
      <c r="H115" s="2">
        <f>-42.95</f>
        <v>-42.95</v>
      </c>
      <c r="I115" s="2"/>
      <c r="J115" s="19"/>
      <c r="K115" s="2"/>
      <c r="L115" s="2">
        <f t="shared" si="0"/>
        <v>33.050000000000004</v>
      </c>
      <c r="M115" s="2"/>
      <c r="N115" s="19">
        <f t="shared" si="1"/>
        <v>-0.76949941792782306</v>
      </c>
      <c r="O115" s="11"/>
      <c r="P115" s="2">
        <f>-295.35</f>
        <v>-295.35000000000002</v>
      </c>
      <c r="Q115" s="2"/>
      <c r="R115" s="19"/>
      <c r="S115" s="2"/>
      <c r="T115" s="2">
        <f>-335.8</f>
        <v>-335.8</v>
      </c>
      <c r="U115" s="2"/>
      <c r="V115" s="19"/>
      <c r="W115" s="2"/>
      <c r="X115" s="2">
        <f t="shared" si="2"/>
        <v>40.449999999999989</v>
      </c>
      <c r="Y115" s="2"/>
      <c r="Z115" s="19">
        <f t="shared" si="3"/>
        <v>-0.12045860631328167</v>
      </c>
    </row>
    <row r="116" spans="1:26" s="24" customFormat="1" hidden="1" outlineLevel="1" x14ac:dyDescent="0.35">
      <c r="A116" s="44"/>
      <c r="B116" s="11" t="str">
        <f>CONCATENATE("          ", "4342", " - ", "SALES RETURN NON TAXABLE-EVERY")</f>
        <v xml:space="preserve">          4342 - SALES RETURN NON TAXABLE-EVERY</v>
      </c>
      <c r="C116" s="11"/>
      <c r="D116" s="2">
        <f>-36.8</f>
        <v>-36.799999999999997</v>
      </c>
      <c r="E116" s="2"/>
      <c r="F116" s="19"/>
      <c r="G116" s="2"/>
      <c r="H116" s="2">
        <f>-24.95</f>
        <v>-24.95</v>
      </c>
      <c r="I116" s="2"/>
      <c r="J116" s="19"/>
      <c r="K116" s="2"/>
      <c r="L116" s="2">
        <f t="shared" si="0"/>
        <v>-11.849999999999998</v>
      </c>
      <c r="M116" s="2"/>
      <c r="N116" s="19">
        <f t="shared" si="1"/>
        <v>0.47494989979959912</v>
      </c>
      <c r="O116" s="11"/>
      <c r="P116" s="2">
        <f>-186.02</f>
        <v>-186.02</v>
      </c>
      <c r="Q116" s="2"/>
      <c r="R116" s="19"/>
      <c r="S116" s="2"/>
      <c r="T116" s="2">
        <f>-128.55</f>
        <v>-128.55000000000001</v>
      </c>
      <c r="U116" s="2"/>
      <c r="V116" s="19"/>
      <c r="W116" s="2"/>
      <c r="X116" s="2">
        <f t="shared" si="2"/>
        <v>-57.47</v>
      </c>
      <c r="Y116" s="2"/>
      <c r="Z116" s="19">
        <f t="shared" si="3"/>
        <v>0.44706339945546475</v>
      </c>
    </row>
    <row r="117" spans="1:26" s="24" customFormat="1" hidden="1" outlineLevel="1" x14ac:dyDescent="0.35">
      <c r="A117" s="44"/>
      <c r="B117" s="11" t="str">
        <f>CONCATENATE("          ", "4346", " - ", "SALES RETURN NON TAXABLE-COIN-")</f>
        <v xml:space="preserve">          4346 - SALES RETURN NON TAXABLE-COIN-</v>
      </c>
      <c r="C117" s="11"/>
      <c r="D117" s="2">
        <f t="shared" ref="D117:D118" si="21">0</f>
        <v>0</v>
      </c>
      <c r="E117" s="2"/>
      <c r="F117" s="19"/>
      <c r="G117" s="2"/>
      <c r="H117" s="2">
        <f t="shared" ref="H117:H118" si="22">0</f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-8.15</f>
        <v>-8.15</v>
      </c>
      <c r="Q117" s="2"/>
      <c r="R117" s="19"/>
      <c r="S117" s="2"/>
      <c r="T117" s="2">
        <f t="shared" ref="T117:T118" si="23">0</f>
        <v>0</v>
      </c>
      <c r="U117" s="2"/>
      <c r="V117" s="19"/>
      <c r="W117" s="2"/>
      <c r="X117" s="2">
        <f t="shared" si="2"/>
        <v>-8.15</v>
      </c>
      <c r="Y117" s="2"/>
      <c r="Z117" s="19">
        <f t="shared" si="3"/>
        <v>0</v>
      </c>
    </row>
    <row r="118" spans="1:26" s="24" customFormat="1" hidden="1" outlineLevel="1" x14ac:dyDescent="0.35">
      <c r="A118" s="44"/>
      <c r="B118" s="11" t="str">
        <f>CONCATENATE("          ", "4347", " - ", "SALES RETURN NON TAXABLE-MISC")</f>
        <v xml:space="preserve">          4347 - SALES RETURN NON TAXABLE-MISC</v>
      </c>
      <c r="C118" s="11"/>
      <c r="D118" s="2">
        <f t="shared" si="21"/>
        <v>0</v>
      </c>
      <c r="E118" s="2"/>
      <c r="F118" s="19"/>
      <c r="G118" s="2"/>
      <c r="H118" s="2">
        <f t="shared" si="22"/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-84</f>
        <v>-84</v>
      </c>
      <c r="Q118" s="2"/>
      <c r="R118" s="19"/>
      <c r="S118" s="2"/>
      <c r="T118" s="2">
        <f t="shared" si="23"/>
        <v>0</v>
      </c>
      <c r="U118" s="2"/>
      <c r="V118" s="19"/>
      <c r="W118" s="2"/>
      <c r="X118" s="2">
        <f t="shared" si="2"/>
        <v>-84</v>
      </c>
      <c r="Y118" s="2"/>
      <c r="Z118" s="19">
        <f t="shared" si="3"/>
        <v>0</v>
      </c>
    </row>
    <row r="119" spans="1:26" x14ac:dyDescent="0.3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collapsed="1" x14ac:dyDescent="0.35">
      <c r="A120" s="10"/>
      <c r="B120" s="29" t="s">
        <v>8</v>
      </c>
      <c r="C120" s="10"/>
      <c r="D120" s="4">
        <f>SUM(OSRRefD16x_0)</f>
        <v>267671.94999999995</v>
      </c>
      <c r="E120" s="4"/>
      <c r="F120" s="13">
        <f t="shared" ref="F120:F173" si="24">IF(D$12=0,0,D120/D$12)</f>
        <v>1.2858174556025841</v>
      </c>
      <c r="G120" s="4"/>
      <c r="H120" s="4">
        <f>SUM(OSRRefH16x_0)</f>
        <v>311682.25999999983</v>
      </c>
      <c r="I120" s="4"/>
      <c r="J120" s="13">
        <f t="shared" ref="J120:J173" si="25">IF(H$12=0,0,H120/H$12)</f>
        <v>1.0069524054318688</v>
      </c>
      <c r="K120" s="4"/>
      <c r="L120" s="4">
        <f t="shared" ref="L120:L173" si="26">+D120-H120</f>
        <v>-44010.309999999881</v>
      </c>
      <c r="M120" s="4"/>
      <c r="N120" s="13">
        <f t="shared" ref="N120:N173" si="27">IF(H120=0,0,L120/H120)</f>
        <v>-0.14120248614727032</v>
      </c>
      <c r="O120" s="10"/>
      <c r="P120" s="4">
        <f>SUM(OSRRefP16x_0)</f>
        <v>6748711.3300000001</v>
      </c>
      <c r="Q120" s="4"/>
      <c r="R120" s="13">
        <f t="shared" ref="R120:R173" si="28">IF(P$12=0,0,P120/P$12)</f>
        <v>0.58180869922937817</v>
      </c>
      <c r="S120" s="4"/>
      <c r="T120" s="4">
        <f>SUM(OSRRefT16x_0)</f>
        <v>8183147.96</v>
      </c>
      <c r="U120" s="4"/>
      <c r="V120" s="13">
        <f t="shared" ref="V120:V173" si="29">IF(T$12=0,0,T120/T$12)</f>
        <v>0.56363490223080515</v>
      </c>
      <c r="W120" s="4"/>
      <c r="X120" s="4">
        <f t="shared" ref="X120:X173" si="30">+P120-T120</f>
        <v>-1434436.63</v>
      </c>
      <c r="Y120" s="4"/>
      <c r="Z120" s="13">
        <f t="shared" ref="Z120:Z173" si="31">IF(T120=0,0,X120/T120)</f>
        <v>-0.17529154269379726</v>
      </c>
    </row>
    <row r="121" spans="1:26" s="24" customFormat="1" hidden="1" outlineLevel="1" x14ac:dyDescent="0.35">
      <c r="A121" s="44"/>
      <c r="B121" s="11" t="str">
        <f>CONCATENATE("          ", "5000", " - ", "PURCHASES @ COST")</f>
        <v xml:space="preserve">          5000 - PURCHASES @ COST</v>
      </c>
      <c r="C121" s="11"/>
      <c r="D121" s="2"/>
      <c r="E121" s="2"/>
      <c r="F121" s="19">
        <f t="shared" si="24"/>
        <v>0</v>
      </c>
      <c r="G121" s="2"/>
      <c r="H121" s="2">
        <v>-1000</v>
      </c>
      <c r="I121" s="2"/>
      <c r="J121" s="19">
        <f t="shared" si="25"/>
        <v>-3.2307016941928914E-3</v>
      </c>
      <c r="K121" s="2"/>
      <c r="L121" s="2">
        <f t="shared" si="26"/>
        <v>1000</v>
      </c>
      <c r="M121" s="2"/>
      <c r="N121" s="19">
        <f t="shared" si="27"/>
        <v>-1</v>
      </c>
      <c r="O121" s="11"/>
      <c r="P121" s="2">
        <v>0</v>
      </c>
      <c r="Q121" s="2"/>
      <c r="R121" s="19">
        <f t="shared" si="28"/>
        <v>0</v>
      </c>
      <c r="S121" s="2"/>
      <c r="T121" s="2">
        <v>20</v>
      </c>
      <c r="U121" s="2"/>
      <c r="V121" s="19">
        <f t="shared" si="29"/>
        <v>1.3775503143433449E-6</v>
      </c>
      <c r="W121" s="2"/>
      <c r="X121" s="2">
        <f t="shared" si="30"/>
        <v>-20</v>
      </c>
      <c r="Y121" s="2"/>
      <c r="Z121" s="19">
        <f t="shared" si="31"/>
        <v>-1</v>
      </c>
    </row>
    <row r="122" spans="1:26" s="24" customFormat="1" hidden="1" outlineLevel="1" x14ac:dyDescent="0.35">
      <c r="A122" s="44"/>
      <c r="B122" s="11" t="str">
        <f>CONCATENATE("          ", "5001", " - ", "PURCHASES @ COST-NEW TEXT")</f>
        <v xml:space="preserve">          5001 - PURCHASES @ COST-NEW TEXT</v>
      </c>
      <c r="C122" s="11"/>
      <c r="D122" s="2">
        <v>21388.809999999998</v>
      </c>
      <c r="E122" s="2"/>
      <c r="F122" s="19">
        <f t="shared" si="24"/>
        <v>0.10274556318869836</v>
      </c>
      <c r="G122" s="2"/>
      <c r="H122" s="2">
        <v>35029.230000000003</v>
      </c>
      <c r="I122" s="2"/>
      <c r="J122" s="19">
        <f t="shared" si="25"/>
        <v>0.11316899270727247</v>
      </c>
      <c r="K122" s="2"/>
      <c r="L122" s="2">
        <f t="shared" si="26"/>
        <v>-13640.420000000006</v>
      </c>
      <c r="M122" s="2"/>
      <c r="N122" s="19">
        <f t="shared" si="27"/>
        <v>-0.38940108018360681</v>
      </c>
      <c r="O122" s="11"/>
      <c r="P122" s="2">
        <v>1662669.27</v>
      </c>
      <c r="Q122" s="2"/>
      <c r="R122" s="19">
        <f t="shared" si="28"/>
        <v>0.14333928329800999</v>
      </c>
      <c r="S122" s="2"/>
      <c r="T122" s="2">
        <v>2431202.9900000002</v>
      </c>
      <c r="U122" s="2"/>
      <c r="V122" s="19">
        <f t="shared" si="29"/>
        <v>0.16745522215534903</v>
      </c>
      <c r="W122" s="2"/>
      <c r="X122" s="2">
        <f t="shared" si="30"/>
        <v>-768533.7200000002</v>
      </c>
      <c r="Y122" s="2"/>
      <c r="Z122" s="19">
        <f t="shared" si="31"/>
        <v>-0.31611252666318912</v>
      </c>
    </row>
    <row r="123" spans="1:26" s="24" customFormat="1" hidden="1" outlineLevel="1" x14ac:dyDescent="0.35">
      <c r="A123" s="44"/>
      <c r="B123" s="11" t="str">
        <f>CONCATENATE("          ", "5002", " - ", "PURCHASES @ COST-USED TEXT")</f>
        <v xml:space="preserve">          5002 - PURCHASES @ COST-USED TEXT</v>
      </c>
      <c r="C123" s="11"/>
      <c r="D123" s="2">
        <v>121021.81</v>
      </c>
      <c r="E123" s="2"/>
      <c r="F123" s="19">
        <f t="shared" si="24"/>
        <v>0.58135324155788226</v>
      </c>
      <c r="G123" s="2"/>
      <c r="H123" s="2">
        <v>573715.04</v>
      </c>
      <c r="I123" s="2"/>
      <c r="J123" s="19">
        <f t="shared" si="25"/>
        <v>1.8535021517119428</v>
      </c>
      <c r="K123" s="2"/>
      <c r="L123" s="2">
        <f t="shared" si="26"/>
        <v>-452693.23000000004</v>
      </c>
      <c r="M123" s="2"/>
      <c r="N123" s="19">
        <f t="shared" si="27"/>
        <v>-0.78905588739664212</v>
      </c>
      <c r="O123" s="11"/>
      <c r="P123" s="2">
        <v>731343.19</v>
      </c>
      <c r="Q123" s="2"/>
      <c r="R123" s="19">
        <f t="shared" si="28"/>
        <v>6.304934516500707E-2</v>
      </c>
      <c r="S123" s="2"/>
      <c r="T123" s="2">
        <v>1006777.4099999999</v>
      </c>
      <c r="U123" s="2"/>
      <c r="V123" s="19">
        <f t="shared" si="29"/>
        <v>6.9344326880963925E-2</v>
      </c>
      <c r="W123" s="2"/>
      <c r="X123" s="2">
        <f t="shared" si="30"/>
        <v>-275434.21999999997</v>
      </c>
      <c r="Y123" s="2"/>
      <c r="Z123" s="19">
        <f t="shared" si="31"/>
        <v>-0.27358005579406075</v>
      </c>
    </row>
    <row r="124" spans="1:26" s="24" customFormat="1" hidden="1" outlineLevel="1" x14ac:dyDescent="0.35">
      <c r="A124" s="44"/>
      <c r="B124" s="11" t="str">
        <f>CONCATENATE("          ", "5003", " - ", "PURCHASES @ COST-RENTAL TEXT")</f>
        <v xml:space="preserve">          5003 - PURCHASES @ COST-RENTAL TEXT</v>
      </c>
      <c r="C124" s="11"/>
      <c r="D124" s="2">
        <v>24656.6</v>
      </c>
      <c r="E124" s="2"/>
      <c r="F124" s="19">
        <f t="shared" si="24"/>
        <v>0.11844306688022663</v>
      </c>
      <c r="G124" s="2"/>
      <c r="H124" s="2">
        <v>288.39999999999998</v>
      </c>
      <c r="I124" s="2"/>
      <c r="J124" s="19">
        <f t="shared" si="25"/>
        <v>9.3173436860522982E-4</v>
      </c>
      <c r="K124" s="2"/>
      <c r="L124" s="2">
        <f t="shared" si="26"/>
        <v>24368.199999999997</v>
      </c>
      <c r="M124" s="2"/>
      <c r="N124" s="19">
        <f t="shared" si="27"/>
        <v>84.494452149791954</v>
      </c>
      <c r="O124" s="11"/>
      <c r="P124" s="2">
        <v>24578.2</v>
      </c>
      <c r="Q124" s="2"/>
      <c r="R124" s="19">
        <f t="shared" si="28"/>
        <v>2.1188949818956773E-3</v>
      </c>
      <c r="S124" s="2"/>
      <c r="T124" s="2">
        <v>15917.98</v>
      </c>
      <c r="U124" s="2"/>
      <c r="V124" s="19">
        <f t="shared" si="29"/>
        <v>1.096390917635554E-3</v>
      </c>
      <c r="W124" s="2"/>
      <c r="X124" s="2">
        <f t="shared" si="30"/>
        <v>8660.2200000000012</v>
      </c>
      <c r="Y124" s="2"/>
      <c r="Z124" s="19">
        <f t="shared" si="31"/>
        <v>0.5440527001541654</v>
      </c>
    </row>
    <row r="125" spans="1:26" s="24" customFormat="1" hidden="1" outlineLevel="1" x14ac:dyDescent="0.35">
      <c r="A125" s="44"/>
      <c r="B125" s="11" t="str">
        <f>CONCATENATE("          ", "5004", " - ", "PURCHASES @ COST-DIGITAL TEXT")</f>
        <v xml:space="preserve">          5004 - PURCHASES @ COST-DIGITAL TEXT</v>
      </c>
      <c r="C125" s="11"/>
      <c r="D125" s="2">
        <v>5038.95</v>
      </c>
      <c r="E125" s="2"/>
      <c r="F125" s="19">
        <f t="shared" si="24"/>
        <v>2.4205636294384381E-2</v>
      </c>
      <c r="G125" s="2"/>
      <c r="H125" s="2">
        <v>5564.47</v>
      </c>
      <c r="I125" s="2"/>
      <c r="J125" s="19">
        <f t="shared" si="25"/>
        <v>1.797714265628552E-2</v>
      </c>
      <c r="K125" s="2"/>
      <c r="L125" s="2">
        <f t="shared" si="26"/>
        <v>-525.52000000000044</v>
      </c>
      <c r="M125" s="2"/>
      <c r="N125" s="19">
        <f t="shared" si="27"/>
        <v>-9.4442058273294743E-2</v>
      </c>
      <c r="O125" s="11"/>
      <c r="P125" s="2">
        <v>451308.6</v>
      </c>
      <c r="Q125" s="2"/>
      <c r="R125" s="19">
        <f t="shared" si="28"/>
        <v>3.8907467911660068E-2</v>
      </c>
      <c r="S125" s="2"/>
      <c r="T125" s="2">
        <v>507143.44999999995</v>
      </c>
      <c r="U125" s="2"/>
      <c r="V125" s="19">
        <f t="shared" si="29"/>
        <v>3.4930780948233417E-2</v>
      </c>
      <c r="W125" s="2"/>
      <c r="X125" s="2">
        <f t="shared" si="30"/>
        <v>-55834.849999999977</v>
      </c>
      <c r="Y125" s="2"/>
      <c r="Z125" s="19">
        <f t="shared" si="31"/>
        <v>-0.11009675861928214</v>
      </c>
    </row>
    <row r="126" spans="1:26" s="24" customFormat="1" hidden="1" outlineLevel="1" x14ac:dyDescent="0.35">
      <c r="A126" s="44"/>
      <c r="B126" s="11" t="str">
        <f>CONCATENATE("          ", "5011", " - ", "PURCHASES @ COST-NO VALUE TEXT")</f>
        <v xml:space="preserve">          5011 - PURCHASES @ COST-NO VALUE TEXT</v>
      </c>
      <c r="C126" s="11"/>
      <c r="D126" s="2">
        <v>99</v>
      </c>
      <c r="E126" s="2"/>
      <c r="F126" s="19">
        <f t="shared" si="24"/>
        <v>4.7556693222676428E-4</v>
      </c>
      <c r="G126" s="2"/>
      <c r="H126" s="2">
        <v>1551</v>
      </c>
      <c r="I126" s="2"/>
      <c r="J126" s="19">
        <f t="shared" si="25"/>
        <v>5.0108183276931749E-3</v>
      </c>
      <c r="K126" s="2"/>
      <c r="L126" s="2">
        <f t="shared" si="26"/>
        <v>-1452</v>
      </c>
      <c r="M126" s="2"/>
      <c r="N126" s="19">
        <f t="shared" si="27"/>
        <v>-0.93617021276595747</v>
      </c>
      <c r="O126" s="11"/>
      <c r="P126" s="2">
        <v>6462</v>
      </c>
      <c r="Q126" s="2"/>
      <c r="R126" s="19">
        <f t="shared" si="28"/>
        <v>5.5709121794964098E-4</v>
      </c>
      <c r="S126" s="2"/>
      <c r="T126" s="2">
        <v>5295</v>
      </c>
      <c r="U126" s="2"/>
      <c r="V126" s="19">
        <f t="shared" si="29"/>
        <v>3.6470644572240057E-4</v>
      </c>
      <c r="W126" s="2"/>
      <c r="X126" s="2">
        <f t="shared" si="30"/>
        <v>1167</v>
      </c>
      <c r="Y126" s="2"/>
      <c r="Z126" s="19">
        <f t="shared" si="31"/>
        <v>0.22039660056657223</v>
      </c>
    </row>
    <row r="127" spans="1:26" s="24" customFormat="1" hidden="1" outlineLevel="1" x14ac:dyDescent="0.35">
      <c r="A127" s="44"/>
      <c r="B127" s="11" t="str">
        <f>CONCATENATE("          ", "5013", " - ", "PURCHASES @ COST-TRADE BOOKS")</f>
        <v xml:space="preserve">          5013 - PURCHASES @ COST-TRADE BOOKS</v>
      </c>
      <c r="C127" s="11"/>
      <c r="D127" s="2">
        <v>-420.76</v>
      </c>
      <c r="E127" s="2"/>
      <c r="F127" s="19">
        <f t="shared" si="24"/>
        <v>-2.0212074990276093E-3</v>
      </c>
      <c r="G127" s="2"/>
      <c r="H127" s="2">
        <v>839.85</v>
      </c>
      <c r="I127" s="2"/>
      <c r="J127" s="19">
        <f t="shared" si="25"/>
        <v>2.7133048178678999E-3</v>
      </c>
      <c r="K127" s="2"/>
      <c r="L127" s="2">
        <f t="shared" si="26"/>
        <v>-1260.6100000000001</v>
      </c>
      <c r="M127" s="2"/>
      <c r="N127" s="19">
        <f t="shared" si="27"/>
        <v>-1.5009942251592547</v>
      </c>
      <c r="O127" s="11"/>
      <c r="P127" s="2">
        <v>2777.09</v>
      </c>
      <c r="Q127" s="2"/>
      <c r="R127" s="19">
        <f t="shared" si="28"/>
        <v>2.3941387348433435E-4</v>
      </c>
      <c r="S127" s="2"/>
      <c r="T127" s="2">
        <v>6715.59</v>
      </c>
      <c r="U127" s="2"/>
      <c r="V127" s="19">
        <f t="shared" si="29"/>
        <v>4.6255315577505121E-4</v>
      </c>
      <c r="W127" s="2"/>
      <c r="X127" s="2">
        <f t="shared" si="30"/>
        <v>-3938.5</v>
      </c>
      <c r="Y127" s="2"/>
      <c r="Z127" s="19">
        <f t="shared" si="31"/>
        <v>-0.586471181236496</v>
      </c>
    </row>
    <row r="128" spans="1:26" s="24" customFormat="1" hidden="1" outlineLevel="1" x14ac:dyDescent="0.35">
      <c r="A128" s="44"/>
      <c r="B128" s="11" t="str">
        <f>CONCATENATE("          ", "5014", " - ", "PURCHASES @ COST-REMAINDERS")</f>
        <v xml:space="preserve">          5014 - PURCHASES @ COST-REMAINDERS</v>
      </c>
      <c r="C128" s="11"/>
      <c r="D128" s="2">
        <v>132</v>
      </c>
      <c r="E128" s="2"/>
      <c r="F128" s="19">
        <f t="shared" si="24"/>
        <v>6.3408924296901904E-4</v>
      </c>
      <c r="G128" s="2"/>
      <c r="H128" s="2">
        <v>62.4</v>
      </c>
      <c r="I128" s="2"/>
      <c r="J128" s="19">
        <f t="shared" si="25"/>
        <v>2.0159578571763643E-4</v>
      </c>
      <c r="K128" s="2"/>
      <c r="L128" s="2">
        <f t="shared" si="26"/>
        <v>69.599999999999994</v>
      </c>
      <c r="M128" s="2"/>
      <c r="N128" s="19">
        <f t="shared" si="27"/>
        <v>1.1153846153846154</v>
      </c>
      <c r="O128" s="11"/>
      <c r="P128" s="2">
        <v>747.07</v>
      </c>
      <c r="Q128" s="2"/>
      <c r="R128" s="19">
        <f t="shared" si="28"/>
        <v>6.4405158804338959E-5</v>
      </c>
      <c r="S128" s="2"/>
      <c r="T128" s="2">
        <v>1261.47</v>
      </c>
      <c r="U128" s="2"/>
      <c r="V128" s="19">
        <f t="shared" si="29"/>
        <v>8.6886919751734973E-5</v>
      </c>
      <c r="W128" s="2"/>
      <c r="X128" s="2">
        <f t="shared" si="30"/>
        <v>-514.4</v>
      </c>
      <c r="Y128" s="2"/>
      <c r="Z128" s="19">
        <f t="shared" si="31"/>
        <v>-0.40777822698914756</v>
      </c>
    </row>
    <row r="129" spans="1:26" s="24" customFormat="1" hidden="1" outlineLevel="1" x14ac:dyDescent="0.35">
      <c r="A129" s="44"/>
      <c r="B129" s="11" t="str">
        <f>CONCATENATE("          ", "5017", " - ", "PURCHASES @ COST-DORM/HOUSEWAR")</f>
        <v xml:space="preserve">          5017 - PURCHASES @ COST-DORM/HOUSEWAR</v>
      </c>
      <c r="C129" s="11"/>
      <c r="D129" s="2"/>
      <c r="E129" s="2"/>
      <c r="F129" s="19">
        <f t="shared" si="24"/>
        <v>0</v>
      </c>
      <c r="G129" s="2"/>
      <c r="H129" s="2"/>
      <c r="I129" s="2"/>
      <c r="J129" s="19">
        <f t="shared" si="25"/>
        <v>0</v>
      </c>
      <c r="K129" s="2"/>
      <c r="L129" s="2">
        <f t="shared" si="26"/>
        <v>0</v>
      </c>
      <c r="M129" s="2"/>
      <c r="N129" s="19">
        <f t="shared" si="27"/>
        <v>0</v>
      </c>
      <c r="O129" s="11"/>
      <c r="P129" s="2">
        <v>14.46</v>
      </c>
      <c r="Q129" s="2"/>
      <c r="R129" s="19">
        <f t="shared" si="28"/>
        <v>1.2466015183459933E-6</v>
      </c>
      <c r="S129" s="2"/>
      <c r="T129" s="2">
        <v>239.9</v>
      </c>
      <c r="U129" s="2"/>
      <c r="V129" s="19">
        <f t="shared" si="29"/>
        <v>1.6523716020548422E-5</v>
      </c>
      <c r="W129" s="2"/>
      <c r="X129" s="2">
        <f t="shared" si="30"/>
        <v>-225.44</v>
      </c>
      <c r="Y129" s="2"/>
      <c r="Z129" s="19">
        <f t="shared" si="31"/>
        <v>-0.93972488536890364</v>
      </c>
    </row>
    <row r="130" spans="1:26" s="24" customFormat="1" hidden="1" outlineLevel="1" x14ac:dyDescent="0.35">
      <c r="A130" s="44"/>
      <c r="B130" s="11" t="str">
        <f>CONCATENATE("          ", "5018", " - ", "PURCHASES @ COST-STUDY GUIDES")</f>
        <v xml:space="preserve">          5018 - PURCHASES @ COST-STUDY GUIDES</v>
      </c>
      <c r="C130" s="11"/>
      <c r="D130" s="2">
        <v>-249.38</v>
      </c>
      <c r="E130" s="2"/>
      <c r="F130" s="19">
        <f t="shared" si="24"/>
        <v>-1.197948298572833E-3</v>
      </c>
      <c r="G130" s="2"/>
      <c r="H130" s="2">
        <v>1034</v>
      </c>
      <c r="I130" s="2"/>
      <c r="J130" s="19">
        <f t="shared" si="25"/>
        <v>3.3405455517954499E-3</v>
      </c>
      <c r="K130" s="2"/>
      <c r="L130" s="2">
        <f t="shared" si="26"/>
        <v>-1283.3800000000001</v>
      </c>
      <c r="M130" s="2"/>
      <c r="N130" s="19">
        <f t="shared" si="27"/>
        <v>-1.2411798839458414</v>
      </c>
      <c r="O130" s="11"/>
      <c r="P130" s="2">
        <v>-454.52</v>
      </c>
      <c r="Q130" s="2"/>
      <c r="R130" s="19">
        <f t="shared" si="28"/>
        <v>-3.9184323797968252E-5</v>
      </c>
      <c r="S130" s="2"/>
      <c r="T130" s="2">
        <v>3717</v>
      </c>
      <c r="U130" s="2"/>
      <c r="V130" s="19">
        <f t="shared" si="29"/>
        <v>2.5601772592071068E-4</v>
      </c>
      <c r="W130" s="2"/>
      <c r="X130" s="2">
        <f t="shared" si="30"/>
        <v>-4171.5200000000004</v>
      </c>
      <c r="Y130" s="2"/>
      <c r="Z130" s="19">
        <f t="shared" si="31"/>
        <v>-1.122281409739037</v>
      </c>
    </row>
    <row r="131" spans="1:26" s="24" customFormat="1" hidden="1" outlineLevel="1" x14ac:dyDescent="0.35">
      <c r="A131" s="44"/>
      <c r="B131" s="11" t="str">
        <f>CONCATENATE("          ", "5025", " - ", "PURCHASES @ COST-TEST FORMS")</f>
        <v xml:space="preserve">          5025 - PURCHASES @ COST-TEST FORMS</v>
      </c>
      <c r="C131" s="11"/>
      <c r="D131" s="2"/>
      <c r="E131" s="2"/>
      <c r="F131" s="19">
        <f t="shared" si="24"/>
        <v>0</v>
      </c>
      <c r="G131" s="2"/>
      <c r="H131" s="2">
        <v>13</v>
      </c>
      <c r="I131" s="2"/>
      <c r="J131" s="19">
        <f t="shared" si="25"/>
        <v>4.1999122024507593E-5</v>
      </c>
      <c r="K131" s="2"/>
      <c r="L131" s="2">
        <f t="shared" si="26"/>
        <v>-13</v>
      </c>
      <c r="M131" s="2"/>
      <c r="N131" s="19">
        <f t="shared" si="27"/>
        <v>-1</v>
      </c>
      <c r="O131" s="11"/>
      <c r="P131" s="2">
        <v>26400.390000000003</v>
      </c>
      <c r="Q131" s="2"/>
      <c r="R131" s="19">
        <f t="shared" si="28"/>
        <v>2.2759866015855039E-3</v>
      </c>
      <c r="S131" s="2"/>
      <c r="T131" s="2">
        <v>21295.599999999999</v>
      </c>
      <c r="U131" s="2"/>
      <c r="V131" s="19">
        <f t="shared" si="29"/>
        <v>1.4667880237065067E-3</v>
      </c>
      <c r="W131" s="2"/>
      <c r="X131" s="2">
        <f t="shared" si="30"/>
        <v>5104.7900000000045</v>
      </c>
      <c r="Y131" s="2"/>
      <c r="Z131" s="19">
        <f t="shared" si="31"/>
        <v>0.23971102011683187</v>
      </c>
    </row>
    <row r="132" spans="1:26" s="24" customFormat="1" hidden="1" outlineLevel="1" x14ac:dyDescent="0.35">
      <c r="A132" s="44"/>
      <c r="B132" s="11" t="str">
        <f>CONCATENATE("          ", "5026", " - ", "PURCHASES @ COST-WRITING INSTR")</f>
        <v xml:space="preserve">          5026 - PURCHASES @ COST-WRITING INSTR</v>
      </c>
      <c r="C132" s="11"/>
      <c r="D132" s="2"/>
      <c r="E132" s="2"/>
      <c r="F132" s="19">
        <f t="shared" si="24"/>
        <v>0</v>
      </c>
      <c r="G132" s="2"/>
      <c r="H132" s="2">
        <v>859.55</v>
      </c>
      <c r="I132" s="2"/>
      <c r="J132" s="19">
        <f t="shared" si="25"/>
        <v>2.7769496412434996E-3</v>
      </c>
      <c r="K132" s="2"/>
      <c r="L132" s="2">
        <f t="shared" si="26"/>
        <v>-859.55</v>
      </c>
      <c r="M132" s="2"/>
      <c r="N132" s="19">
        <f t="shared" si="27"/>
        <v>-1</v>
      </c>
      <c r="O132" s="11"/>
      <c r="P132" s="2">
        <v>44186.57</v>
      </c>
      <c r="Q132" s="2"/>
      <c r="R132" s="19">
        <f t="shared" si="28"/>
        <v>3.8093392290803265E-3</v>
      </c>
      <c r="S132" s="2"/>
      <c r="T132" s="2">
        <v>54938.310000000005</v>
      </c>
      <c r="U132" s="2"/>
      <c r="V132" s="19">
        <f t="shared" si="29"/>
        <v>3.784014310499607E-3</v>
      </c>
      <c r="W132" s="2"/>
      <c r="X132" s="2">
        <f t="shared" si="30"/>
        <v>-10751.740000000005</v>
      </c>
      <c r="Y132" s="2"/>
      <c r="Z132" s="19">
        <f t="shared" si="31"/>
        <v>-0.19570569243939256</v>
      </c>
    </row>
    <row r="133" spans="1:26" s="24" customFormat="1" hidden="1" outlineLevel="1" x14ac:dyDescent="0.35">
      <c r="A133" s="44"/>
      <c r="B133" s="11" t="str">
        <f>CONCATENATE("          ", "5027", " - ", "PURCHASES @ COST-SCHOOL SUPPLI")</f>
        <v xml:space="preserve">          5027 - PURCHASES @ COST-SCHOOL SUPPLI</v>
      </c>
      <c r="C133" s="11"/>
      <c r="D133" s="2">
        <v>11947.58</v>
      </c>
      <c r="E133" s="2"/>
      <c r="F133" s="19">
        <f t="shared" si="24"/>
        <v>5.7392666344786306E-2</v>
      </c>
      <c r="G133" s="2"/>
      <c r="H133" s="2">
        <v>12673.15</v>
      </c>
      <c r="I133" s="2"/>
      <c r="J133" s="19">
        <f t="shared" si="25"/>
        <v>4.0943167175760645E-2</v>
      </c>
      <c r="K133" s="2"/>
      <c r="L133" s="2">
        <f t="shared" si="26"/>
        <v>-725.56999999999971</v>
      </c>
      <c r="M133" s="2"/>
      <c r="N133" s="19">
        <f t="shared" si="27"/>
        <v>-5.7252537845760502E-2</v>
      </c>
      <c r="O133" s="11"/>
      <c r="P133" s="2">
        <v>153162.12</v>
      </c>
      <c r="Q133" s="2"/>
      <c r="R133" s="19">
        <f t="shared" si="28"/>
        <v>1.3204158460933004E-2</v>
      </c>
      <c r="S133" s="2"/>
      <c r="T133" s="2">
        <v>168868.30000000002</v>
      </c>
      <c r="U133" s="2"/>
      <c r="V133" s="19">
        <f t="shared" si="29"/>
        <v>1.1631228987381316E-2</v>
      </c>
      <c r="W133" s="2"/>
      <c r="X133" s="2">
        <f t="shared" si="30"/>
        <v>-15706.180000000022</v>
      </c>
      <c r="Y133" s="2"/>
      <c r="Z133" s="19">
        <f t="shared" si="31"/>
        <v>-9.3008456886224472E-2</v>
      </c>
    </row>
    <row r="134" spans="1:26" s="24" customFormat="1" hidden="1" outlineLevel="1" x14ac:dyDescent="0.35">
      <c r="A134" s="44"/>
      <c r="B134" s="11" t="str">
        <f>CONCATENATE("          ", "5028", " - ", "PURCHASES @ COST-ART/TECH")</f>
        <v xml:space="preserve">          5028 - PURCHASES @ COST-ART/TECH</v>
      </c>
      <c r="C134" s="11"/>
      <c r="D134" s="2">
        <v>-1073.3800000000001</v>
      </c>
      <c r="E134" s="2"/>
      <c r="F134" s="19">
        <f t="shared" si="24"/>
        <v>-5.1562023607430738E-3</v>
      </c>
      <c r="G134" s="2"/>
      <c r="H134" s="2">
        <v>598.71</v>
      </c>
      <c r="I134" s="2"/>
      <c r="J134" s="19">
        <f t="shared" si="25"/>
        <v>1.9342534113302263E-3</v>
      </c>
      <c r="K134" s="2"/>
      <c r="L134" s="2">
        <f t="shared" si="26"/>
        <v>-1672.0900000000001</v>
      </c>
      <c r="M134" s="2"/>
      <c r="N134" s="19">
        <f t="shared" si="27"/>
        <v>-2.7928212323161463</v>
      </c>
      <c r="O134" s="11"/>
      <c r="P134" s="2">
        <v>158554.31</v>
      </c>
      <c r="Q134" s="2"/>
      <c r="R134" s="19">
        <f t="shared" si="28"/>
        <v>1.3669020994903271E-2</v>
      </c>
      <c r="S134" s="2"/>
      <c r="T134" s="2">
        <v>178081.3</v>
      </c>
      <c r="U134" s="2"/>
      <c r="V134" s="19">
        <f t="shared" si="29"/>
        <v>1.2265797539683576E-2</v>
      </c>
      <c r="W134" s="2"/>
      <c r="X134" s="2">
        <f t="shared" si="30"/>
        <v>-19526.989999999991</v>
      </c>
      <c r="Y134" s="2"/>
      <c r="Z134" s="19">
        <f t="shared" si="31"/>
        <v>-0.10965210833478861</v>
      </c>
    </row>
    <row r="135" spans="1:26" s="24" customFormat="1" hidden="1" outlineLevel="1" x14ac:dyDescent="0.35">
      <c r="A135" s="44"/>
      <c r="B135" s="11" t="str">
        <f>CONCATENATE("          ", "5031", " - ", "PURCHASES @ COST-FOOD")</f>
        <v xml:space="preserve">          5031 - PURCHASES @ COST-FOOD</v>
      </c>
      <c r="C135" s="11"/>
      <c r="D135" s="2"/>
      <c r="E135" s="2"/>
      <c r="F135" s="19">
        <f t="shared" si="24"/>
        <v>0</v>
      </c>
      <c r="G135" s="2"/>
      <c r="H135" s="2">
        <v>100.95</v>
      </c>
      <c r="I135" s="2"/>
      <c r="J135" s="19">
        <f t="shared" si="25"/>
        <v>3.2613933602877244E-4</v>
      </c>
      <c r="K135" s="2"/>
      <c r="L135" s="2">
        <f t="shared" si="26"/>
        <v>-100.95</v>
      </c>
      <c r="M135" s="2"/>
      <c r="N135" s="19">
        <f t="shared" si="27"/>
        <v>-1</v>
      </c>
      <c r="O135" s="11"/>
      <c r="P135" s="2">
        <v>33239.879999999997</v>
      </c>
      <c r="Q135" s="2"/>
      <c r="R135" s="19">
        <f t="shared" si="28"/>
        <v>2.8656213608325458E-3</v>
      </c>
      <c r="S135" s="2"/>
      <c r="T135" s="2">
        <v>39394.630000000005</v>
      </c>
      <c r="U135" s="2"/>
      <c r="V135" s="19">
        <f t="shared" si="29"/>
        <v>2.7134042469969888E-3</v>
      </c>
      <c r="W135" s="2"/>
      <c r="X135" s="2">
        <f t="shared" si="30"/>
        <v>-6154.7500000000073</v>
      </c>
      <c r="Y135" s="2"/>
      <c r="Z135" s="19">
        <f t="shared" si="31"/>
        <v>-0.15623322264988926</v>
      </c>
    </row>
    <row r="136" spans="1:26" s="24" customFormat="1" hidden="1" outlineLevel="1" x14ac:dyDescent="0.35">
      <c r="A136" s="44"/>
      <c r="B136" s="11" t="str">
        <f>CONCATENATE("          ", "5032", " - ", "PURCHASES @ COST-JUICE")</f>
        <v xml:space="preserve">          5032 - PURCHASES @ COST-JUICE</v>
      </c>
      <c r="C136" s="11"/>
      <c r="D136" s="2"/>
      <c r="E136" s="2"/>
      <c r="F136" s="19">
        <f t="shared" si="24"/>
        <v>0</v>
      </c>
      <c r="G136" s="2"/>
      <c r="H136" s="2">
        <v>469.57</v>
      </c>
      <c r="I136" s="2"/>
      <c r="J136" s="19">
        <f t="shared" si="25"/>
        <v>1.5170405945421561E-3</v>
      </c>
      <c r="K136" s="2"/>
      <c r="L136" s="2">
        <f t="shared" si="26"/>
        <v>-469.57</v>
      </c>
      <c r="M136" s="2"/>
      <c r="N136" s="19">
        <f t="shared" si="27"/>
        <v>-1</v>
      </c>
      <c r="O136" s="11"/>
      <c r="P136" s="2">
        <v>7802.45</v>
      </c>
      <c r="Q136" s="2"/>
      <c r="R136" s="19">
        <f t="shared" si="28"/>
        <v>6.7265186838303564E-4</v>
      </c>
      <c r="S136" s="2"/>
      <c r="T136" s="2">
        <v>10038.59</v>
      </c>
      <c r="U136" s="2"/>
      <c r="V136" s="19">
        <f t="shared" si="29"/>
        <v>6.9143314050319792E-4</v>
      </c>
      <c r="W136" s="2"/>
      <c r="X136" s="2">
        <f t="shared" si="30"/>
        <v>-2236.1400000000003</v>
      </c>
      <c r="Y136" s="2"/>
      <c r="Z136" s="19">
        <f t="shared" si="31"/>
        <v>-0.22275439080588014</v>
      </c>
    </row>
    <row r="137" spans="1:26" s="24" customFormat="1" hidden="1" outlineLevel="1" x14ac:dyDescent="0.35">
      <c r="A137" s="44"/>
      <c r="B137" s="11" t="str">
        <f>CONCATENATE("          ", "5033", " - ", "PURCHASES @ COST-CANDY")</f>
        <v xml:space="preserve">          5033 - PURCHASES @ COST-CANDY</v>
      </c>
      <c r="C137" s="11"/>
      <c r="D137" s="2"/>
      <c r="E137" s="2"/>
      <c r="F137" s="19">
        <f t="shared" si="24"/>
        <v>0</v>
      </c>
      <c r="G137" s="2"/>
      <c r="H137" s="2">
        <v>550.99</v>
      </c>
      <c r="I137" s="2"/>
      <c r="J137" s="19">
        <f t="shared" si="25"/>
        <v>1.7800843264833414E-3</v>
      </c>
      <c r="K137" s="2"/>
      <c r="L137" s="2">
        <f t="shared" si="26"/>
        <v>-550.99</v>
      </c>
      <c r="M137" s="2"/>
      <c r="N137" s="19">
        <f t="shared" si="27"/>
        <v>-1</v>
      </c>
      <c r="O137" s="11"/>
      <c r="P137" s="2">
        <v>9998.41</v>
      </c>
      <c r="Q137" s="2"/>
      <c r="R137" s="19">
        <f t="shared" si="28"/>
        <v>8.6196632690496288E-4</v>
      </c>
      <c r="S137" s="2"/>
      <c r="T137" s="2">
        <v>10043.27</v>
      </c>
      <c r="U137" s="2"/>
      <c r="V137" s="19">
        <f t="shared" si="29"/>
        <v>6.9175548727675438E-4</v>
      </c>
      <c r="W137" s="2"/>
      <c r="X137" s="2">
        <f t="shared" si="30"/>
        <v>-44.860000000000582</v>
      </c>
      <c r="Y137" s="2"/>
      <c r="Z137" s="19">
        <f t="shared" si="31"/>
        <v>-4.466672707196021E-3</v>
      </c>
    </row>
    <row r="138" spans="1:26" s="24" customFormat="1" hidden="1" outlineLevel="1" x14ac:dyDescent="0.35">
      <c r="A138" s="44"/>
      <c r="B138" s="11" t="str">
        <f>CONCATENATE("          ", "5034", " - ", "PURCHASES @ COST-SODA")</f>
        <v xml:space="preserve">          5034 - PURCHASES @ COST-SODA</v>
      </c>
      <c r="C138" s="11"/>
      <c r="D138" s="2"/>
      <c r="E138" s="2"/>
      <c r="F138" s="19">
        <f t="shared" si="24"/>
        <v>0</v>
      </c>
      <c r="G138" s="2"/>
      <c r="H138" s="2">
        <v>140.63999999999999</v>
      </c>
      <c r="I138" s="2"/>
      <c r="J138" s="19">
        <f t="shared" si="25"/>
        <v>4.5436588627128822E-4</v>
      </c>
      <c r="K138" s="2"/>
      <c r="L138" s="2">
        <f t="shared" si="26"/>
        <v>-140.63999999999999</v>
      </c>
      <c r="M138" s="2"/>
      <c r="N138" s="19">
        <f t="shared" si="27"/>
        <v>-1</v>
      </c>
      <c r="O138" s="11"/>
      <c r="P138" s="2">
        <v>4033.88</v>
      </c>
      <c r="Q138" s="2"/>
      <c r="R138" s="19">
        <f t="shared" si="28"/>
        <v>3.4776216686207027E-4</v>
      </c>
      <c r="S138" s="2"/>
      <c r="T138" s="2">
        <v>3996.87</v>
      </c>
      <c r="U138" s="2"/>
      <c r="V138" s="19">
        <f t="shared" si="29"/>
        <v>2.7529447624447423E-4</v>
      </c>
      <c r="W138" s="2"/>
      <c r="X138" s="2">
        <f t="shared" si="30"/>
        <v>37.010000000000218</v>
      </c>
      <c r="Y138" s="2"/>
      <c r="Z138" s="19">
        <f t="shared" si="31"/>
        <v>9.2597457510502513E-3</v>
      </c>
    </row>
    <row r="139" spans="1:26" s="24" customFormat="1" hidden="1" outlineLevel="1" x14ac:dyDescent="0.35">
      <c r="A139" s="44"/>
      <c r="B139" s="11" t="str">
        <f>CONCATENATE("          ", "5035", " - ", "PURCHASES @ COST-HEALTH &amp; BEAU")</f>
        <v xml:space="preserve">          5035 - PURCHASES @ COST-HEALTH &amp; BEAU</v>
      </c>
      <c r="C139" s="11"/>
      <c r="D139" s="2"/>
      <c r="E139" s="2"/>
      <c r="F139" s="19">
        <f t="shared" si="24"/>
        <v>0</v>
      </c>
      <c r="G139" s="2"/>
      <c r="H139" s="2"/>
      <c r="I139" s="2"/>
      <c r="J139" s="19">
        <f t="shared" si="25"/>
        <v>0</v>
      </c>
      <c r="K139" s="2"/>
      <c r="L139" s="2">
        <f t="shared" si="26"/>
        <v>0</v>
      </c>
      <c r="M139" s="2"/>
      <c r="N139" s="19">
        <f t="shared" si="27"/>
        <v>0</v>
      </c>
      <c r="O139" s="11"/>
      <c r="P139" s="2">
        <v>1117.6500000000001</v>
      </c>
      <c r="Q139" s="2"/>
      <c r="R139" s="19">
        <f t="shared" si="28"/>
        <v>9.6352986651410762E-5</v>
      </c>
      <c r="S139" s="2"/>
      <c r="T139" s="2">
        <v>1219.07</v>
      </c>
      <c r="U139" s="2"/>
      <c r="V139" s="19">
        <f t="shared" si="29"/>
        <v>8.3966513085327076E-5</v>
      </c>
      <c r="W139" s="2"/>
      <c r="X139" s="2">
        <f t="shared" si="30"/>
        <v>-101.41999999999985</v>
      </c>
      <c r="Y139" s="2"/>
      <c r="Z139" s="19">
        <f t="shared" si="31"/>
        <v>-8.3194566349758303E-2</v>
      </c>
    </row>
    <row r="140" spans="1:26" s="24" customFormat="1" hidden="1" outlineLevel="1" x14ac:dyDescent="0.35">
      <c r="A140" s="44"/>
      <c r="B140" s="11" t="str">
        <f>CONCATENATE("          ", "5037", " - ", "PURCHASES @ COST-WATER")</f>
        <v xml:space="preserve">          5037 - PURCHASES @ COST-WATER</v>
      </c>
      <c r="C140" s="11"/>
      <c r="D140" s="2"/>
      <c r="E140" s="2"/>
      <c r="F140" s="19">
        <f t="shared" si="24"/>
        <v>0</v>
      </c>
      <c r="G140" s="2"/>
      <c r="H140" s="2">
        <v>418.26</v>
      </c>
      <c r="I140" s="2"/>
      <c r="J140" s="19">
        <f t="shared" si="25"/>
        <v>1.3512732906131187E-3</v>
      </c>
      <c r="K140" s="2"/>
      <c r="L140" s="2">
        <f t="shared" si="26"/>
        <v>-418.26</v>
      </c>
      <c r="M140" s="2"/>
      <c r="N140" s="19">
        <f t="shared" si="27"/>
        <v>-1</v>
      </c>
      <c r="O140" s="11"/>
      <c r="P140" s="2">
        <v>5693.57</v>
      </c>
      <c r="Q140" s="2"/>
      <c r="R140" s="19">
        <f t="shared" si="28"/>
        <v>4.9084460628002742E-4</v>
      </c>
      <c r="S140" s="2"/>
      <c r="T140" s="2">
        <v>6290.29</v>
      </c>
      <c r="U140" s="2"/>
      <c r="V140" s="19">
        <f t="shared" si="29"/>
        <v>4.3325954834053999E-4</v>
      </c>
      <c r="W140" s="2"/>
      <c r="X140" s="2">
        <f t="shared" si="30"/>
        <v>-596.72000000000025</v>
      </c>
      <c r="Y140" s="2"/>
      <c r="Z140" s="19">
        <f t="shared" si="31"/>
        <v>-9.4863670832346397E-2</v>
      </c>
    </row>
    <row r="141" spans="1:26" s="24" customFormat="1" hidden="1" outlineLevel="1" x14ac:dyDescent="0.35">
      <c r="A141" s="44"/>
      <c r="B141" s="11" t="str">
        <f>CONCATENATE("          ", "5040", " - ", "PURCHASES @ COST-LOGO CLOTHING")</f>
        <v xml:space="preserve">          5040 - PURCHASES @ COST-LOGO CLOTHING</v>
      </c>
      <c r="C141" s="11"/>
      <c r="D141" s="2">
        <v>6472.18</v>
      </c>
      <c r="E141" s="2"/>
      <c r="F141" s="19">
        <f t="shared" si="24"/>
        <v>3.1090452398175955E-2</v>
      </c>
      <c r="G141" s="2"/>
      <c r="H141" s="2">
        <v>40406.019999999997</v>
      </c>
      <c r="I141" s="2"/>
      <c r="J141" s="19">
        <f t="shared" si="25"/>
        <v>0.13053979726959186</v>
      </c>
      <c r="K141" s="2"/>
      <c r="L141" s="2">
        <f t="shared" si="26"/>
        <v>-33933.839999999997</v>
      </c>
      <c r="M141" s="2"/>
      <c r="N141" s="19">
        <f t="shared" si="27"/>
        <v>-0.83982139295085234</v>
      </c>
      <c r="O141" s="11"/>
      <c r="P141" s="2">
        <v>982941.51</v>
      </c>
      <c r="Q141" s="2"/>
      <c r="R141" s="19">
        <f t="shared" si="28"/>
        <v>8.47397219094954E-2</v>
      </c>
      <c r="S141" s="2"/>
      <c r="T141" s="2">
        <v>1080553.1199999999</v>
      </c>
      <c r="U141" s="2"/>
      <c r="V141" s="19">
        <f t="shared" si="29"/>
        <v>7.4425814506034096E-2</v>
      </c>
      <c r="W141" s="2"/>
      <c r="X141" s="2">
        <f t="shared" si="30"/>
        <v>-97611.60999999987</v>
      </c>
      <c r="Y141" s="2"/>
      <c r="Z141" s="19">
        <f t="shared" si="31"/>
        <v>-9.0334855541391507E-2</v>
      </c>
    </row>
    <row r="142" spans="1:26" s="24" customFormat="1" hidden="1" outlineLevel="1" x14ac:dyDescent="0.35">
      <c r="A142" s="44"/>
      <c r="B142" s="11" t="str">
        <f>CONCATENATE("          ", "5041", " - ", "PURCHASES @ COST-LOGO GIFTS")</f>
        <v xml:space="preserve">          5041 - PURCHASES @ COST-LOGO GIFTS</v>
      </c>
      <c r="C142" s="11"/>
      <c r="D142" s="2">
        <v>13093.79</v>
      </c>
      <c r="E142" s="2"/>
      <c r="F142" s="19">
        <f t="shared" si="24"/>
        <v>6.2898722641631155E-2</v>
      </c>
      <c r="G142" s="2"/>
      <c r="H142" s="2">
        <v>41981.85</v>
      </c>
      <c r="I142" s="2"/>
      <c r="J142" s="19">
        <f t="shared" si="25"/>
        <v>0.13563083392035183</v>
      </c>
      <c r="K142" s="2"/>
      <c r="L142" s="2">
        <f t="shared" si="26"/>
        <v>-28888.059999999998</v>
      </c>
      <c r="M142" s="2"/>
      <c r="N142" s="19">
        <f t="shared" si="27"/>
        <v>-0.68810831347356061</v>
      </c>
      <c r="O142" s="11"/>
      <c r="P142" s="2">
        <v>162844.62999999998</v>
      </c>
      <c r="Q142" s="2"/>
      <c r="R142" s="19">
        <f t="shared" si="28"/>
        <v>1.4038890941389451E-2</v>
      </c>
      <c r="S142" s="2"/>
      <c r="T142" s="2">
        <v>323814.98</v>
      </c>
      <c r="U142" s="2"/>
      <c r="V142" s="19">
        <f t="shared" si="29"/>
        <v>2.2303571374404196E-2</v>
      </c>
      <c r="W142" s="2"/>
      <c r="X142" s="2">
        <f t="shared" si="30"/>
        <v>-160970.35</v>
      </c>
      <c r="Y142" s="2"/>
      <c r="Z142" s="19">
        <f t="shared" si="31"/>
        <v>-0.49710593994138264</v>
      </c>
    </row>
    <row r="143" spans="1:26" s="24" customFormat="1" hidden="1" outlineLevel="1" x14ac:dyDescent="0.35">
      <c r="A143" s="44"/>
      <c r="B143" s="11" t="str">
        <f>CONCATENATE("          ", "5042", " - ", "PURCHASES @ COST-EVERYDAY GIFT")</f>
        <v xml:space="preserve">          5042 - PURCHASES @ COST-EVERYDAY GIFT</v>
      </c>
      <c r="C143" s="11"/>
      <c r="D143" s="2">
        <v>-836.65</v>
      </c>
      <c r="E143" s="2"/>
      <c r="F143" s="19">
        <f t="shared" si="24"/>
        <v>-4.019020947954771E-3</v>
      </c>
      <c r="G143" s="2"/>
      <c r="H143" s="2">
        <v>1405.4</v>
      </c>
      <c r="I143" s="2"/>
      <c r="J143" s="19">
        <f t="shared" si="25"/>
        <v>4.5404281610186897E-3</v>
      </c>
      <c r="K143" s="2"/>
      <c r="L143" s="2">
        <f t="shared" si="26"/>
        <v>-2242.0500000000002</v>
      </c>
      <c r="M143" s="2"/>
      <c r="N143" s="19">
        <f t="shared" si="27"/>
        <v>-1.5953109435036288</v>
      </c>
      <c r="O143" s="11"/>
      <c r="P143" s="2">
        <v>125778.54999999999</v>
      </c>
      <c r="Q143" s="2"/>
      <c r="R143" s="19">
        <f t="shared" si="28"/>
        <v>1.0843411577133985E-2</v>
      </c>
      <c r="S143" s="2"/>
      <c r="T143" s="2">
        <v>143887.09999999998</v>
      </c>
      <c r="U143" s="2"/>
      <c r="V143" s="19">
        <f t="shared" si="29"/>
        <v>9.9105859917476141E-3</v>
      </c>
      <c r="W143" s="2"/>
      <c r="X143" s="2">
        <f t="shared" si="30"/>
        <v>-18108.549999999988</v>
      </c>
      <c r="Y143" s="2"/>
      <c r="Z143" s="19">
        <f t="shared" si="31"/>
        <v>-0.12585249129352105</v>
      </c>
    </row>
    <row r="144" spans="1:26" s="24" customFormat="1" hidden="1" outlineLevel="1" x14ac:dyDescent="0.35">
      <c r="A144" s="44"/>
      <c r="B144" s="11" t="str">
        <f>CONCATENATE("          ", "5043", " - ", "PURCHASES @ COST-CARDS")</f>
        <v xml:space="preserve">          5043 - PURCHASES @ COST-CARDS</v>
      </c>
      <c r="C144" s="11"/>
      <c r="D144" s="2">
        <v>0</v>
      </c>
      <c r="E144" s="2"/>
      <c r="F144" s="19">
        <f t="shared" si="24"/>
        <v>0</v>
      </c>
      <c r="G144" s="2"/>
      <c r="H144" s="2">
        <v>238.47</v>
      </c>
      <c r="I144" s="2"/>
      <c r="J144" s="19">
        <f t="shared" si="25"/>
        <v>7.704254330141788E-4</v>
      </c>
      <c r="K144" s="2"/>
      <c r="L144" s="2">
        <f t="shared" si="26"/>
        <v>-238.47</v>
      </c>
      <c r="M144" s="2"/>
      <c r="N144" s="19">
        <f t="shared" si="27"/>
        <v>-1</v>
      </c>
      <c r="O144" s="11"/>
      <c r="P144" s="2">
        <v>30914.659999999996</v>
      </c>
      <c r="Q144" s="2"/>
      <c r="R144" s="19">
        <f t="shared" si="28"/>
        <v>2.6651633537448233E-3</v>
      </c>
      <c r="S144" s="2"/>
      <c r="T144" s="2">
        <v>3631.23</v>
      </c>
      <c r="U144" s="2"/>
      <c r="V144" s="19">
        <f t="shared" si="29"/>
        <v>2.5011010139764923E-4</v>
      </c>
      <c r="W144" s="2"/>
      <c r="X144" s="2">
        <f t="shared" si="30"/>
        <v>27283.429999999997</v>
      </c>
      <c r="Y144" s="2"/>
      <c r="Z144" s="19">
        <f t="shared" si="31"/>
        <v>7.5135505049253277</v>
      </c>
    </row>
    <row r="145" spans="1:26" s="24" customFormat="1" hidden="1" outlineLevel="1" x14ac:dyDescent="0.35">
      <c r="A145" s="44"/>
      <c r="B145" s="11" t="str">
        <f>CONCATENATE("          ", "5044", " - ", "PURCHASES @ COST-ACCESSORIES")</f>
        <v xml:space="preserve">          5044 - PURCHASES @ COST-ACCESSORIES</v>
      </c>
      <c r="C145" s="11"/>
      <c r="D145" s="2">
        <v>0</v>
      </c>
      <c r="E145" s="2"/>
      <c r="F145" s="19">
        <f t="shared" si="24"/>
        <v>0</v>
      </c>
      <c r="G145" s="2"/>
      <c r="H145" s="2">
        <v>-637.52</v>
      </c>
      <c r="I145" s="2"/>
      <c r="J145" s="19">
        <f t="shared" si="25"/>
        <v>-2.0596369440818523E-3</v>
      </c>
      <c r="K145" s="2"/>
      <c r="L145" s="2">
        <f t="shared" si="26"/>
        <v>637.52</v>
      </c>
      <c r="M145" s="2"/>
      <c r="N145" s="19">
        <f t="shared" si="27"/>
        <v>-1</v>
      </c>
      <c r="O145" s="11"/>
      <c r="P145" s="2">
        <v>37869.03</v>
      </c>
      <c r="Q145" s="2"/>
      <c r="R145" s="19">
        <f t="shared" si="28"/>
        <v>3.2647019568665262E-3</v>
      </c>
      <c r="S145" s="2"/>
      <c r="T145" s="2">
        <v>37653.61</v>
      </c>
      <c r="U145" s="2"/>
      <c r="V145" s="19">
        <f t="shared" si="29"/>
        <v>2.5934871145830859E-3</v>
      </c>
      <c r="W145" s="2"/>
      <c r="X145" s="2">
        <f t="shared" si="30"/>
        <v>215.41999999999825</v>
      </c>
      <c r="Y145" s="2"/>
      <c r="Z145" s="19">
        <f t="shared" si="31"/>
        <v>5.7210981895228176E-3</v>
      </c>
    </row>
    <row r="146" spans="1:26" s="24" customFormat="1" hidden="1" outlineLevel="1" x14ac:dyDescent="0.35">
      <c r="A146" s="44"/>
      <c r="B146" s="11" t="str">
        <f>CONCATENATE("          ", "5045", " - ", "PURCHASES @ COST-SPECIAL ORDER")</f>
        <v xml:space="preserve">          5045 - PURCHASES @ COST-SPECIAL ORDER</v>
      </c>
      <c r="C146" s="11"/>
      <c r="D146" s="2">
        <v>52772.409999999996</v>
      </c>
      <c r="E146" s="2"/>
      <c r="F146" s="19">
        <f t="shared" si="24"/>
        <v>0.25350316292841429</v>
      </c>
      <c r="G146" s="2"/>
      <c r="H146" s="2">
        <v>36286.67</v>
      </c>
      <c r="I146" s="2"/>
      <c r="J146" s="19">
        <f t="shared" si="25"/>
        <v>0.11723140624561837</v>
      </c>
      <c r="K146" s="2"/>
      <c r="L146" s="2">
        <f t="shared" si="26"/>
        <v>16485.739999999998</v>
      </c>
      <c r="M146" s="2"/>
      <c r="N146" s="19">
        <f t="shared" si="27"/>
        <v>0.45431945119240752</v>
      </c>
      <c r="O146" s="11"/>
      <c r="P146" s="2">
        <v>131614.81</v>
      </c>
      <c r="Q146" s="2"/>
      <c r="R146" s="19">
        <f t="shared" si="28"/>
        <v>1.1346557536847816E-2</v>
      </c>
      <c r="S146" s="2"/>
      <c r="T146" s="2">
        <v>157881.61000000002</v>
      </c>
      <c r="U146" s="2"/>
      <c r="V146" s="19">
        <f t="shared" si="29"/>
        <v>1.0874493074226671E-2</v>
      </c>
      <c r="W146" s="2"/>
      <c r="X146" s="2">
        <f t="shared" si="30"/>
        <v>-26266.800000000017</v>
      </c>
      <c r="Y146" s="2"/>
      <c r="Z146" s="19">
        <f t="shared" si="31"/>
        <v>-0.16637023146647678</v>
      </c>
    </row>
    <row r="147" spans="1:26" s="24" customFormat="1" hidden="1" outlineLevel="1" x14ac:dyDescent="0.35">
      <c r="A147" s="44"/>
      <c r="B147" s="11" t="str">
        <f>CONCATENATE("          ", "5053", " - ", "PURCHASES @ COST-FOOD")</f>
        <v xml:space="preserve">          5053 - PURCHASES @ COST-FOOD</v>
      </c>
      <c r="C147" s="11"/>
      <c r="D147" s="2">
        <v>-2889.94</v>
      </c>
      <c r="E147" s="2"/>
      <c r="F147" s="19">
        <f t="shared" si="24"/>
        <v>-1.3882423233529447E-2</v>
      </c>
      <c r="G147" s="2"/>
      <c r="H147" s="2">
        <v>10938.6</v>
      </c>
      <c r="I147" s="2"/>
      <c r="J147" s="19">
        <f t="shared" si="25"/>
        <v>3.5339353552098364E-2</v>
      </c>
      <c r="K147" s="2"/>
      <c r="L147" s="2">
        <f t="shared" si="26"/>
        <v>-13828.54</v>
      </c>
      <c r="M147" s="2"/>
      <c r="N147" s="19">
        <f t="shared" si="27"/>
        <v>-1.2641965150933392</v>
      </c>
      <c r="O147" s="11"/>
      <c r="P147" s="2">
        <v>1155614.0999999999</v>
      </c>
      <c r="Q147" s="2"/>
      <c r="R147" s="19">
        <f t="shared" si="28"/>
        <v>9.9625884625313854E-2</v>
      </c>
      <c r="S147" s="2"/>
      <c r="T147" s="2">
        <v>1367213.59</v>
      </c>
      <c r="U147" s="2"/>
      <c r="V147" s="19">
        <f t="shared" si="29"/>
        <v>9.417027553394966E-2</v>
      </c>
      <c r="W147" s="2"/>
      <c r="X147" s="2">
        <f t="shared" si="30"/>
        <v>-211599.49000000022</v>
      </c>
      <c r="Y147" s="2"/>
      <c r="Z147" s="19">
        <f t="shared" si="31"/>
        <v>-0.15476695927225256</v>
      </c>
    </row>
    <row r="148" spans="1:26" s="24" customFormat="1" hidden="1" outlineLevel="1" x14ac:dyDescent="0.35">
      <c r="A148" s="44"/>
      <c r="B148" s="11" t="str">
        <f>CONCATENATE("          ", "5059", " - ", "PURCHASES @ COST-FOOD")</f>
        <v xml:space="preserve">          5059 - PURCHASES @ COST-FOOD</v>
      </c>
      <c r="C148" s="11"/>
      <c r="D148" s="2">
        <v>6479</v>
      </c>
      <c r="E148" s="2"/>
      <c r="F148" s="19">
        <f t="shared" si="24"/>
        <v>3.1123213675729351E-2</v>
      </c>
      <c r="G148" s="2"/>
      <c r="H148" s="2">
        <v>52317.689999999995</v>
      </c>
      <c r="I148" s="2"/>
      <c r="J148" s="19">
        <f t="shared" si="25"/>
        <v>0.16902284971925849</v>
      </c>
      <c r="K148" s="2"/>
      <c r="L148" s="2">
        <f t="shared" si="26"/>
        <v>-45838.689999999995</v>
      </c>
      <c r="M148" s="2"/>
      <c r="N148" s="19">
        <f t="shared" si="27"/>
        <v>-0.8761604344534325</v>
      </c>
      <c r="O148" s="11"/>
      <c r="P148" s="2">
        <v>80305.799999999988</v>
      </c>
      <c r="Q148" s="2"/>
      <c r="R148" s="19">
        <f t="shared" si="28"/>
        <v>6.9231903327793675E-3</v>
      </c>
      <c r="S148" s="2"/>
      <c r="T148" s="2">
        <v>114364.88</v>
      </c>
      <c r="U148" s="2"/>
      <c r="V148" s="19">
        <f t="shared" si="29"/>
        <v>7.8771688196919466E-3</v>
      </c>
      <c r="W148" s="2"/>
      <c r="X148" s="2">
        <f t="shared" si="30"/>
        <v>-34059.080000000016</v>
      </c>
      <c r="Y148" s="2"/>
      <c r="Z148" s="19">
        <f t="shared" si="31"/>
        <v>-0.29781065655820227</v>
      </c>
    </row>
    <row r="149" spans="1:26" s="24" customFormat="1" hidden="1" outlineLevel="1" x14ac:dyDescent="0.35">
      <c r="A149" s="44"/>
      <c r="B149" s="11" t="str">
        <f>CONCATENATE("          ", "5081", " - ", "PURCHASES @ COST-ELECTRONICS")</f>
        <v xml:space="preserve">          5081 - PURCHASES @ COST-ELECTRONICS</v>
      </c>
      <c r="C149" s="11"/>
      <c r="D149" s="2"/>
      <c r="E149" s="2"/>
      <c r="F149" s="19">
        <f t="shared" si="24"/>
        <v>0</v>
      </c>
      <c r="G149" s="2"/>
      <c r="H149" s="2">
        <v>-5.89</v>
      </c>
      <c r="I149" s="2"/>
      <c r="J149" s="19">
        <f t="shared" si="25"/>
        <v>-1.9028832978796129E-5</v>
      </c>
      <c r="K149" s="2"/>
      <c r="L149" s="2">
        <f t="shared" si="26"/>
        <v>5.89</v>
      </c>
      <c r="M149" s="2"/>
      <c r="N149" s="19">
        <f t="shared" si="27"/>
        <v>-1</v>
      </c>
      <c r="O149" s="11"/>
      <c r="P149" s="2">
        <v>2008.03</v>
      </c>
      <c r="Q149" s="2"/>
      <c r="R149" s="19">
        <f t="shared" si="28"/>
        <v>1.7311294930043604E-4</v>
      </c>
      <c r="S149" s="2"/>
      <c r="T149" s="2">
        <v>2676.75</v>
      </c>
      <c r="U149" s="2"/>
      <c r="V149" s="19">
        <f t="shared" si="29"/>
        <v>1.8436789019592742E-4</v>
      </c>
      <c r="W149" s="2"/>
      <c r="X149" s="2">
        <f t="shared" si="30"/>
        <v>-668.72</v>
      </c>
      <c r="Y149" s="2"/>
      <c r="Z149" s="19">
        <f t="shared" si="31"/>
        <v>-0.24982534790324087</v>
      </c>
    </row>
    <row r="150" spans="1:26" s="24" customFormat="1" hidden="1" outlineLevel="1" x14ac:dyDescent="0.35">
      <c r="A150" s="44"/>
      <c r="B150" s="11" t="str">
        <f>CONCATENATE("          ", "5082", " - ", "PURCHASES @ COST-COMPUTER HARD")</f>
        <v xml:space="preserve">          5082 - PURCHASES @ COST-COMPUTER HARD</v>
      </c>
      <c r="C150" s="11"/>
      <c r="D150" s="2"/>
      <c r="E150" s="2"/>
      <c r="F150" s="19">
        <f t="shared" si="24"/>
        <v>0</v>
      </c>
      <c r="G150" s="2"/>
      <c r="H150" s="2"/>
      <c r="I150" s="2"/>
      <c r="J150" s="19">
        <f t="shared" si="25"/>
        <v>0</v>
      </c>
      <c r="K150" s="2"/>
      <c r="L150" s="2">
        <f t="shared" si="26"/>
        <v>0</v>
      </c>
      <c r="M150" s="2"/>
      <c r="N150" s="19">
        <f t="shared" si="27"/>
        <v>0</v>
      </c>
      <c r="O150" s="11"/>
      <c r="P150" s="2">
        <v>349.6</v>
      </c>
      <c r="Q150" s="2"/>
      <c r="R150" s="19">
        <f t="shared" si="28"/>
        <v>3.0139134911048361E-5</v>
      </c>
      <c r="S150" s="2"/>
      <c r="T150" s="2">
        <v>1118</v>
      </c>
      <c r="U150" s="2"/>
      <c r="V150" s="19">
        <f t="shared" si="29"/>
        <v>7.7005062571792988E-5</v>
      </c>
      <c r="W150" s="2"/>
      <c r="X150" s="2">
        <f t="shared" si="30"/>
        <v>-768.4</v>
      </c>
      <c r="Y150" s="2"/>
      <c r="Z150" s="19">
        <f t="shared" si="31"/>
        <v>-0.68729874776386402</v>
      </c>
    </row>
    <row r="151" spans="1:26" s="24" customFormat="1" hidden="1" outlineLevel="1" x14ac:dyDescent="0.35">
      <c r="A151" s="44"/>
      <c r="B151" s="11" t="str">
        <f>CONCATENATE("          ", "5083", " - ", "PURCHASES @ COST-COMPUTER EQUI")</f>
        <v xml:space="preserve">          5083 - PURCHASES @ COST-COMPUTER EQUI</v>
      </c>
      <c r="C151" s="11"/>
      <c r="D151" s="2"/>
      <c r="E151" s="2"/>
      <c r="F151" s="19">
        <f t="shared" si="24"/>
        <v>0</v>
      </c>
      <c r="G151" s="2"/>
      <c r="H151" s="2"/>
      <c r="I151" s="2"/>
      <c r="J151" s="19">
        <f t="shared" si="25"/>
        <v>0</v>
      </c>
      <c r="K151" s="2"/>
      <c r="L151" s="2">
        <f t="shared" si="26"/>
        <v>0</v>
      </c>
      <c r="M151" s="2"/>
      <c r="N151" s="19">
        <f t="shared" si="27"/>
        <v>0</v>
      </c>
      <c r="O151" s="11"/>
      <c r="P151" s="2">
        <v>395.06</v>
      </c>
      <c r="Q151" s="2"/>
      <c r="R151" s="19">
        <f t="shared" si="28"/>
        <v>3.4058256973566258E-5</v>
      </c>
      <c r="S151" s="2"/>
      <c r="T151" s="2">
        <v>653.19000000000005</v>
      </c>
      <c r="U151" s="2"/>
      <c r="V151" s="19">
        <f t="shared" si="29"/>
        <v>4.4990104491296476E-5</v>
      </c>
      <c r="W151" s="2"/>
      <c r="X151" s="2">
        <f t="shared" si="30"/>
        <v>-258.13000000000005</v>
      </c>
      <c r="Y151" s="2"/>
      <c r="Z151" s="19">
        <f t="shared" si="31"/>
        <v>-0.39518363722653443</v>
      </c>
    </row>
    <row r="152" spans="1:26" s="24" customFormat="1" hidden="1" outlineLevel="1" x14ac:dyDescent="0.35">
      <c r="A152" s="44"/>
      <c r="B152" s="11" t="str">
        <f>CONCATENATE("          ", "5086", " - ", "PURCHASES @ COST-COMPUTER SUPP")</f>
        <v xml:space="preserve">          5086 - PURCHASES @ COST-COMPUTER SUPP</v>
      </c>
      <c r="C152" s="11"/>
      <c r="D152" s="2"/>
      <c r="E152" s="2"/>
      <c r="F152" s="19">
        <f t="shared" si="24"/>
        <v>0</v>
      </c>
      <c r="G152" s="2"/>
      <c r="H152" s="2"/>
      <c r="I152" s="2"/>
      <c r="J152" s="19">
        <f t="shared" si="25"/>
        <v>0</v>
      </c>
      <c r="K152" s="2"/>
      <c r="L152" s="2">
        <f t="shared" si="26"/>
        <v>0</v>
      </c>
      <c r="M152" s="2"/>
      <c r="N152" s="19">
        <f t="shared" si="27"/>
        <v>0</v>
      </c>
      <c r="O152" s="11"/>
      <c r="P152" s="2">
        <v>426.22</v>
      </c>
      <c r="Q152" s="2"/>
      <c r="R152" s="19">
        <f t="shared" si="28"/>
        <v>3.6744571172159705E-5</v>
      </c>
      <c r="S152" s="2"/>
      <c r="T152" s="2">
        <v>971.76</v>
      </c>
      <c r="U152" s="2"/>
      <c r="V152" s="19">
        <f t="shared" si="29"/>
        <v>6.6932414673314446E-5</v>
      </c>
      <c r="W152" s="2"/>
      <c r="X152" s="2">
        <f t="shared" si="30"/>
        <v>-545.54</v>
      </c>
      <c r="Y152" s="2"/>
      <c r="Z152" s="19">
        <f t="shared" si="31"/>
        <v>-0.56139375977607642</v>
      </c>
    </row>
    <row r="153" spans="1:26" s="24" customFormat="1" hidden="1" outlineLevel="1" x14ac:dyDescent="0.35">
      <c r="A153" s="44"/>
      <c r="B153" s="11" t="str">
        <f>CONCATENATE("          ", "5092", " - ", "PURCHASES @ COST-GRAD MERCH")</f>
        <v xml:space="preserve">          5092 - PURCHASES @ COST-GRAD MERCH</v>
      </c>
      <c r="C153" s="11"/>
      <c r="D153" s="2">
        <v>9354.1</v>
      </c>
      <c r="E153" s="2"/>
      <c r="F153" s="19">
        <f t="shared" si="24"/>
        <v>4.4934349906488646E-2</v>
      </c>
      <c r="G153" s="2"/>
      <c r="H153" s="2">
        <v>72080.739999999991</v>
      </c>
      <c r="I153" s="2"/>
      <c r="J153" s="19">
        <f t="shared" si="25"/>
        <v>0.23287136883667731</v>
      </c>
      <c r="K153" s="2"/>
      <c r="L153" s="2">
        <f t="shared" si="26"/>
        <v>-62726.639999999992</v>
      </c>
      <c r="M153" s="2"/>
      <c r="N153" s="19">
        <f t="shared" si="27"/>
        <v>-0.87022746991776168</v>
      </c>
      <c r="O153" s="11"/>
      <c r="P153" s="2">
        <v>13839.98</v>
      </c>
      <c r="Q153" s="2"/>
      <c r="R153" s="19">
        <f t="shared" si="28"/>
        <v>1.1931493832557526E-3</v>
      </c>
      <c r="S153" s="2"/>
      <c r="T153" s="2">
        <v>96915.8</v>
      </c>
      <c r="U153" s="2"/>
      <c r="V153" s="19">
        <f t="shared" si="29"/>
        <v>6.6753195377418379E-3</v>
      </c>
      <c r="W153" s="2"/>
      <c r="X153" s="2">
        <f t="shared" si="30"/>
        <v>-83075.820000000007</v>
      </c>
      <c r="Y153" s="2"/>
      <c r="Z153" s="19">
        <f t="shared" si="31"/>
        <v>-0.85719583390943488</v>
      </c>
    </row>
    <row r="154" spans="1:26" s="24" customFormat="1" hidden="1" outlineLevel="1" x14ac:dyDescent="0.35">
      <c r="A154" s="44"/>
      <c r="B154" s="11" t="str">
        <f>CONCATENATE("          ", "5095", " - ", "PURCHASES @ COST-CUSTOMER SERV")</f>
        <v xml:space="preserve">          5095 - PURCHASES @ COST-CUSTOMER SERV</v>
      </c>
      <c r="C154" s="11"/>
      <c r="D154" s="2">
        <v>0</v>
      </c>
      <c r="E154" s="2"/>
      <c r="F154" s="19">
        <f t="shared" si="24"/>
        <v>0</v>
      </c>
      <c r="G154" s="2"/>
      <c r="H154" s="2">
        <v>0</v>
      </c>
      <c r="I154" s="2"/>
      <c r="J154" s="19">
        <f t="shared" si="25"/>
        <v>0</v>
      </c>
      <c r="K154" s="2"/>
      <c r="L154" s="2">
        <f t="shared" si="26"/>
        <v>0</v>
      </c>
      <c r="M154" s="2"/>
      <c r="N154" s="19">
        <f t="shared" si="27"/>
        <v>0</v>
      </c>
      <c r="O154" s="11"/>
      <c r="P154" s="2">
        <v>0</v>
      </c>
      <c r="Q154" s="2"/>
      <c r="R154" s="19">
        <f t="shared" si="28"/>
        <v>0</v>
      </c>
      <c r="S154" s="2"/>
      <c r="T154" s="2">
        <v>0</v>
      </c>
      <c r="U154" s="2"/>
      <c r="V154" s="19">
        <f t="shared" si="29"/>
        <v>0</v>
      </c>
      <c r="W154" s="2"/>
      <c r="X154" s="2">
        <f t="shared" si="30"/>
        <v>0</v>
      </c>
      <c r="Y154" s="2"/>
      <c r="Z154" s="19">
        <f t="shared" si="31"/>
        <v>0</v>
      </c>
    </row>
    <row r="155" spans="1:26" s="24" customFormat="1" hidden="1" outlineLevel="1" x14ac:dyDescent="0.35">
      <c r="A155" s="44"/>
      <c r="B155" s="11" t="str">
        <f>CONCATENATE("          ", "5200", " - ", "PURCHASES OFFSET")</f>
        <v xml:space="preserve">          5200 - PURCHASES OFFSET</v>
      </c>
      <c r="C155" s="11"/>
      <c r="D155" s="2">
        <v>-303919</v>
      </c>
      <c r="E155" s="2"/>
      <c r="F155" s="19">
        <f t="shared" si="24"/>
        <v>-1.4599376411659188</v>
      </c>
      <c r="G155" s="2"/>
      <c r="H155" s="2">
        <v>-798192</v>
      </c>
      <c r="I155" s="2"/>
      <c r="J155" s="19">
        <f t="shared" si="25"/>
        <v>-2.5787202466912125</v>
      </c>
      <c r="K155" s="2"/>
      <c r="L155" s="2">
        <f t="shared" si="26"/>
        <v>494273</v>
      </c>
      <c r="M155" s="2"/>
      <c r="N155" s="19">
        <f t="shared" si="27"/>
        <v>-0.61924073405897329</v>
      </c>
      <c r="O155" s="11"/>
      <c r="P155" s="2">
        <v>-3777245</v>
      </c>
      <c r="Q155" s="2"/>
      <c r="R155" s="19">
        <f t="shared" si="28"/>
        <v>-0.32563757622163292</v>
      </c>
      <c r="S155" s="2"/>
      <c r="T155" s="2">
        <v>-4932261</v>
      </c>
      <c r="U155" s="2"/>
      <c r="V155" s="19">
        <f t="shared" si="29"/>
        <v>-0.33972188454867103</v>
      </c>
      <c r="W155" s="2"/>
      <c r="X155" s="2">
        <f t="shared" si="30"/>
        <v>1155016</v>
      </c>
      <c r="Y155" s="2"/>
      <c r="Z155" s="19">
        <f t="shared" si="31"/>
        <v>-0.23417576644869362</v>
      </c>
    </row>
    <row r="156" spans="1:26" s="24" customFormat="1" hidden="1" outlineLevel="1" x14ac:dyDescent="0.35">
      <c r="A156" s="44"/>
      <c r="B156" s="11" t="str">
        <f>CONCATENATE("          ", "5300", " - ", "COG$ OFFSET")</f>
        <v xml:space="preserve">          5300 - COG$ OFFSET</v>
      </c>
      <c r="C156" s="11"/>
      <c r="D156" s="2">
        <v>300761.52999999997</v>
      </c>
      <c r="E156" s="2"/>
      <c r="F156" s="19">
        <f t="shared" si="24"/>
        <v>1.4447700823629082</v>
      </c>
      <c r="G156" s="2"/>
      <c r="H156" s="2">
        <v>213367</v>
      </c>
      <c r="I156" s="2"/>
      <c r="J156" s="19">
        <f t="shared" si="25"/>
        <v>0.68932512838485471</v>
      </c>
      <c r="K156" s="2"/>
      <c r="L156" s="2">
        <f t="shared" si="26"/>
        <v>87394.52999999997</v>
      </c>
      <c r="M156" s="2"/>
      <c r="N156" s="19">
        <f t="shared" si="27"/>
        <v>0.40959721981374803</v>
      </c>
      <c r="O156" s="11"/>
      <c r="P156" s="2">
        <v>4336696</v>
      </c>
      <c r="Q156" s="2"/>
      <c r="R156" s="19">
        <f t="shared" si="28"/>
        <v>0.37386803722026252</v>
      </c>
      <c r="S156" s="2"/>
      <c r="T156" s="2">
        <v>5167505</v>
      </c>
      <c r="U156" s="2"/>
      <c r="V156" s="19">
        <f t="shared" si="29"/>
        <v>0.35592490685604034</v>
      </c>
      <c r="W156" s="2"/>
      <c r="X156" s="2">
        <f t="shared" si="30"/>
        <v>-830809</v>
      </c>
      <c r="Y156" s="2"/>
      <c r="Z156" s="19">
        <f t="shared" si="31"/>
        <v>-0.16077565478891651</v>
      </c>
    </row>
    <row r="157" spans="1:26" s="24" customFormat="1" hidden="1" outlineLevel="1" x14ac:dyDescent="0.35">
      <c r="A157" s="44"/>
      <c r="B157" s="11" t="str">
        <f>CONCATENATE("          ", "5500", " - ", "FREIGHT-IN")</f>
        <v xml:space="preserve">          5500 - FREIGHT-IN</v>
      </c>
      <c r="C157" s="11"/>
      <c r="D157" s="2">
        <v>83.13</v>
      </c>
      <c r="E157" s="2"/>
      <c r="F157" s="19">
        <f t="shared" si="24"/>
        <v>3.9933211187889809E-4</v>
      </c>
      <c r="G157" s="2"/>
      <c r="H157" s="2"/>
      <c r="I157" s="2"/>
      <c r="J157" s="19">
        <f t="shared" si="25"/>
        <v>0</v>
      </c>
      <c r="K157" s="2"/>
      <c r="L157" s="2">
        <f t="shared" si="26"/>
        <v>83.13</v>
      </c>
      <c r="M157" s="2"/>
      <c r="N157" s="19">
        <f t="shared" si="27"/>
        <v>0</v>
      </c>
      <c r="O157" s="11"/>
      <c r="P157" s="2">
        <v>239.61</v>
      </c>
      <c r="Q157" s="2"/>
      <c r="R157" s="19">
        <f t="shared" si="28"/>
        <v>2.065685959964616E-5</v>
      </c>
      <c r="S157" s="2"/>
      <c r="T157" s="2">
        <v>188.91</v>
      </c>
      <c r="U157" s="2"/>
      <c r="V157" s="19">
        <f t="shared" si="29"/>
        <v>1.3011651494130065E-5</v>
      </c>
      <c r="W157" s="2"/>
      <c r="X157" s="2">
        <f t="shared" si="30"/>
        <v>50.700000000000017</v>
      </c>
      <c r="Y157" s="2"/>
      <c r="Z157" s="19">
        <f t="shared" si="31"/>
        <v>0.26838176909639522</v>
      </c>
    </row>
    <row r="158" spans="1:26" s="24" customFormat="1" hidden="1" outlineLevel="1" x14ac:dyDescent="0.35">
      <c r="A158" s="44"/>
      <c r="B158" s="11" t="str">
        <f>CONCATENATE("          ", "5501", " - ", "FREIGHT-IN-NEW TEXT")</f>
        <v xml:space="preserve">          5501 - FREIGHT-IN-NEW TEXT</v>
      </c>
      <c r="C158" s="11"/>
      <c r="D158" s="2">
        <v>2483.06</v>
      </c>
      <c r="E158" s="2"/>
      <c r="F158" s="19">
        <f t="shared" si="24"/>
        <v>1.1927891179141305E-2</v>
      </c>
      <c r="G158" s="2"/>
      <c r="H158" s="2">
        <v>1815.25</v>
      </c>
      <c r="I158" s="2"/>
      <c r="J158" s="19">
        <f t="shared" si="25"/>
        <v>5.8645312503836462E-3</v>
      </c>
      <c r="K158" s="2"/>
      <c r="L158" s="2">
        <f t="shared" si="26"/>
        <v>667.81</v>
      </c>
      <c r="M158" s="2"/>
      <c r="N158" s="19">
        <f t="shared" si="27"/>
        <v>0.36788872056190602</v>
      </c>
      <c r="O158" s="11"/>
      <c r="P158" s="2">
        <v>72230.790000000008</v>
      </c>
      <c r="Q158" s="2"/>
      <c r="R158" s="19">
        <f t="shared" si="28"/>
        <v>6.2270409740892534E-3</v>
      </c>
      <c r="S158" s="2"/>
      <c r="T158" s="2">
        <v>66019.19</v>
      </c>
      <c r="U158" s="2"/>
      <c r="V158" s="19">
        <f t="shared" si="29"/>
        <v>4.5472377968596512E-3</v>
      </c>
      <c r="W158" s="2"/>
      <c r="X158" s="2">
        <f t="shared" si="30"/>
        <v>6211.6000000000058</v>
      </c>
      <c r="Y158" s="2"/>
      <c r="Z158" s="19">
        <f t="shared" si="31"/>
        <v>9.4087794776034142E-2</v>
      </c>
    </row>
    <row r="159" spans="1:26" s="24" customFormat="1" hidden="1" outlineLevel="1" x14ac:dyDescent="0.35">
      <c r="A159" s="44"/>
      <c r="B159" s="11" t="str">
        <f>CONCATENATE("          ", "5502", " - ", "FREIGHT-IN-USED TEXT")</f>
        <v xml:space="preserve">          5502 - FREIGHT-IN-USED TEXT</v>
      </c>
      <c r="C159" s="11"/>
      <c r="D159" s="2">
        <v>519.36</v>
      </c>
      <c r="E159" s="2"/>
      <c r="F159" s="19">
        <f t="shared" si="24"/>
        <v>2.4948529486999221E-3</v>
      </c>
      <c r="G159" s="2"/>
      <c r="H159" s="2">
        <v>351.17</v>
      </c>
      <c r="I159" s="2"/>
      <c r="J159" s="19">
        <f t="shared" si="25"/>
        <v>1.1345255139497178E-3</v>
      </c>
      <c r="K159" s="2"/>
      <c r="L159" s="2">
        <f t="shared" si="26"/>
        <v>168.19</v>
      </c>
      <c r="M159" s="2"/>
      <c r="N159" s="19">
        <f t="shared" si="27"/>
        <v>0.47894182304866584</v>
      </c>
      <c r="O159" s="11"/>
      <c r="P159" s="2">
        <v>16200.12</v>
      </c>
      <c r="Q159" s="2"/>
      <c r="R159" s="19">
        <f t="shared" si="28"/>
        <v>1.3966178554209747E-3</v>
      </c>
      <c r="S159" s="2"/>
      <c r="T159" s="2">
        <v>14394.46</v>
      </c>
      <c r="U159" s="2"/>
      <c r="V159" s="19">
        <f t="shared" si="29"/>
        <v>9.9145464489013512E-4</v>
      </c>
      <c r="W159" s="2"/>
      <c r="X159" s="2">
        <f t="shared" si="30"/>
        <v>1805.6600000000017</v>
      </c>
      <c r="Y159" s="2"/>
      <c r="Z159" s="19">
        <f t="shared" si="31"/>
        <v>0.12544131561725844</v>
      </c>
    </row>
    <row r="160" spans="1:26" s="24" customFormat="1" hidden="1" outlineLevel="1" x14ac:dyDescent="0.35">
      <c r="A160" s="44"/>
      <c r="B160" s="11" t="str">
        <f>CONCATENATE("          ", "5504", " - ", "FREIGHT-IN-DIGITAL TEXT")</f>
        <v xml:space="preserve">          5504 - FREIGHT-IN-DIGITAL TEXT</v>
      </c>
      <c r="C160" s="11"/>
      <c r="D160" s="2"/>
      <c r="E160" s="2"/>
      <c r="F160" s="19">
        <f t="shared" si="24"/>
        <v>0</v>
      </c>
      <c r="G160" s="2"/>
      <c r="H160" s="2"/>
      <c r="I160" s="2"/>
      <c r="J160" s="19">
        <f t="shared" si="25"/>
        <v>0</v>
      </c>
      <c r="K160" s="2"/>
      <c r="L160" s="2">
        <f t="shared" si="26"/>
        <v>0</v>
      </c>
      <c r="M160" s="2"/>
      <c r="N160" s="19">
        <f t="shared" si="27"/>
        <v>0</v>
      </c>
      <c r="O160" s="11"/>
      <c r="P160" s="2">
        <v>118.75</v>
      </c>
      <c r="Q160" s="2"/>
      <c r="R160" s="19">
        <f t="shared" si="28"/>
        <v>1.0237477890981099E-5</v>
      </c>
      <c r="S160" s="2"/>
      <c r="T160" s="2">
        <v>243.53</v>
      </c>
      <c r="U160" s="2"/>
      <c r="V160" s="19">
        <f t="shared" si="29"/>
        <v>1.677374140260174E-5</v>
      </c>
      <c r="W160" s="2"/>
      <c r="X160" s="2">
        <f t="shared" si="30"/>
        <v>-124.78</v>
      </c>
      <c r="Y160" s="2"/>
      <c r="Z160" s="19">
        <f t="shared" si="31"/>
        <v>-0.5123804048782491</v>
      </c>
    </row>
    <row r="161" spans="1:26" s="24" customFormat="1" hidden="1" outlineLevel="1" x14ac:dyDescent="0.35">
      <c r="A161" s="44"/>
      <c r="B161" s="11" t="str">
        <f>CONCATENATE("          ", "5513", " - ", "FREIGHT-IN-TRADE BOOKS")</f>
        <v xml:space="preserve">          5513 - FREIGHT-IN-TRADE BOOKS</v>
      </c>
      <c r="C161" s="11"/>
      <c r="D161" s="2"/>
      <c r="E161" s="2"/>
      <c r="F161" s="19">
        <f t="shared" si="24"/>
        <v>0</v>
      </c>
      <c r="G161" s="2"/>
      <c r="H161" s="2"/>
      <c r="I161" s="2"/>
      <c r="J161" s="19">
        <f t="shared" si="25"/>
        <v>0</v>
      </c>
      <c r="K161" s="2"/>
      <c r="L161" s="2">
        <f t="shared" si="26"/>
        <v>0</v>
      </c>
      <c r="M161" s="2"/>
      <c r="N161" s="19">
        <f t="shared" si="27"/>
        <v>0</v>
      </c>
      <c r="O161" s="11"/>
      <c r="P161" s="2">
        <v>30.24</v>
      </c>
      <c r="Q161" s="2"/>
      <c r="R161" s="19">
        <f t="shared" si="28"/>
        <v>2.6070006856696291E-6</v>
      </c>
      <c r="S161" s="2"/>
      <c r="T161" s="2">
        <v>54.9</v>
      </c>
      <c r="U161" s="2"/>
      <c r="V161" s="19">
        <f t="shared" si="29"/>
        <v>3.781375612872482E-6</v>
      </c>
      <c r="W161" s="2"/>
      <c r="X161" s="2">
        <f t="shared" si="30"/>
        <v>-24.66</v>
      </c>
      <c r="Y161" s="2"/>
      <c r="Z161" s="19">
        <f t="shared" si="31"/>
        <v>-0.44918032786885248</v>
      </c>
    </row>
    <row r="162" spans="1:26" s="24" customFormat="1" hidden="1" outlineLevel="1" x14ac:dyDescent="0.35">
      <c r="A162" s="44"/>
      <c r="B162" s="11" t="str">
        <f>CONCATENATE("          ", "5518", " - ", "FREIGHT-IN-STUDY GUIDES")</f>
        <v xml:space="preserve">          5518 - FREIGHT-IN-STUDY GUIDES</v>
      </c>
      <c r="C162" s="11"/>
      <c r="D162" s="2"/>
      <c r="E162" s="2"/>
      <c r="F162" s="19">
        <f t="shared" si="24"/>
        <v>0</v>
      </c>
      <c r="G162" s="2"/>
      <c r="H162" s="2"/>
      <c r="I162" s="2"/>
      <c r="J162" s="19">
        <f t="shared" si="25"/>
        <v>0</v>
      </c>
      <c r="K162" s="2"/>
      <c r="L162" s="2">
        <f t="shared" si="26"/>
        <v>0</v>
      </c>
      <c r="M162" s="2"/>
      <c r="N162" s="19">
        <f t="shared" si="27"/>
        <v>0</v>
      </c>
      <c r="O162" s="11"/>
      <c r="P162" s="2">
        <v>21.13</v>
      </c>
      <c r="Q162" s="2"/>
      <c r="R162" s="19">
        <f t="shared" si="28"/>
        <v>1.8216244870436265E-6</v>
      </c>
      <c r="S162" s="2"/>
      <c r="T162" s="2"/>
      <c r="U162" s="2"/>
      <c r="V162" s="19">
        <f t="shared" si="29"/>
        <v>0</v>
      </c>
      <c r="W162" s="2"/>
      <c r="X162" s="2">
        <f t="shared" si="30"/>
        <v>21.13</v>
      </c>
      <c r="Y162" s="2"/>
      <c r="Z162" s="19">
        <f t="shared" si="31"/>
        <v>0</v>
      </c>
    </row>
    <row r="163" spans="1:26" s="24" customFormat="1" hidden="1" outlineLevel="1" x14ac:dyDescent="0.35">
      <c r="A163" s="44"/>
      <c r="B163" s="11" t="str">
        <f>CONCATENATE("          ", "5525", " - ", "FREIGHT-IN-TEST FORMS")</f>
        <v xml:space="preserve">          5525 - FREIGHT-IN-TEST FORMS</v>
      </c>
      <c r="C163" s="11"/>
      <c r="D163" s="2"/>
      <c r="E163" s="2"/>
      <c r="F163" s="19">
        <f t="shared" si="24"/>
        <v>0</v>
      </c>
      <c r="G163" s="2"/>
      <c r="H163" s="2"/>
      <c r="I163" s="2"/>
      <c r="J163" s="19">
        <f t="shared" si="25"/>
        <v>0</v>
      </c>
      <c r="K163" s="2"/>
      <c r="L163" s="2">
        <f t="shared" si="26"/>
        <v>0</v>
      </c>
      <c r="M163" s="2"/>
      <c r="N163" s="19">
        <f t="shared" si="27"/>
        <v>0</v>
      </c>
      <c r="O163" s="11"/>
      <c r="P163" s="2">
        <v>1614.32</v>
      </c>
      <c r="Q163" s="2"/>
      <c r="R163" s="19">
        <f t="shared" si="28"/>
        <v>1.3917107628605145E-4</v>
      </c>
      <c r="S163" s="2"/>
      <c r="T163" s="2">
        <v>390.96</v>
      </c>
      <c r="U163" s="2"/>
      <c r="V163" s="19">
        <f t="shared" si="29"/>
        <v>2.6928353544783707E-5</v>
      </c>
      <c r="W163" s="2"/>
      <c r="X163" s="2">
        <f t="shared" si="30"/>
        <v>1223.3599999999999</v>
      </c>
      <c r="Y163" s="2"/>
      <c r="Z163" s="19">
        <f t="shared" si="31"/>
        <v>3.1291180683445874</v>
      </c>
    </row>
    <row r="164" spans="1:26" s="24" customFormat="1" hidden="1" outlineLevel="1" x14ac:dyDescent="0.35">
      <c r="A164" s="44"/>
      <c r="B164" s="11" t="str">
        <f>CONCATENATE("          ", "5526", " - ", "FREIGHT-IN-WRITING INSTRUMENTS")</f>
        <v xml:space="preserve">          5526 - FREIGHT-IN-WRITING INSTRUMENTS</v>
      </c>
      <c r="C164" s="11"/>
      <c r="D164" s="2"/>
      <c r="E164" s="2"/>
      <c r="F164" s="19">
        <f t="shared" si="24"/>
        <v>0</v>
      </c>
      <c r="G164" s="2"/>
      <c r="H164" s="2">
        <v>6.5</v>
      </c>
      <c r="I164" s="2"/>
      <c r="J164" s="19">
        <f t="shared" si="25"/>
        <v>2.0999561012253797E-5</v>
      </c>
      <c r="K164" s="2"/>
      <c r="L164" s="2">
        <f t="shared" si="26"/>
        <v>-6.5</v>
      </c>
      <c r="M164" s="2"/>
      <c r="N164" s="19">
        <f t="shared" si="27"/>
        <v>-1</v>
      </c>
      <c r="O164" s="11"/>
      <c r="P164" s="2">
        <v>274.5</v>
      </c>
      <c r="Q164" s="2"/>
      <c r="R164" s="19">
        <f t="shared" si="28"/>
        <v>2.3664738366941576E-5</v>
      </c>
      <c r="S164" s="2"/>
      <c r="T164" s="2">
        <v>262.62</v>
      </c>
      <c r="U164" s="2"/>
      <c r="V164" s="19">
        <f t="shared" si="29"/>
        <v>1.8088613177642464E-5</v>
      </c>
      <c r="W164" s="2"/>
      <c r="X164" s="2">
        <f t="shared" si="30"/>
        <v>11.879999999999995</v>
      </c>
      <c r="Y164" s="2"/>
      <c r="Z164" s="19">
        <f t="shared" si="31"/>
        <v>4.5236463331048644E-2</v>
      </c>
    </row>
    <row r="165" spans="1:26" s="24" customFormat="1" hidden="1" outlineLevel="1" x14ac:dyDescent="0.35">
      <c r="A165" s="44"/>
      <c r="B165" s="11" t="str">
        <f>CONCATENATE("          ", "5527", " - ", "FREIGHT-IN-SCHOOL SUPPLIES")</f>
        <v xml:space="preserve">          5527 - FREIGHT-IN-SCHOOL SUPPLIES</v>
      </c>
      <c r="C165" s="11"/>
      <c r="D165" s="2"/>
      <c r="E165" s="2"/>
      <c r="F165" s="19">
        <f t="shared" si="24"/>
        <v>0</v>
      </c>
      <c r="G165" s="2"/>
      <c r="H165" s="2">
        <v>194.74</v>
      </c>
      <c r="I165" s="2"/>
      <c r="J165" s="19">
        <f t="shared" si="25"/>
        <v>6.2914684792712372E-4</v>
      </c>
      <c r="K165" s="2"/>
      <c r="L165" s="2">
        <f t="shared" si="26"/>
        <v>-194.74</v>
      </c>
      <c r="M165" s="2"/>
      <c r="N165" s="19">
        <f t="shared" si="27"/>
        <v>-1</v>
      </c>
      <c r="O165" s="11"/>
      <c r="P165" s="2">
        <v>1808</v>
      </c>
      <c r="Q165" s="2"/>
      <c r="R165" s="19">
        <f t="shared" si="28"/>
        <v>1.5586829496331645E-4</v>
      </c>
      <c r="S165" s="2"/>
      <c r="T165" s="2">
        <v>2106.8200000000002</v>
      </c>
      <c r="U165" s="2"/>
      <c r="V165" s="19">
        <f t="shared" si="29"/>
        <v>1.4511252766324231E-4</v>
      </c>
      <c r="W165" s="2"/>
      <c r="X165" s="2">
        <f t="shared" si="30"/>
        <v>-298.82000000000016</v>
      </c>
      <c r="Y165" s="2"/>
      <c r="Z165" s="19">
        <f t="shared" si="31"/>
        <v>-0.14183461330346217</v>
      </c>
    </row>
    <row r="166" spans="1:26" s="24" customFormat="1" hidden="1" outlineLevel="1" x14ac:dyDescent="0.35">
      <c r="A166" s="44"/>
      <c r="B166" s="11" t="str">
        <f>CONCATENATE("          ", "5528", " - ", "FREIGHT-IN-ART/TECH")</f>
        <v xml:space="preserve">          5528 - FREIGHT-IN-ART/TECH</v>
      </c>
      <c r="C166" s="11"/>
      <c r="D166" s="2">
        <v>13.33</v>
      </c>
      <c r="E166" s="2"/>
      <c r="F166" s="19">
        <f t="shared" si="24"/>
        <v>6.4033406127098668E-5</v>
      </c>
      <c r="G166" s="2"/>
      <c r="H166" s="2">
        <v>54.91</v>
      </c>
      <c r="I166" s="2"/>
      <c r="J166" s="19">
        <f t="shared" si="25"/>
        <v>1.7739783002813166E-4</v>
      </c>
      <c r="K166" s="2"/>
      <c r="L166" s="2">
        <f t="shared" si="26"/>
        <v>-41.58</v>
      </c>
      <c r="M166" s="2"/>
      <c r="N166" s="19">
        <f t="shared" si="27"/>
        <v>-0.75723911855763981</v>
      </c>
      <c r="O166" s="11"/>
      <c r="P166" s="2">
        <v>2837.7</v>
      </c>
      <c r="Q166" s="2"/>
      <c r="R166" s="19">
        <f t="shared" si="28"/>
        <v>2.446390821998911E-4</v>
      </c>
      <c r="S166" s="2"/>
      <c r="T166" s="2">
        <v>7608.5</v>
      </c>
      <c r="U166" s="2"/>
      <c r="V166" s="19">
        <f t="shared" si="29"/>
        <v>5.2405457833406698E-4</v>
      </c>
      <c r="W166" s="2"/>
      <c r="X166" s="2">
        <f t="shared" si="30"/>
        <v>-4770.8</v>
      </c>
      <c r="Y166" s="2"/>
      <c r="Z166" s="19">
        <f t="shared" si="31"/>
        <v>-0.62703555234277453</v>
      </c>
    </row>
    <row r="167" spans="1:26" s="24" customFormat="1" hidden="1" outlineLevel="1" x14ac:dyDescent="0.35">
      <c r="A167" s="44"/>
      <c r="B167" s="11" t="str">
        <f>CONCATENATE("          ", "5540", " - ", "FREIGHT-IN-LOGO CLOTHING")</f>
        <v xml:space="preserve">          5540 - FREIGHT-IN-LOGO CLOTHING</v>
      </c>
      <c r="C167" s="11"/>
      <c r="D167" s="2">
        <v>29.98</v>
      </c>
      <c r="E167" s="2"/>
      <c r="F167" s="19">
        <f t="shared" si="24"/>
        <v>1.4401511745614539E-4</v>
      </c>
      <c r="G167" s="2"/>
      <c r="H167" s="2">
        <v>5856.09</v>
      </c>
      <c r="I167" s="2"/>
      <c r="J167" s="19">
        <f t="shared" si="25"/>
        <v>1.8919279884346052E-2</v>
      </c>
      <c r="K167" s="2"/>
      <c r="L167" s="2">
        <f t="shared" si="26"/>
        <v>-5826.1100000000006</v>
      </c>
      <c r="M167" s="2"/>
      <c r="N167" s="19">
        <f t="shared" si="27"/>
        <v>-0.99488054316105123</v>
      </c>
      <c r="O167" s="11"/>
      <c r="P167" s="2">
        <v>32548.979999999996</v>
      </c>
      <c r="Q167" s="2"/>
      <c r="R167" s="19">
        <f t="shared" si="28"/>
        <v>2.8060586368335661E-3</v>
      </c>
      <c r="S167" s="2"/>
      <c r="T167" s="2">
        <v>35751.939999999995</v>
      </c>
      <c r="U167" s="2"/>
      <c r="V167" s="19">
        <f t="shared" si="29"/>
        <v>2.4625048092692201E-3</v>
      </c>
      <c r="W167" s="2"/>
      <c r="X167" s="2">
        <f t="shared" si="30"/>
        <v>-3202.9599999999991</v>
      </c>
      <c r="Y167" s="2"/>
      <c r="Z167" s="19">
        <f t="shared" si="31"/>
        <v>-8.9588425131615218E-2</v>
      </c>
    </row>
    <row r="168" spans="1:26" s="24" customFormat="1" hidden="1" outlineLevel="1" x14ac:dyDescent="0.35">
      <c r="A168" s="44"/>
      <c r="B168" s="11" t="str">
        <f>CONCATENATE("          ", "5541", " - ", "FREIGHT-IN-LOGO GIFTS")</f>
        <v xml:space="preserve">          5541 - FREIGHT-IN-LOGO GIFTS</v>
      </c>
      <c r="C168" s="11"/>
      <c r="D168" s="2">
        <v>348.31</v>
      </c>
      <c r="E168" s="2"/>
      <c r="F168" s="19">
        <f t="shared" si="24"/>
        <v>1.6731789713525685E-3</v>
      </c>
      <c r="G168" s="2"/>
      <c r="H168" s="2">
        <v>-327.45</v>
      </c>
      <c r="I168" s="2"/>
      <c r="J168" s="19">
        <f t="shared" si="25"/>
        <v>-1.0578932697634623E-3</v>
      </c>
      <c r="K168" s="2"/>
      <c r="L168" s="2">
        <f t="shared" si="26"/>
        <v>675.76</v>
      </c>
      <c r="M168" s="2"/>
      <c r="N168" s="19">
        <f t="shared" si="27"/>
        <v>-2.0637043823484502</v>
      </c>
      <c r="O168" s="11"/>
      <c r="P168" s="2">
        <v>5574.41</v>
      </c>
      <c r="Q168" s="2"/>
      <c r="R168" s="19">
        <f t="shared" si="28"/>
        <v>4.8057178214959119E-4</v>
      </c>
      <c r="S168" s="2"/>
      <c r="T168" s="2">
        <v>8438.06</v>
      </c>
      <c r="U168" s="2"/>
      <c r="V168" s="19">
        <f t="shared" si="29"/>
        <v>5.8119261027240023E-4</v>
      </c>
      <c r="W168" s="2"/>
      <c r="X168" s="2">
        <f t="shared" si="30"/>
        <v>-2863.6499999999996</v>
      </c>
      <c r="Y168" s="2"/>
      <c r="Z168" s="19">
        <f t="shared" si="31"/>
        <v>-0.33937303124177831</v>
      </c>
    </row>
    <row r="169" spans="1:26" s="24" customFormat="1" hidden="1" outlineLevel="1" x14ac:dyDescent="0.35">
      <c r="A169" s="44"/>
      <c r="B169" s="11" t="str">
        <f>CONCATENATE("          ", "5542", " - ", "FREIGHT-IN-EVERYDAY GIFTS")</f>
        <v xml:space="preserve">          5542 - FREIGHT-IN-EVERYDAY GIFTS</v>
      </c>
      <c r="C169" s="11"/>
      <c r="D169" s="2"/>
      <c r="E169" s="2"/>
      <c r="F169" s="19">
        <f t="shared" si="24"/>
        <v>0</v>
      </c>
      <c r="G169" s="2"/>
      <c r="H169" s="2">
        <v>62.85</v>
      </c>
      <c r="I169" s="2"/>
      <c r="J169" s="19">
        <f t="shared" si="25"/>
        <v>2.0304960148002325E-4</v>
      </c>
      <c r="K169" s="2"/>
      <c r="L169" s="2">
        <f t="shared" si="26"/>
        <v>-62.85</v>
      </c>
      <c r="M169" s="2"/>
      <c r="N169" s="19">
        <f t="shared" si="27"/>
        <v>-1</v>
      </c>
      <c r="O169" s="11"/>
      <c r="P169" s="2">
        <v>2223.5100000000002</v>
      </c>
      <c r="Q169" s="2"/>
      <c r="R169" s="19">
        <f t="shared" si="28"/>
        <v>1.9168955339263484E-4</v>
      </c>
      <c r="S169" s="2"/>
      <c r="T169" s="2">
        <v>2038.06</v>
      </c>
      <c r="U169" s="2"/>
      <c r="V169" s="19">
        <f t="shared" si="29"/>
        <v>1.4037650968252988E-4</v>
      </c>
      <c r="W169" s="2"/>
      <c r="X169" s="2">
        <f t="shared" si="30"/>
        <v>185.45000000000027</v>
      </c>
      <c r="Y169" s="2"/>
      <c r="Z169" s="19">
        <f t="shared" si="31"/>
        <v>9.0993395680205827E-2</v>
      </c>
    </row>
    <row r="170" spans="1:26" s="24" customFormat="1" hidden="1" outlineLevel="1" x14ac:dyDescent="0.35">
      <c r="A170" s="44"/>
      <c r="B170" s="11" t="str">
        <f>CONCATENATE("          ", "5543", " - ", "FREIGHT-IN-CARDS")</f>
        <v xml:space="preserve">          5543 - FREIGHT-IN-CARDS</v>
      </c>
      <c r="C170" s="11"/>
      <c r="D170" s="2"/>
      <c r="E170" s="2"/>
      <c r="F170" s="19">
        <f t="shared" si="24"/>
        <v>0</v>
      </c>
      <c r="G170" s="2"/>
      <c r="H170" s="2"/>
      <c r="I170" s="2"/>
      <c r="J170" s="19">
        <f t="shared" si="25"/>
        <v>0</v>
      </c>
      <c r="K170" s="2"/>
      <c r="L170" s="2">
        <f t="shared" si="26"/>
        <v>0</v>
      </c>
      <c r="M170" s="2"/>
      <c r="N170" s="19">
        <f t="shared" si="27"/>
        <v>0</v>
      </c>
      <c r="O170" s="11"/>
      <c r="P170" s="2">
        <v>2926.76</v>
      </c>
      <c r="Q170" s="2"/>
      <c r="R170" s="19">
        <f t="shared" si="28"/>
        <v>2.523169750922766E-4</v>
      </c>
      <c r="S170" s="2"/>
      <c r="T170" s="2">
        <v>57.18</v>
      </c>
      <c r="U170" s="2"/>
      <c r="V170" s="19">
        <f t="shared" si="29"/>
        <v>3.938416348707623E-6</v>
      </c>
      <c r="W170" s="2"/>
      <c r="X170" s="2">
        <f t="shared" si="30"/>
        <v>2869.5800000000004</v>
      </c>
      <c r="Y170" s="2"/>
      <c r="Z170" s="19">
        <f t="shared" si="31"/>
        <v>50.185029730675069</v>
      </c>
    </row>
    <row r="171" spans="1:26" s="24" customFormat="1" hidden="1" outlineLevel="1" x14ac:dyDescent="0.35">
      <c r="A171" s="44"/>
      <c r="B171" s="11" t="str">
        <f>CONCATENATE("          ", "5544", " - ", "FREIGHT-IN-ACCESSORIES")</f>
        <v xml:space="preserve">          5544 - FREIGHT-IN-ACCESSORIES</v>
      </c>
      <c r="C171" s="11"/>
      <c r="D171" s="2"/>
      <c r="E171" s="2"/>
      <c r="F171" s="19">
        <f t="shared" si="24"/>
        <v>0</v>
      </c>
      <c r="G171" s="2"/>
      <c r="H171" s="2"/>
      <c r="I171" s="2"/>
      <c r="J171" s="19">
        <f t="shared" si="25"/>
        <v>0</v>
      </c>
      <c r="K171" s="2"/>
      <c r="L171" s="2">
        <f t="shared" si="26"/>
        <v>0</v>
      </c>
      <c r="M171" s="2"/>
      <c r="N171" s="19">
        <f t="shared" si="27"/>
        <v>0</v>
      </c>
      <c r="O171" s="11"/>
      <c r="P171" s="2">
        <v>483.44</v>
      </c>
      <c r="Q171" s="2"/>
      <c r="R171" s="19">
        <f t="shared" si="28"/>
        <v>4.1677526834660235E-5</v>
      </c>
      <c r="S171" s="2"/>
      <c r="T171" s="2">
        <v>1360.08</v>
      </c>
      <c r="U171" s="2"/>
      <c r="V171" s="19">
        <f t="shared" si="29"/>
        <v>9.3678931576604831E-5</v>
      </c>
      <c r="W171" s="2"/>
      <c r="X171" s="2">
        <f t="shared" si="30"/>
        <v>-876.63999999999987</v>
      </c>
      <c r="Y171" s="2"/>
      <c r="Z171" s="19">
        <f t="shared" si="31"/>
        <v>-0.64455032056937822</v>
      </c>
    </row>
    <row r="172" spans="1:26" s="24" customFormat="1" hidden="1" outlineLevel="1" x14ac:dyDescent="0.35">
      <c r="A172" s="44"/>
      <c r="B172" s="11" t="str">
        <f>CONCATENATE("          ", "5545", " - ", "FREIGHT-IN-SPECIAL ORDERS")</f>
        <v xml:space="preserve">          5545 - FREIGHT-IN-SPECIAL ORDERS</v>
      </c>
      <c r="C172" s="11"/>
      <c r="D172" s="2">
        <v>355.3</v>
      </c>
      <c r="E172" s="2"/>
      <c r="F172" s="19">
        <f t="shared" si="24"/>
        <v>1.7067568789916096E-3</v>
      </c>
      <c r="G172" s="2"/>
      <c r="H172" s="2">
        <v>463.26</v>
      </c>
      <c r="I172" s="2"/>
      <c r="J172" s="19">
        <f t="shared" si="25"/>
        <v>1.4966548668517989E-3</v>
      </c>
      <c r="K172" s="2"/>
      <c r="L172" s="2">
        <f t="shared" si="26"/>
        <v>-107.95999999999998</v>
      </c>
      <c r="M172" s="2"/>
      <c r="N172" s="19">
        <f t="shared" si="27"/>
        <v>-0.23304407891896556</v>
      </c>
      <c r="O172" s="11"/>
      <c r="P172" s="2">
        <v>1420.62</v>
      </c>
      <c r="Q172" s="2"/>
      <c r="R172" s="19">
        <f t="shared" si="28"/>
        <v>1.2247213340198373E-4</v>
      </c>
      <c r="S172" s="2"/>
      <c r="T172" s="2">
        <v>2744.68</v>
      </c>
      <c r="U172" s="2"/>
      <c r="V172" s="19">
        <f t="shared" si="29"/>
        <v>1.8904673983859458E-4</v>
      </c>
      <c r="W172" s="2"/>
      <c r="X172" s="2">
        <f t="shared" si="30"/>
        <v>-1324.06</v>
      </c>
      <c r="Y172" s="2"/>
      <c r="Z172" s="19">
        <f t="shared" si="31"/>
        <v>-0.48240960694871532</v>
      </c>
    </row>
    <row r="173" spans="1:26" s="24" customFormat="1" hidden="1" outlineLevel="1" x14ac:dyDescent="0.35">
      <c r="A173" s="44"/>
      <c r="B173" s="11" t="str">
        <f>CONCATENATE("          ", "5592", " - ", "FREIGHT-IN-GRAD MERCH")</f>
        <v xml:space="preserve">          5592 - FREIGHT-IN-GRAD MERCH</v>
      </c>
      <c r="C173" s="11"/>
      <c r="D173" s="2">
        <v>10.83</v>
      </c>
      <c r="E173" s="2"/>
      <c r="F173" s="19">
        <f t="shared" si="24"/>
        <v>5.2024140161776339E-5</v>
      </c>
      <c r="G173" s="2"/>
      <c r="H173" s="2">
        <v>108.7</v>
      </c>
      <c r="I173" s="2"/>
      <c r="J173" s="19">
        <f t="shared" si="25"/>
        <v>3.5117727415876735E-4</v>
      </c>
      <c r="K173" s="2"/>
      <c r="L173" s="2">
        <f t="shared" si="26"/>
        <v>-97.87</v>
      </c>
      <c r="M173" s="2"/>
      <c r="N173" s="19">
        <f t="shared" si="27"/>
        <v>-0.90036798528058881</v>
      </c>
      <c r="O173" s="11"/>
      <c r="P173" s="2">
        <v>170.88</v>
      </c>
      <c r="Q173" s="2"/>
      <c r="R173" s="19">
        <f t="shared" si="28"/>
        <v>1.4731622922196635E-5</v>
      </c>
      <c r="S173" s="2"/>
      <c r="T173" s="2">
        <v>2451.4299999999998</v>
      </c>
      <c r="U173" s="2"/>
      <c r="V173" s="19">
        <f t="shared" si="29"/>
        <v>1.6884840835453531E-4</v>
      </c>
      <c r="W173" s="2"/>
      <c r="X173" s="2">
        <f t="shared" si="30"/>
        <v>-2280.5499999999997</v>
      </c>
      <c r="Y173" s="2"/>
      <c r="Z173" s="19">
        <f t="shared" si="31"/>
        <v>-0.93029374691506583</v>
      </c>
    </row>
    <row r="174" spans="1:26" x14ac:dyDescent="0.35">
      <c r="A174" s="9"/>
      <c r="B174" s="10"/>
      <c r="C174" s="10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O174" s="10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3" customFormat="1" x14ac:dyDescent="0.35">
      <c r="A175" s="10"/>
      <c r="B175" s="28" t="s">
        <v>6</v>
      </c>
      <c r="C175" s="28"/>
      <c r="D175" s="22">
        <f>D12-D120</f>
        <v>-59499.359999999928</v>
      </c>
      <c r="E175" s="14"/>
      <c r="F175" s="21">
        <f>IF(D$12=0,0,D175/D$12)</f>
        <v>-0.28581745560258398</v>
      </c>
      <c r="G175" s="14"/>
      <c r="H175" s="22">
        <f>H12-H120</f>
        <v>-2151.979999999865</v>
      </c>
      <c r="I175" s="14"/>
      <c r="J175" s="21">
        <f>IF(H$12=0,0,H175/H$12)</f>
        <v>-6.9524054318687821E-3</v>
      </c>
      <c r="K175" s="15"/>
      <c r="L175" s="22">
        <f>+D175-H175</f>
        <v>-57347.380000000063</v>
      </c>
      <c r="M175" s="15"/>
      <c r="N175" s="21">
        <f>IF(H175=0,0,L175/H175)</f>
        <v>26.648658444782786</v>
      </c>
      <c r="O175" s="29"/>
      <c r="P175" s="22">
        <f>P12-P120</f>
        <v>4850825.3200000022</v>
      </c>
      <c r="Q175" s="14"/>
      <c r="R175" s="21">
        <f>IF(P$12=0,0,P175/P$12)</f>
        <v>0.41819130077062183</v>
      </c>
      <c r="S175" s="14"/>
      <c r="T175" s="22">
        <f>T12-T120</f>
        <v>6335377.9999999898</v>
      </c>
      <c r="U175" s="14"/>
      <c r="V175" s="21">
        <f>IF(T$12=0,0,T175/T$12)</f>
        <v>0.43636509776919491</v>
      </c>
      <c r="W175" s="15"/>
      <c r="X175" s="22">
        <f>+P175-T175</f>
        <v>-1484552.6799999876</v>
      </c>
      <c r="Y175" s="15"/>
      <c r="Z175" s="21">
        <f>IF(T175=0,0,X175/T175)</f>
        <v>-0.23432740398441734</v>
      </c>
    </row>
    <row r="176" spans="1:26" x14ac:dyDescent="0.35">
      <c r="A176" s="9"/>
      <c r="B176" s="10"/>
      <c r="C176" s="9"/>
      <c r="D176" s="1"/>
      <c r="E176" s="1"/>
      <c r="F176" s="5"/>
      <c r="G176" s="1"/>
      <c r="H176" s="1"/>
      <c r="I176" s="1"/>
      <c r="J176" s="5"/>
      <c r="K176" s="1"/>
      <c r="L176" s="1"/>
      <c r="M176" s="1"/>
      <c r="N176" s="5"/>
      <c r="O176" s="37"/>
      <c r="P176" s="1"/>
      <c r="Q176" s="1"/>
      <c r="R176" s="5"/>
      <c r="S176" s="1"/>
      <c r="T176" s="1"/>
      <c r="U176" s="1"/>
      <c r="V176" s="5"/>
      <c r="W176" s="1"/>
      <c r="X176" s="1"/>
      <c r="Y176" s="1"/>
      <c r="Z176" s="5"/>
    </row>
    <row r="177" spans="1:26" s="23" customFormat="1" x14ac:dyDescent="0.35">
      <c r="A177" s="10"/>
      <c r="B177" s="29" t="s">
        <v>9</v>
      </c>
      <c r="C177" s="10"/>
      <c r="D177" s="20">
        <f>SUM(OSRRefD22x_0)</f>
        <v>336077.55999999994</v>
      </c>
      <c r="E177" s="20"/>
      <c r="F177" s="36">
        <f t="shared" ref="F177:F187" si="32">IF(D$12=0,0,D177/D$12)</f>
        <v>1.614417921206629</v>
      </c>
      <c r="G177" s="20"/>
      <c r="H177" s="20">
        <f>SUM(OSRRefH22x_0)</f>
        <v>317527.41999999993</v>
      </c>
      <c r="I177" s="20"/>
      <c r="J177" s="36">
        <f t="shared" ref="J177:J187" si="33">IF(H$12=0,0,H177/H$12)</f>
        <v>1.0258363737466976</v>
      </c>
      <c r="K177" s="4"/>
      <c r="L177" s="20">
        <f t="shared" ref="L177:L187" si="34">+D177-H177</f>
        <v>18550.140000000014</v>
      </c>
      <c r="M177" s="4"/>
      <c r="N177" s="36">
        <f t="shared" ref="N177:N187" si="35">IF(H177=0,0,L177/H177)</f>
        <v>5.842059246410914E-2</v>
      </c>
      <c r="O177" s="10"/>
      <c r="P177" s="20">
        <f>SUM(OSRRefP22x_0)</f>
        <v>5262656.1099999985</v>
      </c>
      <c r="Q177" s="20"/>
      <c r="R177" s="36">
        <f t="shared" ref="R177:R187" si="36">IF(P$12=0,0,P177/P$12)</f>
        <v>0.45369537325441334</v>
      </c>
      <c r="S177" s="20"/>
      <c r="T177" s="20">
        <f>SUM(OSRRefT22x_0)</f>
        <v>5780020.8699999982</v>
      </c>
      <c r="U177" s="20"/>
      <c r="V177" s="36">
        <f t="shared" ref="V177:V187" si="37">IF(T$12=0,0,T177/T$12)</f>
        <v>0.39811347831897959</v>
      </c>
      <c r="W177" s="4"/>
      <c r="X177" s="20">
        <f t="shared" ref="X177:X187" si="38">+P177-T177</f>
        <v>-517364.75999999978</v>
      </c>
      <c r="Y177" s="4"/>
      <c r="Z177" s="36">
        <f t="shared" ref="Z177:Z187" si="39">IF(T177=0,0,X177/T177)</f>
        <v>-8.9509150855367051E-2</v>
      </c>
    </row>
    <row r="178" spans="1:26" s="25" customFormat="1" outlineLevel="1" collapsed="1" x14ac:dyDescent="0.35">
      <c r="A178" s="26"/>
      <c r="B178" s="12" t="str">
        <f>CONCATENATE("     ","*Benefits                                         ")</f>
        <v xml:space="preserve">     *Benefits                                         </v>
      </c>
      <c r="C178" s="12"/>
      <c r="D178" s="1">
        <f>SUM(OSRRefD22_0x_0)</f>
        <v>38655.93</v>
      </c>
      <c r="E178" s="1"/>
      <c r="F178" s="5">
        <f t="shared" si="32"/>
        <v>0.18569173780275297</v>
      </c>
      <c r="G178" s="1"/>
      <c r="H178" s="1">
        <f>SUM(OSRRefH22_0x_0)</f>
        <v>49134.48</v>
      </c>
      <c r="I178" s="1"/>
      <c r="J178" s="5">
        <f t="shared" si="33"/>
        <v>0.15873884777928676</v>
      </c>
      <c r="K178" s="1"/>
      <c r="L178" s="1">
        <f t="shared" si="34"/>
        <v>-10478.550000000003</v>
      </c>
      <c r="M178" s="1"/>
      <c r="N178" s="5">
        <f t="shared" si="35"/>
        <v>-0.21326266198400801</v>
      </c>
      <c r="O178" s="12"/>
      <c r="P178" s="1">
        <f>SUM(OSRRefP22_0x_0)</f>
        <v>661169.06999999995</v>
      </c>
      <c r="Q178" s="1"/>
      <c r="R178" s="5">
        <f t="shared" si="36"/>
        <v>5.6999610411162402E-2</v>
      </c>
      <c r="S178" s="1"/>
      <c r="T178" s="1">
        <f>SUM(OSRRefT22_0x_0)</f>
        <v>754703.91</v>
      </c>
      <c r="U178" s="1"/>
      <c r="V178" s="5">
        <f t="shared" si="37"/>
        <v>5.1982130422832576E-2</v>
      </c>
      <c r="W178" s="1"/>
      <c r="X178" s="1">
        <f t="shared" si="38"/>
        <v>-93534.840000000084</v>
      </c>
      <c r="Y178" s="1"/>
      <c r="Z178" s="5">
        <f t="shared" si="39"/>
        <v>-0.12393580947526836</v>
      </c>
    </row>
    <row r="179" spans="1:26" s="24" customFormat="1" hidden="1" outlineLevel="2" x14ac:dyDescent="0.35">
      <c r="A179" s="27"/>
      <c r="B179" s="11" t="str">
        <f>CONCATENATE("          ", "6111", " - ", "F.I.C.A.")</f>
        <v xml:space="preserve">          6111 - F.I.C.A.</v>
      </c>
      <c r="C179" s="11"/>
      <c r="D179" s="7">
        <v>8618.73</v>
      </c>
      <c r="E179" s="2"/>
      <c r="F179" s="6">
        <f t="shared" si="32"/>
        <v>4.1401848341321011E-2</v>
      </c>
      <c r="G179" s="2"/>
      <c r="H179" s="7">
        <v>13167.7</v>
      </c>
      <c r="I179" s="2"/>
      <c r="J179" s="6">
        <f t="shared" si="33"/>
        <v>4.2540910698623743E-2</v>
      </c>
      <c r="K179" s="2"/>
      <c r="L179" s="7">
        <f t="shared" si="34"/>
        <v>-4548.9700000000012</v>
      </c>
      <c r="M179" s="2"/>
      <c r="N179" s="6">
        <f t="shared" si="35"/>
        <v>-0.34546428001853025</v>
      </c>
      <c r="O179" s="11"/>
      <c r="P179" s="7">
        <v>131514.45000000001</v>
      </c>
      <c r="Q179" s="2"/>
      <c r="R179" s="6">
        <f t="shared" si="36"/>
        <v>1.1337905467111912E-2</v>
      </c>
      <c r="S179" s="2"/>
      <c r="T179" s="7">
        <v>142016.78</v>
      </c>
      <c r="U179" s="2"/>
      <c r="V179" s="6">
        <f t="shared" si="37"/>
        <v>9.7817629965514831E-3</v>
      </c>
      <c r="W179" s="2"/>
      <c r="X179" s="7">
        <f t="shared" si="38"/>
        <v>-10502.329999999987</v>
      </c>
      <c r="Y179" s="2"/>
      <c r="Z179" s="6">
        <f t="shared" si="39"/>
        <v>-7.395133166658184E-2</v>
      </c>
    </row>
    <row r="180" spans="1:26" s="24" customFormat="1" hidden="1" outlineLevel="2" x14ac:dyDescent="0.35">
      <c r="A180" s="27"/>
      <c r="B180" s="11" t="str">
        <f>CONCATENATE("          ", "6112", " - ", "COMPENSATION INSURANCE")</f>
        <v xml:space="preserve">          6112 - COMPENSATION INSURANCE</v>
      </c>
      <c r="C180" s="11"/>
      <c r="D180" s="7">
        <v>1960.5</v>
      </c>
      <c r="E180" s="2"/>
      <c r="F180" s="6">
        <f t="shared" si="32"/>
        <v>9.4176663700057707E-3</v>
      </c>
      <c r="G180" s="2"/>
      <c r="H180" s="7">
        <v>2700.48</v>
      </c>
      <c r="I180" s="2"/>
      <c r="J180" s="6">
        <f t="shared" si="33"/>
        <v>8.7244453111340204E-3</v>
      </c>
      <c r="K180" s="2"/>
      <c r="L180" s="7">
        <f t="shared" si="34"/>
        <v>-739.98</v>
      </c>
      <c r="M180" s="2"/>
      <c r="N180" s="6">
        <f t="shared" si="35"/>
        <v>-0.27401795236402415</v>
      </c>
      <c r="O180" s="11"/>
      <c r="P180" s="7">
        <v>37538.579999999994</v>
      </c>
      <c r="Q180" s="2"/>
      <c r="R180" s="6">
        <f t="shared" si="36"/>
        <v>3.2362137499690547E-3</v>
      </c>
      <c r="S180" s="2"/>
      <c r="T180" s="7">
        <v>27267.72</v>
      </c>
      <c r="U180" s="2"/>
      <c r="V180" s="6">
        <f t="shared" si="37"/>
        <v>1.8781328128713159E-3</v>
      </c>
      <c r="W180" s="2"/>
      <c r="X180" s="7">
        <f t="shared" si="38"/>
        <v>10270.859999999993</v>
      </c>
      <c r="Y180" s="2"/>
      <c r="Z180" s="6">
        <f t="shared" si="39"/>
        <v>0.37666735612658458</v>
      </c>
    </row>
    <row r="181" spans="1:26" s="24" customFormat="1" hidden="1" outlineLevel="2" x14ac:dyDescent="0.35">
      <c r="A181" s="27"/>
      <c r="B181" s="11" t="str">
        <f>CONCATENATE("          ", "6113", " - ", "GROUP INSURANCE")</f>
        <v xml:space="preserve">          6113 - GROUP INSURANCE</v>
      </c>
      <c r="C181" s="11"/>
      <c r="D181" s="7">
        <v>18033.84</v>
      </c>
      <c r="E181" s="2"/>
      <c r="F181" s="6">
        <f t="shared" si="32"/>
        <v>8.6629272374427385E-2</v>
      </c>
      <c r="G181" s="2"/>
      <c r="H181" s="7">
        <v>26784.350000000002</v>
      </c>
      <c r="I181" s="2"/>
      <c r="J181" s="6">
        <f t="shared" si="33"/>
        <v>8.6532244922855384E-2</v>
      </c>
      <c r="K181" s="2"/>
      <c r="L181" s="7">
        <f t="shared" si="34"/>
        <v>-8750.510000000002</v>
      </c>
      <c r="M181" s="2"/>
      <c r="N181" s="6">
        <f t="shared" si="35"/>
        <v>-0.3267023467061923</v>
      </c>
      <c r="O181" s="11"/>
      <c r="P181" s="7">
        <v>268001.19</v>
      </c>
      <c r="Q181" s="2"/>
      <c r="R181" s="6">
        <f t="shared" si="36"/>
        <v>2.3104473746371579E-2</v>
      </c>
      <c r="S181" s="2"/>
      <c r="T181" s="7">
        <v>310099.54000000004</v>
      </c>
      <c r="U181" s="2"/>
      <c r="V181" s="6">
        <f t="shared" si="37"/>
        <v>2.1358885940236338E-2</v>
      </c>
      <c r="W181" s="2"/>
      <c r="X181" s="7">
        <f t="shared" si="38"/>
        <v>-42098.350000000035</v>
      </c>
      <c r="Y181" s="2"/>
      <c r="Z181" s="6">
        <f t="shared" si="39"/>
        <v>-0.13575753772482227</v>
      </c>
    </row>
    <row r="182" spans="1:26" s="24" customFormat="1" hidden="1" outlineLevel="2" x14ac:dyDescent="0.35">
      <c r="A182" s="27"/>
      <c r="B182" s="11" t="str">
        <f>CONCATENATE("          ", "6114", " - ", "STATE UNEMPLOYMENT INSURANCE")</f>
        <v xml:space="preserve">          6114 - STATE UNEMPLOYMENT INSURANCE</v>
      </c>
      <c r="C182" s="11"/>
      <c r="D182" s="7">
        <v>-6505.67</v>
      </c>
      <c r="E182" s="2"/>
      <c r="F182" s="6">
        <f t="shared" si="32"/>
        <v>-3.125132852504741E-2</v>
      </c>
      <c r="G182" s="2"/>
      <c r="H182" s="7">
        <v>725.25</v>
      </c>
      <c r="I182" s="2"/>
      <c r="J182" s="6">
        <f t="shared" si="33"/>
        <v>2.3430664037133947E-3</v>
      </c>
      <c r="K182" s="2"/>
      <c r="L182" s="7">
        <f t="shared" si="34"/>
        <v>-7230.92</v>
      </c>
      <c r="M182" s="2"/>
      <c r="N182" s="6">
        <f t="shared" si="35"/>
        <v>-9.9702447431920032</v>
      </c>
      <c r="O182" s="11"/>
      <c r="P182" s="7">
        <v>0</v>
      </c>
      <c r="Q182" s="2"/>
      <c r="R182" s="6">
        <f t="shared" si="36"/>
        <v>0</v>
      </c>
      <c r="S182" s="2"/>
      <c r="T182" s="7">
        <v>7668.84</v>
      </c>
      <c r="U182" s="2"/>
      <c r="V182" s="6">
        <f t="shared" si="37"/>
        <v>5.2821064763244093E-4</v>
      </c>
      <c r="W182" s="2"/>
      <c r="X182" s="7">
        <f t="shared" si="38"/>
        <v>-7668.84</v>
      </c>
      <c r="Y182" s="2"/>
      <c r="Z182" s="6">
        <f t="shared" si="39"/>
        <v>-1</v>
      </c>
    </row>
    <row r="183" spans="1:26" s="24" customFormat="1" hidden="1" outlineLevel="2" x14ac:dyDescent="0.35">
      <c r="A183" s="27"/>
      <c r="B183" s="11" t="str">
        <f>CONCATENATE("          ", "6115", " - ", "P.E.R.S.")</f>
        <v xml:space="preserve">          6115 - P.E.R.S.</v>
      </c>
      <c r="C183" s="11"/>
      <c r="D183" s="7">
        <v>5948.8</v>
      </c>
      <c r="E183" s="2"/>
      <c r="F183" s="6">
        <f t="shared" si="32"/>
        <v>2.8576288549803791E-2</v>
      </c>
      <c r="G183" s="2"/>
      <c r="H183" s="7"/>
      <c r="I183" s="2"/>
      <c r="J183" s="6">
        <f t="shared" si="33"/>
        <v>0</v>
      </c>
      <c r="K183" s="2"/>
      <c r="L183" s="7">
        <f t="shared" si="34"/>
        <v>5948.8</v>
      </c>
      <c r="M183" s="2"/>
      <c r="N183" s="6">
        <f t="shared" si="35"/>
        <v>0</v>
      </c>
      <c r="O183" s="11"/>
      <c r="P183" s="7">
        <v>97099.62</v>
      </c>
      <c r="Q183" s="2"/>
      <c r="R183" s="6">
        <f t="shared" si="36"/>
        <v>8.3709912671382416E-3</v>
      </c>
      <c r="S183" s="2"/>
      <c r="T183" s="7">
        <v>88622.71</v>
      </c>
      <c r="U183" s="2"/>
      <c r="V183" s="6">
        <f t="shared" si="37"/>
        <v>6.1041121009229558E-3</v>
      </c>
      <c r="W183" s="2"/>
      <c r="X183" s="7">
        <f t="shared" si="38"/>
        <v>8476.9099999999889</v>
      </c>
      <c r="Y183" s="2"/>
      <c r="Z183" s="6">
        <f t="shared" si="39"/>
        <v>9.5651667614316788E-2</v>
      </c>
    </row>
    <row r="184" spans="1:26" s="24" customFormat="1" hidden="1" outlineLevel="2" x14ac:dyDescent="0.35">
      <c r="A184" s="27"/>
      <c r="B184" s="11" t="str">
        <f>CONCATENATE("          ", "6117", " - ", "RETIREMENT STAFF HOURLY")</f>
        <v xml:space="preserve">          6117 - RETIREMENT STAFF HOURLY</v>
      </c>
      <c r="C184" s="11"/>
      <c r="D184" s="7">
        <v>220.92</v>
      </c>
      <c r="E184" s="2"/>
      <c r="F184" s="6">
        <f t="shared" si="32"/>
        <v>1.0612348148236036E-3</v>
      </c>
      <c r="G184" s="2"/>
      <c r="H184" s="7">
        <v>254.39</v>
      </c>
      <c r="I184" s="2"/>
      <c r="J184" s="6">
        <f t="shared" si="33"/>
        <v>8.2185820398572964E-4</v>
      </c>
      <c r="K184" s="2"/>
      <c r="L184" s="7">
        <f t="shared" si="34"/>
        <v>-33.47</v>
      </c>
      <c r="M184" s="2"/>
      <c r="N184" s="6">
        <f t="shared" si="35"/>
        <v>-0.13156963717127246</v>
      </c>
      <c r="O184" s="11"/>
      <c r="P184" s="7">
        <v>2056.84</v>
      </c>
      <c r="Q184" s="2"/>
      <c r="R184" s="6">
        <f t="shared" si="36"/>
        <v>1.7732087600240477E-4</v>
      </c>
      <c r="S184" s="2"/>
      <c r="T184" s="7">
        <v>3458.37</v>
      </c>
      <c r="U184" s="2"/>
      <c r="V184" s="6">
        <f t="shared" si="37"/>
        <v>2.3820393403077968E-4</v>
      </c>
      <c r="W184" s="2"/>
      <c r="X184" s="7">
        <f t="shared" si="38"/>
        <v>-1401.5299999999997</v>
      </c>
      <c r="Y184" s="2"/>
      <c r="Z184" s="6">
        <f t="shared" si="39"/>
        <v>-0.40525739004212963</v>
      </c>
    </row>
    <row r="185" spans="1:26" s="24" customFormat="1" hidden="1" outlineLevel="2" x14ac:dyDescent="0.35">
      <c r="A185" s="27"/>
      <c r="B185" s="11" t="str">
        <f>CONCATENATE("          ", "6118", " - ", "VACATION")</f>
        <v xml:space="preserve">          6118 - VACATION</v>
      </c>
      <c r="C185" s="11"/>
      <c r="D185" s="7">
        <v>5988.23</v>
      </c>
      <c r="E185" s="2"/>
      <c r="F185" s="6">
        <f t="shared" si="32"/>
        <v>2.8765698692608851E-2</v>
      </c>
      <c r="G185" s="2"/>
      <c r="H185" s="7">
        <v>5609.85</v>
      </c>
      <c r="I185" s="2"/>
      <c r="J185" s="6">
        <f t="shared" si="33"/>
        <v>1.8123751899167994E-2</v>
      </c>
      <c r="K185" s="2"/>
      <c r="L185" s="7">
        <f t="shared" si="34"/>
        <v>378.3799999999992</v>
      </c>
      <c r="M185" s="2"/>
      <c r="N185" s="6">
        <f t="shared" si="35"/>
        <v>6.7449218784815843E-2</v>
      </c>
      <c r="O185" s="11"/>
      <c r="P185" s="7">
        <v>81728.850000000006</v>
      </c>
      <c r="Q185" s="2"/>
      <c r="R185" s="6">
        <f t="shared" si="36"/>
        <v>7.0458719573078801E-3</v>
      </c>
      <c r="S185" s="2"/>
      <c r="T185" s="7">
        <v>85896.22</v>
      </c>
      <c r="U185" s="2"/>
      <c r="V185" s="6">
        <f t="shared" si="37"/>
        <v>5.916318243095256E-3</v>
      </c>
      <c r="W185" s="2"/>
      <c r="X185" s="7">
        <f t="shared" si="38"/>
        <v>-4167.3699999999953</v>
      </c>
      <c r="Y185" s="2"/>
      <c r="Z185" s="6">
        <f t="shared" si="39"/>
        <v>-4.8516337505887866E-2</v>
      </c>
    </row>
    <row r="186" spans="1:26" s="24" customFormat="1" hidden="1" outlineLevel="2" x14ac:dyDescent="0.35">
      <c r="A186" s="27"/>
      <c r="B186" s="11" t="str">
        <f>CONCATENATE("          ", "6119", " - ", "SICK LEAVE")</f>
        <v xml:space="preserve">          6119 - SICK LEAVE</v>
      </c>
      <c r="C186" s="11"/>
      <c r="D186" s="7">
        <v>3497.96</v>
      </c>
      <c r="E186" s="2"/>
      <c r="F186" s="6">
        <f t="shared" si="32"/>
        <v>1.6803172790423558E-2</v>
      </c>
      <c r="G186" s="2"/>
      <c r="H186" s="7">
        <v>-2578.27</v>
      </c>
      <c r="I186" s="2"/>
      <c r="J186" s="6">
        <f t="shared" si="33"/>
        <v>-8.3296212570867067E-3</v>
      </c>
      <c r="K186" s="2"/>
      <c r="L186" s="7">
        <f t="shared" si="34"/>
        <v>6076.23</v>
      </c>
      <c r="M186" s="2"/>
      <c r="N186" s="6">
        <f t="shared" si="35"/>
        <v>-2.3567081802914354</v>
      </c>
      <c r="O186" s="11"/>
      <c r="P186" s="7">
        <v>18414.009999999998</v>
      </c>
      <c r="Q186" s="2"/>
      <c r="R186" s="6">
        <f t="shared" si="36"/>
        <v>1.5874780653415148E-3</v>
      </c>
      <c r="S186" s="2"/>
      <c r="T186" s="7">
        <v>58976.12</v>
      </c>
      <c r="U186" s="2"/>
      <c r="V186" s="6">
        <f t="shared" si="37"/>
        <v>4.0621286322375418E-3</v>
      </c>
      <c r="W186" s="2"/>
      <c r="X186" s="7">
        <f t="shared" si="38"/>
        <v>-40562.11</v>
      </c>
      <c r="Y186" s="2"/>
      <c r="Z186" s="6">
        <f t="shared" si="39"/>
        <v>-0.68777176253710826</v>
      </c>
    </row>
    <row r="187" spans="1:26" s="24" customFormat="1" hidden="1" outlineLevel="2" x14ac:dyDescent="0.35">
      <c r="A187" s="27"/>
      <c r="B187" s="11" t="str">
        <f>CONCATENATE("          ", "6156", " - ", "EMPLOYEE MEALS")</f>
        <v xml:space="preserve">          6156 - EMPLOYEE MEALS</v>
      </c>
      <c r="C187" s="11"/>
      <c r="D187" s="7">
        <v>892.62</v>
      </c>
      <c r="E187" s="2"/>
      <c r="F187" s="6">
        <f t="shared" si="32"/>
        <v>4.2878843943864077E-3</v>
      </c>
      <c r="G187" s="2"/>
      <c r="H187" s="7">
        <v>2470.73</v>
      </c>
      <c r="I187" s="2"/>
      <c r="J187" s="6">
        <f t="shared" si="33"/>
        <v>7.9821915968932029E-3</v>
      </c>
      <c r="K187" s="2"/>
      <c r="L187" s="7">
        <f t="shared" si="34"/>
        <v>-1578.1100000000001</v>
      </c>
      <c r="M187" s="2"/>
      <c r="N187" s="6">
        <f t="shared" si="35"/>
        <v>-0.6387221590380171</v>
      </c>
      <c r="O187" s="11"/>
      <c r="P187" s="7">
        <v>24815.53</v>
      </c>
      <c r="Q187" s="2"/>
      <c r="R187" s="6">
        <f t="shared" si="36"/>
        <v>2.1393552819198164E-3</v>
      </c>
      <c r="S187" s="2"/>
      <c r="T187" s="7">
        <v>30697.609999999997</v>
      </c>
      <c r="U187" s="2"/>
      <c r="V187" s="6">
        <f t="shared" si="37"/>
        <v>2.1143751152544704E-3</v>
      </c>
      <c r="W187" s="2"/>
      <c r="X187" s="7">
        <f t="shared" si="38"/>
        <v>-5882.0799999999981</v>
      </c>
      <c r="Y187" s="2"/>
      <c r="Z187" s="6">
        <f t="shared" si="39"/>
        <v>-0.19161361421947828</v>
      </c>
    </row>
    <row r="188" spans="1:26" s="25" customFormat="1" outlineLevel="1" collapsed="1" x14ac:dyDescent="0.35">
      <c r="A188" s="26"/>
      <c r="B188" s="12" t="str">
        <f>CONCATENATE("     ","*Payroll                                          ")</f>
        <v xml:space="preserve">     *Payroll                                          </v>
      </c>
      <c r="C188" s="12"/>
      <c r="D188" s="1">
        <f>SUM(OSRRefD22_1x_0)</f>
        <v>108044.88999999998</v>
      </c>
      <c r="E188" s="1"/>
      <c r="F188" s="5">
        <f t="shared" ref="F188:F195" si="40">IF(D$12=0,0,D188/D$12)</f>
        <v>0.51901592808159791</v>
      </c>
      <c r="G188" s="1"/>
      <c r="H188" s="1">
        <f>SUM(OSRRefH22_1x_0)</f>
        <v>166240.46</v>
      </c>
      <c r="I188" s="1"/>
      <c r="J188" s="5">
        <f t="shared" ref="J188:J195" si="41">IF(H$12=0,0,H188/H$12)</f>
        <v>0.53707333576540561</v>
      </c>
      <c r="K188" s="1"/>
      <c r="L188" s="1">
        <f t="shared" ref="L188:L195" si="42">+D188-H188</f>
        <v>-58195.570000000007</v>
      </c>
      <c r="M188" s="1"/>
      <c r="N188" s="5">
        <f t="shared" ref="N188:N195" si="43">IF(H188=0,0,L188/H188)</f>
        <v>-0.35006862950210804</v>
      </c>
      <c r="O188" s="12"/>
      <c r="P188" s="1">
        <f>SUM(OSRRefP22_1x_0)</f>
        <v>2410795.2400000002</v>
      </c>
      <c r="Q188" s="1"/>
      <c r="R188" s="5">
        <f t="shared" ref="R188:R195" si="44">IF(P$12=0,0,P188/P$12)</f>
        <v>0.20783547763522087</v>
      </c>
      <c r="S188" s="1"/>
      <c r="T188" s="1">
        <f>SUM(OSRRefT22_1x_0)</f>
        <v>2684966.4</v>
      </c>
      <c r="U188" s="1"/>
      <c r="V188" s="5">
        <f t="shared" ref="V188:V195" si="45">IF(T$12=0,0,T188/T$12)</f>
        <v>0.18493381541606596</v>
      </c>
      <c r="W188" s="1"/>
      <c r="X188" s="1">
        <f t="shared" ref="X188:X195" si="46">+P188-T188</f>
        <v>-274171.15999999968</v>
      </c>
      <c r="Y188" s="1"/>
      <c r="Z188" s="5">
        <f t="shared" ref="Z188:Z195" si="47">IF(T188=0,0,X188/T188)</f>
        <v>-0.10211344171755732</v>
      </c>
    </row>
    <row r="189" spans="1:26" s="24" customFormat="1" hidden="1" outlineLevel="2" x14ac:dyDescent="0.35">
      <c r="A189" s="27"/>
      <c r="B189" s="11" t="str">
        <f>CONCATENATE("          ", "6001", " - ", "ADMINISTRATIVE SALARIES")</f>
        <v xml:space="preserve">          6001 - ADMINISTRATIVE SALARIES</v>
      </c>
      <c r="C189" s="11"/>
      <c r="D189" s="7"/>
      <c r="E189" s="2"/>
      <c r="F189" s="6">
        <f t="shared" si="40"/>
        <v>0</v>
      </c>
      <c r="G189" s="2"/>
      <c r="H189" s="7">
        <v>7283.5</v>
      </c>
      <c r="I189" s="2"/>
      <c r="J189" s="6">
        <f t="shared" si="41"/>
        <v>2.3530815789653926E-2</v>
      </c>
      <c r="K189" s="2"/>
      <c r="L189" s="7">
        <f t="shared" si="42"/>
        <v>-7283.5</v>
      </c>
      <c r="M189" s="2"/>
      <c r="N189" s="6">
        <f t="shared" si="43"/>
        <v>-1</v>
      </c>
      <c r="O189" s="11"/>
      <c r="P189" s="7">
        <v>93238.31</v>
      </c>
      <c r="Q189" s="2"/>
      <c r="R189" s="6">
        <f t="shared" si="44"/>
        <v>8.0381064186731965E-3</v>
      </c>
      <c r="S189" s="2"/>
      <c r="T189" s="7">
        <v>125900.5</v>
      </c>
      <c r="U189" s="2"/>
      <c r="V189" s="6">
        <f t="shared" si="45"/>
        <v>8.6717136675492149E-3</v>
      </c>
      <c r="W189" s="2"/>
      <c r="X189" s="7">
        <f t="shared" si="46"/>
        <v>-32662.190000000002</v>
      </c>
      <c r="Y189" s="2"/>
      <c r="Z189" s="6">
        <f t="shared" si="47"/>
        <v>-0.25942859639159499</v>
      </c>
    </row>
    <row r="190" spans="1:26" s="24" customFormat="1" hidden="1" outlineLevel="2" x14ac:dyDescent="0.35">
      <c r="A190" s="27"/>
      <c r="B190" s="11" t="str">
        <f>CONCATENATE("          ", "6002", " - ", "STAFF SALARIES")</f>
        <v xml:space="preserve">          6002 - STAFF SALARIES</v>
      </c>
      <c r="C190" s="11"/>
      <c r="D190" s="7">
        <v>56674.03</v>
      </c>
      <c r="E190" s="2"/>
      <c r="F190" s="6">
        <f t="shared" si="40"/>
        <v>0.27224539983866269</v>
      </c>
      <c r="G190" s="2"/>
      <c r="H190" s="7">
        <v>65725.759999999995</v>
      </c>
      <c r="I190" s="2"/>
      <c r="J190" s="6">
        <f t="shared" si="41"/>
        <v>0.21234032418411536</v>
      </c>
      <c r="K190" s="2"/>
      <c r="L190" s="7">
        <f t="shared" si="42"/>
        <v>-9051.7299999999959</v>
      </c>
      <c r="M190" s="2"/>
      <c r="N190" s="6">
        <f t="shared" si="43"/>
        <v>-0.13771967033930071</v>
      </c>
      <c r="O190" s="11"/>
      <c r="P190" s="7">
        <v>829005.01</v>
      </c>
      <c r="Q190" s="2"/>
      <c r="R190" s="6">
        <f t="shared" si="44"/>
        <v>7.1468803885368984E-2</v>
      </c>
      <c r="S190" s="2"/>
      <c r="T190" s="7">
        <v>861296.23</v>
      </c>
      <c r="U190" s="2"/>
      <c r="V190" s="6">
        <f t="shared" si="45"/>
        <v>5.9323944618961899E-2</v>
      </c>
      <c r="W190" s="2"/>
      <c r="X190" s="7">
        <f t="shared" si="46"/>
        <v>-32291.219999999972</v>
      </c>
      <c r="Y190" s="2"/>
      <c r="Z190" s="6">
        <f t="shared" si="47"/>
        <v>-3.7491421505467373E-2</v>
      </c>
    </row>
    <row r="191" spans="1:26" s="24" customFormat="1" hidden="1" outlineLevel="2" x14ac:dyDescent="0.35">
      <c r="A191" s="27"/>
      <c r="B191" s="11" t="str">
        <f>CONCATENATE("          ", "6004", " - ", "STAFF HOURLY")</f>
        <v xml:space="preserve">          6004 - STAFF HOURLY</v>
      </c>
      <c r="C191" s="11"/>
      <c r="D191" s="7">
        <v>18264.34</v>
      </c>
      <c r="E191" s="2"/>
      <c r="F191" s="6">
        <f t="shared" si="40"/>
        <v>8.7736526696430103E-2</v>
      </c>
      <c r="G191" s="2"/>
      <c r="H191" s="7">
        <v>4906.1499999999996</v>
      </c>
      <c r="I191" s="2"/>
      <c r="J191" s="6">
        <f t="shared" si="41"/>
        <v>1.5850307116964453E-2</v>
      </c>
      <c r="K191" s="2"/>
      <c r="L191" s="7">
        <f t="shared" si="42"/>
        <v>13358.19</v>
      </c>
      <c r="M191" s="2"/>
      <c r="N191" s="6">
        <f t="shared" si="43"/>
        <v>2.722743903060445</v>
      </c>
      <c r="O191" s="11"/>
      <c r="P191" s="7">
        <v>77737.62</v>
      </c>
      <c r="Q191" s="2"/>
      <c r="R191" s="6">
        <f t="shared" si="44"/>
        <v>6.7017866614525485E-3</v>
      </c>
      <c r="S191" s="2"/>
      <c r="T191" s="7">
        <v>72178.3</v>
      </c>
      <c r="U191" s="2"/>
      <c r="V191" s="6">
        <f t="shared" si="45"/>
        <v>4.9714619926884132E-3</v>
      </c>
      <c r="W191" s="2"/>
      <c r="X191" s="7">
        <f t="shared" si="46"/>
        <v>5559.3199999999924</v>
      </c>
      <c r="Y191" s="2"/>
      <c r="Z191" s="6">
        <f t="shared" si="47"/>
        <v>7.7022041250625076E-2</v>
      </c>
    </row>
    <row r="192" spans="1:26" s="24" customFormat="1" hidden="1" outlineLevel="2" x14ac:dyDescent="0.35">
      <c r="A192" s="27"/>
      <c r="B192" s="11" t="str">
        <f>CONCATENATE("          ", "6005", " - ", "TEMPORARY WAGES-HOURLY")</f>
        <v xml:space="preserve">          6005 - TEMPORARY WAGES-HOURLY</v>
      </c>
      <c r="C192" s="11"/>
      <c r="D192" s="7">
        <v>13347.48</v>
      </c>
      <c r="E192" s="2"/>
      <c r="F192" s="6">
        <f t="shared" si="40"/>
        <v>6.4117374914728201E-2</v>
      </c>
      <c r="G192" s="2"/>
      <c r="H192" s="7">
        <v>23378.390000000003</v>
      </c>
      <c r="I192" s="2"/>
      <c r="J192" s="6">
        <f t="shared" si="41"/>
        <v>7.5528604180502168E-2</v>
      </c>
      <c r="K192" s="2"/>
      <c r="L192" s="7">
        <f t="shared" si="42"/>
        <v>-10030.910000000003</v>
      </c>
      <c r="M192" s="2"/>
      <c r="N192" s="6">
        <f t="shared" si="43"/>
        <v>-0.42906761329586862</v>
      </c>
      <c r="O192" s="11"/>
      <c r="P192" s="7">
        <v>268982.92000000004</v>
      </c>
      <c r="Q192" s="2"/>
      <c r="R192" s="6">
        <f t="shared" si="44"/>
        <v>2.3189109023591902E-2</v>
      </c>
      <c r="S192" s="2"/>
      <c r="T192" s="7">
        <v>307400.87</v>
      </c>
      <c r="U192" s="2"/>
      <c r="V192" s="6">
        <f t="shared" si="45"/>
        <v>2.1173008254895886E-2</v>
      </c>
      <c r="W192" s="2"/>
      <c r="X192" s="7">
        <f t="shared" si="46"/>
        <v>-38417.949999999953</v>
      </c>
      <c r="Y192" s="2"/>
      <c r="Z192" s="6">
        <f t="shared" si="47"/>
        <v>-0.12497671200475118</v>
      </c>
    </row>
    <row r="193" spans="1:26" s="24" customFormat="1" hidden="1" outlineLevel="2" x14ac:dyDescent="0.35">
      <c r="A193" s="27"/>
      <c r="B193" s="11" t="str">
        <f>CONCATENATE("          ", "6006", " - ", "TEMPORARY PART TIME")</f>
        <v xml:space="preserve">          6006 - TEMPORARY PART TIME</v>
      </c>
      <c r="C193" s="11"/>
      <c r="D193" s="7">
        <v>2246.59</v>
      </c>
      <c r="E193" s="2"/>
      <c r="F193" s="6">
        <f t="shared" si="40"/>
        <v>1.0791958730013398E-2</v>
      </c>
      <c r="G193" s="2"/>
      <c r="H193" s="7">
        <v>6155.95</v>
      </c>
      <c r="I193" s="2"/>
      <c r="J193" s="6">
        <f t="shared" si="41"/>
        <v>1.988803809436673E-2</v>
      </c>
      <c r="K193" s="2"/>
      <c r="L193" s="7">
        <f t="shared" si="42"/>
        <v>-3909.3599999999997</v>
      </c>
      <c r="M193" s="2"/>
      <c r="N193" s="6">
        <f t="shared" si="43"/>
        <v>-0.63505389095103104</v>
      </c>
      <c r="O193" s="11"/>
      <c r="P193" s="7">
        <v>59117.58</v>
      </c>
      <c r="Q193" s="2"/>
      <c r="R193" s="6">
        <f t="shared" si="44"/>
        <v>5.096546679733107E-3</v>
      </c>
      <c r="S193" s="2"/>
      <c r="T193" s="7">
        <v>101079.41</v>
      </c>
      <c r="U193" s="2"/>
      <c r="V193" s="6">
        <f t="shared" si="45"/>
        <v>6.9620986509569922E-3</v>
      </c>
      <c r="W193" s="2"/>
      <c r="X193" s="7">
        <f t="shared" si="46"/>
        <v>-41961.83</v>
      </c>
      <c r="Y193" s="2"/>
      <c r="Z193" s="6">
        <f t="shared" si="47"/>
        <v>-0.41513726682813046</v>
      </c>
    </row>
    <row r="194" spans="1:26" s="24" customFormat="1" hidden="1" outlineLevel="2" x14ac:dyDescent="0.35">
      <c r="A194" s="27"/>
      <c r="B194" s="11" t="str">
        <f>CONCATENATE("          ", "6007", " - ", "STUDENT HOURLY")</f>
        <v xml:space="preserve">          6007 - STUDENT HOURLY</v>
      </c>
      <c r="C194" s="11"/>
      <c r="D194" s="7">
        <v>17512.449999999997</v>
      </c>
      <c r="E194" s="2"/>
      <c r="F194" s="6">
        <f t="shared" si="40"/>
        <v>8.4124667901763608E-2</v>
      </c>
      <c r="G194" s="2"/>
      <c r="H194" s="7">
        <v>56493.64</v>
      </c>
      <c r="I194" s="2"/>
      <c r="J194" s="6">
        <f t="shared" si="41"/>
        <v>0.18251409845912331</v>
      </c>
      <c r="K194" s="2"/>
      <c r="L194" s="7">
        <f t="shared" si="42"/>
        <v>-38981.19</v>
      </c>
      <c r="M194" s="2"/>
      <c r="N194" s="6">
        <f t="shared" si="43"/>
        <v>-0.69001023832063224</v>
      </c>
      <c r="O194" s="11"/>
      <c r="P194" s="7">
        <v>1056396.99</v>
      </c>
      <c r="Q194" s="2"/>
      <c r="R194" s="6">
        <f t="shared" si="44"/>
        <v>9.1072343825044061E-2</v>
      </c>
      <c r="S194" s="2"/>
      <c r="T194" s="7">
        <v>1160268.03</v>
      </c>
      <c r="U194" s="2"/>
      <c r="V194" s="6">
        <f t="shared" si="45"/>
        <v>7.9916379472451685E-2</v>
      </c>
      <c r="W194" s="2"/>
      <c r="X194" s="7">
        <f t="shared" si="46"/>
        <v>-103871.04000000004</v>
      </c>
      <c r="Y194" s="2"/>
      <c r="Z194" s="6">
        <f t="shared" si="47"/>
        <v>-8.9523314712032565E-2</v>
      </c>
    </row>
    <row r="195" spans="1:26" s="24" customFormat="1" hidden="1" outlineLevel="2" x14ac:dyDescent="0.35">
      <c r="A195" s="27"/>
      <c r="B195" s="11" t="str">
        <f>CONCATENATE("          ", "6008", " - ", "STUDENT HOURLY-FICA EXEMPT")</f>
        <v xml:space="preserve">          6008 - STUDENT HOURLY-FICA EXEMPT</v>
      </c>
      <c r="C195" s="11"/>
      <c r="D195" s="7"/>
      <c r="E195" s="2"/>
      <c r="F195" s="6">
        <f t="shared" si="40"/>
        <v>0</v>
      </c>
      <c r="G195" s="2"/>
      <c r="H195" s="7">
        <v>2297.0700000000002</v>
      </c>
      <c r="I195" s="2"/>
      <c r="J195" s="6">
        <f t="shared" si="41"/>
        <v>7.4211479406796656E-3</v>
      </c>
      <c r="K195" s="2"/>
      <c r="L195" s="7">
        <f t="shared" si="42"/>
        <v>-2297.0700000000002</v>
      </c>
      <c r="M195" s="2"/>
      <c r="N195" s="6">
        <f t="shared" si="43"/>
        <v>-1</v>
      </c>
      <c r="O195" s="11"/>
      <c r="P195" s="7">
        <v>26316.809999999998</v>
      </c>
      <c r="Q195" s="2"/>
      <c r="R195" s="6">
        <f t="shared" si="44"/>
        <v>2.2687811413570551E-3</v>
      </c>
      <c r="S195" s="2"/>
      <c r="T195" s="7">
        <v>56843.06</v>
      </c>
      <c r="U195" s="2"/>
      <c r="V195" s="6">
        <f t="shared" si="45"/>
        <v>3.9152087585618807E-3</v>
      </c>
      <c r="W195" s="2"/>
      <c r="X195" s="7">
        <f t="shared" si="46"/>
        <v>-30526.25</v>
      </c>
      <c r="Y195" s="2"/>
      <c r="Z195" s="6">
        <f t="shared" si="47"/>
        <v>-0.53702685956737728</v>
      </c>
    </row>
    <row r="196" spans="1:26" s="25" customFormat="1" outlineLevel="1" collapsed="1" x14ac:dyDescent="0.35">
      <c r="A196" s="26"/>
      <c r="B196" s="12" t="str">
        <f>CONCATENATE("     ","Advertising/Promo                                 ")</f>
        <v xml:space="preserve">     Advertising/Promo                                 </v>
      </c>
      <c r="C196" s="12"/>
      <c r="D196" s="1">
        <f>SUM(OSRRefD22_2x_0)</f>
        <v>-2415.19</v>
      </c>
      <c r="E196" s="1"/>
      <c r="F196" s="5">
        <f t="shared" ref="F196:F200" si="48">IF(D$12=0,0,D196/D$12)</f>
        <v>-1.1601863626714736E-2</v>
      </c>
      <c r="G196" s="1"/>
      <c r="H196" s="1">
        <f>SUM(OSRRefH22_2x_0)</f>
        <v>7952.82</v>
      </c>
      <c r="I196" s="1"/>
      <c r="J196" s="5">
        <f t="shared" ref="J196:J200" si="49">IF(H$12=0,0,H196/H$12)</f>
        <v>2.5693189047611111E-2</v>
      </c>
      <c r="K196" s="1"/>
      <c r="L196" s="1">
        <f t="shared" ref="L196:L200" si="50">+D196-H196</f>
        <v>-10368.01</v>
      </c>
      <c r="M196" s="1"/>
      <c r="N196" s="5">
        <f t="shared" ref="N196:N200" si="51">IF(H196=0,0,L196/H196)</f>
        <v>-1.3036897603617335</v>
      </c>
      <c r="O196" s="12"/>
      <c r="P196" s="1">
        <f>SUM(OSRRefP22_2x_0)</f>
        <v>46663.49</v>
      </c>
      <c r="Q196" s="1"/>
      <c r="R196" s="5">
        <f t="shared" ref="R196:R200" si="52">IF(P$12=0,0,P196/P$12)</f>
        <v>4.0228753447664641E-3</v>
      </c>
      <c r="S196" s="1"/>
      <c r="T196" s="1">
        <f>SUM(OSRRefT22_2x_0)</f>
        <v>79775.7</v>
      </c>
      <c r="U196" s="1"/>
      <c r="V196" s="5">
        <f t="shared" ref="V196:V200" si="53">IF(T$12=0,0,T196/T$12)</f>
        <v>5.4947520305980192E-3</v>
      </c>
      <c r="W196" s="1"/>
      <c r="X196" s="1">
        <f t="shared" ref="X196:X200" si="54">+P196-T196</f>
        <v>-33112.21</v>
      </c>
      <c r="Y196" s="1"/>
      <c r="Z196" s="5">
        <f t="shared" ref="Z196:Z200" si="55">IF(T196=0,0,X196/T196)</f>
        <v>-0.41506636732739416</v>
      </c>
    </row>
    <row r="197" spans="1:26" s="24" customFormat="1" hidden="1" outlineLevel="2" x14ac:dyDescent="0.35">
      <c r="A197" s="27"/>
      <c r="B197" s="11" t="str">
        <f>CONCATENATE("          ", "6362", " - ", "ADVERTISING EXPENSE")</f>
        <v xml:space="preserve">          6362 - ADVERTISING EXPENSE</v>
      </c>
      <c r="C197" s="11"/>
      <c r="D197" s="7">
        <v>-2415.19</v>
      </c>
      <c r="E197" s="2"/>
      <c r="F197" s="6">
        <f t="shared" si="48"/>
        <v>-1.1601863626714736E-2</v>
      </c>
      <c r="G197" s="2"/>
      <c r="H197" s="7">
        <v>7952.82</v>
      </c>
      <c r="I197" s="2"/>
      <c r="J197" s="6">
        <f t="shared" si="49"/>
        <v>2.5693189047611111E-2</v>
      </c>
      <c r="K197" s="2"/>
      <c r="L197" s="7">
        <f t="shared" si="50"/>
        <v>-10368.01</v>
      </c>
      <c r="M197" s="2"/>
      <c r="N197" s="6">
        <f t="shared" si="51"/>
        <v>-1.3036897603617335</v>
      </c>
      <c r="O197" s="11"/>
      <c r="P197" s="7">
        <v>46663.49</v>
      </c>
      <c r="Q197" s="2"/>
      <c r="R197" s="6">
        <f t="shared" si="52"/>
        <v>4.0228753447664641E-3</v>
      </c>
      <c r="S197" s="2"/>
      <c r="T197" s="7">
        <v>79775.7</v>
      </c>
      <c r="U197" s="2"/>
      <c r="V197" s="6">
        <f t="shared" si="53"/>
        <v>5.4947520305980192E-3</v>
      </c>
      <c r="W197" s="2"/>
      <c r="X197" s="7">
        <f t="shared" si="54"/>
        <v>-33112.21</v>
      </c>
      <c r="Y197" s="2"/>
      <c r="Z197" s="6">
        <f t="shared" si="55"/>
        <v>-0.41506636732739416</v>
      </c>
    </row>
    <row r="198" spans="1:26" s="25" customFormat="1" outlineLevel="1" collapsed="1" x14ac:dyDescent="0.35">
      <c r="A198" s="26"/>
      <c r="B198" s="12" t="str">
        <f>CONCATENATE("     ","Bad Debts/Over/Short                              ")</f>
        <v xml:space="preserve">     Bad Debts/Over/Short                              </v>
      </c>
      <c r="C198" s="12"/>
      <c r="D198" s="1">
        <f>SUM(OSRRefD22_3x_0)</f>
        <v>0</v>
      </c>
      <c r="E198" s="1"/>
      <c r="F198" s="5">
        <f t="shared" si="48"/>
        <v>0</v>
      </c>
      <c r="G198" s="1"/>
      <c r="H198" s="1">
        <f>SUM(OSRRefH22_3x_0)</f>
        <v>5204.41</v>
      </c>
      <c r="I198" s="1"/>
      <c r="J198" s="5">
        <f t="shared" si="49"/>
        <v>1.6813896204274426E-2</v>
      </c>
      <c r="K198" s="1"/>
      <c r="L198" s="1">
        <f t="shared" si="50"/>
        <v>-5204.41</v>
      </c>
      <c r="M198" s="1"/>
      <c r="N198" s="5">
        <f t="shared" si="51"/>
        <v>-1</v>
      </c>
      <c r="O198" s="12"/>
      <c r="P198" s="1">
        <f>SUM(OSRRefP22_3x_0)</f>
        <v>-459.84</v>
      </c>
      <c r="Q198" s="1"/>
      <c r="R198" s="5">
        <f t="shared" si="52"/>
        <v>-3.9642962807484202E-5</v>
      </c>
      <c r="S198" s="1"/>
      <c r="T198" s="1">
        <f>SUM(OSRRefT22_3x_0)</f>
        <v>4320.38</v>
      </c>
      <c r="U198" s="1"/>
      <c r="V198" s="5">
        <f t="shared" si="53"/>
        <v>2.9757704135413506E-4</v>
      </c>
      <c r="W198" s="1"/>
      <c r="X198" s="1">
        <f t="shared" si="54"/>
        <v>-4780.22</v>
      </c>
      <c r="Y198" s="1"/>
      <c r="Z198" s="5">
        <f t="shared" si="55"/>
        <v>-1.1064350820992599</v>
      </c>
    </row>
    <row r="199" spans="1:26" s="24" customFormat="1" hidden="1" outlineLevel="2" x14ac:dyDescent="0.35">
      <c r="A199" s="27"/>
      <c r="B199" s="11" t="str">
        <f>CONCATENATE("          ", "6272", " - ", "CASH (OVER/SHORT)")</f>
        <v xml:space="preserve">          6272 - CASH (OVER/SHORT)</v>
      </c>
      <c r="C199" s="11"/>
      <c r="D199" s="7"/>
      <c r="E199" s="2"/>
      <c r="F199" s="6">
        <f t="shared" si="48"/>
        <v>0</v>
      </c>
      <c r="G199" s="2"/>
      <c r="H199" s="7">
        <v>5204.41</v>
      </c>
      <c r="I199" s="2"/>
      <c r="J199" s="6">
        <f t="shared" si="49"/>
        <v>1.6813896204274426E-2</v>
      </c>
      <c r="K199" s="2"/>
      <c r="L199" s="7">
        <f t="shared" si="50"/>
        <v>-5204.41</v>
      </c>
      <c r="M199" s="2"/>
      <c r="N199" s="6">
        <f t="shared" si="51"/>
        <v>-1</v>
      </c>
      <c r="O199" s="11"/>
      <c r="P199" s="7">
        <v>-504.64</v>
      </c>
      <c r="Q199" s="2"/>
      <c r="R199" s="6">
        <f t="shared" si="52"/>
        <v>-4.3505186045513282E-5</v>
      </c>
      <c r="S199" s="2"/>
      <c r="T199" s="7">
        <v>4320.38</v>
      </c>
      <c r="U199" s="2"/>
      <c r="V199" s="6">
        <f t="shared" si="53"/>
        <v>2.9757704135413506E-4</v>
      </c>
      <c r="W199" s="2"/>
      <c r="X199" s="7">
        <f t="shared" si="54"/>
        <v>-4825.0200000000004</v>
      </c>
      <c r="Y199" s="2"/>
      <c r="Z199" s="6">
        <f t="shared" si="55"/>
        <v>-1.1168045403413589</v>
      </c>
    </row>
    <row r="200" spans="1:26" s="24" customFormat="1" hidden="1" outlineLevel="2" x14ac:dyDescent="0.35">
      <c r="A200" s="27"/>
      <c r="B200" s="11" t="str">
        <f>CONCATENATE("          ", "6342", " - ", "BAD DEBT")</f>
        <v xml:space="preserve">          6342 - BAD DEBT</v>
      </c>
      <c r="C200" s="11"/>
      <c r="D200" s="7"/>
      <c r="E200" s="2"/>
      <c r="F200" s="6">
        <f t="shared" si="48"/>
        <v>0</v>
      </c>
      <c r="G200" s="2"/>
      <c r="H200" s="7"/>
      <c r="I200" s="2"/>
      <c r="J200" s="6">
        <f t="shared" si="49"/>
        <v>0</v>
      </c>
      <c r="K200" s="2"/>
      <c r="L200" s="7">
        <f t="shared" si="50"/>
        <v>0</v>
      </c>
      <c r="M200" s="2"/>
      <c r="N200" s="6">
        <f t="shared" si="51"/>
        <v>0</v>
      </c>
      <c r="O200" s="11"/>
      <c r="P200" s="7">
        <v>44.8</v>
      </c>
      <c r="Q200" s="2"/>
      <c r="R200" s="6">
        <f t="shared" si="52"/>
        <v>3.8622232380290802E-6</v>
      </c>
      <c r="S200" s="2"/>
      <c r="T200" s="7"/>
      <c r="U200" s="2"/>
      <c r="V200" s="6">
        <f t="shared" si="53"/>
        <v>0</v>
      </c>
      <c r="W200" s="2"/>
      <c r="X200" s="7">
        <f t="shared" si="54"/>
        <v>44.8</v>
      </c>
      <c r="Y200" s="2"/>
      <c r="Z200" s="6">
        <f t="shared" si="55"/>
        <v>0</v>
      </c>
    </row>
    <row r="201" spans="1:26" s="25" customFormat="1" outlineLevel="1" collapsed="1" x14ac:dyDescent="0.35">
      <c r="A201" s="26"/>
      <c r="B201" s="12" t="str">
        <f>CONCATENATE("     ","Bank/card Fees                                    ")</f>
        <v xml:space="preserve">     Bank/card Fees                                    </v>
      </c>
      <c r="C201" s="12"/>
      <c r="D201" s="1">
        <f>SUM(OSRRefD22_4x_0)</f>
        <v>3763.6</v>
      </c>
      <c r="E201" s="1"/>
      <c r="F201" s="5">
        <f t="shared" ref="F201:F205" si="56">IF(D$12=0,0,D201/D$12)</f>
        <v>1.8079229354834848E-2</v>
      </c>
      <c r="G201" s="1"/>
      <c r="H201" s="1">
        <f>SUM(OSRRefH22_4x_0)</f>
        <v>6991.67</v>
      </c>
      <c r="I201" s="1"/>
      <c r="J201" s="5">
        <f t="shared" ref="J201:J205" si="57">IF(H$12=0,0,H201/H$12)</f>
        <v>2.2588000114237613E-2</v>
      </c>
      <c r="K201" s="1"/>
      <c r="L201" s="1">
        <f t="shared" ref="L201:L205" si="58">+D201-H201</f>
        <v>-3228.07</v>
      </c>
      <c r="M201" s="1"/>
      <c r="N201" s="5">
        <f t="shared" ref="N201:N205" si="59">IF(H201=0,0,L201/H201)</f>
        <v>-0.46170228285945991</v>
      </c>
      <c r="O201" s="12"/>
      <c r="P201" s="1">
        <f>SUM(OSRRefP22_4x_0)</f>
        <v>238229.26</v>
      </c>
      <c r="Q201" s="1"/>
      <c r="R201" s="5">
        <f t="shared" ref="R201:R205" si="60">IF(P$12=0,0,P201/P$12)</f>
        <v>2.0537825534608742E-2</v>
      </c>
      <c r="S201" s="1"/>
      <c r="T201" s="1">
        <f>SUM(OSRRefT22_4x_0)</f>
        <v>275005.82</v>
      </c>
      <c r="U201" s="1"/>
      <c r="V201" s="5">
        <f t="shared" ref="V201:V205" si="61">IF(T$12=0,0,T201/T$12)</f>
        <v>1.8941717689362467E-2</v>
      </c>
      <c r="W201" s="1"/>
      <c r="X201" s="1">
        <f t="shared" ref="X201:X205" si="62">+P201-T201</f>
        <v>-36776.559999999998</v>
      </c>
      <c r="Y201" s="1"/>
      <c r="Z201" s="5">
        <f t="shared" ref="Z201:Z205" si="63">IF(T201=0,0,X201/T201)</f>
        <v>-0.13373011523901565</v>
      </c>
    </row>
    <row r="202" spans="1:26" s="24" customFormat="1" hidden="1" outlineLevel="2" x14ac:dyDescent="0.35">
      <c r="A202" s="27"/>
      <c r="B202" s="11" t="str">
        <f>CONCATENATE("          ", "6381", " - ", "BANK/CREDIT CARD FEES")</f>
        <v xml:space="preserve">          6381 - BANK/CREDIT CARD FEES</v>
      </c>
      <c r="C202" s="11"/>
      <c r="D202" s="7">
        <v>3763.6</v>
      </c>
      <c r="E202" s="2"/>
      <c r="F202" s="6">
        <f t="shared" si="56"/>
        <v>1.8079229354834848E-2</v>
      </c>
      <c r="G202" s="2"/>
      <c r="H202" s="7">
        <v>6991.67</v>
      </c>
      <c r="I202" s="2"/>
      <c r="J202" s="6">
        <f t="shared" si="57"/>
        <v>2.2588000114237613E-2</v>
      </c>
      <c r="K202" s="2"/>
      <c r="L202" s="7">
        <f t="shared" si="58"/>
        <v>-3228.07</v>
      </c>
      <c r="M202" s="2"/>
      <c r="N202" s="6">
        <f t="shared" si="59"/>
        <v>-0.46170228285945991</v>
      </c>
      <c r="O202" s="11"/>
      <c r="P202" s="7">
        <v>238229.26</v>
      </c>
      <c r="Q202" s="2"/>
      <c r="R202" s="6">
        <f t="shared" si="60"/>
        <v>2.0537825534608742E-2</v>
      </c>
      <c r="S202" s="2"/>
      <c r="T202" s="7">
        <v>275005.82</v>
      </c>
      <c r="U202" s="2"/>
      <c r="V202" s="6">
        <f t="shared" si="61"/>
        <v>1.8941717689362467E-2</v>
      </c>
      <c r="W202" s="2"/>
      <c r="X202" s="7">
        <f t="shared" si="62"/>
        <v>-36776.559999999998</v>
      </c>
      <c r="Y202" s="2"/>
      <c r="Z202" s="6">
        <f t="shared" si="63"/>
        <v>-0.13373011523901565</v>
      </c>
    </row>
    <row r="203" spans="1:26" s="25" customFormat="1" outlineLevel="1" collapsed="1" x14ac:dyDescent="0.35">
      <c r="A203" s="26"/>
      <c r="B203" s="12" t="str">
        <f>CONCATENATE("     ","Depreciation                                      ")</f>
        <v xml:space="preserve">     Depreciation                                      </v>
      </c>
      <c r="C203" s="12"/>
      <c r="D203" s="1">
        <f>SUM(OSRRefD22_5x_0)</f>
        <v>39339.910000000003</v>
      </c>
      <c r="E203" s="1"/>
      <c r="F203" s="5">
        <f t="shared" si="56"/>
        <v>0.18897737689673746</v>
      </c>
      <c r="G203" s="1"/>
      <c r="H203" s="1">
        <f>SUM(OSRRefH22_5x_0)</f>
        <v>38065.019999999997</v>
      </c>
      <c r="I203" s="1"/>
      <c r="J203" s="5">
        <f t="shared" si="57"/>
        <v>0.12297672460348628</v>
      </c>
      <c r="K203" s="1"/>
      <c r="L203" s="1">
        <f t="shared" si="58"/>
        <v>1274.8900000000067</v>
      </c>
      <c r="M203" s="1"/>
      <c r="N203" s="5">
        <f t="shared" si="59"/>
        <v>3.3492429532416032E-2</v>
      </c>
      <c r="O203" s="12"/>
      <c r="P203" s="1">
        <f>SUM(OSRRefP22_5x_0)</f>
        <v>463091.29000000004</v>
      </c>
      <c r="Q203" s="1"/>
      <c r="R203" s="5">
        <f t="shared" si="60"/>
        <v>3.9923257624260355E-2</v>
      </c>
      <c r="S203" s="1"/>
      <c r="T203" s="1">
        <f>SUM(OSRRefT22_5x_0)</f>
        <v>454471.83999999997</v>
      </c>
      <c r="U203" s="1"/>
      <c r="V203" s="5">
        <f t="shared" si="61"/>
        <v>3.1302891302609916E-2</v>
      </c>
      <c r="W203" s="1"/>
      <c r="X203" s="1">
        <f t="shared" si="62"/>
        <v>8619.4500000000698</v>
      </c>
      <c r="Y203" s="1"/>
      <c r="Z203" s="5">
        <f t="shared" si="63"/>
        <v>1.8965861559211393E-2</v>
      </c>
    </row>
    <row r="204" spans="1:26" s="24" customFormat="1" hidden="1" outlineLevel="2" x14ac:dyDescent="0.35">
      <c r="A204" s="27"/>
      <c r="B204" s="11" t="str">
        <f>CONCATENATE("          ", "6321", " - ", "BUILDING DEPRECIATION")</f>
        <v xml:space="preserve">          6321 - BUILDING DEPRECIATION</v>
      </c>
      <c r="C204" s="11"/>
      <c r="D204" s="7">
        <v>21476.73</v>
      </c>
      <c r="E204" s="2"/>
      <c r="F204" s="6">
        <f t="shared" si="56"/>
        <v>0.10316790505416681</v>
      </c>
      <c r="G204" s="2"/>
      <c r="H204" s="7">
        <v>21533.609999999997</v>
      </c>
      <c r="I204" s="2"/>
      <c r="J204" s="6">
        <f t="shared" si="57"/>
        <v>6.9568670309088976E-2</v>
      </c>
      <c r="K204" s="2"/>
      <c r="L204" s="7">
        <f t="shared" si="58"/>
        <v>-56.879999999997381</v>
      </c>
      <c r="M204" s="2"/>
      <c r="N204" s="6">
        <f t="shared" si="59"/>
        <v>-2.6414521299492925E-3</v>
      </c>
      <c r="O204" s="11"/>
      <c r="P204" s="7">
        <v>257724.06</v>
      </c>
      <c r="Q204" s="2"/>
      <c r="R204" s="6">
        <f t="shared" si="60"/>
        <v>2.2218478873464308E-2</v>
      </c>
      <c r="S204" s="2"/>
      <c r="T204" s="7">
        <v>258406.39999999999</v>
      </c>
      <c r="U204" s="2"/>
      <c r="V204" s="6">
        <f t="shared" si="61"/>
        <v>1.7798390877416605E-2</v>
      </c>
      <c r="W204" s="2"/>
      <c r="X204" s="7">
        <f t="shared" si="62"/>
        <v>-682.33999999999651</v>
      </c>
      <c r="Y204" s="2"/>
      <c r="Z204" s="6">
        <f t="shared" si="63"/>
        <v>-2.6405692738260219E-3</v>
      </c>
    </row>
    <row r="205" spans="1:26" s="24" customFormat="1" hidden="1" outlineLevel="2" x14ac:dyDescent="0.35">
      <c r="A205" s="27"/>
      <c r="B205" s="11" t="str">
        <f>CONCATENATE("          ", "6322", " - ", "EQUIPMENT DEPRECIATION EXPENSE")</f>
        <v xml:space="preserve">          6322 - EQUIPMENT DEPRECIATION EXPENSE</v>
      </c>
      <c r="C205" s="11"/>
      <c r="D205" s="7">
        <v>17863.18</v>
      </c>
      <c r="E205" s="2"/>
      <c r="F205" s="6">
        <f t="shared" si="56"/>
        <v>8.5809471842570623E-2</v>
      </c>
      <c r="G205" s="2"/>
      <c r="H205" s="7">
        <v>16531.41</v>
      </c>
      <c r="I205" s="2"/>
      <c r="J205" s="6">
        <f t="shared" si="57"/>
        <v>5.3408054294397309E-2</v>
      </c>
      <c r="K205" s="2"/>
      <c r="L205" s="7">
        <f t="shared" si="58"/>
        <v>1331.7700000000004</v>
      </c>
      <c r="M205" s="2"/>
      <c r="N205" s="6">
        <f t="shared" si="59"/>
        <v>8.0559976432742306E-2</v>
      </c>
      <c r="O205" s="11"/>
      <c r="P205" s="7">
        <v>205367.23</v>
      </c>
      <c r="Q205" s="2"/>
      <c r="R205" s="6">
        <f t="shared" si="60"/>
        <v>1.7704778750796048E-2</v>
      </c>
      <c r="S205" s="2"/>
      <c r="T205" s="7">
        <v>196065.44</v>
      </c>
      <c r="U205" s="2"/>
      <c r="V205" s="6">
        <f t="shared" si="61"/>
        <v>1.3504500425193312E-2</v>
      </c>
      <c r="W205" s="2"/>
      <c r="X205" s="7">
        <f t="shared" si="62"/>
        <v>9301.7900000000081</v>
      </c>
      <c r="Y205" s="2"/>
      <c r="Z205" s="6">
        <f t="shared" si="63"/>
        <v>4.7442272335195879E-2</v>
      </c>
    </row>
    <row r="206" spans="1:26" s="25" customFormat="1" outlineLevel="1" collapsed="1" x14ac:dyDescent="0.35">
      <c r="A206" s="26"/>
      <c r="B206" s="12" t="str">
        <f>CONCATENATE("     ","Discounts and Markdowns                           ")</f>
        <v xml:space="preserve">     Discounts and Markdowns                           </v>
      </c>
      <c r="C206" s="12"/>
      <c r="D206" s="1">
        <f>SUM(OSRRefD22_6x_0)</f>
        <v>39907.229999999996</v>
      </c>
      <c r="E206" s="1"/>
      <c r="F206" s="5">
        <f t="shared" ref="F206:F208" si="64">IF(D$12=0,0,D206/D$12)</f>
        <v>0.1917026156037161</v>
      </c>
      <c r="G206" s="1"/>
      <c r="H206" s="1">
        <f>SUM(OSRRefH22_6x_0)</f>
        <v>13792.529999999999</v>
      </c>
      <c r="I206" s="1"/>
      <c r="J206" s="5">
        <f t="shared" ref="J206:J208" si="65">IF(H$12=0,0,H206/H$12)</f>
        <v>4.4559550038206282E-2</v>
      </c>
      <c r="K206" s="1"/>
      <c r="L206" s="1">
        <f t="shared" ref="L206:L208" si="66">+D206-H206</f>
        <v>26114.699999999997</v>
      </c>
      <c r="M206" s="1"/>
      <c r="N206" s="5">
        <f t="shared" ref="N206:N208" si="67">IF(H206=0,0,L206/H206)</f>
        <v>1.8933944678750019</v>
      </c>
      <c r="O206" s="12"/>
      <c r="P206" s="1">
        <f>SUM(OSRRefP22_6x_0)</f>
        <v>387445.38</v>
      </c>
      <c r="Q206" s="1"/>
      <c r="R206" s="5">
        <f t="shared" ref="R206:R208" si="68">IF(P$12=0,0,P206/P$12)</f>
        <v>3.3401797993370702E-2</v>
      </c>
      <c r="S206" s="1"/>
      <c r="T206" s="1">
        <f>SUM(OSRRefT22_6x_0)</f>
        <v>352333.06</v>
      </c>
      <c r="U206" s="1"/>
      <c r="V206" s="5">
        <f t="shared" ref="V206:V208" si="69">IF(T$12=0,0,T206/T$12)</f>
        <v>2.426782587782763E-2</v>
      </c>
      <c r="W206" s="1"/>
      <c r="X206" s="1">
        <f t="shared" ref="X206:X208" si="70">+P206-T206</f>
        <v>35112.320000000007</v>
      </c>
      <c r="Y206" s="1"/>
      <c r="Z206" s="5">
        <f t="shared" ref="Z206:Z208" si="71">IF(T206=0,0,X206/T206)</f>
        <v>9.9656614681574329E-2</v>
      </c>
    </row>
    <row r="207" spans="1:26" s="24" customFormat="1" hidden="1" outlineLevel="2" x14ac:dyDescent="0.35">
      <c r="A207" s="27"/>
      <c r="B207" s="11" t="str">
        <f>CONCATENATE("          ", "6382", " - ", "DISCOUNTS/MARK DOWNS")</f>
        <v xml:space="preserve">          6382 - DISCOUNTS/MARK DOWNS</v>
      </c>
      <c r="C207" s="11"/>
      <c r="D207" s="7">
        <v>39910.089999999997</v>
      </c>
      <c r="E207" s="2"/>
      <c r="F207" s="6">
        <f t="shared" si="64"/>
        <v>0.19171635420398042</v>
      </c>
      <c r="G207" s="2"/>
      <c r="H207" s="7">
        <v>13839.47</v>
      </c>
      <c r="I207" s="2"/>
      <c r="J207" s="6">
        <f t="shared" si="65"/>
        <v>4.4711199175731693E-2</v>
      </c>
      <c r="K207" s="2"/>
      <c r="L207" s="7">
        <f t="shared" si="66"/>
        <v>26070.619999999995</v>
      </c>
      <c r="M207" s="2"/>
      <c r="N207" s="6">
        <f t="shared" si="67"/>
        <v>1.8837874571786344</v>
      </c>
      <c r="O207" s="11"/>
      <c r="P207" s="7">
        <v>390679.86</v>
      </c>
      <c r="Q207" s="2"/>
      <c r="R207" s="6">
        <f t="shared" si="68"/>
        <v>3.3680643614329188E-2</v>
      </c>
      <c r="S207" s="2"/>
      <c r="T207" s="7">
        <v>356956.15999999997</v>
      </c>
      <c r="U207" s="2"/>
      <c r="V207" s="6">
        <f t="shared" si="69"/>
        <v>2.4586253520739666E-2</v>
      </c>
      <c r="W207" s="2"/>
      <c r="X207" s="7">
        <f t="shared" si="70"/>
        <v>33723.700000000012</v>
      </c>
      <c r="Y207" s="2"/>
      <c r="Z207" s="6">
        <f t="shared" si="71"/>
        <v>9.4475747385897507E-2</v>
      </c>
    </row>
    <row r="208" spans="1:26" s="24" customFormat="1" hidden="1" outlineLevel="2" x14ac:dyDescent="0.35">
      <c r="A208" s="27"/>
      <c r="B208" s="11" t="str">
        <f>CONCATENATE("          ", "9175", " - ", "EARNED DISCOUNTS")</f>
        <v xml:space="preserve">          9175 - EARNED DISCOUNTS</v>
      </c>
      <c r="C208" s="11"/>
      <c r="D208" s="7">
        <v>-2.86</v>
      </c>
      <c r="E208" s="2"/>
      <c r="F208" s="6">
        <f t="shared" si="64"/>
        <v>-1.3738600264328745E-5</v>
      </c>
      <c r="G208" s="2"/>
      <c r="H208" s="7">
        <v>-46.94</v>
      </c>
      <c r="I208" s="2"/>
      <c r="J208" s="6">
        <f t="shared" si="65"/>
        <v>-1.5164913752541433E-4</v>
      </c>
      <c r="K208" s="2"/>
      <c r="L208" s="7">
        <f t="shared" si="66"/>
        <v>44.08</v>
      </c>
      <c r="M208" s="2"/>
      <c r="N208" s="6">
        <f t="shared" si="67"/>
        <v>-0.93907115466553048</v>
      </c>
      <c r="O208" s="11"/>
      <c r="P208" s="7">
        <v>-3234.48</v>
      </c>
      <c r="Q208" s="2"/>
      <c r="R208" s="6">
        <f t="shared" si="68"/>
        <v>-2.7884562095848884E-4</v>
      </c>
      <c r="S208" s="2"/>
      <c r="T208" s="7">
        <v>-4623.1000000000004</v>
      </c>
      <c r="U208" s="2"/>
      <c r="V208" s="6">
        <f t="shared" si="69"/>
        <v>-3.1842764291203592E-4</v>
      </c>
      <c r="W208" s="2"/>
      <c r="X208" s="7">
        <f t="shared" si="70"/>
        <v>1388.6200000000003</v>
      </c>
      <c r="Y208" s="2"/>
      <c r="Z208" s="6">
        <f t="shared" si="71"/>
        <v>-0.30036555557958949</v>
      </c>
    </row>
    <row r="209" spans="1:26" s="25" customFormat="1" outlineLevel="1" collapsed="1" x14ac:dyDescent="0.35">
      <c r="A209" s="26"/>
      <c r="B209" s="12" t="str">
        <f>CONCATENATE("     ","Donations                                         ")</f>
        <v xml:space="preserve">     Donations                                         </v>
      </c>
      <c r="C209" s="12"/>
      <c r="D209" s="1">
        <f>SUM(OSRRefD22_7x_0)</f>
        <v>0</v>
      </c>
      <c r="E209" s="1"/>
      <c r="F209" s="5">
        <f t="shared" ref="F209:F217" si="72">IF(D$12=0,0,D209/D$12)</f>
        <v>0</v>
      </c>
      <c r="G209" s="1"/>
      <c r="H209" s="1">
        <f>SUM(OSRRefH22_7x_0)</f>
        <v>674.49</v>
      </c>
      <c r="I209" s="1"/>
      <c r="J209" s="5">
        <f t="shared" ref="J209:J217" si="73">IF(H$12=0,0,H209/H$12)</f>
        <v>2.1790759857161636E-3</v>
      </c>
      <c r="K209" s="1"/>
      <c r="L209" s="1">
        <f t="shared" ref="L209:L217" si="74">+D209-H209</f>
        <v>-674.49</v>
      </c>
      <c r="M209" s="1"/>
      <c r="N209" s="5">
        <f t="shared" ref="N209:N217" si="75">IF(H209=0,0,L209/H209)</f>
        <v>-1</v>
      </c>
      <c r="O209" s="12"/>
      <c r="P209" s="1">
        <f>SUM(OSRRefP22_7x_0)</f>
        <v>10985.64</v>
      </c>
      <c r="Q209" s="1"/>
      <c r="R209" s="5">
        <f t="shared" ref="R209:R217" si="76">IF(P$12=0,0,P209/P$12)</f>
        <v>9.4707576099602197E-4</v>
      </c>
      <c r="S209" s="1"/>
      <c r="T209" s="1">
        <f>SUM(OSRRefT22_7x_0)</f>
        <v>9858.49</v>
      </c>
      <c r="U209" s="1"/>
      <c r="V209" s="5">
        <f t="shared" ref="V209:V217" si="77">IF(T$12=0,0,T209/T$12)</f>
        <v>6.7902829992253617E-4</v>
      </c>
      <c r="W209" s="1"/>
      <c r="X209" s="1">
        <f t="shared" ref="X209:X217" si="78">+P209-T209</f>
        <v>1127.1499999999996</v>
      </c>
      <c r="Y209" s="1"/>
      <c r="Z209" s="5">
        <f t="shared" ref="Z209:Z217" si="79">IF(T209=0,0,X209/T209)</f>
        <v>0.11433292522485691</v>
      </c>
    </row>
    <row r="210" spans="1:26" s="24" customFormat="1" hidden="1" outlineLevel="2" x14ac:dyDescent="0.35">
      <c r="A210" s="27"/>
      <c r="B210" s="11" t="str">
        <f>CONCATENATE("          ", "6399", " - ", "DONATION-ON CAMPUS")</f>
        <v xml:space="preserve">          6399 - DONATION-ON CAMPUS</v>
      </c>
      <c r="C210" s="11"/>
      <c r="D210" s="7"/>
      <c r="E210" s="2"/>
      <c r="F210" s="6">
        <f t="shared" si="72"/>
        <v>0</v>
      </c>
      <c r="G210" s="2"/>
      <c r="H210" s="7">
        <v>674.49</v>
      </c>
      <c r="I210" s="2"/>
      <c r="J210" s="6">
        <f t="shared" si="73"/>
        <v>2.1790759857161636E-3</v>
      </c>
      <c r="K210" s="2"/>
      <c r="L210" s="7">
        <f t="shared" si="74"/>
        <v>-674.49</v>
      </c>
      <c r="M210" s="2"/>
      <c r="N210" s="6">
        <f t="shared" si="75"/>
        <v>-1</v>
      </c>
      <c r="O210" s="11"/>
      <c r="P210" s="7">
        <v>10985.64</v>
      </c>
      <c r="Q210" s="2"/>
      <c r="R210" s="6">
        <f t="shared" si="76"/>
        <v>9.4707576099602197E-4</v>
      </c>
      <c r="S210" s="2"/>
      <c r="T210" s="7">
        <v>9858.49</v>
      </c>
      <c r="U210" s="2"/>
      <c r="V210" s="6">
        <f t="shared" si="77"/>
        <v>6.7902829992253617E-4</v>
      </c>
      <c r="W210" s="2"/>
      <c r="X210" s="7">
        <f t="shared" si="78"/>
        <v>1127.1499999999996</v>
      </c>
      <c r="Y210" s="2"/>
      <c r="Z210" s="6">
        <f t="shared" si="79"/>
        <v>0.11433292522485691</v>
      </c>
    </row>
    <row r="211" spans="1:26" s="25" customFormat="1" outlineLevel="1" collapsed="1" x14ac:dyDescent="0.35">
      <c r="A211" s="26"/>
      <c r="B211" s="12" t="str">
        <f>CONCATENATE("     ","Employees' Appreciation                           ")</f>
        <v xml:space="preserve">     Employees' Appreciation                           </v>
      </c>
      <c r="C211" s="12"/>
      <c r="D211" s="1">
        <f>SUM(OSRRefD22_8x_0)</f>
        <v>57</v>
      </c>
      <c r="E211" s="1"/>
      <c r="F211" s="5">
        <f t="shared" si="72"/>
        <v>2.7381126400934916E-4</v>
      </c>
      <c r="G211" s="1"/>
      <c r="H211" s="1">
        <f>SUM(OSRRefH22_8x_0)</f>
        <v>132.37</v>
      </c>
      <c r="I211" s="1"/>
      <c r="J211" s="5">
        <f t="shared" si="73"/>
        <v>4.2764798326031309E-4</v>
      </c>
      <c r="K211" s="1"/>
      <c r="L211" s="1">
        <f t="shared" si="74"/>
        <v>-75.37</v>
      </c>
      <c r="M211" s="1"/>
      <c r="N211" s="5">
        <f t="shared" si="75"/>
        <v>-0.56938883432802001</v>
      </c>
      <c r="O211" s="12"/>
      <c r="P211" s="1">
        <f>SUM(OSRRefP22_8x_0)</f>
        <v>1775.11</v>
      </c>
      <c r="Q211" s="1"/>
      <c r="R211" s="5">
        <f t="shared" si="76"/>
        <v>1.5303283687629018E-4</v>
      </c>
      <c r="S211" s="1"/>
      <c r="T211" s="1">
        <f>SUM(OSRRefT22_8x_0)</f>
        <v>4532.09</v>
      </c>
      <c r="U211" s="1"/>
      <c r="V211" s="5">
        <f t="shared" si="77"/>
        <v>3.121591002066165E-4</v>
      </c>
      <c r="W211" s="1"/>
      <c r="X211" s="1">
        <f t="shared" si="78"/>
        <v>-2756.9800000000005</v>
      </c>
      <c r="Y211" s="1"/>
      <c r="Z211" s="5">
        <f t="shared" si="79"/>
        <v>-0.60832419479754385</v>
      </c>
    </row>
    <row r="212" spans="1:26" s="24" customFormat="1" hidden="1" outlineLevel="2" x14ac:dyDescent="0.35">
      <c r="A212" s="27"/>
      <c r="B212" s="11" t="str">
        <f>CONCATENATE("          ", "6277", " - ", "EMPLOYEE APPRECIATION")</f>
        <v xml:space="preserve">          6277 - EMPLOYEE APPRECIATION</v>
      </c>
      <c r="C212" s="11"/>
      <c r="D212" s="7">
        <v>57</v>
      </c>
      <c r="E212" s="2"/>
      <c r="F212" s="6">
        <f t="shared" si="72"/>
        <v>2.7381126400934916E-4</v>
      </c>
      <c r="G212" s="2"/>
      <c r="H212" s="7">
        <v>132.37</v>
      </c>
      <c r="I212" s="2"/>
      <c r="J212" s="6">
        <f t="shared" si="73"/>
        <v>4.2764798326031309E-4</v>
      </c>
      <c r="K212" s="2"/>
      <c r="L212" s="7">
        <f t="shared" si="74"/>
        <v>-75.37</v>
      </c>
      <c r="M212" s="2"/>
      <c r="N212" s="6">
        <f t="shared" si="75"/>
        <v>-0.56938883432802001</v>
      </c>
      <c r="O212" s="11"/>
      <c r="P212" s="7">
        <v>1775.11</v>
      </c>
      <c r="Q212" s="2"/>
      <c r="R212" s="6">
        <f t="shared" si="76"/>
        <v>1.5303283687629018E-4</v>
      </c>
      <c r="S212" s="2"/>
      <c r="T212" s="7">
        <v>4532.09</v>
      </c>
      <c r="U212" s="2"/>
      <c r="V212" s="6">
        <f t="shared" si="77"/>
        <v>3.121591002066165E-4</v>
      </c>
      <c r="W212" s="2"/>
      <c r="X212" s="7">
        <f t="shared" si="78"/>
        <v>-2756.9800000000005</v>
      </c>
      <c r="Y212" s="2"/>
      <c r="Z212" s="6">
        <f t="shared" si="79"/>
        <v>-0.60832419479754385</v>
      </c>
    </row>
    <row r="213" spans="1:26" s="25" customFormat="1" outlineLevel="1" collapsed="1" x14ac:dyDescent="0.35">
      <c r="A213" s="26"/>
      <c r="B213" s="12" t="str">
        <f>CONCATENATE("     ","Equipment Rental                                  ")</f>
        <v xml:space="preserve">     Equipment Rental                                  </v>
      </c>
      <c r="C213" s="12"/>
      <c r="D213" s="1">
        <f>SUM(OSRRefD22_9x_0)</f>
        <v>1424.43</v>
      </c>
      <c r="E213" s="1"/>
      <c r="F213" s="5">
        <f t="shared" si="72"/>
        <v>6.8425434875936351E-3</v>
      </c>
      <c r="G213" s="1"/>
      <c r="H213" s="1">
        <f>SUM(OSRRefH22_9x_0)</f>
        <v>3532.48</v>
      </c>
      <c r="I213" s="1"/>
      <c r="J213" s="5">
        <f t="shared" si="73"/>
        <v>1.1412389120702505E-2</v>
      </c>
      <c r="K213" s="1"/>
      <c r="L213" s="1">
        <f t="shared" si="74"/>
        <v>-2108.0500000000002</v>
      </c>
      <c r="M213" s="1"/>
      <c r="N213" s="5">
        <f t="shared" si="75"/>
        <v>-0.59676204819277112</v>
      </c>
      <c r="O213" s="12"/>
      <c r="P213" s="1">
        <f>SUM(OSRRefP22_9x_0)</f>
        <v>20862.18</v>
      </c>
      <c r="Q213" s="1"/>
      <c r="R213" s="5">
        <f t="shared" si="76"/>
        <v>1.7985356337487839E-3</v>
      </c>
      <c r="S213" s="1"/>
      <c r="T213" s="1">
        <f>SUM(OSRRefT22_9x_0)</f>
        <v>42423.6</v>
      </c>
      <c r="U213" s="1"/>
      <c r="V213" s="5">
        <f t="shared" si="77"/>
        <v>2.9220321757788162E-3</v>
      </c>
      <c r="W213" s="1"/>
      <c r="X213" s="1">
        <f t="shared" si="78"/>
        <v>-21561.42</v>
      </c>
      <c r="Y213" s="1"/>
      <c r="Z213" s="5">
        <f t="shared" si="79"/>
        <v>-0.50824116765196725</v>
      </c>
    </row>
    <row r="214" spans="1:26" s="24" customFormat="1" hidden="1" outlineLevel="2" x14ac:dyDescent="0.35">
      <c r="A214" s="27"/>
      <c r="B214" s="11" t="str">
        <f>CONCATENATE("          ", "6351", " - ", "EQUIPMENT RENTAL")</f>
        <v xml:space="preserve">          6351 - EQUIPMENT RENTAL</v>
      </c>
      <c r="C214" s="11"/>
      <c r="D214" s="7">
        <v>1424.43</v>
      </c>
      <c r="E214" s="2"/>
      <c r="F214" s="6">
        <f t="shared" si="72"/>
        <v>6.8425434875936351E-3</v>
      </c>
      <c r="G214" s="2"/>
      <c r="H214" s="7">
        <v>3532.48</v>
      </c>
      <c r="I214" s="2"/>
      <c r="J214" s="6">
        <f t="shared" si="73"/>
        <v>1.1412389120702505E-2</v>
      </c>
      <c r="K214" s="2"/>
      <c r="L214" s="7">
        <f t="shared" si="74"/>
        <v>-2108.0500000000002</v>
      </c>
      <c r="M214" s="2"/>
      <c r="N214" s="6">
        <f t="shared" si="75"/>
        <v>-0.59676204819277112</v>
      </c>
      <c r="O214" s="11"/>
      <c r="P214" s="7">
        <v>20862.18</v>
      </c>
      <c r="Q214" s="2"/>
      <c r="R214" s="6">
        <f t="shared" si="76"/>
        <v>1.7985356337487839E-3</v>
      </c>
      <c r="S214" s="2"/>
      <c r="T214" s="7">
        <v>42423.6</v>
      </c>
      <c r="U214" s="2"/>
      <c r="V214" s="6">
        <f t="shared" si="77"/>
        <v>2.9220321757788162E-3</v>
      </c>
      <c r="W214" s="2"/>
      <c r="X214" s="7">
        <f t="shared" si="78"/>
        <v>-21561.42</v>
      </c>
      <c r="Y214" s="2"/>
      <c r="Z214" s="6">
        <f t="shared" si="79"/>
        <v>-0.50824116765196725</v>
      </c>
    </row>
    <row r="215" spans="1:26" s="25" customFormat="1" outlineLevel="1" collapsed="1" x14ac:dyDescent="0.35">
      <c r="A215" s="26"/>
      <c r="B215" s="12" t="str">
        <f>CONCATENATE("     ","Freight out/Postage                               ")</f>
        <v xml:space="preserve">     Freight out/Postage                               </v>
      </c>
      <c r="C215" s="12"/>
      <c r="D215" s="1">
        <f>SUM(OSRRefD22_10x_0)</f>
        <v>25658.549999999996</v>
      </c>
      <c r="E215" s="1"/>
      <c r="F215" s="5">
        <f t="shared" si="72"/>
        <v>0.12325614049380849</v>
      </c>
      <c r="G215" s="1"/>
      <c r="H215" s="1">
        <f>SUM(OSRRefH22_10x_0)</f>
        <v>2235.0199999999995</v>
      </c>
      <c r="I215" s="1"/>
      <c r="J215" s="5">
        <f t="shared" si="73"/>
        <v>7.2206829005549951E-3</v>
      </c>
      <c r="K215" s="1"/>
      <c r="L215" s="1">
        <f t="shared" si="74"/>
        <v>23423.529999999995</v>
      </c>
      <c r="M215" s="1"/>
      <c r="N215" s="5">
        <f t="shared" si="75"/>
        <v>10.48023283907974</v>
      </c>
      <c r="O215" s="12"/>
      <c r="P215" s="1">
        <f>SUM(OSRRefP22_10x_0)</f>
        <v>41982.1</v>
      </c>
      <c r="Q215" s="1"/>
      <c r="R215" s="5">
        <f t="shared" si="76"/>
        <v>3.6192911205638538E-3</v>
      </c>
      <c r="S215" s="1"/>
      <c r="T215" s="1">
        <f>SUM(OSRRefT22_10x_0)</f>
        <v>-73.279999999998836</v>
      </c>
      <c r="U215" s="1"/>
      <c r="V215" s="5">
        <f t="shared" si="77"/>
        <v>-5.047344351753936E-6</v>
      </c>
      <c r="W215" s="1"/>
      <c r="X215" s="1">
        <f t="shared" si="78"/>
        <v>42055.38</v>
      </c>
      <c r="Y215" s="1"/>
      <c r="Z215" s="5">
        <f t="shared" si="79"/>
        <v>-573.89983624455056</v>
      </c>
    </row>
    <row r="216" spans="1:26" s="24" customFormat="1" hidden="1" outlineLevel="2" x14ac:dyDescent="0.35">
      <c r="A216" s="27"/>
      <c r="B216" s="11" t="str">
        <f>CONCATENATE("          ", "6305", " - ", "FREIGHT OUT")</f>
        <v xml:space="preserve">          6305 - FREIGHT OUT</v>
      </c>
      <c r="C216" s="11"/>
      <c r="D216" s="7">
        <v>32756.979999999996</v>
      </c>
      <c r="E216" s="2"/>
      <c r="F216" s="6">
        <f t="shared" si="72"/>
        <v>0.1573549140162977</v>
      </c>
      <c r="G216" s="2"/>
      <c r="H216" s="7">
        <v>9452.4</v>
      </c>
      <c r="I216" s="2"/>
      <c r="J216" s="6">
        <f t="shared" si="73"/>
        <v>3.0537884694188888E-2</v>
      </c>
      <c r="K216" s="2"/>
      <c r="L216" s="7">
        <f t="shared" si="74"/>
        <v>23304.579999999994</v>
      </c>
      <c r="M216" s="2"/>
      <c r="N216" s="6">
        <f t="shared" si="75"/>
        <v>2.4654669713511908</v>
      </c>
      <c r="O216" s="11"/>
      <c r="P216" s="7">
        <v>102999.35</v>
      </c>
      <c r="Q216" s="2"/>
      <c r="R216" s="6">
        <f t="shared" si="76"/>
        <v>8.8796089971404143E-3</v>
      </c>
      <c r="S216" s="2"/>
      <c r="T216" s="7">
        <v>81188.039999999994</v>
      </c>
      <c r="U216" s="2"/>
      <c r="V216" s="6">
        <f t="shared" si="77"/>
        <v>5.5920305011460027E-3</v>
      </c>
      <c r="W216" s="2"/>
      <c r="X216" s="7">
        <f t="shared" si="78"/>
        <v>21811.310000000012</v>
      </c>
      <c r="Y216" s="2"/>
      <c r="Z216" s="6">
        <f t="shared" si="79"/>
        <v>0.26865176200829599</v>
      </c>
    </row>
    <row r="217" spans="1:26" s="24" customFormat="1" hidden="1" outlineLevel="2" x14ac:dyDescent="0.35">
      <c r="A217" s="27"/>
      <c r="B217" s="11" t="str">
        <f>CONCATENATE("          ", "6307", " - ", "POSTAGE")</f>
        <v xml:space="preserve">          6307 - POSTAGE</v>
      </c>
      <c r="C217" s="11"/>
      <c r="D217" s="7">
        <v>-7098.43</v>
      </c>
      <c r="E217" s="2"/>
      <c r="F217" s="6">
        <f t="shared" si="72"/>
        <v>-3.4098773522489197E-2</v>
      </c>
      <c r="G217" s="2"/>
      <c r="H217" s="7">
        <v>-7217.38</v>
      </c>
      <c r="I217" s="2"/>
      <c r="J217" s="6">
        <f t="shared" si="73"/>
        <v>-2.331720179363389E-2</v>
      </c>
      <c r="K217" s="2"/>
      <c r="L217" s="7">
        <f t="shared" si="74"/>
        <v>118.94999999999982</v>
      </c>
      <c r="M217" s="2"/>
      <c r="N217" s="6">
        <f t="shared" si="75"/>
        <v>-1.6481049910078146E-2</v>
      </c>
      <c r="O217" s="11"/>
      <c r="P217" s="7">
        <v>-61017.250000000007</v>
      </c>
      <c r="Q217" s="2"/>
      <c r="R217" s="6">
        <f t="shared" si="76"/>
        <v>-5.2603178765765609E-3</v>
      </c>
      <c r="S217" s="2"/>
      <c r="T217" s="7">
        <v>-81261.319999999992</v>
      </c>
      <c r="U217" s="2"/>
      <c r="V217" s="6">
        <f t="shared" si="77"/>
        <v>-5.5970778454977567E-3</v>
      </c>
      <c r="W217" s="2"/>
      <c r="X217" s="7">
        <f t="shared" si="78"/>
        <v>20244.069999999985</v>
      </c>
      <c r="Y217" s="2"/>
      <c r="Z217" s="6">
        <f t="shared" si="79"/>
        <v>-0.24912307602190054</v>
      </c>
    </row>
    <row r="218" spans="1:26" s="25" customFormat="1" outlineLevel="1" collapsed="1" x14ac:dyDescent="0.35">
      <c r="A218" s="26"/>
      <c r="B218" s="12" t="str">
        <f>CONCATENATE("     ","General                                           ")</f>
        <v xml:space="preserve">     General                                           </v>
      </c>
      <c r="C218" s="12"/>
      <c r="D218" s="1">
        <f>SUM(OSRRefD22_11x_0)</f>
        <v>-1613.24</v>
      </c>
      <c r="E218" s="1"/>
      <c r="F218" s="5">
        <f t="shared" ref="F218:F258" si="80">IF(D$12=0,0,D218/D$12)</f>
        <v>-7.7495312903586386E-3</v>
      </c>
      <c r="G218" s="1"/>
      <c r="H218" s="1">
        <f>SUM(OSRRefH22_11x_0)</f>
        <v>-270.8</v>
      </c>
      <c r="I218" s="1"/>
      <c r="J218" s="5">
        <f t="shared" ref="J218:J258" si="81">IF(H$12=0,0,H218/H$12)</f>
        <v>-8.7487401878743503E-4</v>
      </c>
      <c r="K218" s="1"/>
      <c r="L218" s="1">
        <f t="shared" ref="L218:L258" si="82">+D218-H218</f>
        <v>-1342.44</v>
      </c>
      <c r="M218" s="1"/>
      <c r="N218" s="5">
        <f t="shared" ref="N218:N258" si="83">IF(H218=0,0,L218/H218)</f>
        <v>4.957311669128508</v>
      </c>
      <c r="O218" s="12"/>
      <c r="P218" s="1">
        <f>SUM(OSRRefP22_11x_0)</f>
        <v>7597.27</v>
      </c>
      <c r="Q218" s="1"/>
      <c r="R218" s="5">
        <f t="shared" ref="R218:R258" si="84">IF(P$12=0,0,P218/P$12)</f>
        <v>6.5496323079422309E-4</v>
      </c>
      <c r="S218" s="1"/>
      <c r="T218" s="1">
        <f>SUM(OSRRefT22_11x_0)</f>
        <v>33113.83</v>
      </c>
      <c r="U218" s="1"/>
      <c r="V218" s="5">
        <f t="shared" ref="V218:V258" si="85">IF(T$12=0,0,T218/T$12)</f>
        <v>2.2807983462806046E-3</v>
      </c>
      <c r="W218" s="1"/>
      <c r="X218" s="1">
        <f t="shared" ref="X218:X258" si="86">+P218-T218</f>
        <v>-25516.560000000001</v>
      </c>
      <c r="Y218" s="1"/>
      <c r="Z218" s="5">
        <f t="shared" ref="Z218:Z258" si="87">IF(T218=0,0,X218/T218)</f>
        <v>-0.77057108766941185</v>
      </c>
    </row>
    <row r="219" spans="1:26" s="24" customFormat="1" hidden="1" outlineLevel="2" x14ac:dyDescent="0.35">
      <c r="A219" s="27"/>
      <c r="B219" s="11" t="str">
        <f>CONCATENATE("          ", "6279", " - ", "GENERAL EXPENSE")</f>
        <v xml:space="preserve">          6279 - GENERAL EXPENSE</v>
      </c>
      <c r="C219" s="11"/>
      <c r="D219" s="7">
        <v>-1613.24</v>
      </c>
      <c r="E219" s="2"/>
      <c r="F219" s="6">
        <f t="shared" si="80"/>
        <v>-7.7495312903586386E-3</v>
      </c>
      <c r="G219" s="2"/>
      <c r="H219" s="7">
        <v>-270.8</v>
      </c>
      <c r="I219" s="2"/>
      <c r="J219" s="6">
        <f t="shared" si="81"/>
        <v>-8.7487401878743503E-4</v>
      </c>
      <c r="K219" s="2"/>
      <c r="L219" s="7">
        <f t="shared" si="82"/>
        <v>-1342.44</v>
      </c>
      <c r="M219" s="2"/>
      <c r="N219" s="6">
        <f t="shared" si="83"/>
        <v>4.957311669128508</v>
      </c>
      <c r="O219" s="11"/>
      <c r="P219" s="7">
        <v>7597.27</v>
      </c>
      <c r="Q219" s="2"/>
      <c r="R219" s="6">
        <f t="shared" si="84"/>
        <v>6.5496323079422309E-4</v>
      </c>
      <c r="S219" s="2"/>
      <c r="T219" s="7">
        <v>33113.83</v>
      </c>
      <c r="U219" s="2"/>
      <c r="V219" s="6">
        <f t="shared" si="85"/>
        <v>2.2807983462806046E-3</v>
      </c>
      <c r="W219" s="2"/>
      <c r="X219" s="7">
        <f t="shared" si="86"/>
        <v>-25516.560000000001</v>
      </c>
      <c r="Y219" s="2"/>
      <c r="Z219" s="6">
        <f t="shared" si="87"/>
        <v>-0.77057108766941185</v>
      </c>
    </row>
    <row r="220" spans="1:26" s="25" customFormat="1" outlineLevel="1" collapsed="1" x14ac:dyDescent="0.35">
      <c r="A220" s="26"/>
      <c r="B220" s="12" t="str">
        <f>CONCATENATE("     ","Insurance                                         ")</f>
        <v xml:space="preserve">     Insurance                                         </v>
      </c>
      <c r="C220" s="12"/>
      <c r="D220" s="1">
        <f>SUM(OSRRefD22_12x_0)</f>
        <v>4288.28</v>
      </c>
      <c r="E220" s="1"/>
      <c r="F220" s="5">
        <f t="shared" si="80"/>
        <v>2.0599638021508975E-2</v>
      </c>
      <c r="G220" s="1"/>
      <c r="H220" s="1">
        <f>SUM(OSRRefH22_12x_0)</f>
        <v>4039.41</v>
      </c>
      <c r="I220" s="1"/>
      <c r="J220" s="5">
        <f t="shared" si="81"/>
        <v>1.3050128730539708E-2</v>
      </c>
      <c r="K220" s="1"/>
      <c r="L220" s="1">
        <f t="shared" si="82"/>
        <v>248.86999999999989</v>
      </c>
      <c r="M220" s="1"/>
      <c r="N220" s="5">
        <f t="shared" si="83"/>
        <v>6.1610482719010921E-2</v>
      </c>
      <c r="O220" s="12"/>
      <c r="P220" s="1">
        <f>SUM(OSRRefP22_12x_0)</f>
        <v>51459.360000000001</v>
      </c>
      <c r="Q220" s="1"/>
      <c r="R220" s="5">
        <f t="shared" si="84"/>
        <v>4.4363289287076817E-3</v>
      </c>
      <c r="S220" s="1"/>
      <c r="T220" s="1">
        <f>SUM(OSRRefT22_12x_0)</f>
        <v>41274.76</v>
      </c>
      <c r="U220" s="1"/>
      <c r="V220" s="5">
        <f t="shared" si="85"/>
        <v>2.8429029306223062E-3</v>
      </c>
      <c r="W220" s="1"/>
      <c r="X220" s="1">
        <f t="shared" si="86"/>
        <v>10184.599999999999</v>
      </c>
      <c r="Y220" s="1"/>
      <c r="Z220" s="5">
        <f t="shared" si="87"/>
        <v>0.24675128335089042</v>
      </c>
    </row>
    <row r="221" spans="1:26" s="24" customFormat="1" hidden="1" outlineLevel="2" x14ac:dyDescent="0.35">
      <c r="A221" s="27"/>
      <c r="B221" s="11" t="str">
        <f>CONCATENATE("          ", "6314", " - ", "LIABILITY INSURANCE")</f>
        <v xml:space="preserve">          6314 - LIABILITY INSURANCE</v>
      </c>
      <c r="C221" s="11"/>
      <c r="D221" s="7">
        <v>4288.28</v>
      </c>
      <c r="E221" s="2"/>
      <c r="F221" s="6">
        <f t="shared" si="80"/>
        <v>2.0599638021508975E-2</v>
      </c>
      <c r="G221" s="2"/>
      <c r="H221" s="7">
        <v>4039.41</v>
      </c>
      <c r="I221" s="2"/>
      <c r="J221" s="6">
        <f t="shared" si="81"/>
        <v>1.3050128730539708E-2</v>
      </c>
      <c r="K221" s="2"/>
      <c r="L221" s="7">
        <f t="shared" si="82"/>
        <v>248.86999999999989</v>
      </c>
      <c r="M221" s="2"/>
      <c r="N221" s="6">
        <f t="shared" si="83"/>
        <v>6.1610482719010921E-2</v>
      </c>
      <c r="O221" s="11"/>
      <c r="P221" s="7">
        <v>51459.360000000001</v>
      </c>
      <c r="Q221" s="2"/>
      <c r="R221" s="6">
        <f t="shared" si="84"/>
        <v>4.4363289287076817E-3</v>
      </c>
      <c r="S221" s="2"/>
      <c r="T221" s="7">
        <v>41274.76</v>
      </c>
      <c r="U221" s="2"/>
      <c r="V221" s="6">
        <f t="shared" si="85"/>
        <v>2.8429029306223062E-3</v>
      </c>
      <c r="W221" s="2"/>
      <c r="X221" s="7">
        <f t="shared" si="86"/>
        <v>10184.599999999999</v>
      </c>
      <c r="Y221" s="2"/>
      <c r="Z221" s="6">
        <f t="shared" si="87"/>
        <v>0.24675128335089042</v>
      </c>
    </row>
    <row r="222" spans="1:26" s="25" customFormat="1" outlineLevel="1" collapsed="1" x14ac:dyDescent="0.35">
      <c r="A222" s="26"/>
      <c r="B222" s="12" t="str">
        <f>CONCATENATE("     ","Interest                                          ")</f>
        <v xml:space="preserve">     Interest                                          </v>
      </c>
      <c r="C222" s="12"/>
      <c r="D222" s="1">
        <f>SUM(OSRRefD22_13x_0)</f>
        <v>4175</v>
      </c>
      <c r="E222" s="1"/>
      <c r="F222" s="5">
        <f t="shared" si="80"/>
        <v>2.0055474162088291E-2</v>
      </c>
      <c r="G222" s="1"/>
      <c r="H222" s="1">
        <f>SUM(OSRRefH22_13x_0)</f>
        <v>-203.07</v>
      </c>
      <c r="I222" s="1"/>
      <c r="J222" s="5">
        <f t="shared" si="81"/>
        <v>-6.560585930397505E-4</v>
      </c>
      <c r="K222" s="1"/>
      <c r="L222" s="1">
        <f t="shared" si="82"/>
        <v>4378.07</v>
      </c>
      <c r="M222" s="1"/>
      <c r="N222" s="5">
        <f t="shared" si="83"/>
        <v>-21.559413010292015</v>
      </c>
      <c r="O222" s="12"/>
      <c r="P222" s="1">
        <f>SUM(OSRRefP22_13x_0)</f>
        <v>48843.77</v>
      </c>
      <c r="Q222" s="1"/>
      <c r="R222" s="5">
        <f t="shared" si="84"/>
        <v>4.2108380251550809E-3</v>
      </c>
      <c r="S222" s="1"/>
      <c r="T222" s="1">
        <f>SUM(OSRRefT22_13x_0)</f>
        <v>46032.33</v>
      </c>
      <c r="U222" s="1"/>
      <c r="V222" s="5">
        <f t="shared" si="85"/>
        <v>3.1705925330728297E-3</v>
      </c>
      <c r="W222" s="1"/>
      <c r="X222" s="1">
        <f t="shared" si="86"/>
        <v>2811.4399999999951</v>
      </c>
      <c r="Y222" s="1"/>
      <c r="Z222" s="5">
        <f t="shared" si="87"/>
        <v>6.1075335530484658E-2</v>
      </c>
    </row>
    <row r="223" spans="1:26" s="24" customFormat="1" hidden="1" outlineLevel="2" x14ac:dyDescent="0.35">
      <c r="A223" s="27"/>
      <c r="B223" s="11" t="str">
        <f>CONCATENATE("          ", "6401", " - ", "INTEREST EXPENSE")</f>
        <v xml:space="preserve">          6401 - INTEREST EXPENSE</v>
      </c>
      <c r="C223" s="11"/>
      <c r="D223" s="7">
        <v>4175</v>
      </c>
      <c r="E223" s="2"/>
      <c r="F223" s="6">
        <f t="shared" si="80"/>
        <v>2.0055474162088291E-2</v>
      </c>
      <c r="G223" s="2"/>
      <c r="H223" s="7">
        <v>-203.07</v>
      </c>
      <c r="I223" s="2"/>
      <c r="J223" s="6">
        <f t="shared" si="81"/>
        <v>-6.560585930397505E-4</v>
      </c>
      <c r="K223" s="2"/>
      <c r="L223" s="7">
        <f t="shared" si="82"/>
        <v>4378.07</v>
      </c>
      <c r="M223" s="2"/>
      <c r="N223" s="6">
        <f t="shared" si="83"/>
        <v>-21.559413010292015</v>
      </c>
      <c r="O223" s="11"/>
      <c r="P223" s="7">
        <v>48843.77</v>
      </c>
      <c r="Q223" s="2"/>
      <c r="R223" s="6">
        <f t="shared" si="84"/>
        <v>4.2108380251550809E-3</v>
      </c>
      <c r="S223" s="2"/>
      <c r="T223" s="7">
        <v>46032.33</v>
      </c>
      <c r="U223" s="2"/>
      <c r="V223" s="6">
        <f t="shared" si="85"/>
        <v>3.1705925330728297E-3</v>
      </c>
      <c r="W223" s="2"/>
      <c r="X223" s="7">
        <f t="shared" si="86"/>
        <v>2811.4399999999951</v>
      </c>
      <c r="Y223" s="2"/>
      <c r="Z223" s="6">
        <f t="shared" si="87"/>
        <v>6.1075335530484658E-2</v>
      </c>
    </row>
    <row r="224" spans="1:26" s="25" customFormat="1" outlineLevel="1" collapsed="1" x14ac:dyDescent="0.35">
      <c r="A224" s="26"/>
      <c r="B224" s="12" t="str">
        <f>CONCATENATE("     ","Inventory Adjustment                              ")</f>
        <v xml:space="preserve">     Inventory Adjustment                              </v>
      </c>
      <c r="C224" s="12"/>
      <c r="D224" s="1">
        <f>SUM(OSRRefD22_14x_0)</f>
        <v>-10114</v>
      </c>
      <c r="E224" s="1"/>
      <c r="F224" s="5">
        <f t="shared" si="80"/>
        <v>-4.8584686389308018E-2</v>
      </c>
      <c r="G224" s="1"/>
      <c r="H224" s="1">
        <f>SUM(OSRRefH22_14x_0)</f>
        <v>-80651</v>
      </c>
      <c r="I224" s="1"/>
      <c r="J224" s="5">
        <f t="shared" si="81"/>
        <v>-0.26055932233835088</v>
      </c>
      <c r="K224" s="1"/>
      <c r="L224" s="1">
        <f t="shared" si="82"/>
        <v>70537</v>
      </c>
      <c r="M224" s="1"/>
      <c r="N224" s="5">
        <f t="shared" si="83"/>
        <v>-0.87459547928729964</v>
      </c>
      <c r="O224" s="12"/>
      <c r="P224" s="1">
        <f>SUM(OSRRefP22_14x_0)</f>
        <v>43236.000000000007</v>
      </c>
      <c r="Q224" s="1"/>
      <c r="R224" s="5">
        <f t="shared" si="84"/>
        <v>3.7273902660586015E-3</v>
      </c>
      <c r="S224" s="1"/>
      <c r="T224" s="1">
        <f>SUM(OSRRefT22_14x_0)</f>
        <v>16099</v>
      </c>
      <c r="U224" s="1"/>
      <c r="V224" s="5">
        <f t="shared" si="85"/>
        <v>1.1088591255306755E-3</v>
      </c>
      <c r="W224" s="1"/>
      <c r="X224" s="1">
        <f t="shared" si="86"/>
        <v>27137.000000000007</v>
      </c>
      <c r="Y224" s="1"/>
      <c r="Z224" s="5">
        <f t="shared" si="87"/>
        <v>1.6856326479905588</v>
      </c>
    </row>
    <row r="225" spans="1:26" s="24" customFormat="1" hidden="1" outlineLevel="2" x14ac:dyDescent="0.35">
      <c r="A225" s="27"/>
      <c r="B225" s="11" t="str">
        <f>CONCATENATE("          ", "6408", " - ", "INVENTORY ADJUSTMENT")</f>
        <v xml:space="preserve">          6408 - INVENTORY ADJUSTMENT</v>
      </c>
      <c r="C225" s="11"/>
      <c r="D225" s="7">
        <v>-53350</v>
      </c>
      <c r="E225" s="2"/>
      <c r="F225" s="6">
        <f t="shared" si="80"/>
        <v>-0.25627773569997853</v>
      </c>
      <c r="G225" s="2"/>
      <c r="H225" s="7">
        <v>-96750</v>
      </c>
      <c r="I225" s="2"/>
      <c r="J225" s="6">
        <f t="shared" si="81"/>
        <v>-0.31257038891316224</v>
      </c>
      <c r="K225" s="2"/>
      <c r="L225" s="7">
        <f t="shared" si="82"/>
        <v>43400</v>
      </c>
      <c r="M225" s="2"/>
      <c r="N225" s="6">
        <f t="shared" si="83"/>
        <v>-0.44857881136950906</v>
      </c>
      <c r="O225" s="11"/>
      <c r="P225" s="7">
        <v>0</v>
      </c>
      <c r="Q225" s="2"/>
      <c r="R225" s="6">
        <f t="shared" si="84"/>
        <v>0</v>
      </c>
      <c r="S225" s="2"/>
      <c r="T225" s="7">
        <v>0</v>
      </c>
      <c r="U225" s="2"/>
      <c r="V225" s="6">
        <f t="shared" si="85"/>
        <v>0</v>
      </c>
      <c r="W225" s="2"/>
      <c r="X225" s="7">
        <f t="shared" si="86"/>
        <v>0</v>
      </c>
      <c r="Y225" s="2"/>
      <c r="Z225" s="6">
        <f t="shared" si="87"/>
        <v>0</v>
      </c>
    </row>
    <row r="226" spans="1:26" s="24" customFormat="1" hidden="1" outlineLevel="2" x14ac:dyDescent="0.35">
      <c r="A226" s="27"/>
      <c r="B226" s="11" t="str">
        <f>CONCATENATE("          ", "7700", " - ", "INV. SHRINKAGE @ RETAIL-CONTRA")</f>
        <v xml:space="preserve">          7700 - INV. SHRINKAGE @ RETAIL-CONTRA</v>
      </c>
      <c r="C226" s="11"/>
      <c r="D226" s="7">
        <v>-99781</v>
      </c>
      <c r="E226" s="2"/>
      <c r="F226" s="6">
        <f t="shared" si="80"/>
        <v>-0.47931862691433097</v>
      </c>
      <c r="G226" s="2"/>
      <c r="H226" s="7">
        <v>166740</v>
      </c>
      <c r="I226" s="2"/>
      <c r="J226" s="6">
        <f t="shared" si="81"/>
        <v>0.53868720048972274</v>
      </c>
      <c r="K226" s="2"/>
      <c r="L226" s="7">
        <f t="shared" si="82"/>
        <v>-266521</v>
      </c>
      <c r="M226" s="2"/>
      <c r="N226" s="6">
        <f t="shared" si="83"/>
        <v>-1.5984226940146335</v>
      </c>
      <c r="O226" s="11"/>
      <c r="P226" s="7">
        <v>-99781</v>
      </c>
      <c r="Q226" s="2"/>
      <c r="R226" s="6">
        <f t="shared" si="84"/>
        <v>-8.6021539489682958E-3</v>
      </c>
      <c r="S226" s="2"/>
      <c r="T226" s="7">
        <v>166740</v>
      </c>
      <c r="U226" s="2"/>
      <c r="V226" s="6">
        <f t="shared" si="85"/>
        <v>1.1484636970680468E-2</v>
      </c>
      <c r="W226" s="2"/>
      <c r="X226" s="7">
        <f t="shared" si="86"/>
        <v>-266521</v>
      </c>
      <c r="Y226" s="2"/>
      <c r="Z226" s="6">
        <f t="shared" si="87"/>
        <v>-1.5984226940146335</v>
      </c>
    </row>
    <row r="227" spans="1:26" s="24" customFormat="1" hidden="1" outlineLevel="2" x14ac:dyDescent="0.35">
      <c r="A227" s="27"/>
      <c r="B227" s="11" t="str">
        <f>CONCATENATE("          ", "7701", " - ", "INV. SHRINKAGE-NEW TEXT")</f>
        <v xml:space="preserve">          7701 - INV. SHRINKAGE-NEW TEXT</v>
      </c>
      <c r="C227" s="11"/>
      <c r="D227" s="7">
        <v>-4346</v>
      </c>
      <c r="E227" s="2"/>
      <c r="F227" s="6">
        <f t="shared" si="80"/>
        <v>-2.0876907954116338E-2</v>
      </c>
      <c r="G227" s="2"/>
      <c r="H227" s="7">
        <v>-79917</v>
      </c>
      <c r="I227" s="2"/>
      <c r="J227" s="6">
        <f t="shared" si="81"/>
        <v>-0.25818798729481329</v>
      </c>
      <c r="K227" s="2"/>
      <c r="L227" s="7">
        <f t="shared" si="82"/>
        <v>75571</v>
      </c>
      <c r="M227" s="2"/>
      <c r="N227" s="6">
        <f t="shared" si="83"/>
        <v>-0.94561857927599879</v>
      </c>
      <c r="O227" s="11"/>
      <c r="P227" s="7">
        <v>-4346</v>
      </c>
      <c r="Q227" s="2"/>
      <c r="R227" s="6">
        <f t="shared" si="84"/>
        <v>-3.7467013822487465E-4</v>
      </c>
      <c r="S227" s="2"/>
      <c r="T227" s="7">
        <v>-79917</v>
      </c>
      <c r="U227" s="2"/>
      <c r="V227" s="6">
        <f t="shared" si="85"/>
        <v>-5.5044844235688549E-3</v>
      </c>
      <c r="W227" s="2"/>
      <c r="X227" s="7">
        <f t="shared" si="86"/>
        <v>75571</v>
      </c>
      <c r="Y227" s="2"/>
      <c r="Z227" s="6">
        <f t="shared" si="87"/>
        <v>-0.94561857927599879</v>
      </c>
    </row>
    <row r="228" spans="1:26" s="24" customFormat="1" hidden="1" outlineLevel="2" x14ac:dyDescent="0.35">
      <c r="A228" s="27"/>
      <c r="B228" s="11" t="str">
        <f>CONCATENATE("          ", "7702", " - ", "INV. SHRINKAGE-USED TEXT")</f>
        <v xml:space="preserve">          7702 - INV. SHRINKAGE-USED TEXT</v>
      </c>
      <c r="C228" s="11"/>
      <c r="D228" s="7">
        <v>-29494</v>
      </c>
      <c r="E228" s="2"/>
      <c r="F228" s="6">
        <f t="shared" si="80"/>
        <v>-0.14168051615248672</v>
      </c>
      <c r="G228" s="2"/>
      <c r="H228" s="7">
        <v>-5215</v>
      </c>
      <c r="I228" s="2"/>
      <c r="J228" s="6">
        <f t="shared" si="81"/>
        <v>-1.6848109335215928E-2</v>
      </c>
      <c r="K228" s="2"/>
      <c r="L228" s="7">
        <f t="shared" si="82"/>
        <v>-24279</v>
      </c>
      <c r="M228" s="2"/>
      <c r="N228" s="6">
        <f t="shared" si="83"/>
        <v>4.6556088207094914</v>
      </c>
      <c r="O228" s="11"/>
      <c r="P228" s="7">
        <v>-29494</v>
      </c>
      <c r="Q228" s="2"/>
      <c r="R228" s="6">
        <f t="shared" si="84"/>
        <v>-2.5426877719292341E-3</v>
      </c>
      <c r="S228" s="2"/>
      <c r="T228" s="7">
        <v>-5215</v>
      </c>
      <c r="U228" s="2"/>
      <c r="V228" s="6">
        <f t="shared" si="85"/>
        <v>-3.5919624446502721E-4</v>
      </c>
      <c r="W228" s="2"/>
      <c r="X228" s="7">
        <f t="shared" si="86"/>
        <v>-24279</v>
      </c>
      <c r="Y228" s="2"/>
      <c r="Z228" s="6">
        <f t="shared" si="87"/>
        <v>4.6556088207094914</v>
      </c>
    </row>
    <row r="229" spans="1:26" s="24" customFormat="1" hidden="1" outlineLevel="2" x14ac:dyDescent="0.35">
      <c r="A229" s="27"/>
      <c r="B229" s="11" t="str">
        <f>CONCATENATE("          ", "7703", " - ", "INV. SHRINKAGE-RENTAL TEXT")</f>
        <v xml:space="preserve">          7703 - INV. SHRINKAGE-RENTAL TEXT</v>
      </c>
      <c r="C229" s="11"/>
      <c r="D229" s="7">
        <v>526</v>
      </c>
      <c r="E229" s="2"/>
      <c r="F229" s="6">
        <f t="shared" si="80"/>
        <v>2.5267495591038184E-3</v>
      </c>
      <c r="G229" s="2"/>
      <c r="H229" s="7">
        <v>30858</v>
      </c>
      <c r="I229" s="2"/>
      <c r="J229" s="6">
        <f t="shared" si="81"/>
        <v>9.9692992879404252E-2</v>
      </c>
      <c r="K229" s="2"/>
      <c r="L229" s="7">
        <f t="shared" si="82"/>
        <v>-30332</v>
      </c>
      <c r="M229" s="2"/>
      <c r="N229" s="6">
        <f t="shared" si="83"/>
        <v>-0.98295417719878153</v>
      </c>
      <c r="O229" s="11"/>
      <c r="P229" s="7">
        <v>526</v>
      </c>
      <c r="Q229" s="2"/>
      <c r="R229" s="6">
        <f t="shared" si="84"/>
        <v>4.5346638910787865E-5</v>
      </c>
      <c r="S229" s="2"/>
      <c r="T229" s="7">
        <v>30858</v>
      </c>
      <c r="U229" s="2"/>
      <c r="V229" s="6">
        <f t="shared" si="85"/>
        <v>2.1254223800003468E-3</v>
      </c>
      <c r="W229" s="2"/>
      <c r="X229" s="7">
        <f t="shared" si="86"/>
        <v>-30332</v>
      </c>
      <c r="Y229" s="2"/>
      <c r="Z229" s="6">
        <f t="shared" si="87"/>
        <v>-0.98295417719878153</v>
      </c>
    </row>
    <row r="230" spans="1:26" s="24" customFormat="1" hidden="1" outlineLevel="2" x14ac:dyDescent="0.35">
      <c r="A230" s="27"/>
      <c r="B230" s="11" t="str">
        <f>CONCATENATE("          ", "7704", " - ", "INV. SHRINKAGE-DIGITAL TEXT")</f>
        <v xml:space="preserve">          7704 - INV. SHRINKAGE-DIGITAL TEXT</v>
      </c>
      <c r="C230" s="11"/>
      <c r="D230" s="7">
        <v>816</v>
      </c>
      <c r="E230" s="2"/>
      <c r="F230" s="6">
        <f t="shared" si="80"/>
        <v>3.9198244110812087E-3</v>
      </c>
      <c r="G230" s="2"/>
      <c r="H230" s="7">
        <v>-37301</v>
      </c>
      <c r="I230" s="2"/>
      <c r="J230" s="6">
        <f t="shared" si="81"/>
        <v>-0.12050840389508904</v>
      </c>
      <c r="K230" s="2"/>
      <c r="L230" s="7">
        <f t="shared" si="82"/>
        <v>38117</v>
      </c>
      <c r="M230" s="2"/>
      <c r="N230" s="6">
        <f t="shared" si="83"/>
        <v>-1.0218760891128924</v>
      </c>
      <c r="O230" s="11"/>
      <c r="P230" s="7">
        <v>816</v>
      </c>
      <c r="Q230" s="2"/>
      <c r="R230" s="6">
        <f t="shared" si="84"/>
        <v>7.0347637549815386E-5</v>
      </c>
      <c r="S230" s="2"/>
      <c r="T230" s="7">
        <v>-37301</v>
      </c>
      <c r="U230" s="2"/>
      <c r="V230" s="6">
        <f t="shared" si="85"/>
        <v>-2.5692002137660554E-3</v>
      </c>
      <c r="W230" s="2"/>
      <c r="X230" s="7">
        <f t="shared" si="86"/>
        <v>38117</v>
      </c>
      <c r="Y230" s="2"/>
      <c r="Z230" s="6">
        <f t="shared" si="87"/>
        <v>-1.0218760891128924</v>
      </c>
    </row>
    <row r="231" spans="1:26" s="24" customFormat="1" hidden="1" outlineLevel="2" x14ac:dyDescent="0.35">
      <c r="A231" s="27"/>
      <c r="B231" s="11" t="str">
        <f>CONCATENATE("          ", "7711", " - ", "INV. SHRINKAGE-NO VALUE TEXT")</f>
        <v xml:space="preserve">          7711 - INV. SHRINKAGE-NO VALUE TEXT</v>
      </c>
      <c r="C231" s="11"/>
      <c r="D231" s="7">
        <v>-1126</v>
      </c>
      <c r="E231" s="2"/>
      <c r="F231" s="6">
        <f t="shared" si="80"/>
        <v>-5.4089733907811775E-3</v>
      </c>
      <c r="G231" s="2"/>
      <c r="H231" s="7">
        <v>-2516</v>
      </c>
      <c r="I231" s="2"/>
      <c r="J231" s="6">
        <f t="shared" si="81"/>
        <v>-8.1284454625893156E-3</v>
      </c>
      <c r="K231" s="2"/>
      <c r="L231" s="7">
        <f t="shared" si="82"/>
        <v>1390</v>
      </c>
      <c r="M231" s="2"/>
      <c r="N231" s="6">
        <f t="shared" si="83"/>
        <v>-0.55246422893481717</v>
      </c>
      <c r="O231" s="11"/>
      <c r="P231" s="7">
        <v>-1126</v>
      </c>
      <c r="Q231" s="2"/>
      <c r="R231" s="6">
        <f t="shared" si="84"/>
        <v>-9.7072842991534469E-5</v>
      </c>
      <c r="S231" s="2"/>
      <c r="T231" s="7">
        <v>-2516</v>
      </c>
      <c r="U231" s="2"/>
      <c r="V231" s="6">
        <f t="shared" si="85"/>
        <v>-1.732958295443928E-4</v>
      </c>
      <c r="W231" s="2"/>
      <c r="X231" s="7">
        <f t="shared" si="86"/>
        <v>1390</v>
      </c>
      <c r="Y231" s="2"/>
      <c r="Z231" s="6">
        <f t="shared" si="87"/>
        <v>-0.55246422893481717</v>
      </c>
    </row>
    <row r="232" spans="1:26" s="24" customFormat="1" hidden="1" outlineLevel="2" x14ac:dyDescent="0.35">
      <c r="A232" s="27"/>
      <c r="B232" s="11" t="str">
        <f>CONCATENATE("          ", "7713", " - ", "INV. SHRINKAGE-TRADE BOOKS")</f>
        <v xml:space="preserve">          7713 - INV. SHRINKAGE-TRADE BOOKS</v>
      </c>
      <c r="C232" s="11"/>
      <c r="D232" s="7">
        <v>-385</v>
      </c>
      <c r="E232" s="2"/>
      <c r="F232" s="6">
        <f t="shared" si="80"/>
        <v>-1.8494269586596388E-3</v>
      </c>
      <c r="G232" s="2"/>
      <c r="H232" s="7">
        <v>749</v>
      </c>
      <c r="I232" s="2"/>
      <c r="J232" s="6">
        <f t="shared" si="81"/>
        <v>2.4197955689504759E-3</v>
      </c>
      <c r="K232" s="2"/>
      <c r="L232" s="7">
        <f t="shared" si="82"/>
        <v>-1134</v>
      </c>
      <c r="M232" s="2"/>
      <c r="N232" s="6">
        <f t="shared" si="83"/>
        <v>-1.514018691588785</v>
      </c>
      <c r="O232" s="11"/>
      <c r="P232" s="7">
        <v>-385</v>
      </c>
      <c r="Q232" s="2"/>
      <c r="R232" s="6">
        <f t="shared" si="84"/>
        <v>-3.3190980951812407E-5</v>
      </c>
      <c r="S232" s="2"/>
      <c r="T232" s="7">
        <v>749</v>
      </c>
      <c r="U232" s="2"/>
      <c r="V232" s="6">
        <f t="shared" si="85"/>
        <v>5.1589259272158271E-5</v>
      </c>
      <c r="W232" s="2"/>
      <c r="X232" s="7">
        <f t="shared" si="86"/>
        <v>-1134</v>
      </c>
      <c r="Y232" s="2"/>
      <c r="Z232" s="6">
        <f t="shared" si="87"/>
        <v>-1.514018691588785</v>
      </c>
    </row>
    <row r="233" spans="1:26" s="24" customFormat="1" hidden="1" outlineLevel="2" x14ac:dyDescent="0.35">
      <c r="A233" s="27"/>
      <c r="B233" s="11" t="str">
        <f>CONCATENATE("          ", "7714", " - ", "INV. SHRINKAGE-REMAINDERS")</f>
        <v xml:space="preserve">          7714 - INV. SHRINKAGE-REMAINDERS</v>
      </c>
      <c r="C233" s="11"/>
      <c r="D233" s="7">
        <v>204</v>
      </c>
      <c r="E233" s="2"/>
      <c r="F233" s="6">
        <f t="shared" si="80"/>
        <v>9.7995610277030218E-4</v>
      </c>
      <c r="G233" s="2"/>
      <c r="H233" s="7">
        <v>-23</v>
      </c>
      <c r="I233" s="2"/>
      <c r="J233" s="6">
        <f t="shared" si="81"/>
        <v>-7.4306138966436506E-5</v>
      </c>
      <c r="K233" s="2"/>
      <c r="L233" s="7">
        <f t="shared" si="82"/>
        <v>227</v>
      </c>
      <c r="M233" s="2"/>
      <c r="N233" s="6">
        <f t="shared" si="83"/>
        <v>-9.8695652173913047</v>
      </c>
      <c r="O233" s="11"/>
      <c r="P233" s="7">
        <v>204</v>
      </c>
      <c r="Q233" s="2"/>
      <c r="R233" s="6">
        <f t="shared" si="84"/>
        <v>1.7586909387453847E-5</v>
      </c>
      <c r="S233" s="2"/>
      <c r="T233" s="7">
        <v>-23</v>
      </c>
      <c r="U233" s="2"/>
      <c r="V233" s="6">
        <f t="shared" si="85"/>
        <v>-1.5841828614948468E-6</v>
      </c>
      <c r="W233" s="2"/>
      <c r="X233" s="7">
        <f t="shared" si="86"/>
        <v>227</v>
      </c>
      <c r="Y233" s="2"/>
      <c r="Z233" s="6">
        <f t="shared" si="87"/>
        <v>-9.8695652173913047</v>
      </c>
    </row>
    <row r="234" spans="1:26" s="24" customFormat="1" hidden="1" outlineLevel="2" x14ac:dyDescent="0.35">
      <c r="A234" s="27"/>
      <c r="B234" s="11" t="str">
        <f>CONCATENATE("          ", "7717", " - ", "INV. SHRINKAGE-DORM/HOUSEWARES")</f>
        <v xml:space="preserve">          7717 - INV. SHRINKAGE-DORM/HOUSEWARES</v>
      </c>
      <c r="C234" s="11"/>
      <c r="D234" s="7">
        <v>-254</v>
      </c>
      <c r="E234" s="2"/>
      <c r="F234" s="6">
        <f t="shared" si="80"/>
        <v>-1.2201414220767487E-3</v>
      </c>
      <c r="G234" s="2"/>
      <c r="H234" s="7">
        <v>-22</v>
      </c>
      <c r="I234" s="2"/>
      <c r="J234" s="6">
        <f t="shared" si="81"/>
        <v>-7.1075437272243608E-5</v>
      </c>
      <c r="K234" s="2"/>
      <c r="L234" s="7">
        <f t="shared" si="82"/>
        <v>-232</v>
      </c>
      <c r="M234" s="2"/>
      <c r="N234" s="6">
        <f t="shared" si="83"/>
        <v>10.545454545454545</v>
      </c>
      <c r="O234" s="11"/>
      <c r="P234" s="7">
        <v>-254</v>
      </c>
      <c r="Q234" s="2"/>
      <c r="R234" s="6">
        <f t="shared" si="84"/>
        <v>-2.1897426394182733E-5</v>
      </c>
      <c r="S234" s="2"/>
      <c r="T234" s="7">
        <v>-22</v>
      </c>
      <c r="U234" s="2"/>
      <c r="V234" s="6">
        <f t="shared" si="85"/>
        <v>-1.5153053457776795E-6</v>
      </c>
      <c r="W234" s="2"/>
      <c r="X234" s="7">
        <f t="shared" si="86"/>
        <v>-232</v>
      </c>
      <c r="Y234" s="2"/>
      <c r="Z234" s="6">
        <f t="shared" si="87"/>
        <v>10.545454545454545</v>
      </c>
    </row>
    <row r="235" spans="1:26" s="24" customFormat="1" hidden="1" outlineLevel="2" x14ac:dyDescent="0.35">
      <c r="A235" s="27"/>
      <c r="B235" s="11" t="str">
        <f>CONCATENATE("          ", "7718", " - ", "INV. SHRINKAGE-STUDY GUIDES")</f>
        <v xml:space="preserve">          7718 - INV. SHRINKAGE-STUDY GUIDES</v>
      </c>
      <c r="C235" s="11"/>
      <c r="D235" s="7">
        <v>458</v>
      </c>
      <c r="E235" s="2"/>
      <c r="F235" s="6">
        <f t="shared" si="80"/>
        <v>2.2000975248470511E-3</v>
      </c>
      <c r="G235" s="2"/>
      <c r="H235" s="7">
        <v>-1534</v>
      </c>
      <c r="I235" s="2"/>
      <c r="J235" s="6">
        <f t="shared" si="81"/>
        <v>-4.9558963988918956E-3</v>
      </c>
      <c r="K235" s="2"/>
      <c r="L235" s="7">
        <f t="shared" si="82"/>
        <v>1992</v>
      </c>
      <c r="M235" s="2"/>
      <c r="N235" s="6">
        <f t="shared" si="83"/>
        <v>-1.2985658409387224</v>
      </c>
      <c r="O235" s="11"/>
      <c r="P235" s="7">
        <v>458</v>
      </c>
      <c r="Q235" s="2"/>
      <c r="R235" s="6">
        <f t="shared" si="84"/>
        <v>3.9484335781636583E-5</v>
      </c>
      <c r="S235" s="2"/>
      <c r="T235" s="7">
        <v>-1534</v>
      </c>
      <c r="U235" s="2"/>
      <c r="V235" s="6">
        <f t="shared" si="85"/>
        <v>-1.0565810911013455E-4</v>
      </c>
      <c r="W235" s="2"/>
      <c r="X235" s="7">
        <f t="shared" si="86"/>
        <v>1992</v>
      </c>
      <c r="Y235" s="2"/>
      <c r="Z235" s="6">
        <f t="shared" si="87"/>
        <v>-1.2985658409387224</v>
      </c>
    </row>
    <row r="236" spans="1:26" s="24" customFormat="1" hidden="1" outlineLevel="2" x14ac:dyDescent="0.35">
      <c r="A236" s="27"/>
      <c r="B236" s="11" t="str">
        <f>CONCATENATE("          ", "7719", " - ", "INV. SHRINKAGE-BOOK RELATED")</f>
        <v xml:space="preserve">          7719 - INV. SHRINKAGE-BOOK RELATED</v>
      </c>
      <c r="C236" s="11"/>
      <c r="D236" s="7">
        <v>-43</v>
      </c>
      <c r="E236" s="2"/>
      <c r="F236" s="6">
        <f t="shared" si="80"/>
        <v>-2.0655937460354408E-4</v>
      </c>
      <c r="G236" s="2"/>
      <c r="H236" s="7">
        <v>-43</v>
      </c>
      <c r="I236" s="2"/>
      <c r="J236" s="6">
        <f t="shared" si="81"/>
        <v>-1.3892017285029433E-4</v>
      </c>
      <c r="K236" s="2"/>
      <c r="L236" s="7">
        <f t="shared" si="82"/>
        <v>0</v>
      </c>
      <c r="M236" s="2"/>
      <c r="N236" s="6">
        <f t="shared" si="83"/>
        <v>0</v>
      </c>
      <c r="O236" s="11"/>
      <c r="P236" s="7">
        <v>-43</v>
      </c>
      <c r="Q236" s="2"/>
      <c r="R236" s="6">
        <f t="shared" si="84"/>
        <v>-3.7070446257868405E-6</v>
      </c>
      <c r="S236" s="2"/>
      <c r="T236" s="7">
        <v>-43</v>
      </c>
      <c r="U236" s="2"/>
      <c r="V236" s="6">
        <f t="shared" si="85"/>
        <v>-2.9617331758381917E-6</v>
      </c>
      <c r="W236" s="2"/>
      <c r="X236" s="7">
        <f t="shared" si="86"/>
        <v>0</v>
      </c>
      <c r="Y236" s="2"/>
      <c r="Z236" s="6">
        <f t="shared" si="87"/>
        <v>0</v>
      </c>
    </row>
    <row r="237" spans="1:26" s="24" customFormat="1" hidden="1" outlineLevel="2" x14ac:dyDescent="0.35">
      <c r="A237" s="27"/>
      <c r="B237" s="11" t="str">
        <f>CONCATENATE("          ", "7725", " - ", "INV. SHRINKAGE-TEST FORMS")</f>
        <v xml:space="preserve">          7725 - INV. SHRINKAGE-TEST FORMS</v>
      </c>
      <c r="C237" s="11"/>
      <c r="D237" s="7">
        <v>3987</v>
      </c>
      <c r="E237" s="2"/>
      <c r="F237" s="6">
        <f t="shared" si="80"/>
        <v>1.9152377361496054E-2</v>
      </c>
      <c r="G237" s="2"/>
      <c r="H237" s="7">
        <v>95</v>
      </c>
      <c r="I237" s="2"/>
      <c r="J237" s="6">
        <f t="shared" si="81"/>
        <v>3.0691666094832468E-4</v>
      </c>
      <c r="K237" s="2"/>
      <c r="L237" s="7">
        <f t="shared" si="82"/>
        <v>3892</v>
      </c>
      <c r="M237" s="2"/>
      <c r="N237" s="6">
        <f t="shared" si="83"/>
        <v>40.968421052631577</v>
      </c>
      <c r="O237" s="11"/>
      <c r="P237" s="7">
        <v>3987</v>
      </c>
      <c r="Q237" s="2"/>
      <c r="R237" s="6">
        <f t="shared" si="84"/>
        <v>3.4372062611656126E-4</v>
      </c>
      <c r="S237" s="2"/>
      <c r="T237" s="7">
        <v>95</v>
      </c>
      <c r="U237" s="2"/>
      <c r="V237" s="6">
        <f t="shared" si="85"/>
        <v>6.5433639931308887E-6</v>
      </c>
      <c r="W237" s="2"/>
      <c r="X237" s="7">
        <f t="shared" si="86"/>
        <v>3892</v>
      </c>
      <c r="Y237" s="2"/>
      <c r="Z237" s="6">
        <f t="shared" si="87"/>
        <v>40.968421052631577</v>
      </c>
    </row>
    <row r="238" spans="1:26" s="24" customFormat="1" hidden="1" outlineLevel="2" x14ac:dyDescent="0.35">
      <c r="A238" s="27"/>
      <c r="B238" s="11" t="str">
        <f>CONCATENATE("          ", "7726", " - ", "INV. SHRINKAGE-WRITING INSTRUM")</f>
        <v xml:space="preserve">          7726 - INV. SHRINKAGE-WRITING INSTRUM</v>
      </c>
      <c r="C238" s="11"/>
      <c r="D238" s="7">
        <v>9153</v>
      </c>
      <c r="E238" s="2"/>
      <c r="F238" s="6">
        <f t="shared" si="80"/>
        <v>4.3968324552238112E-2</v>
      </c>
      <c r="G238" s="2"/>
      <c r="H238" s="7">
        <v>1467</v>
      </c>
      <c r="I238" s="2"/>
      <c r="J238" s="6">
        <f t="shared" si="81"/>
        <v>4.7394393853809717E-3</v>
      </c>
      <c r="K238" s="2"/>
      <c r="L238" s="7">
        <f t="shared" si="82"/>
        <v>7686</v>
      </c>
      <c r="M238" s="2"/>
      <c r="N238" s="6">
        <f t="shared" si="83"/>
        <v>5.2392638036809815</v>
      </c>
      <c r="O238" s="11"/>
      <c r="P238" s="7">
        <v>9153</v>
      </c>
      <c r="Q238" s="2"/>
      <c r="R238" s="6">
        <f t="shared" si="84"/>
        <v>7.8908324325178958E-4</v>
      </c>
      <c r="S238" s="2"/>
      <c r="T238" s="7">
        <v>1467</v>
      </c>
      <c r="U238" s="2"/>
      <c r="V238" s="6">
        <f t="shared" si="85"/>
        <v>1.0104331555708436E-4</v>
      </c>
      <c r="W238" s="2"/>
      <c r="X238" s="7">
        <f t="shared" si="86"/>
        <v>7686</v>
      </c>
      <c r="Y238" s="2"/>
      <c r="Z238" s="6">
        <f t="shared" si="87"/>
        <v>5.2392638036809815</v>
      </c>
    </row>
    <row r="239" spans="1:26" s="24" customFormat="1" hidden="1" outlineLevel="2" x14ac:dyDescent="0.35">
      <c r="A239" s="27"/>
      <c r="B239" s="11" t="str">
        <f>CONCATENATE("          ", "7727", " - ", "INV. SHRINKAGE-SCHOOL SUPPLIES")</f>
        <v xml:space="preserve">          7727 - INV. SHRINKAGE-SCHOOL SUPPLIES</v>
      </c>
      <c r="C239" s="11"/>
      <c r="D239" s="7">
        <v>9822</v>
      </c>
      <c r="E239" s="2"/>
      <c r="F239" s="6">
        <f t="shared" si="80"/>
        <v>4.718200412455837E-2</v>
      </c>
      <c r="G239" s="2"/>
      <c r="H239" s="7">
        <v>1404</v>
      </c>
      <c r="I239" s="2"/>
      <c r="J239" s="6">
        <f t="shared" si="81"/>
        <v>4.5359051786468194E-3</v>
      </c>
      <c r="K239" s="2"/>
      <c r="L239" s="7">
        <f t="shared" si="82"/>
        <v>8418</v>
      </c>
      <c r="M239" s="2"/>
      <c r="N239" s="6">
        <f t="shared" si="83"/>
        <v>5.9957264957264957</v>
      </c>
      <c r="O239" s="11"/>
      <c r="P239" s="7">
        <v>9822</v>
      </c>
      <c r="Q239" s="2"/>
      <c r="R239" s="6">
        <f t="shared" si="84"/>
        <v>8.4675796080182207E-4</v>
      </c>
      <c r="S239" s="2"/>
      <c r="T239" s="7">
        <v>1404</v>
      </c>
      <c r="U239" s="2"/>
      <c r="V239" s="6">
        <f t="shared" si="85"/>
        <v>9.6704032066902818E-5</v>
      </c>
      <c r="W239" s="2"/>
      <c r="X239" s="7">
        <f t="shared" si="86"/>
        <v>8418</v>
      </c>
      <c r="Y239" s="2"/>
      <c r="Z239" s="6">
        <f t="shared" si="87"/>
        <v>5.9957264957264957</v>
      </c>
    </row>
    <row r="240" spans="1:26" s="24" customFormat="1" hidden="1" outlineLevel="2" x14ac:dyDescent="0.35">
      <c r="A240" s="27"/>
      <c r="B240" s="11" t="str">
        <f>CONCATENATE("          ", "7728", " - ", "INV. SHRINKAGE-ART/TECH")</f>
        <v xml:space="preserve">          7728 - INV. SHRINKAGE-ART/TECH</v>
      </c>
      <c r="C240" s="11"/>
      <c r="D240" s="7">
        <v>8990</v>
      </c>
      <c r="E240" s="2"/>
      <c r="F240" s="6">
        <f t="shared" si="80"/>
        <v>4.3185320411299098E-2</v>
      </c>
      <c r="G240" s="2"/>
      <c r="H240" s="7">
        <v>4009</v>
      </c>
      <c r="I240" s="2"/>
      <c r="J240" s="6">
        <f t="shared" si="81"/>
        <v>1.2951883092019303E-2</v>
      </c>
      <c r="K240" s="2"/>
      <c r="L240" s="7">
        <f t="shared" si="82"/>
        <v>4981</v>
      </c>
      <c r="M240" s="2"/>
      <c r="N240" s="6">
        <f t="shared" si="83"/>
        <v>1.242454477425792</v>
      </c>
      <c r="O240" s="11"/>
      <c r="P240" s="7">
        <v>8990</v>
      </c>
      <c r="Q240" s="2"/>
      <c r="R240" s="6">
        <f t="shared" si="84"/>
        <v>7.7503095780985336E-4</v>
      </c>
      <c r="S240" s="2"/>
      <c r="T240" s="7">
        <v>4009</v>
      </c>
      <c r="U240" s="2"/>
      <c r="V240" s="6">
        <f t="shared" si="85"/>
        <v>2.7612996051012349E-4</v>
      </c>
      <c r="W240" s="2"/>
      <c r="X240" s="7">
        <f t="shared" si="86"/>
        <v>4981</v>
      </c>
      <c r="Y240" s="2"/>
      <c r="Z240" s="6">
        <f t="shared" si="87"/>
        <v>1.242454477425792</v>
      </c>
    </row>
    <row r="241" spans="1:26" s="24" customFormat="1" hidden="1" outlineLevel="2" x14ac:dyDescent="0.35">
      <c r="A241" s="27"/>
      <c r="B241" s="11" t="str">
        <f>CONCATENATE("          ", "7731", " - ", "INV. SHRINKAGE-FOOD")</f>
        <v xml:space="preserve">          7731 - INV. SHRINKAGE-FOOD</v>
      </c>
      <c r="C241" s="11"/>
      <c r="D241" s="7">
        <v>6964</v>
      </c>
      <c r="E241" s="2"/>
      <c r="F241" s="6">
        <f t="shared" si="80"/>
        <v>3.3453011273001883E-2</v>
      </c>
      <c r="G241" s="2"/>
      <c r="H241" s="7">
        <v>-237</v>
      </c>
      <c r="I241" s="2"/>
      <c r="J241" s="6">
        <f t="shared" si="81"/>
        <v>-7.6567630152371525E-4</v>
      </c>
      <c r="K241" s="2"/>
      <c r="L241" s="7">
        <f t="shared" si="82"/>
        <v>7201</v>
      </c>
      <c r="M241" s="2"/>
      <c r="N241" s="6">
        <f t="shared" si="83"/>
        <v>-30.383966244725737</v>
      </c>
      <c r="O241" s="11"/>
      <c r="P241" s="7">
        <v>6964</v>
      </c>
      <c r="Q241" s="2"/>
      <c r="R241" s="6">
        <f t="shared" si="84"/>
        <v>6.0036880869719905E-4</v>
      </c>
      <c r="S241" s="2"/>
      <c r="T241" s="7">
        <v>-237</v>
      </c>
      <c r="U241" s="2"/>
      <c r="V241" s="6">
        <f t="shared" si="85"/>
        <v>-1.6323971224968639E-5</v>
      </c>
      <c r="W241" s="2"/>
      <c r="X241" s="7">
        <f t="shared" si="86"/>
        <v>7201</v>
      </c>
      <c r="Y241" s="2"/>
      <c r="Z241" s="6">
        <f t="shared" si="87"/>
        <v>-30.383966244725737</v>
      </c>
    </row>
    <row r="242" spans="1:26" s="24" customFormat="1" hidden="1" outlineLevel="2" x14ac:dyDescent="0.35">
      <c r="A242" s="27"/>
      <c r="B242" s="11" t="str">
        <f>CONCATENATE("          ", "7732", " - ", "INV. SHRINKAGE-JUICE")</f>
        <v xml:space="preserve">          7732 - INV. SHRINKAGE-JUICE</v>
      </c>
      <c r="C242" s="11"/>
      <c r="D242" s="7">
        <v>-1942</v>
      </c>
      <c r="E242" s="2"/>
      <c r="F242" s="6">
        <f t="shared" si="80"/>
        <v>-9.328797801862387E-3</v>
      </c>
      <c r="G242" s="2"/>
      <c r="H242" s="7">
        <v>-181</v>
      </c>
      <c r="I242" s="2"/>
      <c r="J242" s="6">
        <f t="shared" si="81"/>
        <v>-5.8475700664891339E-4</v>
      </c>
      <c r="K242" s="2"/>
      <c r="L242" s="7">
        <f t="shared" si="82"/>
        <v>-1761</v>
      </c>
      <c r="M242" s="2"/>
      <c r="N242" s="6">
        <f t="shared" si="83"/>
        <v>9.7292817679558006</v>
      </c>
      <c r="O242" s="11"/>
      <c r="P242" s="7">
        <v>-1942</v>
      </c>
      <c r="Q242" s="2"/>
      <c r="R242" s="6">
        <f t="shared" si="84"/>
        <v>-1.6742048054134987E-4</v>
      </c>
      <c r="S242" s="2"/>
      <c r="T242" s="7">
        <v>-181</v>
      </c>
      <c r="U242" s="2"/>
      <c r="V242" s="6">
        <f t="shared" si="85"/>
        <v>-1.2466830344807271E-5</v>
      </c>
      <c r="W242" s="2"/>
      <c r="X242" s="7">
        <f t="shared" si="86"/>
        <v>-1761</v>
      </c>
      <c r="Y242" s="2"/>
      <c r="Z242" s="6">
        <f t="shared" si="87"/>
        <v>9.7292817679558006</v>
      </c>
    </row>
    <row r="243" spans="1:26" s="24" customFormat="1" hidden="1" outlineLevel="2" x14ac:dyDescent="0.35">
      <c r="A243" s="27"/>
      <c r="B243" s="11" t="str">
        <f>CONCATENATE("          ", "7733", " - ", "INV. SHRINKAGE-CANDY")</f>
        <v xml:space="preserve">          7733 - INV. SHRINKAGE-CANDY</v>
      </c>
      <c r="C243" s="11"/>
      <c r="D243" s="7">
        <v>2710</v>
      </c>
      <c r="E243" s="2"/>
      <c r="F243" s="6">
        <f t="shared" si="80"/>
        <v>1.3018044306409406E-2</v>
      </c>
      <c r="G243" s="2"/>
      <c r="H243" s="7">
        <v>-289</v>
      </c>
      <c r="I243" s="2"/>
      <c r="J243" s="6">
        <f t="shared" si="81"/>
        <v>-9.3367278962174568E-4</v>
      </c>
      <c r="K243" s="2"/>
      <c r="L243" s="7">
        <f t="shared" si="82"/>
        <v>2999</v>
      </c>
      <c r="M243" s="2"/>
      <c r="N243" s="6">
        <f t="shared" si="83"/>
        <v>-10.377162629757786</v>
      </c>
      <c r="O243" s="11"/>
      <c r="P243" s="7">
        <v>2710</v>
      </c>
      <c r="Q243" s="2"/>
      <c r="R243" s="6">
        <f t="shared" si="84"/>
        <v>2.3363002176470554E-4</v>
      </c>
      <c r="S243" s="2"/>
      <c r="T243" s="7">
        <v>-289</v>
      </c>
      <c r="U243" s="2"/>
      <c r="V243" s="6">
        <f t="shared" si="85"/>
        <v>-1.9905602042261333E-5</v>
      </c>
      <c r="W243" s="2"/>
      <c r="X243" s="7">
        <f t="shared" si="86"/>
        <v>2999</v>
      </c>
      <c r="Y243" s="2"/>
      <c r="Z243" s="6">
        <f t="shared" si="87"/>
        <v>-10.377162629757786</v>
      </c>
    </row>
    <row r="244" spans="1:26" s="24" customFormat="1" hidden="1" outlineLevel="2" x14ac:dyDescent="0.35">
      <c r="A244" s="27"/>
      <c r="B244" s="11" t="str">
        <f>CONCATENATE("          ", "7734", " - ", "INV. SHRINKAGE-SODA")</f>
        <v xml:space="preserve">          7734 - INV. SHRINKAGE-SODA</v>
      </c>
      <c r="C244" s="11"/>
      <c r="D244" s="7">
        <v>1253</v>
      </c>
      <c r="E244" s="2"/>
      <c r="F244" s="6">
        <f t="shared" si="80"/>
        <v>6.0190441018195522E-3</v>
      </c>
      <c r="G244" s="2"/>
      <c r="H244" s="7">
        <v>478</v>
      </c>
      <c r="I244" s="2"/>
      <c r="J244" s="6">
        <f t="shared" si="81"/>
        <v>1.5442754098242023E-3</v>
      </c>
      <c r="K244" s="2"/>
      <c r="L244" s="7">
        <f t="shared" si="82"/>
        <v>775</v>
      </c>
      <c r="M244" s="2"/>
      <c r="N244" s="6">
        <f t="shared" si="83"/>
        <v>1.6213389121338913</v>
      </c>
      <c r="O244" s="11"/>
      <c r="P244" s="7">
        <v>1253</v>
      </c>
      <c r="Q244" s="2"/>
      <c r="R244" s="6">
        <f t="shared" si="84"/>
        <v>1.0802155618862584E-4</v>
      </c>
      <c r="S244" s="2"/>
      <c r="T244" s="7">
        <v>478</v>
      </c>
      <c r="U244" s="2"/>
      <c r="V244" s="6">
        <f t="shared" si="85"/>
        <v>3.2923452512805943E-5</v>
      </c>
      <c r="W244" s="2"/>
      <c r="X244" s="7">
        <f t="shared" si="86"/>
        <v>775</v>
      </c>
      <c r="Y244" s="2"/>
      <c r="Z244" s="6">
        <f t="shared" si="87"/>
        <v>1.6213389121338913</v>
      </c>
    </row>
    <row r="245" spans="1:26" s="24" customFormat="1" hidden="1" outlineLevel="2" x14ac:dyDescent="0.35">
      <c r="A245" s="27"/>
      <c r="B245" s="11" t="str">
        <f>CONCATENATE("          ", "7735", " - ", "INV. SHRINKAGE-HEALTH/BEAUTY")</f>
        <v xml:space="preserve">          7735 - INV. SHRINKAGE-HEALTH/BEAUTY</v>
      </c>
      <c r="C245" s="11"/>
      <c r="D245" s="7">
        <v>369</v>
      </c>
      <c r="E245" s="2"/>
      <c r="F245" s="6">
        <f t="shared" si="80"/>
        <v>1.772567656481576E-3</v>
      </c>
      <c r="G245" s="2"/>
      <c r="H245" s="7">
        <v>-288</v>
      </c>
      <c r="I245" s="2"/>
      <c r="J245" s="6">
        <f t="shared" si="81"/>
        <v>-9.3044208792755279E-4</v>
      </c>
      <c r="K245" s="2"/>
      <c r="L245" s="7">
        <f t="shared" si="82"/>
        <v>657</v>
      </c>
      <c r="M245" s="2"/>
      <c r="N245" s="6">
        <f t="shared" si="83"/>
        <v>-2.28125</v>
      </c>
      <c r="O245" s="11"/>
      <c r="P245" s="7">
        <v>369</v>
      </c>
      <c r="Q245" s="2"/>
      <c r="R245" s="6">
        <f t="shared" si="84"/>
        <v>3.1811615509659169E-5</v>
      </c>
      <c r="S245" s="2"/>
      <c r="T245" s="7">
        <v>-288</v>
      </c>
      <c r="U245" s="2"/>
      <c r="V245" s="6">
        <f t="shared" si="85"/>
        <v>-1.9836724526544169E-5</v>
      </c>
      <c r="W245" s="2"/>
      <c r="X245" s="7">
        <f t="shared" si="86"/>
        <v>657</v>
      </c>
      <c r="Y245" s="2"/>
      <c r="Z245" s="6">
        <f t="shared" si="87"/>
        <v>-2.28125</v>
      </c>
    </row>
    <row r="246" spans="1:26" s="24" customFormat="1" hidden="1" outlineLevel="2" x14ac:dyDescent="0.35">
      <c r="A246" s="27"/>
      <c r="B246" s="11" t="str">
        <f>CONCATENATE("          ", "7737", " - ", "INV. SHRINKAGE-WATER")</f>
        <v xml:space="preserve">          7737 - INV. SHRINKAGE-WATER</v>
      </c>
      <c r="C246" s="11"/>
      <c r="D246" s="7">
        <v>763</v>
      </c>
      <c r="E246" s="2"/>
      <c r="F246" s="6">
        <f t="shared" si="80"/>
        <v>3.6652279726163751E-3</v>
      </c>
      <c r="G246" s="2"/>
      <c r="H246" s="7">
        <v>-128</v>
      </c>
      <c r="I246" s="2"/>
      <c r="J246" s="6">
        <f t="shared" si="81"/>
        <v>-4.1352981685669014E-4</v>
      </c>
      <c r="K246" s="2"/>
      <c r="L246" s="7">
        <f t="shared" si="82"/>
        <v>891</v>
      </c>
      <c r="M246" s="2"/>
      <c r="N246" s="6">
        <f t="shared" si="83"/>
        <v>-6.9609375</v>
      </c>
      <c r="O246" s="11"/>
      <c r="P246" s="7">
        <v>763</v>
      </c>
      <c r="Q246" s="2"/>
      <c r="R246" s="6">
        <f t="shared" si="84"/>
        <v>6.5778489522682772E-5</v>
      </c>
      <c r="S246" s="2"/>
      <c r="T246" s="7">
        <v>-128</v>
      </c>
      <c r="U246" s="2"/>
      <c r="V246" s="6">
        <f t="shared" si="85"/>
        <v>-8.8163220117974079E-6</v>
      </c>
      <c r="W246" s="2"/>
      <c r="X246" s="7">
        <f t="shared" si="86"/>
        <v>891</v>
      </c>
      <c r="Y246" s="2"/>
      <c r="Z246" s="6">
        <f t="shared" si="87"/>
        <v>-6.9609375</v>
      </c>
    </row>
    <row r="247" spans="1:26" s="24" customFormat="1" hidden="1" outlineLevel="2" x14ac:dyDescent="0.35">
      <c r="A247" s="27"/>
      <c r="B247" s="11" t="str">
        <f>CONCATENATE("          ", "7740", " - ", "INV. SHRINKAGE-LOGO CLOTHING")</f>
        <v xml:space="preserve">          7740 - INV. SHRINKAGE-LOGO CLOTHING</v>
      </c>
      <c r="C247" s="11"/>
      <c r="D247" s="7">
        <v>62007.000000000007</v>
      </c>
      <c r="E247" s="2"/>
      <c r="F247" s="6">
        <f t="shared" si="80"/>
        <v>0.29786342188469672</v>
      </c>
      <c r="G247" s="2"/>
      <c r="H247" s="7">
        <v>-33861</v>
      </c>
      <c r="I247" s="2"/>
      <c r="J247" s="6">
        <f t="shared" si="81"/>
        <v>-0.1093947900670655</v>
      </c>
      <c r="K247" s="2"/>
      <c r="L247" s="7">
        <f t="shared" si="82"/>
        <v>95868</v>
      </c>
      <c r="M247" s="2"/>
      <c r="N247" s="6">
        <f t="shared" si="83"/>
        <v>-2.8312217595463807</v>
      </c>
      <c r="O247" s="11"/>
      <c r="P247" s="7">
        <v>62007.000000000007</v>
      </c>
      <c r="Q247" s="2"/>
      <c r="R247" s="6">
        <f t="shared" si="84"/>
        <v>5.3456445607247592E-3</v>
      </c>
      <c r="S247" s="2"/>
      <c r="T247" s="7">
        <v>-33861</v>
      </c>
      <c r="U247" s="2"/>
      <c r="V247" s="6">
        <f t="shared" si="85"/>
        <v>-2.3322615596990002E-3</v>
      </c>
      <c r="W247" s="2"/>
      <c r="X247" s="7">
        <f t="shared" si="86"/>
        <v>95868</v>
      </c>
      <c r="Y247" s="2"/>
      <c r="Z247" s="6">
        <f t="shared" si="87"/>
        <v>-2.8312217595463807</v>
      </c>
    </row>
    <row r="248" spans="1:26" s="24" customFormat="1" hidden="1" outlineLevel="2" x14ac:dyDescent="0.35">
      <c r="A248" s="27"/>
      <c r="B248" s="11" t="str">
        <f>CONCATENATE("          ", "7741", " - ", "INV. SHRINKAGE-LOGO GIFTS")</f>
        <v xml:space="preserve">          7741 - INV. SHRINKAGE-LOGO GIFTS</v>
      </c>
      <c r="C248" s="11"/>
      <c r="D248" s="7">
        <v>30707</v>
      </c>
      <c r="E248" s="2"/>
      <c r="F248" s="6">
        <f t="shared" si="80"/>
        <v>0.14750741199886111</v>
      </c>
      <c r="G248" s="2"/>
      <c r="H248" s="7">
        <v>-30911</v>
      </c>
      <c r="I248" s="2"/>
      <c r="J248" s="6">
        <f t="shared" si="81"/>
        <v>-9.9864220069196472E-2</v>
      </c>
      <c r="K248" s="2"/>
      <c r="L248" s="7">
        <f t="shared" si="82"/>
        <v>61618</v>
      </c>
      <c r="M248" s="2"/>
      <c r="N248" s="6">
        <f t="shared" si="83"/>
        <v>-1.9934004076218821</v>
      </c>
      <c r="O248" s="11"/>
      <c r="P248" s="7">
        <v>30707</v>
      </c>
      <c r="Q248" s="2"/>
      <c r="R248" s="6">
        <f t="shared" si="84"/>
        <v>2.6472609145124768E-3</v>
      </c>
      <c r="S248" s="2"/>
      <c r="T248" s="7">
        <v>-30911</v>
      </c>
      <c r="U248" s="2"/>
      <c r="V248" s="6">
        <f t="shared" si="85"/>
        <v>-2.1290728883333566E-3</v>
      </c>
      <c r="W248" s="2"/>
      <c r="X248" s="7">
        <f t="shared" si="86"/>
        <v>61618</v>
      </c>
      <c r="Y248" s="2"/>
      <c r="Z248" s="6">
        <f t="shared" si="87"/>
        <v>-1.9934004076218821</v>
      </c>
    </row>
    <row r="249" spans="1:26" s="24" customFormat="1" hidden="1" outlineLevel="2" x14ac:dyDescent="0.35">
      <c r="A249" s="27"/>
      <c r="B249" s="11" t="str">
        <f>CONCATENATE("          ", "7742", " - ", "INV. SHRINKAGE-EVERYDAY GIFTS")</f>
        <v xml:space="preserve">          7742 - INV. SHRINKAGE-EVERYDAY GIFTS</v>
      </c>
      <c r="C249" s="11"/>
      <c r="D249" s="7">
        <v>26197</v>
      </c>
      <c r="E249" s="2"/>
      <c r="F249" s="6">
        <f t="shared" si="80"/>
        <v>0.12584269619741964</v>
      </c>
      <c r="G249" s="2"/>
      <c r="H249" s="7">
        <v>10301</v>
      </c>
      <c r="I249" s="2"/>
      <c r="J249" s="6">
        <f t="shared" si="81"/>
        <v>3.3279458151880978E-2</v>
      </c>
      <c r="K249" s="2"/>
      <c r="L249" s="7">
        <f t="shared" si="82"/>
        <v>15896</v>
      </c>
      <c r="M249" s="2"/>
      <c r="N249" s="6">
        <f t="shared" si="83"/>
        <v>1.5431511503737501</v>
      </c>
      <c r="O249" s="11"/>
      <c r="P249" s="7">
        <v>26197</v>
      </c>
      <c r="Q249" s="2"/>
      <c r="R249" s="6">
        <f t="shared" si="84"/>
        <v>2.2584522805055318E-3</v>
      </c>
      <c r="S249" s="2"/>
      <c r="T249" s="7">
        <v>10301</v>
      </c>
      <c r="U249" s="2"/>
      <c r="V249" s="6">
        <f t="shared" si="85"/>
        <v>7.0950728940253986E-4</v>
      </c>
      <c r="W249" s="2"/>
      <c r="X249" s="7">
        <f t="shared" si="86"/>
        <v>15896</v>
      </c>
      <c r="Y249" s="2"/>
      <c r="Z249" s="6">
        <f t="shared" si="87"/>
        <v>1.5431511503737501</v>
      </c>
    </row>
    <row r="250" spans="1:26" s="24" customFormat="1" hidden="1" outlineLevel="2" x14ac:dyDescent="0.35">
      <c r="A250" s="27"/>
      <c r="B250" s="11" t="str">
        <f>CONCATENATE("          ", "7743", " - ", "INV. SHRINKAGE-CARDS")</f>
        <v xml:space="preserve">          7743 - INV. SHRINKAGE-CARDS</v>
      </c>
      <c r="C250" s="11"/>
      <c r="D250" s="7">
        <v>-12818</v>
      </c>
      <c r="E250" s="2"/>
      <c r="F250" s="6">
        <f t="shared" si="80"/>
        <v>-6.1573908457400649E-2</v>
      </c>
      <c r="G250" s="2"/>
      <c r="H250" s="7">
        <v>-1135</v>
      </c>
      <c r="I250" s="2"/>
      <c r="J250" s="6">
        <f t="shared" si="81"/>
        <v>-3.6668464229089319E-3</v>
      </c>
      <c r="K250" s="2"/>
      <c r="L250" s="7">
        <f t="shared" si="82"/>
        <v>-11683</v>
      </c>
      <c r="M250" s="2"/>
      <c r="N250" s="6">
        <f t="shared" si="83"/>
        <v>10.293392070484581</v>
      </c>
      <c r="O250" s="11"/>
      <c r="P250" s="7">
        <v>-12818</v>
      </c>
      <c r="Q250" s="2"/>
      <c r="R250" s="6">
        <f t="shared" si="84"/>
        <v>-1.1050441398450168E-3</v>
      </c>
      <c r="S250" s="2"/>
      <c r="T250" s="7">
        <v>-1135</v>
      </c>
      <c r="U250" s="2"/>
      <c r="V250" s="6">
        <f t="shared" si="85"/>
        <v>-7.8175980338984825E-5</v>
      </c>
      <c r="W250" s="2"/>
      <c r="X250" s="7">
        <f t="shared" si="86"/>
        <v>-11683</v>
      </c>
      <c r="Y250" s="2"/>
      <c r="Z250" s="6">
        <f t="shared" si="87"/>
        <v>10.293392070484581</v>
      </c>
    </row>
    <row r="251" spans="1:26" s="24" customFormat="1" hidden="1" outlineLevel="2" x14ac:dyDescent="0.35">
      <c r="A251" s="27"/>
      <c r="B251" s="11" t="str">
        <f>CONCATENATE("          ", "7744", " - ", "INV. SHRINKAGE-ACCESSORIES")</f>
        <v xml:space="preserve">          7744 - INV. SHRINKAGE-ACCESSORIES</v>
      </c>
      <c r="C251" s="11"/>
      <c r="D251" s="7">
        <v>-16780</v>
      </c>
      <c r="E251" s="2"/>
      <c r="F251" s="6">
        <f t="shared" si="80"/>
        <v>-8.0606193159243486E-2</v>
      </c>
      <c r="G251" s="2"/>
      <c r="H251" s="7">
        <v>-141</v>
      </c>
      <c r="I251" s="2"/>
      <c r="J251" s="6">
        <f t="shared" si="81"/>
        <v>-4.5552893888119769E-4</v>
      </c>
      <c r="K251" s="2"/>
      <c r="L251" s="7">
        <f t="shared" si="82"/>
        <v>-16639</v>
      </c>
      <c r="M251" s="2"/>
      <c r="N251" s="6">
        <f t="shared" si="83"/>
        <v>118.00709219858156</v>
      </c>
      <c r="O251" s="11"/>
      <c r="P251" s="7">
        <v>-16780</v>
      </c>
      <c r="Q251" s="2"/>
      <c r="R251" s="6">
        <f t="shared" si="84"/>
        <v>-1.4466095074582136E-3</v>
      </c>
      <c r="S251" s="2"/>
      <c r="T251" s="7">
        <v>-141</v>
      </c>
      <c r="U251" s="2"/>
      <c r="V251" s="6">
        <f t="shared" si="85"/>
        <v>-9.7117297161205814E-6</v>
      </c>
      <c r="W251" s="2"/>
      <c r="X251" s="7">
        <f t="shared" si="86"/>
        <v>-16639</v>
      </c>
      <c r="Y251" s="2"/>
      <c r="Z251" s="6">
        <f t="shared" si="87"/>
        <v>118.00709219858156</v>
      </c>
    </row>
    <row r="252" spans="1:26" s="24" customFormat="1" hidden="1" outlineLevel="2" x14ac:dyDescent="0.35">
      <c r="A252" s="27"/>
      <c r="B252" s="11" t="str">
        <f>CONCATENATE("          ", "7745", " - ", "INV. SHRINKAGE-SPECIAL ORDERS")</f>
        <v xml:space="preserve">          7745 - INV. SHRINKAGE-SPECIAL ORDERS</v>
      </c>
      <c r="C252" s="11"/>
      <c r="D252" s="7">
        <v>44531</v>
      </c>
      <c r="E252" s="2"/>
      <c r="F252" s="6">
        <f t="shared" si="80"/>
        <v>0.21391384908070749</v>
      </c>
      <c r="G252" s="2"/>
      <c r="H252" s="7">
        <v>-740</v>
      </c>
      <c r="I252" s="2"/>
      <c r="J252" s="6">
        <f t="shared" si="81"/>
        <v>-2.3907192537027397E-3</v>
      </c>
      <c r="K252" s="2"/>
      <c r="L252" s="7">
        <f t="shared" si="82"/>
        <v>45271</v>
      </c>
      <c r="M252" s="2"/>
      <c r="N252" s="6">
        <f t="shared" si="83"/>
        <v>-61.17702702702703</v>
      </c>
      <c r="O252" s="11"/>
      <c r="P252" s="7">
        <v>44531</v>
      </c>
      <c r="Q252" s="2"/>
      <c r="R252" s="6">
        <f t="shared" si="84"/>
        <v>3.8390326565328789E-3</v>
      </c>
      <c r="S252" s="2"/>
      <c r="T252" s="7">
        <v>-740</v>
      </c>
      <c r="U252" s="2"/>
      <c r="V252" s="6">
        <f t="shared" si="85"/>
        <v>-5.0969361630703762E-5</v>
      </c>
      <c r="W252" s="2"/>
      <c r="X252" s="7">
        <f t="shared" si="86"/>
        <v>45271</v>
      </c>
      <c r="Y252" s="2"/>
      <c r="Z252" s="6">
        <f t="shared" si="87"/>
        <v>-61.17702702702703</v>
      </c>
    </row>
    <row r="253" spans="1:26" s="24" customFormat="1" hidden="1" outlineLevel="2" x14ac:dyDescent="0.35">
      <c r="A253" s="27"/>
      <c r="B253" s="11" t="str">
        <f>CONCATENATE("          ", "7781", " - ", "INV. SHRINKAGE-ELECTRONICS")</f>
        <v xml:space="preserve">          7781 - INV. SHRINKAGE-ELECTRONICS</v>
      </c>
      <c r="C253" s="11"/>
      <c r="D253" s="7">
        <v>-28</v>
      </c>
      <c r="E253" s="2"/>
      <c r="F253" s="6">
        <f t="shared" si="80"/>
        <v>-1.345037788116101E-4</v>
      </c>
      <c r="G253" s="2"/>
      <c r="H253" s="7">
        <v>98</v>
      </c>
      <c r="I253" s="2"/>
      <c r="J253" s="6">
        <f t="shared" si="81"/>
        <v>3.1660876603090338E-4</v>
      </c>
      <c r="K253" s="2"/>
      <c r="L253" s="7">
        <f t="shared" si="82"/>
        <v>-126</v>
      </c>
      <c r="M253" s="2"/>
      <c r="N253" s="6">
        <f t="shared" si="83"/>
        <v>-1.2857142857142858</v>
      </c>
      <c r="O253" s="11"/>
      <c r="P253" s="7">
        <v>-28</v>
      </c>
      <c r="Q253" s="2"/>
      <c r="R253" s="6">
        <f t="shared" si="84"/>
        <v>-2.4138895237681751E-6</v>
      </c>
      <c r="S253" s="2"/>
      <c r="T253" s="7">
        <v>98</v>
      </c>
      <c r="U253" s="2"/>
      <c r="V253" s="6">
        <f t="shared" si="85"/>
        <v>6.7499965402823901E-6</v>
      </c>
      <c r="W253" s="2"/>
      <c r="X253" s="7">
        <f t="shared" si="86"/>
        <v>-126</v>
      </c>
      <c r="Y253" s="2"/>
      <c r="Z253" s="6">
        <f t="shared" si="87"/>
        <v>-1.2857142857142858</v>
      </c>
    </row>
    <row r="254" spans="1:26" s="24" customFormat="1" hidden="1" outlineLevel="2" x14ac:dyDescent="0.35">
      <c r="A254" s="27"/>
      <c r="B254" s="11" t="str">
        <f>CONCATENATE("          ", "7782", " - ", "INV. SHRINKAGE-COMPUTER HARDWA")</f>
        <v xml:space="preserve">          7782 - INV. SHRINKAGE-COMPUTER HARDWA</v>
      </c>
      <c r="C254" s="11"/>
      <c r="D254" s="7">
        <v>69</v>
      </c>
      <c r="E254" s="2"/>
      <c r="F254" s="6">
        <f t="shared" si="80"/>
        <v>3.3145574064289633E-4</v>
      </c>
      <c r="G254" s="2"/>
      <c r="H254" s="7">
        <v>-1237</v>
      </c>
      <c r="I254" s="2"/>
      <c r="J254" s="6">
        <f t="shared" si="81"/>
        <v>-3.996377995716607E-3</v>
      </c>
      <c r="K254" s="2"/>
      <c r="L254" s="7">
        <f t="shared" si="82"/>
        <v>1306</v>
      </c>
      <c r="M254" s="2"/>
      <c r="N254" s="6">
        <f t="shared" si="83"/>
        <v>-1.0557801131770412</v>
      </c>
      <c r="O254" s="11"/>
      <c r="P254" s="7">
        <v>69</v>
      </c>
      <c r="Q254" s="2"/>
      <c r="R254" s="6">
        <f t="shared" si="84"/>
        <v>5.9485134692858604E-6</v>
      </c>
      <c r="S254" s="2"/>
      <c r="T254" s="7">
        <v>-1237</v>
      </c>
      <c r="U254" s="2"/>
      <c r="V254" s="6">
        <f t="shared" si="85"/>
        <v>-8.5201486942135891E-5</v>
      </c>
      <c r="W254" s="2"/>
      <c r="X254" s="7">
        <f t="shared" si="86"/>
        <v>1306</v>
      </c>
      <c r="Y254" s="2"/>
      <c r="Z254" s="6">
        <f t="shared" si="87"/>
        <v>-1.0557801131770412</v>
      </c>
    </row>
    <row r="255" spans="1:26" s="24" customFormat="1" hidden="1" outlineLevel="2" x14ac:dyDescent="0.35">
      <c r="A255" s="27"/>
      <c r="B255" s="11" t="str">
        <f>CONCATENATE("          ", "7783", " - ", "INV. SHRINKAGE-COMPUTER EQUIPM")</f>
        <v xml:space="preserve">          7783 - INV. SHRINKAGE-COMPUTER EQUIPM</v>
      </c>
      <c r="C255" s="11"/>
      <c r="D255" s="7">
        <v>266</v>
      </c>
      <c r="E255" s="2"/>
      <c r="F255" s="6">
        <f t="shared" si="80"/>
        <v>1.2777858987102959E-3</v>
      </c>
      <c r="G255" s="2"/>
      <c r="H255" s="7">
        <v>-74</v>
      </c>
      <c r="I255" s="2"/>
      <c r="J255" s="6">
        <f t="shared" si="81"/>
        <v>-2.3907192537027397E-4</v>
      </c>
      <c r="K255" s="2"/>
      <c r="L255" s="7">
        <f t="shared" si="82"/>
        <v>340</v>
      </c>
      <c r="M255" s="2"/>
      <c r="N255" s="6">
        <f t="shared" si="83"/>
        <v>-4.5945945945945947</v>
      </c>
      <c r="O255" s="11"/>
      <c r="P255" s="7">
        <v>266</v>
      </c>
      <c r="Q255" s="2"/>
      <c r="R255" s="6">
        <f t="shared" si="84"/>
        <v>2.2931950475797664E-5</v>
      </c>
      <c r="S255" s="2"/>
      <c r="T255" s="7">
        <v>-74</v>
      </c>
      <c r="U255" s="2"/>
      <c r="V255" s="6">
        <f t="shared" si="85"/>
        <v>-5.096936163070376E-6</v>
      </c>
      <c r="W255" s="2"/>
      <c r="X255" s="7">
        <f t="shared" si="86"/>
        <v>340</v>
      </c>
      <c r="Y255" s="2"/>
      <c r="Z255" s="6">
        <f t="shared" si="87"/>
        <v>-4.5945945945945947</v>
      </c>
    </row>
    <row r="256" spans="1:26" s="24" customFormat="1" hidden="1" outlineLevel="2" x14ac:dyDescent="0.35">
      <c r="A256" s="27"/>
      <c r="B256" s="11" t="str">
        <f>CONCATENATE("          ", "7786", " - ", "INV. SHRINKAGE-COMPUTER SUPPLI")</f>
        <v xml:space="preserve">          7786 - INV. SHRINKAGE-COMPUTER SUPPLI</v>
      </c>
      <c r="C256" s="11"/>
      <c r="D256" s="7">
        <v>38</v>
      </c>
      <c r="E256" s="2"/>
      <c r="F256" s="6">
        <f t="shared" si="80"/>
        <v>1.8254084267289942E-4</v>
      </c>
      <c r="G256" s="2"/>
      <c r="H256" s="7">
        <v>-236</v>
      </c>
      <c r="I256" s="2"/>
      <c r="J256" s="6">
        <f t="shared" si="81"/>
        <v>-7.6244559982952236E-4</v>
      </c>
      <c r="K256" s="2"/>
      <c r="L256" s="7">
        <f t="shared" si="82"/>
        <v>274</v>
      </c>
      <c r="M256" s="2"/>
      <c r="N256" s="6">
        <f t="shared" si="83"/>
        <v>-1.1610169491525424</v>
      </c>
      <c r="O256" s="11"/>
      <c r="P256" s="7">
        <v>38</v>
      </c>
      <c r="Q256" s="2"/>
      <c r="R256" s="6">
        <f t="shared" si="84"/>
        <v>3.2759929251139519E-6</v>
      </c>
      <c r="S256" s="2"/>
      <c r="T256" s="7">
        <v>-236</v>
      </c>
      <c r="U256" s="2"/>
      <c r="V256" s="6">
        <f t="shared" si="85"/>
        <v>-1.6255093709251472E-5</v>
      </c>
      <c r="W256" s="2"/>
      <c r="X256" s="7">
        <f t="shared" si="86"/>
        <v>274</v>
      </c>
      <c r="Y256" s="2"/>
      <c r="Z256" s="6">
        <f t="shared" si="87"/>
        <v>-1.1610169491525424</v>
      </c>
    </row>
    <row r="257" spans="1:26" s="24" customFormat="1" hidden="1" outlineLevel="2" x14ac:dyDescent="0.35">
      <c r="A257" s="27"/>
      <c r="B257" s="11" t="str">
        <f>CONCATENATE("          ", "7792", " - ", "INV. SHRINKAGE-GRAD MERCH")</f>
        <v xml:space="preserve">          7792 - INV. SHRINKAGE-GRAD MERCH</v>
      </c>
      <c r="C257" s="11"/>
      <c r="D257" s="7">
        <v>535</v>
      </c>
      <c r="E257" s="2"/>
      <c r="F257" s="6">
        <f t="shared" si="80"/>
        <v>2.5699829165789787E-3</v>
      </c>
      <c r="G257" s="2"/>
      <c r="H257" s="7">
        <v>-3925</v>
      </c>
      <c r="I257" s="2"/>
      <c r="J257" s="6">
        <f t="shared" si="81"/>
        <v>-1.26805041497071E-2</v>
      </c>
      <c r="K257" s="2"/>
      <c r="L257" s="7">
        <f t="shared" si="82"/>
        <v>4460</v>
      </c>
      <c r="M257" s="2"/>
      <c r="N257" s="6">
        <f t="shared" si="83"/>
        <v>-1.1363057324840764</v>
      </c>
      <c r="O257" s="11"/>
      <c r="P257" s="7">
        <v>535</v>
      </c>
      <c r="Q257" s="2"/>
      <c r="R257" s="6">
        <f t="shared" si="84"/>
        <v>4.6122531971999061E-5</v>
      </c>
      <c r="S257" s="2"/>
      <c r="T257" s="7">
        <v>-3925</v>
      </c>
      <c r="U257" s="2"/>
      <c r="V257" s="6">
        <f t="shared" si="85"/>
        <v>-2.7034424918988146E-4</v>
      </c>
      <c r="W257" s="2"/>
      <c r="X257" s="7">
        <f t="shared" si="86"/>
        <v>4460</v>
      </c>
      <c r="Y257" s="2"/>
      <c r="Z257" s="6">
        <f t="shared" si="87"/>
        <v>-1.1363057324840764</v>
      </c>
    </row>
    <row r="258" spans="1:26" s="24" customFormat="1" hidden="1" outlineLevel="2" x14ac:dyDescent="0.35">
      <c r="A258" s="27"/>
      <c r="B258" s="11" t="str">
        <f>CONCATENATE("          ", "7795", " - ", "INV. SHRINKAGE-CUSTOMER SERVIC")</f>
        <v xml:space="preserve">          7795 - INV. SHRINKAGE-CUSTOMER SERVIC</v>
      </c>
      <c r="C258" s="11"/>
      <c r="D258" s="7">
        <v>-132</v>
      </c>
      <c r="E258" s="2"/>
      <c r="F258" s="6">
        <f t="shared" si="80"/>
        <v>-6.3408924296901904E-4</v>
      </c>
      <c r="G258" s="2"/>
      <c r="H258" s="7">
        <v>-146</v>
      </c>
      <c r="I258" s="2"/>
      <c r="J258" s="6">
        <f t="shared" si="81"/>
        <v>-4.7168244735216216E-4</v>
      </c>
      <c r="K258" s="2"/>
      <c r="L258" s="7">
        <f t="shared" si="82"/>
        <v>14</v>
      </c>
      <c r="M258" s="2"/>
      <c r="N258" s="6">
        <f t="shared" si="83"/>
        <v>-9.5890410958904104E-2</v>
      </c>
      <c r="O258" s="11"/>
      <c r="P258" s="7">
        <v>-132</v>
      </c>
      <c r="Q258" s="2"/>
      <c r="R258" s="6">
        <f t="shared" si="84"/>
        <v>-1.1379764897764255E-5</v>
      </c>
      <c r="S258" s="2"/>
      <c r="T258" s="7">
        <v>-146</v>
      </c>
      <c r="U258" s="2"/>
      <c r="V258" s="6">
        <f t="shared" si="85"/>
        <v>-1.0056117294706418E-5</v>
      </c>
      <c r="W258" s="2"/>
      <c r="X258" s="7">
        <f t="shared" si="86"/>
        <v>14</v>
      </c>
      <c r="Y258" s="2"/>
      <c r="Z258" s="6">
        <f t="shared" si="87"/>
        <v>-9.5890410958904104E-2</v>
      </c>
    </row>
    <row r="259" spans="1:26" s="25" customFormat="1" outlineLevel="1" collapsed="1" x14ac:dyDescent="0.35">
      <c r="A259" s="26"/>
      <c r="B259" s="12" t="str">
        <f>CONCATENATE("     ","Professional Services                             ")</f>
        <v xml:space="preserve">     Professional Services                             </v>
      </c>
      <c r="C259" s="12"/>
      <c r="D259" s="1">
        <f>SUM(OSRRefD22_15x_0)</f>
        <v>8441.9599999999991</v>
      </c>
      <c r="E259" s="1"/>
      <c r="F259" s="5">
        <f t="shared" ref="F259:F267" si="88">IF(D$12=0,0,D259/D$12)</f>
        <v>4.0552697163444992E-2</v>
      </c>
      <c r="G259" s="1"/>
      <c r="H259" s="1">
        <f>SUM(OSRRefH22_15x_0)</f>
        <v>0</v>
      </c>
      <c r="I259" s="1"/>
      <c r="J259" s="5">
        <f t="shared" ref="J259:J267" si="89">IF(H$12=0,0,H259/H$12)</f>
        <v>0</v>
      </c>
      <c r="K259" s="1"/>
      <c r="L259" s="1">
        <f t="shared" ref="L259:L267" si="90">+D259-H259</f>
        <v>8441.9599999999991</v>
      </c>
      <c r="M259" s="1"/>
      <c r="N259" s="5">
        <f t="shared" ref="N259:N267" si="91">IF(H259=0,0,L259/H259)</f>
        <v>0</v>
      </c>
      <c r="O259" s="12"/>
      <c r="P259" s="1">
        <f>SUM(OSRRefP22_15x_0)</f>
        <v>17571.52</v>
      </c>
      <c r="Q259" s="1"/>
      <c r="R259" s="5">
        <f t="shared" ref="R259:R267" si="92">IF(P$12=0,0,P259/P$12)</f>
        <v>1.5148467158815346E-3</v>
      </c>
      <c r="S259" s="1"/>
      <c r="T259" s="1">
        <f>SUM(OSRRefT22_15x_0)</f>
        <v>8276.43</v>
      </c>
      <c r="U259" s="1"/>
      <c r="V259" s="5">
        <f t="shared" ref="V259:V267" si="93">IF(T$12=0,0,T259/T$12)</f>
        <v>5.7005993740703452E-4</v>
      </c>
      <c r="W259" s="1"/>
      <c r="X259" s="1">
        <f t="shared" ref="X259:X267" si="94">+P259-T259</f>
        <v>9295.09</v>
      </c>
      <c r="Y259" s="1"/>
      <c r="Z259" s="5">
        <f t="shared" ref="Z259:Z267" si="95">IF(T259=0,0,X259/T259)</f>
        <v>1.1230796369932448</v>
      </c>
    </row>
    <row r="260" spans="1:26" s="24" customFormat="1" hidden="1" outlineLevel="2" x14ac:dyDescent="0.35">
      <c r="A260" s="27"/>
      <c r="B260" s="11" t="str">
        <f>CONCATENATE("          ", "6336", " - ", "PROFESSIONAL SERVICES")</f>
        <v xml:space="preserve">          6336 - PROFESSIONAL SERVICES</v>
      </c>
      <c r="C260" s="11"/>
      <c r="D260" s="7">
        <v>8441.9599999999991</v>
      </c>
      <c r="E260" s="2"/>
      <c r="F260" s="6">
        <f t="shared" si="88"/>
        <v>4.0552697163444992E-2</v>
      </c>
      <c r="G260" s="2"/>
      <c r="H260" s="7"/>
      <c r="I260" s="2"/>
      <c r="J260" s="6">
        <f t="shared" si="89"/>
        <v>0</v>
      </c>
      <c r="K260" s="2"/>
      <c r="L260" s="7">
        <f t="shared" si="90"/>
        <v>8441.9599999999991</v>
      </c>
      <c r="M260" s="2"/>
      <c r="N260" s="6">
        <f t="shared" si="91"/>
        <v>0</v>
      </c>
      <c r="O260" s="11"/>
      <c r="P260" s="7">
        <v>17571.52</v>
      </c>
      <c r="Q260" s="2"/>
      <c r="R260" s="6">
        <f t="shared" si="92"/>
        <v>1.5148467158815346E-3</v>
      </c>
      <c r="S260" s="2"/>
      <c r="T260" s="7">
        <v>8276.43</v>
      </c>
      <c r="U260" s="2"/>
      <c r="V260" s="6">
        <f t="shared" si="93"/>
        <v>5.7005993740703452E-4</v>
      </c>
      <c r="W260" s="2"/>
      <c r="X260" s="7">
        <f t="shared" si="94"/>
        <v>9295.09</v>
      </c>
      <c r="Y260" s="2"/>
      <c r="Z260" s="6">
        <f t="shared" si="95"/>
        <v>1.1230796369932448</v>
      </c>
    </row>
    <row r="261" spans="1:26" s="25" customFormat="1" outlineLevel="1" collapsed="1" x14ac:dyDescent="0.35">
      <c r="A261" s="26"/>
      <c r="B261" s="12" t="str">
        <f>CONCATENATE("     ","Rent                                              ")</f>
        <v xml:space="preserve">     Rent                                              </v>
      </c>
      <c r="C261" s="12"/>
      <c r="D261" s="1">
        <f>SUM(OSRRefD22_16x_0)</f>
        <v>7250</v>
      </c>
      <c r="E261" s="1"/>
      <c r="F261" s="5">
        <f t="shared" si="88"/>
        <v>3.4826871299434757E-2</v>
      </c>
      <c r="G261" s="1"/>
      <c r="H261" s="1">
        <f>SUM(OSRRefH22_16x_0)</f>
        <v>7250</v>
      </c>
      <c r="I261" s="1"/>
      <c r="J261" s="5">
        <f t="shared" si="89"/>
        <v>2.3422587282898463E-2</v>
      </c>
      <c r="K261" s="1"/>
      <c r="L261" s="1">
        <f t="shared" si="90"/>
        <v>0</v>
      </c>
      <c r="M261" s="1"/>
      <c r="N261" s="5">
        <f t="shared" si="91"/>
        <v>0</v>
      </c>
      <c r="O261" s="12"/>
      <c r="P261" s="1">
        <f>SUM(OSRRefP22_16x_0)</f>
        <v>88600</v>
      </c>
      <c r="Q261" s="1"/>
      <c r="R261" s="5">
        <f t="shared" si="92"/>
        <v>7.6382361359235828E-3</v>
      </c>
      <c r="S261" s="1"/>
      <c r="T261" s="1">
        <f>SUM(OSRRefT22_16x_0)</f>
        <v>87901.08</v>
      </c>
      <c r="U261" s="1"/>
      <c r="V261" s="5">
        <f t="shared" si="93"/>
        <v>6.054408019255976E-3</v>
      </c>
      <c r="W261" s="1"/>
      <c r="X261" s="1">
        <f t="shared" si="94"/>
        <v>698.91999999999825</v>
      </c>
      <c r="Y261" s="1"/>
      <c r="Z261" s="5">
        <f t="shared" si="95"/>
        <v>7.9512106108366159E-3</v>
      </c>
    </row>
    <row r="262" spans="1:26" s="24" customFormat="1" hidden="1" outlineLevel="2" x14ac:dyDescent="0.35">
      <c r="A262" s="27"/>
      <c r="B262" s="11" t="str">
        <f>CONCATENATE("          ", "6273", " - ", "RENT")</f>
        <v xml:space="preserve">          6273 - RENT</v>
      </c>
      <c r="C262" s="11"/>
      <c r="D262" s="7">
        <v>7250</v>
      </c>
      <c r="E262" s="2"/>
      <c r="F262" s="6">
        <f t="shared" si="88"/>
        <v>3.4826871299434757E-2</v>
      </c>
      <c r="G262" s="2"/>
      <c r="H262" s="7">
        <v>7250</v>
      </c>
      <c r="I262" s="2"/>
      <c r="J262" s="6">
        <f t="shared" si="89"/>
        <v>2.3422587282898463E-2</v>
      </c>
      <c r="K262" s="2"/>
      <c r="L262" s="7">
        <f t="shared" si="90"/>
        <v>0</v>
      </c>
      <c r="M262" s="2"/>
      <c r="N262" s="6">
        <f t="shared" si="91"/>
        <v>0</v>
      </c>
      <c r="O262" s="11"/>
      <c r="P262" s="7">
        <v>88600</v>
      </c>
      <c r="Q262" s="2"/>
      <c r="R262" s="6">
        <f t="shared" si="92"/>
        <v>7.6382361359235828E-3</v>
      </c>
      <c r="S262" s="2"/>
      <c r="T262" s="7">
        <v>87901.08</v>
      </c>
      <c r="U262" s="2"/>
      <c r="V262" s="6">
        <f t="shared" si="93"/>
        <v>6.054408019255976E-3</v>
      </c>
      <c r="W262" s="2"/>
      <c r="X262" s="7">
        <f t="shared" si="94"/>
        <v>698.91999999999825</v>
      </c>
      <c r="Y262" s="2"/>
      <c r="Z262" s="6">
        <f t="shared" si="95"/>
        <v>7.9512106108366159E-3</v>
      </c>
    </row>
    <row r="263" spans="1:26" s="25" customFormat="1" outlineLevel="1" collapsed="1" x14ac:dyDescent="0.35">
      <c r="A263" s="26"/>
      <c r="B263" s="12" t="str">
        <f>CONCATENATE("     ","Repair and Maintenance                            ")</f>
        <v xml:space="preserve">     Repair and Maintenance                            </v>
      </c>
      <c r="C263" s="12"/>
      <c r="D263" s="1">
        <f>SUM(OSRRefD22_17x_0)</f>
        <v>26595.52</v>
      </c>
      <c r="E263" s="1"/>
      <c r="F263" s="5">
        <f t="shared" si="88"/>
        <v>0.12775706926641975</v>
      </c>
      <c r="G263" s="1"/>
      <c r="H263" s="1">
        <f>SUM(OSRRefH22_17x_0)</f>
        <v>50057.07</v>
      </c>
      <c r="I263" s="1"/>
      <c r="J263" s="5">
        <f t="shared" si="89"/>
        <v>0.16171946085533218</v>
      </c>
      <c r="K263" s="1"/>
      <c r="L263" s="1">
        <f t="shared" si="90"/>
        <v>-23461.55</v>
      </c>
      <c r="M263" s="1"/>
      <c r="N263" s="5">
        <f t="shared" si="91"/>
        <v>-0.46869603035095742</v>
      </c>
      <c r="O263" s="12"/>
      <c r="P263" s="1">
        <f>SUM(OSRRefP22_17x_0)</f>
        <v>177850.52000000002</v>
      </c>
      <c r="Q263" s="1"/>
      <c r="R263" s="5">
        <f t="shared" si="92"/>
        <v>1.5332553822311513E-2</v>
      </c>
      <c r="S263" s="1"/>
      <c r="T263" s="1">
        <f>SUM(OSRRefT22_17x_0)</f>
        <v>241752.97000000003</v>
      </c>
      <c r="U263" s="1"/>
      <c r="V263" s="5">
        <f t="shared" si="93"/>
        <v>1.6651343990846865E-2</v>
      </c>
      <c r="W263" s="1"/>
      <c r="X263" s="1">
        <f t="shared" si="94"/>
        <v>-63902.450000000012</v>
      </c>
      <c r="Y263" s="1"/>
      <c r="Z263" s="5">
        <f t="shared" si="95"/>
        <v>-0.26432953440034263</v>
      </c>
    </row>
    <row r="264" spans="1:26" s="24" customFormat="1" hidden="1" outlineLevel="2" x14ac:dyDescent="0.35">
      <c r="A264" s="27"/>
      <c r="B264" s="11" t="str">
        <f>CONCATENATE("          ", "6371", " - ", "COMPUTER SOFTWARE MAINTENANCE")</f>
        <v xml:space="preserve">          6371 - COMPUTER SOFTWARE MAINTENANCE</v>
      </c>
      <c r="C264" s="11"/>
      <c r="D264" s="7">
        <v>12181.05</v>
      </c>
      <c r="E264" s="2"/>
      <c r="F264" s="6">
        <f t="shared" si="88"/>
        <v>5.8514187674755823E-2</v>
      </c>
      <c r="G264" s="2"/>
      <c r="H264" s="7">
        <v>42745</v>
      </c>
      <c r="I264" s="2"/>
      <c r="J264" s="6">
        <f t="shared" si="89"/>
        <v>0.13809634391827516</v>
      </c>
      <c r="K264" s="2"/>
      <c r="L264" s="7">
        <f t="shared" si="90"/>
        <v>-30563.95</v>
      </c>
      <c r="M264" s="2"/>
      <c r="N264" s="6">
        <f t="shared" si="91"/>
        <v>-0.71502982805006432</v>
      </c>
      <c r="O264" s="11"/>
      <c r="P264" s="7">
        <v>29910.48</v>
      </c>
      <c r="Q264" s="2"/>
      <c r="R264" s="6">
        <f t="shared" si="92"/>
        <v>2.5785926543884833E-3</v>
      </c>
      <c r="S264" s="2"/>
      <c r="T264" s="7">
        <v>101136.83</v>
      </c>
      <c r="U264" s="2"/>
      <c r="V264" s="6">
        <f t="shared" si="93"/>
        <v>6.9660535979094718E-3</v>
      </c>
      <c r="W264" s="2"/>
      <c r="X264" s="7">
        <f t="shared" si="94"/>
        <v>-71226.350000000006</v>
      </c>
      <c r="Y264" s="2"/>
      <c r="Z264" s="6">
        <f t="shared" si="95"/>
        <v>-0.70425729182929708</v>
      </c>
    </row>
    <row r="265" spans="1:26" s="24" customFormat="1" hidden="1" outlineLevel="2" x14ac:dyDescent="0.35">
      <c r="A265" s="27"/>
      <c r="B265" s="11" t="str">
        <f>CONCATENATE("          ", "6372", " - ", "COMPUTER HARDWARE MAINTENANCE")</f>
        <v xml:space="preserve">          6372 - COMPUTER HARDWARE MAINTENANCE</v>
      </c>
      <c r="C265" s="11"/>
      <c r="D265" s="7">
        <v>-2</v>
      </c>
      <c r="E265" s="2"/>
      <c r="F265" s="6">
        <f t="shared" si="88"/>
        <v>-9.6074127722578646E-6</v>
      </c>
      <c r="G265" s="2"/>
      <c r="H265" s="7"/>
      <c r="I265" s="2"/>
      <c r="J265" s="6">
        <f t="shared" si="89"/>
        <v>0</v>
      </c>
      <c r="K265" s="2"/>
      <c r="L265" s="7">
        <f t="shared" si="90"/>
        <v>-2</v>
      </c>
      <c r="M265" s="2"/>
      <c r="N265" s="6">
        <f t="shared" si="91"/>
        <v>0</v>
      </c>
      <c r="O265" s="11"/>
      <c r="P265" s="7">
        <v>50.32</v>
      </c>
      <c r="Q265" s="2"/>
      <c r="R265" s="6">
        <f t="shared" si="92"/>
        <v>4.3381043155719494E-6</v>
      </c>
      <c r="S265" s="2"/>
      <c r="T265" s="7">
        <v>51.79</v>
      </c>
      <c r="U265" s="2"/>
      <c r="V265" s="6">
        <f t="shared" si="93"/>
        <v>3.5671665389920919E-6</v>
      </c>
      <c r="W265" s="2"/>
      <c r="X265" s="7">
        <f t="shared" si="94"/>
        <v>-1.4699999999999989</v>
      </c>
      <c r="Y265" s="2"/>
      <c r="Z265" s="6">
        <f t="shared" si="95"/>
        <v>-2.8383857887623071E-2</v>
      </c>
    </row>
    <row r="266" spans="1:26" s="24" customFormat="1" hidden="1" outlineLevel="2" x14ac:dyDescent="0.35">
      <c r="A266" s="27"/>
      <c r="B266" s="11" t="str">
        <f>CONCATENATE("          ", "6373", " - ", "MAINTENANCE CONTRACTS")</f>
        <v xml:space="preserve">          6373 - MAINTENANCE CONTRACTS</v>
      </c>
      <c r="C266" s="11"/>
      <c r="D266" s="7">
        <v>12763.18</v>
      </c>
      <c r="E266" s="2"/>
      <c r="F266" s="6">
        <f t="shared" si="88"/>
        <v>6.1310569273313069E-2</v>
      </c>
      <c r="G266" s="2"/>
      <c r="H266" s="7">
        <v>3217.82</v>
      </c>
      <c r="I266" s="2"/>
      <c r="J266" s="6">
        <f t="shared" si="89"/>
        <v>1.0395816525607771E-2</v>
      </c>
      <c r="K266" s="2"/>
      <c r="L266" s="7">
        <f t="shared" si="90"/>
        <v>9545.36</v>
      </c>
      <c r="M266" s="2"/>
      <c r="N266" s="6">
        <f t="shared" si="91"/>
        <v>2.9664058275478431</v>
      </c>
      <c r="O266" s="11"/>
      <c r="P266" s="7">
        <v>92321.3</v>
      </c>
      <c r="Q266" s="2"/>
      <c r="R266" s="6">
        <f t="shared" si="92"/>
        <v>7.9590506746663875E-3</v>
      </c>
      <c r="S266" s="2"/>
      <c r="T266" s="7">
        <v>94071.89</v>
      </c>
      <c r="U266" s="2"/>
      <c r="V266" s="6">
        <f t="shared" si="93"/>
        <v>6.4794380820186286E-3</v>
      </c>
      <c r="W266" s="2"/>
      <c r="X266" s="7">
        <f t="shared" si="94"/>
        <v>-1750.5899999999965</v>
      </c>
      <c r="Y266" s="2"/>
      <c r="Z266" s="6">
        <f t="shared" si="95"/>
        <v>-1.8609065896305437E-2</v>
      </c>
    </row>
    <row r="267" spans="1:26" s="24" customFormat="1" hidden="1" outlineLevel="2" x14ac:dyDescent="0.35">
      <c r="A267" s="27"/>
      <c r="B267" s="11" t="str">
        <f>CONCATENATE("          ", "6375", " - ", "OUTSIDE REPAIRS &amp; MAINTENANCE")</f>
        <v xml:space="preserve">          6375 - OUTSIDE REPAIRS &amp; MAINTENANCE</v>
      </c>
      <c r="C267" s="11"/>
      <c r="D267" s="7">
        <v>1653.29</v>
      </c>
      <c r="E267" s="2"/>
      <c r="F267" s="6">
        <f t="shared" si="88"/>
        <v>7.9419197311231017E-3</v>
      </c>
      <c r="G267" s="2"/>
      <c r="H267" s="7">
        <v>4094.25</v>
      </c>
      <c r="I267" s="2"/>
      <c r="J267" s="6">
        <f t="shared" si="89"/>
        <v>1.3227300411449247E-2</v>
      </c>
      <c r="K267" s="2"/>
      <c r="L267" s="7">
        <f t="shared" si="90"/>
        <v>-2440.96</v>
      </c>
      <c r="M267" s="2"/>
      <c r="N267" s="6">
        <f t="shared" si="91"/>
        <v>-0.59619222079745982</v>
      </c>
      <c r="O267" s="11"/>
      <c r="P267" s="7">
        <v>55568.42</v>
      </c>
      <c r="Q267" s="2"/>
      <c r="R267" s="6">
        <f t="shared" si="92"/>
        <v>4.7905723889410693E-3</v>
      </c>
      <c r="S267" s="2"/>
      <c r="T267" s="7">
        <v>46492.460000000006</v>
      </c>
      <c r="U267" s="2"/>
      <c r="V267" s="6">
        <f t="shared" si="93"/>
        <v>3.2022851443797699E-3</v>
      </c>
      <c r="W267" s="2"/>
      <c r="X267" s="7">
        <f t="shared" si="94"/>
        <v>9075.9599999999919</v>
      </c>
      <c r="Y267" s="2"/>
      <c r="Z267" s="6">
        <f t="shared" si="95"/>
        <v>0.19521358947235726</v>
      </c>
    </row>
    <row r="268" spans="1:26" s="25" customFormat="1" outlineLevel="1" collapsed="1" x14ac:dyDescent="0.35">
      <c r="A268" s="26"/>
      <c r="B268" s="12" t="str">
        <f>CONCATENATE("     ","Royalty &amp; Commissions                             ")</f>
        <v xml:space="preserve">     Royalty &amp; Commissions                             </v>
      </c>
      <c r="C268" s="12"/>
      <c r="D268" s="1">
        <f>SUM(OSRRefD22_18x_0)</f>
        <v>0</v>
      </c>
      <c r="E268" s="1"/>
      <c r="F268" s="5">
        <f t="shared" ref="F268:F271" si="96">IF(D$12=0,0,D268/D$12)</f>
        <v>0</v>
      </c>
      <c r="G268" s="1"/>
      <c r="H268" s="1">
        <f>SUM(OSRRefH22_18x_0)</f>
        <v>10842.76</v>
      </c>
      <c r="I268" s="1"/>
      <c r="J268" s="5">
        <f t="shared" ref="J268:J271" si="97">IF(H$12=0,0,H268/H$12)</f>
        <v>3.5029723101726917E-2</v>
      </c>
      <c r="K268" s="1"/>
      <c r="L268" s="1">
        <f t="shared" ref="L268:L271" si="98">+D268-H268</f>
        <v>-10842.76</v>
      </c>
      <c r="M268" s="1"/>
      <c r="N268" s="5">
        <f t="shared" ref="N268:N271" si="99">IF(H268=0,0,L268/H268)</f>
        <v>-1</v>
      </c>
      <c r="O268" s="12"/>
      <c r="P268" s="1">
        <f>SUM(OSRRefP22_18x_0)</f>
        <v>148005.54</v>
      </c>
      <c r="Q268" s="1"/>
      <c r="R268" s="5">
        <f t="shared" ref="R268:R271" si="100">IF(P$12=0,0,P268/P$12)</f>
        <v>1.2759607945201843E-2</v>
      </c>
      <c r="S268" s="1"/>
      <c r="T268" s="1">
        <f>SUM(OSRRefT22_18x_0)</f>
        <v>201770.29</v>
      </c>
      <c r="U268" s="1"/>
      <c r="V268" s="5">
        <f t="shared" ref="V268:V271" si="101">IF(T$12=0,0,T268/T$12)</f>
        <v>1.3897436320732395E-2</v>
      </c>
      <c r="W268" s="1"/>
      <c r="X268" s="1">
        <f t="shared" ref="X268:X271" si="102">+P268-T268</f>
        <v>-53764.75</v>
      </c>
      <c r="Y268" s="1"/>
      <c r="Z268" s="5">
        <f t="shared" ref="Z268:Z271" si="103">IF(T268=0,0,X268/T268)</f>
        <v>-0.26646514707393243</v>
      </c>
    </row>
    <row r="269" spans="1:26" s="24" customFormat="1" hidden="1" outlineLevel="2" x14ac:dyDescent="0.35">
      <c r="A269" s="27"/>
      <c r="B269" s="11" t="str">
        <f>CONCATENATE("          ", "6253", " - ", "ROYALTY DUE ATHLETICS-LRG")</f>
        <v xml:space="preserve">          6253 - ROYALTY DUE ATHLETICS-LRG</v>
      </c>
      <c r="C269" s="11"/>
      <c r="D269" s="7"/>
      <c r="E269" s="2"/>
      <c r="F269" s="6">
        <f t="shared" si="96"/>
        <v>0</v>
      </c>
      <c r="G269" s="2"/>
      <c r="H269" s="7"/>
      <c r="I269" s="2"/>
      <c r="J269" s="6">
        <f t="shared" si="97"/>
        <v>0</v>
      </c>
      <c r="K269" s="2"/>
      <c r="L269" s="7">
        <f t="shared" si="98"/>
        <v>0</v>
      </c>
      <c r="M269" s="2"/>
      <c r="N269" s="6">
        <f t="shared" si="99"/>
        <v>0</v>
      </c>
      <c r="O269" s="11"/>
      <c r="P269" s="7">
        <v>32870.44</v>
      </c>
      <c r="Q269" s="2"/>
      <c r="R269" s="6">
        <f t="shared" si="100"/>
        <v>2.8337718127732282E-3</v>
      </c>
      <c r="S269" s="2"/>
      <c r="T269" s="7">
        <v>41365.990000000005</v>
      </c>
      <c r="U269" s="2"/>
      <c r="V269" s="6">
        <f t="shared" si="101"/>
        <v>2.8491866263811835E-3</v>
      </c>
      <c r="W269" s="2"/>
      <c r="X269" s="7">
        <f t="shared" si="102"/>
        <v>-8495.5500000000029</v>
      </c>
      <c r="Y269" s="2"/>
      <c r="Z269" s="6">
        <f t="shared" si="103"/>
        <v>-0.20537523700025073</v>
      </c>
    </row>
    <row r="270" spans="1:26" s="24" customFormat="1" hidden="1" outlineLevel="2" x14ac:dyDescent="0.35">
      <c r="A270" s="27"/>
      <c r="B270" s="11" t="str">
        <f>CONCATENATE("          ", "6254", " - ", "ROYALTY &amp; COMMISSIONS")</f>
        <v xml:space="preserve">          6254 - ROYALTY &amp; COMMISSIONS</v>
      </c>
      <c r="C270" s="11"/>
      <c r="D270" s="7"/>
      <c r="E270" s="2"/>
      <c r="F270" s="6">
        <f t="shared" si="96"/>
        <v>0</v>
      </c>
      <c r="G270" s="2"/>
      <c r="H270" s="7">
        <v>6321.75</v>
      </c>
      <c r="I270" s="2"/>
      <c r="J270" s="6">
        <f t="shared" si="97"/>
        <v>2.0423688435263911E-2</v>
      </c>
      <c r="K270" s="2"/>
      <c r="L270" s="7">
        <f t="shared" si="98"/>
        <v>-6321.75</v>
      </c>
      <c r="M270" s="2"/>
      <c r="N270" s="6">
        <f t="shared" si="99"/>
        <v>-1</v>
      </c>
      <c r="O270" s="11"/>
      <c r="P270" s="7">
        <v>32527.360000000001</v>
      </c>
      <c r="Q270" s="2"/>
      <c r="R270" s="6">
        <f t="shared" si="100"/>
        <v>2.8041947692798567E-3</v>
      </c>
      <c r="S270" s="2"/>
      <c r="T270" s="7">
        <v>45632.56</v>
      </c>
      <c r="U270" s="2"/>
      <c r="V270" s="6">
        <f t="shared" si="101"/>
        <v>3.1430573686145771E-3</v>
      </c>
      <c r="W270" s="2"/>
      <c r="X270" s="7">
        <f t="shared" si="102"/>
        <v>-13105.199999999997</v>
      </c>
      <c r="Y270" s="2"/>
      <c r="Z270" s="6">
        <f t="shared" si="103"/>
        <v>-0.28718967333851086</v>
      </c>
    </row>
    <row r="271" spans="1:26" s="24" customFormat="1" hidden="1" outlineLevel="2" x14ac:dyDescent="0.35">
      <c r="A271" s="27"/>
      <c r="B271" s="11" t="str">
        <f>CONCATENATE("          ", "6259", " - ", "ROYALTY &amp; COMMISSIONS")</f>
        <v xml:space="preserve">          6259 - ROYALTY &amp; COMMISSIONS</v>
      </c>
      <c r="C271" s="11"/>
      <c r="D271" s="7"/>
      <c r="E271" s="2"/>
      <c r="F271" s="6">
        <f t="shared" si="96"/>
        <v>0</v>
      </c>
      <c r="G271" s="2"/>
      <c r="H271" s="7">
        <v>4521.01</v>
      </c>
      <c r="I271" s="2"/>
      <c r="J271" s="6">
        <f t="shared" si="97"/>
        <v>1.4606034666463005E-2</v>
      </c>
      <c r="K271" s="2"/>
      <c r="L271" s="7">
        <f t="shared" si="98"/>
        <v>-4521.01</v>
      </c>
      <c r="M271" s="2"/>
      <c r="N271" s="6">
        <f t="shared" si="99"/>
        <v>-1</v>
      </c>
      <c r="O271" s="11"/>
      <c r="P271" s="7">
        <v>82607.740000000005</v>
      </c>
      <c r="Q271" s="2"/>
      <c r="R271" s="6">
        <f t="shared" si="100"/>
        <v>7.1216413631487591E-3</v>
      </c>
      <c r="S271" s="2"/>
      <c r="T271" s="7">
        <v>114771.74</v>
      </c>
      <c r="U271" s="2"/>
      <c r="V271" s="6">
        <f t="shared" si="101"/>
        <v>7.905192325736634E-3</v>
      </c>
      <c r="W271" s="2"/>
      <c r="X271" s="7">
        <f t="shared" si="102"/>
        <v>-32164</v>
      </c>
      <c r="Y271" s="2"/>
      <c r="Z271" s="6">
        <f t="shared" si="103"/>
        <v>-0.28024320272568837</v>
      </c>
    </row>
    <row r="272" spans="1:26" s="25" customFormat="1" outlineLevel="1" collapsed="1" x14ac:dyDescent="0.35">
      <c r="A272" s="26"/>
      <c r="B272" s="12" t="str">
        <f>CONCATENATE("     ","Services                                          ")</f>
        <v xml:space="preserve">     Services                                          </v>
      </c>
      <c r="C272" s="12"/>
      <c r="D272" s="1">
        <f>SUM(OSRRefD22_19x_0)</f>
        <v>17288.7</v>
      </c>
      <c r="E272" s="1"/>
      <c r="F272" s="5">
        <f t="shared" ref="F272:F277" si="104">IF(D$12=0,0,D272/D$12)</f>
        <v>8.304983859786727E-2</v>
      </c>
      <c r="G272" s="1"/>
      <c r="H272" s="1">
        <f>SUM(OSRRefH22_19x_0)</f>
        <v>6100.77</v>
      </c>
      <c r="I272" s="1"/>
      <c r="J272" s="5">
        <f t="shared" ref="J272:J277" si="105">IF(H$12=0,0,H272/H$12)</f>
        <v>1.9709767974881168E-2</v>
      </c>
      <c r="K272" s="1"/>
      <c r="L272" s="1">
        <f t="shared" ref="L272:L277" si="106">+D272-H272</f>
        <v>11187.93</v>
      </c>
      <c r="M272" s="1"/>
      <c r="N272" s="5">
        <f t="shared" ref="N272:N277" si="107">IF(H272=0,0,L272/H272)</f>
        <v>1.8338553985808348</v>
      </c>
      <c r="O272" s="12"/>
      <c r="P272" s="1">
        <f>SUM(OSRRefP22_19x_0)</f>
        <v>85027.09</v>
      </c>
      <c r="Q272" s="1"/>
      <c r="R272" s="5">
        <f t="shared" ref="R272:R277" si="108">IF(P$12=0,0,P272/P$12)</f>
        <v>7.3302143495533488E-3</v>
      </c>
      <c r="S272" s="1"/>
      <c r="T272" s="1">
        <f>SUM(OSRRefT22_19x_0)</f>
        <v>73407.48000000001</v>
      </c>
      <c r="U272" s="1"/>
      <c r="V272" s="5">
        <f t="shared" ref="V272:V277" si="109">IF(T$12=0,0,T272/T$12)</f>
        <v>5.0561248574576409E-3</v>
      </c>
      <c r="W272" s="1"/>
      <c r="X272" s="1">
        <f t="shared" ref="X272:X277" si="110">+P272-T272</f>
        <v>11619.609999999986</v>
      </c>
      <c r="Y272" s="1"/>
      <c r="Z272" s="5">
        <f t="shared" ref="Z272:Z277" si="111">IF(T272=0,0,X272/T272)</f>
        <v>0.1582891825192744</v>
      </c>
    </row>
    <row r="273" spans="1:26" s="24" customFormat="1" hidden="1" outlineLevel="2" x14ac:dyDescent="0.35">
      <c r="A273" s="27"/>
      <c r="B273" s="11" t="str">
        <f>CONCATENATE("          ", "6282", " - ", "JANITORIAL/EXTERMINATOR EXPENS")</f>
        <v xml:space="preserve">          6282 - JANITORIAL/EXTERMINATOR EXPENS</v>
      </c>
      <c r="C273" s="11"/>
      <c r="D273" s="7">
        <v>1399.56</v>
      </c>
      <c r="E273" s="2"/>
      <c r="F273" s="6">
        <f t="shared" si="104"/>
        <v>6.7230753097706078E-3</v>
      </c>
      <c r="G273" s="2"/>
      <c r="H273" s="7">
        <v>892.59</v>
      </c>
      <c r="I273" s="2"/>
      <c r="J273" s="6">
        <f t="shared" si="105"/>
        <v>2.883692025219633E-3</v>
      </c>
      <c r="K273" s="2"/>
      <c r="L273" s="7">
        <f t="shared" si="106"/>
        <v>506.96999999999991</v>
      </c>
      <c r="M273" s="2"/>
      <c r="N273" s="6">
        <f t="shared" si="107"/>
        <v>0.56797633852048524</v>
      </c>
      <c r="O273" s="11"/>
      <c r="P273" s="7">
        <v>10503.67</v>
      </c>
      <c r="Q273" s="2"/>
      <c r="R273" s="6">
        <f t="shared" si="108"/>
        <v>9.0552496336135965E-4</v>
      </c>
      <c r="S273" s="2"/>
      <c r="T273" s="7">
        <v>9876.8700000000008</v>
      </c>
      <c r="U273" s="2"/>
      <c r="V273" s="6">
        <f t="shared" si="109"/>
        <v>6.8029426866141778E-4</v>
      </c>
      <c r="W273" s="2"/>
      <c r="X273" s="7">
        <f t="shared" si="110"/>
        <v>626.79999999999927</v>
      </c>
      <c r="Y273" s="2"/>
      <c r="Z273" s="6">
        <f t="shared" si="111"/>
        <v>6.3461400220920117E-2</v>
      </c>
    </row>
    <row r="274" spans="1:26" s="24" customFormat="1" hidden="1" outlineLevel="2" x14ac:dyDescent="0.35">
      <c r="A274" s="27"/>
      <c r="B274" s="11" t="str">
        <f>CONCATENATE("          ", "6283", " - ", "PLANT SERVICE")</f>
        <v xml:space="preserve">          6283 - PLANT SERVICE</v>
      </c>
      <c r="C274" s="11"/>
      <c r="D274" s="7"/>
      <c r="E274" s="2"/>
      <c r="F274" s="6">
        <f t="shared" si="104"/>
        <v>0</v>
      </c>
      <c r="G274" s="2"/>
      <c r="H274" s="7">
        <v>180.66</v>
      </c>
      <c r="I274" s="2"/>
      <c r="J274" s="6">
        <f t="shared" si="105"/>
        <v>5.836585680728878E-4</v>
      </c>
      <c r="K274" s="2"/>
      <c r="L274" s="7">
        <f t="shared" si="106"/>
        <v>-180.66</v>
      </c>
      <c r="M274" s="2"/>
      <c r="N274" s="6">
        <f t="shared" si="107"/>
        <v>-1</v>
      </c>
      <c r="O274" s="11"/>
      <c r="P274" s="7">
        <v>541.98</v>
      </c>
      <c r="Q274" s="2"/>
      <c r="R274" s="6">
        <f t="shared" si="108"/>
        <v>4.6724280146138419E-5</v>
      </c>
      <c r="S274" s="2"/>
      <c r="T274" s="7">
        <v>2206.16</v>
      </c>
      <c r="U274" s="2"/>
      <c r="V274" s="6">
        <f t="shared" si="109"/>
        <v>1.5195482007458567E-4</v>
      </c>
      <c r="W274" s="2"/>
      <c r="X274" s="7">
        <f t="shared" si="110"/>
        <v>-1664.1799999999998</v>
      </c>
      <c r="Y274" s="2"/>
      <c r="Z274" s="6">
        <f t="shared" si="111"/>
        <v>-0.75433332124596586</v>
      </c>
    </row>
    <row r="275" spans="1:26" s="24" customFormat="1" hidden="1" outlineLevel="2" x14ac:dyDescent="0.35">
      <c r="A275" s="27"/>
      <c r="B275" s="11" t="str">
        <f>CONCATENATE("          ", "6284", " - ", "TRASH REMOVAL EXPENSE")</f>
        <v xml:space="preserve">          6284 - TRASH REMOVAL EXPENSE</v>
      </c>
      <c r="C275" s="11"/>
      <c r="D275" s="7">
        <v>423.82</v>
      </c>
      <c r="E275" s="2"/>
      <c r="F275" s="6">
        <f t="shared" si="104"/>
        <v>2.0359068405691638E-3</v>
      </c>
      <c r="G275" s="2"/>
      <c r="H275" s="7">
        <v>358.46</v>
      </c>
      <c r="I275" s="2"/>
      <c r="J275" s="6">
        <f t="shared" si="105"/>
        <v>1.1580773293003838E-3</v>
      </c>
      <c r="K275" s="2"/>
      <c r="L275" s="7">
        <f t="shared" si="106"/>
        <v>65.360000000000014</v>
      </c>
      <c r="M275" s="2"/>
      <c r="N275" s="6">
        <f t="shared" si="107"/>
        <v>0.18233554650449149</v>
      </c>
      <c r="O275" s="11"/>
      <c r="P275" s="7">
        <v>5084.84</v>
      </c>
      <c r="Q275" s="2"/>
      <c r="R275" s="6">
        <f t="shared" si="108"/>
        <v>4.3836578592990603E-4</v>
      </c>
      <c r="S275" s="2"/>
      <c r="T275" s="7">
        <v>4872.25</v>
      </c>
      <c r="U275" s="2"/>
      <c r="V275" s="6">
        <f t="shared" si="109"/>
        <v>3.3558847595296812E-4</v>
      </c>
      <c r="W275" s="2"/>
      <c r="X275" s="7">
        <f t="shared" si="110"/>
        <v>212.59000000000015</v>
      </c>
      <c r="Y275" s="2"/>
      <c r="Z275" s="6">
        <f t="shared" si="111"/>
        <v>4.363281851300737E-2</v>
      </c>
    </row>
    <row r="276" spans="1:26" s="24" customFormat="1" hidden="1" outlineLevel="2" x14ac:dyDescent="0.35">
      <c r="A276" s="27"/>
      <c r="B276" s="11" t="str">
        <f>CONCATENATE("          ", "6285", " - ", "JANITORIAL SERVICES")</f>
        <v xml:space="preserve">          6285 - JANITORIAL SERVICES</v>
      </c>
      <c r="C276" s="11"/>
      <c r="D276" s="7">
        <v>15465.32</v>
      </c>
      <c r="E276" s="2"/>
      <c r="F276" s="6">
        <f t="shared" si="104"/>
        <v>7.429085644752749E-2</v>
      </c>
      <c r="G276" s="2"/>
      <c r="H276" s="7">
        <v>4172.33</v>
      </c>
      <c r="I276" s="2"/>
      <c r="J276" s="6">
        <f t="shared" si="105"/>
        <v>1.3479553599731827E-2</v>
      </c>
      <c r="K276" s="2"/>
      <c r="L276" s="7">
        <f t="shared" si="106"/>
        <v>11292.99</v>
      </c>
      <c r="M276" s="2"/>
      <c r="N276" s="6">
        <f t="shared" si="107"/>
        <v>2.7066387366291735</v>
      </c>
      <c r="O276" s="11"/>
      <c r="P276" s="7">
        <v>62709.43</v>
      </c>
      <c r="Q276" s="2"/>
      <c r="R276" s="6">
        <f t="shared" si="108"/>
        <v>5.4062012899454897E-3</v>
      </c>
      <c r="S276" s="2"/>
      <c r="T276" s="7">
        <v>48725.13</v>
      </c>
      <c r="U276" s="2"/>
      <c r="V276" s="6">
        <f t="shared" si="109"/>
        <v>3.3560659073960174E-3</v>
      </c>
      <c r="W276" s="2"/>
      <c r="X276" s="7">
        <f t="shared" si="110"/>
        <v>13984.300000000003</v>
      </c>
      <c r="Y276" s="2"/>
      <c r="Z276" s="6">
        <f t="shared" si="111"/>
        <v>0.2870038520164031</v>
      </c>
    </row>
    <row r="277" spans="1:26" s="24" customFormat="1" hidden="1" outlineLevel="2" x14ac:dyDescent="0.35">
      <c r="A277" s="27"/>
      <c r="B277" s="11" t="str">
        <f>CONCATENATE("          ", "6286", " - ", "LAUNDRY EXPENSE")</f>
        <v xml:space="preserve">          6286 - LAUNDRY EXPENSE</v>
      </c>
      <c r="C277" s="11"/>
      <c r="D277" s="7"/>
      <c r="E277" s="2"/>
      <c r="F277" s="6">
        <f t="shared" si="104"/>
        <v>0</v>
      </c>
      <c r="G277" s="2"/>
      <c r="H277" s="7">
        <v>496.73</v>
      </c>
      <c r="I277" s="2"/>
      <c r="J277" s="6">
        <f t="shared" si="105"/>
        <v>1.604786452556435E-3</v>
      </c>
      <c r="K277" s="2"/>
      <c r="L277" s="7">
        <f t="shared" si="106"/>
        <v>-496.73</v>
      </c>
      <c r="M277" s="2"/>
      <c r="N277" s="6">
        <f t="shared" si="107"/>
        <v>-1</v>
      </c>
      <c r="O277" s="11"/>
      <c r="P277" s="7">
        <v>6187.17</v>
      </c>
      <c r="Q277" s="2"/>
      <c r="R277" s="6">
        <f t="shared" si="108"/>
        <v>5.3339803017045503E-4</v>
      </c>
      <c r="S277" s="2"/>
      <c r="T277" s="7">
        <v>7727.07</v>
      </c>
      <c r="U277" s="2"/>
      <c r="V277" s="6">
        <f t="shared" si="109"/>
        <v>5.3222138537265147E-4</v>
      </c>
      <c r="W277" s="2"/>
      <c r="X277" s="7">
        <f t="shared" si="110"/>
        <v>-1539.8999999999996</v>
      </c>
      <c r="Y277" s="2"/>
      <c r="Z277" s="6">
        <f t="shared" si="111"/>
        <v>-0.19928640480803197</v>
      </c>
    </row>
    <row r="278" spans="1:26" s="25" customFormat="1" outlineLevel="1" collapsed="1" x14ac:dyDescent="0.35">
      <c r="A278" s="26"/>
      <c r="B278" s="12" t="str">
        <f>CONCATENATE("     ","Subscriptions &amp; Dues                              ")</f>
        <v xml:space="preserve">     Subscriptions &amp; Dues                              </v>
      </c>
      <c r="C278" s="12"/>
      <c r="D278" s="1">
        <f>SUM(OSRRefD22_20x_0)</f>
        <v>1101.25</v>
      </c>
      <c r="E278" s="1"/>
      <c r="F278" s="5">
        <f t="shared" ref="F278:F280" si="112">IF(D$12=0,0,D278/D$12)</f>
        <v>5.2900816577244863E-3</v>
      </c>
      <c r="G278" s="1"/>
      <c r="H278" s="1">
        <f>SUM(OSRRefH22_20x_0)</f>
        <v>8124.44</v>
      </c>
      <c r="I278" s="1"/>
      <c r="J278" s="5">
        <f t="shared" ref="J278:J280" si="113">IF(H$12=0,0,H278/H$12)</f>
        <v>2.6247642072368495E-2</v>
      </c>
      <c r="K278" s="1"/>
      <c r="L278" s="1">
        <f t="shared" ref="L278:L280" si="114">+D278-H278</f>
        <v>-7023.19</v>
      </c>
      <c r="M278" s="1"/>
      <c r="N278" s="5">
        <f t="shared" ref="N278:N280" si="115">IF(H278=0,0,L278/H278)</f>
        <v>-0.86445219608982282</v>
      </c>
      <c r="O278" s="12"/>
      <c r="P278" s="1">
        <f>SUM(OSRRefP22_20x_0)</f>
        <v>9871.2999999999993</v>
      </c>
      <c r="Q278" s="1"/>
      <c r="R278" s="5">
        <f t="shared" ref="R278:R280" si="116">IF(P$12=0,0,P278/P$12)</f>
        <v>8.5100813057045668E-4</v>
      </c>
      <c r="S278" s="1"/>
      <c r="T278" s="1">
        <f>SUM(OSRRefT22_20x_0)</f>
        <v>25333.439999999999</v>
      </c>
      <c r="U278" s="1"/>
      <c r="V278" s="5">
        <f t="shared" ref="V278:V280" si="117">IF(T$12=0,0,T278/T$12)</f>
        <v>1.7449044117699133E-3</v>
      </c>
      <c r="W278" s="1"/>
      <c r="X278" s="1">
        <f t="shared" ref="X278:X280" si="118">+P278-T278</f>
        <v>-15462.14</v>
      </c>
      <c r="Y278" s="1"/>
      <c r="Z278" s="5">
        <f t="shared" ref="Z278:Z280" si="119">IF(T278=0,0,X278/T278)</f>
        <v>-0.61034506170500336</v>
      </c>
    </row>
    <row r="279" spans="1:26" s="24" customFormat="1" hidden="1" outlineLevel="2" x14ac:dyDescent="0.35">
      <c r="A279" s="27"/>
      <c r="B279" s="11" t="str">
        <f>CONCATENATE("          ", "6258", " - ", "MEMBERSHIP DUES")</f>
        <v xml:space="preserve">          6258 - MEMBERSHIP DUES</v>
      </c>
      <c r="C279" s="11"/>
      <c r="D279" s="7">
        <v>1101.25</v>
      </c>
      <c r="E279" s="2"/>
      <c r="F279" s="6">
        <f t="shared" si="112"/>
        <v>5.2900816577244863E-3</v>
      </c>
      <c r="G279" s="2"/>
      <c r="H279" s="7">
        <v>7656.08</v>
      </c>
      <c r="I279" s="2"/>
      <c r="J279" s="6">
        <f t="shared" si="113"/>
        <v>2.4734510626876312E-2</v>
      </c>
      <c r="K279" s="2"/>
      <c r="L279" s="7">
        <f t="shared" si="114"/>
        <v>-6554.83</v>
      </c>
      <c r="M279" s="2"/>
      <c r="N279" s="6">
        <f t="shared" si="115"/>
        <v>-0.85616007147260742</v>
      </c>
      <c r="O279" s="11"/>
      <c r="P279" s="7">
        <v>5667.66</v>
      </c>
      <c r="Q279" s="2"/>
      <c r="R279" s="6">
        <f t="shared" si="116"/>
        <v>4.8861089636714056E-4</v>
      </c>
      <c r="S279" s="2"/>
      <c r="T279" s="7">
        <v>14346.88</v>
      </c>
      <c r="U279" s="2"/>
      <c r="V279" s="6">
        <f t="shared" si="117"/>
        <v>9.8817745269231248E-4</v>
      </c>
      <c r="W279" s="2"/>
      <c r="X279" s="7">
        <f t="shared" si="118"/>
        <v>-8679.2199999999993</v>
      </c>
      <c r="Y279" s="2"/>
      <c r="Z279" s="6">
        <f t="shared" si="119"/>
        <v>-0.60495522371414545</v>
      </c>
    </row>
    <row r="280" spans="1:26" s="24" customFormat="1" hidden="1" outlineLevel="2" x14ac:dyDescent="0.35">
      <c r="A280" s="27"/>
      <c r="B280" s="11" t="str">
        <f>CONCATENATE("          ", "6275", " - ", "SUBSCRIPTIONS")</f>
        <v xml:space="preserve">          6275 - SUBSCRIPTIONS</v>
      </c>
      <c r="C280" s="11"/>
      <c r="D280" s="7"/>
      <c r="E280" s="2"/>
      <c r="F280" s="6">
        <f t="shared" si="112"/>
        <v>0</v>
      </c>
      <c r="G280" s="2"/>
      <c r="H280" s="7">
        <v>468.36</v>
      </c>
      <c r="I280" s="2"/>
      <c r="J280" s="6">
        <f t="shared" si="113"/>
        <v>1.5131314454921827E-3</v>
      </c>
      <c r="K280" s="2"/>
      <c r="L280" s="7">
        <f t="shared" si="114"/>
        <v>-468.36</v>
      </c>
      <c r="M280" s="2"/>
      <c r="N280" s="6">
        <f t="shared" si="115"/>
        <v>-1</v>
      </c>
      <c r="O280" s="11"/>
      <c r="P280" s="7">
        <v>4203.6400000000003</v>
      </c>
      <c r="Q280" s="2"/>
      <c r="R280" s="6">
        <f t="shared" si="116"/>
        <v>3.6239723420331617E-4</v>
      </c>
      <c r="S280" s="2"/>
      <c r="T280" s="7">
        <v>10986.56</v>
      </c>
      <c r="U280" s="2"/>
      <c r="V280" s="6">
        <f t="shared" si="117"/>
        <v>7.5672695907760097E-4</v>
      </c>
      <c r="W280" s="2"/>
      <c r="X280" s="7">
        <f t="shared" si="118"/>
        <v>-6782.9199999999992</v>
      </c>
      <c r="Y280" s="2"/>
      <c r="Z280" s="6">
        <f t="shared" si="119"/>
        <v>-0.61738342119826406</v>
      </c>
    </row>
    <row r="281" spans="1:26" s="25" customFormat="1" outlineLevel="1" collapsed="1" x14ac:dyDescent="0.35">
      <c r="A281" s="26"/>
      <c r="B281" s="12" t="str">
        <f>CONCATENATE("     ","Supplies                                          ")</f>
        <v xml:space="preserve">     Supplies                                          </v>
      </c>
      <c r="C281" s="12"/>
      <c r="D281" s="1">
        <f>SUM(OSRRefD22_21x_0)</f>
        <v>15946.69</v>
      </c>
      <c r="E281" s="1"/>
      <c r="F281" s="5">
        <f t="shared" ref="F281:F290" si="120">IF(D$12=0,0,D281/D$12)</f>
        <v>7.6603216590618389E-2</v>
      </c>
      <c r="G281" s="1"/>
      <c r="H281" s="1">
        <f>SUM(OSRRefH22_21x_0)</f>
        <v>7557.06</v>
      </c>
      <c r="I281" s="1"/>
      <c r="J281" s="5">
        <f t="shared" ref="J281:J290" si="121">IF(H$12=0,0,H281/H$12)</f>
        <v>2.4414606545117335E-2</v>
      </c>
      <c r="K281" s="1"/>
      <c r="L281" s="1">
        <f t="shared" ref="L281:L290" si="122">+D281-H281</f>
        <v>8389.630000000001</v>
      </c>
      <c r="M281" s="1"/>
      <c r="N281" s="5">
        <f t="shared" ref="N281:N290" si="123">IF(H281=0,0,L281/H281)</f>
        <v>1.1101711512148906</v>
      </c>
      <c r="O281" s="12"/>
      <c r="P281" s="1">
        <f>SUM(OSRRefP22_21x_0)</f>
        <v>159221.31</v>
      </c>
      <c r="Q281" s="1"/>
      <c r="R281" s="5">
        <f t="shared" ref="R281:R290" si="124">IF(P$12=0,0,P281/P$12)</f>
        <v>1.3726523291773035E-2</v>
      </c>
      <c r="S281" s="1"/>
      <c r="T281" s="1">
        <f>SUM(OSRRefT22_21x_0)</f>
        <v>211226.18</v>
      </c>
      <c r="U281" s="1"/>
      <c r="V281" s="5">
        <f t="shared" ref="V281:V290" si="125">IF(T$12=0,0,T281/T$12)</f>
        <v>1.4548734532827198E-2</v>
      </c>
      <c r="W281" s="1"/>
      <c r="X281" s="1">
        <f t="shared" ref="X281:X290" si="126">+P281-T281</f>
        <v>-52004.869999999995</v>
      </c>
      <c r="Y281" s="1"/>
      <c r="Z281" s="5">
        <f t="shared" ref="Z281:Z290" si="127">IF(T281=0,0,X281/T281)</f>
        <v>-0.24620466080483014</v>
      </c>
    </row>
    <row r="282" spans="1:26" s="24" customFormat="1" hidden="1" outlineLevel="2" x14ac:dyDescent="0.35">
      <c r="A282" s="27"/>
      <c r="B282" s="11" t="str">
        <f>CONCATENATE("          ", "6234", " - ", "EXPENDABLE SUPPLIES &amp; EQUIPMEN")</f>
        <v xml:space="preserve">          6234 - EXPENDABLE SUPPLIES &amp; EQUIPMEN</v>
      </c>
      <c r="C282" s="11"/>
      <c r="D282" s="7">
        <v>4356.1000000000004</v>
      </c>
      <c r="E282" s="2"/>
      <c r="F282" s="6">
        <f t="shared" si="120"/>
        <v>2.0925425388616244E-2</v>
      </c>
      <c r="G282" s="2"/>
      <c r="H282" s="7">
        <v>193.68</v>
      </c>
      <c r="I282" s="2"/>
      <c r="J282" s="6">
        <f t="shared" si="121"/>
        <v>6.2572230413127929E-4</v>
      </c>
      <c r="K282" s="2"/>
      <c r="L282" s="7">
        <f t="shared" si="122"/>
        <v>4162.42</v>
      </c>
      <c r="M282" s="2"/>
      <c r="N282" s="6">
        <f t="shared" si="123"/>
        <v>21.491222635274678</v>
      </c>
      <c r="O282" s="11"/>
      <c r="P282" s="7">
        <v>9591.1200000000008</v>
      </c>
      <c r="Q282" s="2"/>
      <c r="R282" s="6">
        <f t="shared" si="124"/>
        <v>8.2685371747155082E-4</v>
      </c>
      <c r="S282" s="2"/>
      <c r="T282" s="7">
        <v>4814.4399999999996</v>
      </c>
      <c r="U282" s="2"/>
      <c r="V282" s="6">
        <f t="shared" si="125"/>
        <v>3.3160666676935866E-4</v>
      </c>
      <c r="W282" s="2"/>
      <c r="X282" s="7">
        <f t="shared" si="126"/>
        <v>4776.6800000000012</v>
      </c>
      <c r="Y282" s="2"/>
      <c r="Z282" s="6">
        <f t="shared" si="127"/>
        <v>0.99215692790854215</v>
      </c>
    </row>
    <row r="283" spans="1:26" s="24" customFormat="1" hidden="1" outlineLevel="2" x14ac:dyDescent="0.35">
      <c r="A283" s="27"/>
      <c r="B283" s="11" t="str">
        <f>CONCATENATE("          ", "6235", " - ", "COVID-19 EXPENSES")</f>
        <v xml:space="preserve">          6235 - COVID-19 EXPENSES</v>
      </c>
      <c r="C283" s="11"/>
      <c r="D283" s="7">
        <v>3511.67</v>
      </c>
      <c r="E283" s="2"/>
      <c r="F283" s="6">
        <f t="shared" si="120"/>
        <v>1.6869031604977387E-2</v>
      </c>
      <c r="G283" s="2"/>
      <c r="H283" s="7"/>
      <c r="I283" s="2"/>
      <c r="J283" s="6">
        <f t="shared" si="121"/>
        <v>0</v>
      </c>
      <c r="K283" s="2"/>
      <c r="L283" s="7">
        <f t="shared" si="122"/>
        <v>3511.67</v>
      </c>
      <c r="M283" s="2"/>
      <c r="N283" s="6">
        <f t="shared" si="123"/>
        <v>0</v>
      </c>
      <c r="O283" s="11"/>
      <c r="P283" s="7">
        <v>5061.67</v>
      </c>
      <c r="Q283" s="2"/>
      <c r="R283" s="6">
        <f t="shared" si="124"/>
        <v>4.3636829234898787E-4</v>
      </c>
      <c r="S283" s="2"/>
      <c r="T283" s="7"/>
      <c r="U283" s="2"/>
      <c r="V283" s="6">
        <f t="shared" si="125"/>
        <v>0</v>
      </c>
      <c r="W283" s="2"/>
      <c r="X283" s="7">
        <f t="shared" si="126"/>
        <v>5061.67</v>
      </c>
      <c r="Y283" s="2"/>
      <c r="Z283" s="6">
        <f t="shared" si="127"/>
        <v>0</v>
      </c>
    </row>
    <row r="284" spans="1:26" s="24" customFormat="1" hidden="1" outlineLevel="2" x14ac:dyDescent="0.35">
      <c r="A284" s="27"/>
      <c r="B284" s="11" t="str">
        <f>CONCATENATE("          ", "6237", " - ", "JANITORIAL SUPPLIES")</f>
        <v xml:space="preserve">          6237 - JANITORIAL SUPPLIES</v>
      </c>
      <c r="C284" s="11"/>
      <c r="D284" s="7">
        <v>1763.02</v>
      </c>
      <c r="E284" s="2"/>
      <c r="F284" s="6">
        <f t="shared" si="120"/>
        <v>8.4690304328730297E-3</v>
      </c>
      <c r="G284" s="2"/>
      <c r="H284" s="7">
        <v>2457.04</v>
      </c>
      <c r="I284" s="2"/>
      <c r="J284" s="6">
        <f t="shared" si="121"/>
        <v>7.9379632906997014E-3</v>
      </c>
      <c r="K284" s="2"/>
      <c r="L284" s="7">
        <f t="shared" si="122"/>
        <v>-694.02</v>
      </c>
      <c r="M284" s="2"/>
      <c r="N284" s="6">
        <f t="shared" si="123"/>
        <v>-0.28246182398332953</v>
      </c>
      <c r="O284" s="11"/>
      <c r="P284" s="7">
        <v>11487.03</v>
      </c>
      <c r="Q284" s="2"/>
      <c r="R284" s="6">
        <f t="shared" si="124"/>
        <v>9.9030076343609792E-4</v>
      </c>
      <c r="S284" s="2"/>
      <c r="T284" s="7">
        <v>15954.1</v>
      </c>
      <c r="U284" s="2"/>
      <c r="V284" s="6">
        <f t="shared" si="125"/>
        <v>1.0988787735032579E-3</v>
      </c>
      <c r="W284" s="2"/>
      <c r="X284" s="7">
        <f t="shared" si="126"/>
        <v>-4467.07</v>
      </c>
      <c r="Y284" s="2"/>
      <c r="Z284" s="6">
        <f t="shared" si="127"/>
        <v>-0.27999511097460839</v>
      </c>
    </row>
    <row r="285" spans="1:26" s="24" customFormat="1" hidden="1" outlineLevel="2" x14ac:dyDescent="0.35">
      <c r="A285" s="27"/>
      <c r="B285" s="11" t="str">
        <f>CONCATENATE("          ", "6239", " - ", "KITCHEN SUPPLIES")</f>
        <v xml:space="preserve">          6239 - KITCHEN SUPPLIES</v>
      </c>
      <c r="C285" s="11"/>
      <c r="D285" s="7"/>
      <c r="E285" s="2"/>
      <c r="F285" s="6">
        <f t="shared" si="120"/>
        <v>0</v>
      </c>
      <c r="G285" s="2"/>
      <c r="H285" s="7"/>
      <c r="I285" s="2"/>
      <c r="J285" s="6">
        <f t="shared" si="121"/>
        <v>0</v>
      </c>
      <c r="K285" s="2"/>
      <c r="L285" s="7">
        <f t="shared" si="122"/>
        <v>0</v>
      </c>
      <c r="M285" s="2"/>
      <c r="N285" s="6">
        <f t="shared" si="123"/>
        <v>0</v>
      </c>
      <c r="O285" s="11"/>
      <c r="P285" s="7">
        <v>441.2</v>
      </c>
      <c r="Q285" s="2"/>
      <c r="R285" s="6">
        <f t="shared" si="124"/>
        <v>3.8036002067375676E-5</v>
      </c>
      <c r="S285" s="2"/>
      <c r="T285" s="7">
        <v>61.06</v>
      </c>
      <c r="U285" s="2"/>
      <c r="V285" s="6">
        <f t="shared" si="125"/>
        <v>4.2056611096902324E-6</v>
      </c>
      <c r="W285" s="2"/>
      <c r="X285" s="7">
        <f t="shared" si="126"/>
        <v>380.14</v>
      </c>
      <c r="Y285" s="2"/>
      <c r="Z285" s="6">
        <f t="shared" si="127"/>
        <v>6.2256796593514574</v>
      </c>
    </row>
    <row r="286" spans="1:26" s="24" customFormat="1" hidden="1" outlineLevel="2" x14ac:dyDescent="0.35">
      <c r="A286" s="27"/>
      <c r="B286" s="11" t="str">
        <f>CONCATENATE("          ", "6241", " - ", "OFFICE EXPENSE")</f>
        <v xml:space="preserve">          6241 - OFFICE EXPENSE</v>
      </c>
      <c r="C286" s="11"/>
      <c r="D286" s="7">
        <v>652.34</v>
      </c>
      <c r="E286" s="2"/>
      <c r="F286" s="6">
        <f t="shared" si="120"/>
        <v>3.1336498239273479E-3</v>
      </c>
      <c r="G286" s="2"/>
      <c r="H286" s="7">
        <v>2130.56</v>
      </c>
      <c r="I286" s="2"/>
      <c r="J286" s="6">
        <f t="shared" si="121"/>
        <v>6.8832038015796066E-3</v>
      </c>
      <c r="K286" s="2"/>
      <c r="L286" s="7">
        <f t="shared" si="122"/>
        <v>-1478.2199999999998</v>
      </c>
      <c r="M286" s="2"/>
      <c r="N286" s="6">
        <f t="shared" si="123"/>
        <v>-0.69381758786422343</v>
      </c>
      <c r="O286" s="11"/>
      <c r="P286" s="7">
        <v>27410.1</v>
      </c>
      <c r="Q286" s="2"/>
      <c r="R286" s="6">
        <f t="shared" si="124"/>
        <v>2.3630340441227879E-3</v>
      </c>
      <c r="S286" s="2"/>
      <c r="T286" s="7">
        <v>43961.729999999996</v>
      </c>
      <c r="U286" s="2"/>
      <c r="V286" s="6">
        <f t="shared" si="125"/>
        <v>3.0279747490288625E-3</v>
      </c>
      <c r="W286" s="2"/>
      <c r="X286" s="7">
        <f t="shared" si="126"/>
        <v>-16551.629999999997</v>
      </c>
      <c r="Y286" s="2"/>
      <c r="Z286" s="6">
        <f t="shared" si="127"/>
        <v>-0.37650087928750753</v>
      </c>
    </row>
    <row r="287" spans="1:26" s="24" customFormat="1" hidden="1" outlineLevel="2" x14ac:dyDescent="0.35">
      <c r="A287" s="27"/>
      <c r="B287" s="11" t="str">
        <f>CONCATENATE("          ", "6243", " - ", "PAPER SUPPLIES")</f>
        <v xml:space="preserve">          6243 - PAPER SUPPLIES</v>
      </c>
      <c r="C287" s="11"/>
      <c r="D287" s="7">
        <v>508.47</v>
      </c>
      <c r="E287" s="2"/>
      <c r="F287" s="6">
        <f t="shared" si="120"/>
        <v>2.4425405861549783E-3</v>
      </c>
      <c r="G287" s="2"/>
      <c r="H287" s="7">
        <v>1356.73</v>
      </c>
      <c r="I287" s="2"/>
      <c r="J287" s="6">
        <f t="shared" si="121"/>
        <v>4.3831899095623222E-3</v>
      </c>
      <c r="K287" s="2"/>
      <c r="L287" s="7">
        <f t="shared" si="122"/>
        <v>-848.26</v>
      </c>
      <c r="M287" s="2"/>
      <c r="N287" s="6">
        <f t="shared" si="123"/>
        <v>-0.62522388389731187</v>
      </c>
      <c r="O287" s="11"/>
      <c r="P287" s="7">
        <v>23412.6</v>
      </c>
      <c r="Q287" s="2"/>
      <c r="R287" s="6">
        <f t="shared" si="124"/>
        <v>2.0184082094348134E-3</v>
      </c>
      <c r="S287" s="2"/>
      <c r="T287" s="7">
        <v>44806.579999999994</v>
      </c>
      <c r="U287" s="2"/>
      <c r="V287" s="6">
        <f t="shared" si="125"/>
        <v>3.0861659181825114E-3</v>
      </c>
      <c r="W287" s="2"/>
      <c r="X287" s="7">
        <f t="shared" si="126"/>
        <v>-21393.979999999996</v>
      </c>
      <c r="Y287" s="2"/>
      <c r="Z287" s="6">
        <f t="shared" si="127"/>
        <v>-0.47747406742491838</v>
      </c>
    </row>
    <row r="288" spans="1:26" s="24" customFormat="1" hidden="1" outlineLevel="2" x14ac:dyDescent="0.35">
      <c r="A288" s="27"/>
      <c r="B288" s="11" t="str">
        <f>CONCATENATE("          ", "6245", " - ", "PRINTING")</f>
        <v xml:space="preserve">          6245 - PRINTING</v>
      </c>
      <c r="C288" s="11"/>
      <c r="D288" s="7">
        <v>158.76</v>
      </c>
      <c r="E288" s="2"/>
      <c r="F288" s="6">
        <f t="shared" si="120"/>
        <v>7.6263642586182922E-4</v>
      </c>
      <c r="G288" s="2"/>
      <c r="H288" s="7">
        <v>119.96</v>
      </c>
      <c r="I288" s="2"/>
      <c r="J288" s="6">
        <f t="shared" si="121"/>
        <v>3.8755497523537924E-4</v>
      </c>
      <c r="K288" s="2"/>
      <c r="L288" s="7">
        <f t="shared" si="122"/>
        <v>38.799999999999997</v>
      </c>
      <c r="M288" s="2"/>
      <c r="N288" s="6">
        <f t="shared" si="123"/>
        <v>0.32344114704901633</v>
      </c>
      <c r="O288" s="11"/>
      <c r="P288" s="7">
        <v>10868.1</v>
      </c>
      <c r="Q288" s="2"/>
      <c r="R288" s="6">
        <f t="shared" si="124"/>
        <v>9.3694259761660373E-4</v>
      </c>
      <c r="S288" s="2"/>
      <c r="T288" s="7">
        <v>14992.13</v>
      </c>
      <c r="U288" s="2"/>
      <c r="V288" s="6">
        <f t="shared" si="125"/>
        <v>1.0326206697088146E-3</v>
      </c>
      <c r="W288" s="2"/>
      <c r="X288" s="7">
        <f t="shared" si="126"/>
        <v>-4124.0299999999988</v>
      </c>
      <c r="Y288" s="2"/>
      <c r="Z288" s="6">
        <f t="shared" si="127"/>
        <v>-0.27507965846080573</v>
      </c>
    </row>
    <row r="289" spans="1:26" s="24" customFormat="1" hidden="1" outlineLevel="2" x14ac:dyDescent="0.35">
      <c r="A289" s="27"/>
      <c r="B289" s="11" t="str">
        <f>CONCATENATE("          ", "6247", " - ", "STORE SUPPLIES")</f>
        <v xml:space="preserve">          6247 - STORE SUPPLIES</v>
      </c>
      <c r="C289" s="11"/>
      <c r="D289" s="7">
        <v>4996.33</v>
      </c>
      <c r="E289" s="2"/>
      <c r="F289" s="6">
        <f t="shared" si="120"/>
        <v>2.4000902328207566E-2</v>
      </c>
      <c r="G289" s="2"/>
      <c r="H289" s="7">
        <v>1299.0899999999999</v>
      </c>
      <c r="I289" s="2"/>
      <c r="J289" s="6">
        <f t="shared" si="121"/>
        <v>4.1969722639090433E-3</v>
      </c>
      <c r="K289" s="2"/>
      <c r="L289" s="7">
        <f t="shared" si="122"/>
        <v>3697.24</v>
      </c>
      <c r="M289" s="2"/>
      <c r="N289" s="6">
        <f t="shared" si="123"/>
        <v>2.8460229853204937</v>
      </c>
      <c r="O289" s="11"/>
      <c r="P289" s="7">
        <v>70711.399999999994</v>
      </c>
      <c r="Q289" s="2"/>
      <c r="R289" s="6">
        <f t="shared" si="124"/>
        <v>6.0960538453921761E-3</v>
      </c>
      <c r="S289" s="2"/>
      <c r="T289" s="7">
        <v>83508.179999999993</v>
      </c>
      <c r="U289" s="2"/>
      <c r="V289" s="6">
        <f t="shared" si="125"/>
        <v>5.7518359804620313E-3</v>
      </c>
      <c r="W289" s="2"/>
      <c r="X289" s="7">
        <f t="shared" si="126"/>
        <v>-12796.779999999999</v>
      </c>
      <c r="Y289" s="2"/>
      <c r="Z289" s="6">
        <f t="shared" si="127"/>
        <v>-0.15323983830087065</v>
      </c>
    </row>
    <row r="290" spans="1:26" s="24" customFormat="1" hidden="1" outlineLevel="2" x14ac:dyDescent="0.35">
      <c r="A290" s="27"/>
      <c r="B290" s="11" t="str">
        <f>CONCATENATE("          ", "6248", " - ", "UNIFORMS")</f>
        <v xml:space="preserve">          6248 - UNIFORMS</v>
      </c>
      <c r="C290" s="11"/>
      <c r="D290" s="7"/>
      <c r="E290" s="2"/>
      <c r="F290" s="6">
        <f t="shared" si="120"/>
        <v>0</v>
      </c>
      <c r="G290" s="2"/>
      <c r="H290" s="7"/>
      <c r="I290" s="2"/>
      <c r="J290" s="6">
        <f t="shared" si="121"/>
        <v>0</v>
      </c>
      <c r="K290" s="2"/>
      <c r="L290" s="7">
        <f t="shared" si="122"/>
        <v>0</v>
      </c>
      <c r="M290" s="2"/>
      <c r="N290" s="6">
        <f t="shared" si="123"/>
        <v>0</v>
      </c>
      <c r="O290" s="11"/>
      <c r="P290" s="7">
        <v>238.09</v>
      </c>
      <c r="Q290" s="2"/>
      <c r="R290" s="6">
        <f t="shared" si="124"/>
        <v>2.05258198826416E-5</v>
      </c>
      <c r="S290" s="2"/>
      <c r="T290" s="7">
        <v>3127.96</v>
      </c>
      <c r="U290" s="2"/>
      <c r="V290" s="6">
        <f t="shared" si="125"/>
        <v>2.1544611406267047E-4</v>
      </c>
      <c r="W290" s="2"/>
      <c r="X290" s="7">
        <f t="shared" si="126"/>
        <v>-2889.87</v>
      </c>
      <c r="Y290" s="2"/>
      <c r="Z290" s="6">
        <f t="shared" si="127"/>
        <v>-0.92388329774038025</v>
      </c>
    </row>
    <row r="291" spans="1:26" s="25" customFormat="1" outlineLevel="1" collapsed="1" x14ac:dyDescent="0.35">
      <c r="A291" s="26"/>
      <c r="B291" s="12" t="str">
        <f>CONCATENATE("     ","Telephone/Data Lines                              ")</f>
        <v xml:space="preserve">     Telephone/Data Lines                              </v>
      </c>
      <c r="C291" s="12"/>
      <c r="D291" s="1">
        <f>SUM(OSRRefD22_22x_0)</f>
        <v>1029.25</v>
      </c>
      <c r="E291" s="1"/>
      <c r="F291" s="5">
        <f t="shared" ref="F291:F293" si="128">IF(D$12=0,0,D291/D$12)</f>
        <v>4.9442147979232038E-3</v>
      </c>
      <c r="G291" s="1"/>
      <c r="H291" s="1">
        <f>SUM(OSRRefH22_22x_0)</f>
        <v>3264.52</v>
      </c>
      <c r="I291" s="1"/>
      <c r="J291" s="5">
        <f t="shared" ref="J291:J293" si="129">IF(H$12=0,0,H291/H$12)</f>
        <v>1.0546690294726579E-2</v>
      </c>
      <c r="K291" s="1"/>
      <c r="L291" s="1">
        <f t="shared" ref="L291:L293" si="130">+D291-H291</f>
        <v>-2235.27</v>
      </c>
      <c r="M291" s="1"/>
      <c r="N291" s="5">
        <f t="shared" ref="N291:N293" si="131">IF(H291=0,0,L291/H291)</f>
        <v>-0.68471628294511899</v>
      </c>
      <c r="O291" s="12"/>
      <c r="P291" s="1">
        <f>SUM(OSRRefP22_22x_0)</f>
        <v>33262.39</v>
      </c>
      <c r="Q291" s="1"/>
      <c r="R291" s="5">
        <f t="shared" ref="R291:R293" si="132">IF(P$12=0,0,P291/P$12)</f>
        <v>2.8675619555889754E-3</v>
      </c>
      <c r="S291" s="1"/>
      <c r="T291" s="1">
        <f>SUM(OSRRefT22_22x_0)</f>
        <v>37672.15</v>
      </c>
      <c r="U291" s="1"/>
      <c r="V291" s="5">
        <f t="shared" ref="V291:V293" si="133">IF(T$12=0,0,T291/T$12)</f>
        <v>2.5947641037244824E-3</v>
      </c>
      <c r="W291" s="1"/>
      <c r="X291" s="1">
        <f t="shared" ref="X291:X293" si="134">+P291-T291</f>
        <v>-4409.760000000002</v>
      </c>
      <c r="Y291" s="1"/>
      <c r="Z291" s="5">
        <f t="shared" ref="Z291:Z293" si="135">IF(T291=0,0,X291/T291)</f>
        <v>-0.11705623384914325</v>
      </c>
    </row>
    <row r="292" spans="1:26" s="24" customFormat="1" hidden="1" outlineLevel="2" x14ac:dyDescent="0.35">
      <c r="A292" s="27"/>
      <c r="B292" s="11" t="str">
        <f>CONCATENATE("          ", "6303", " - ", "DATA PHONE LINES")</f>
        <v xml:space="preserve">          6303 - DATA PHONE LINES</v>
      </c>
      <c r="C292" s="11"/>
      <c r="D292" s="7"/>
      <c r="E292" s="2"/>
      <c r="F292" s="6">
        <f t="shared" si="128"/>
        <v>0</v>
      </c>
      <c r="G292" s="2"/>
      <c r="H292" s="7">
        <v>295</v>
      </c>
      <c r="I292" s="2"/>
      <c r="J292" s="6">
        <f t="shared" si="129"/>
        <v>9.5305699978690298E-4</v>
      </c>
      <c r="K292" s="2"/>
      <c r="L292" s="7">
        <f t="shared" si="130"/>
        <v>-295</v>
      </c>
      <c r="M292" s="2"/>
      <c r="N292" s="6">
        <f t="shared" si="131"/>
        <v>-1</v>
      </c>
      <c r="O292" s="11"/>
      <c r="P292" s="7">
        <v>2950</v>
      </c>
      <c r="Q292" s="2"/>
      <c r="R292" s="6">
        <f t="shared" si="132"/>
        <v>2.5432050339700419E-4</v>
      </c>
      <c r="S292" s="2"/>
      <c r="T292" s="7">
        <v>3540</v>
      </c>
      <c r="U292" s="2"/>
      <c r="V292" s="6">
        <f t="shared" si="133"/>
        <v>2.4382640563877205E-4</v>
      </c>
      <c r="W292" s="2"/>
      <c r="X292" s="7">
        <f t="shared" si="134"/>
        <v>-590</v>
      </c>
      <c r="Y292" s="2"/>
      <c r="Z292" s="6">
        <f t="shared" si="135"/>
        <v>-0.16666666666666666</v>
      </c>
    </row>
    <row r="293" spans="1:26" s="24" customFormat="1" hidden="1" outlineLevel="2" x14ac:dyDescent="0.35">
      <c r="A293" s="27"/>
      <c r="B293" s="11" t="str">
        <f>CONCATENATE("          ", "6309", " - ", "TELEPHONE")</f>
        <v xml:space="preserve">          6309 - TELEPHONE</v>
      </c>
      <c r="C293" s="11"/>
      <c r="D293" s="7">
        <v>1029.25</v>
      </c>
      <c r="E293" s="2"/>
      <c r="F293" s="6">
        <f t="shared" si="128"/>
        <v>4.9442147979232038E-3</v>
      </c>
      <c r="G293" s="2"/>
      <c r="H293" s="7">
        <v>2969.52</v>
      </c>
      <c r="I293" s="2"/>
      <c r="J293" s="6">
        <f t="shared" si="129"/>
        <v>9.5936332949396758E-3</v>
      </c>
      <c r="K293" s="2"/>
      <c r="L293" s="7">
        <f t="shared" si="130"/>
        <v>-1940.27</v>
      </c>
      <c r="M293" s="2"/>
      <c r="N293" s="6">
        <f t="shared" si="131"/>
        <v>-0.6533951615075837</v>
      </c>
      <c r="O293" s="11"/>
      <c r="P293" s="7">
        <v>30312.390000000003</v>
      </c>
      <c r="Q293" s="2"/>
      <c r="R293" s="6">
        <f t="shared" si="132"/>
        <v>2.6132414521919715E-3</v>
      </c>
      <c r="S293" s="2"/>
      <c r="T293" s="7">
        <v>34132.15</v>
      </c>
      <c r="U293" s="2"/>
      <c r="V293" s="6">
        <f t="shared" si="133"/>
        <v>2.3509376980857103E-3</v>
      </c>
      <c r="W293" s="2"/>
      <c r="X293" s="7">
        <f t="shared" si="134"/>
        <v>-3819.7599999999984</v>
      </c>
      <c r="Y293" s="2"/>
      <c r="Z293" s="6">
        <f t="shared" si="135"/>
        <v>-0.11191091097396438</v>
      </c>
    </row>
    <row r="294" spans="1:26" s="25" customFormat="1" outlineLevel="1" collapsed="1" x14ac:dyDescent="0.35">
      <c r="A294" s="26"/>
      <c r="B294" s="12" t="str">
        <f>CONCATENATE("     ","Training                                          ")</f>
        <v xml:space="preserve">     Training                                          </v>
      </c>
      <c r="C294" s="12"/>
      <c r="D294" s="1">
        <f>SUM(OSRRefD22_23x_0)</f>
        <v>0</v>
      </c>
      <c r="E294" s="1"/>
      <c r="F294" s="5">
        <f t="shared" ref="F294:F299" si="136">IF(D$12=0,0,D294/D$12)</f>
        <v>0</v>
      </c>
      <c r="G294" s="1"/>
      <c r="H294" s="1">
        <f>SUM(OSRRefH22_23x_0)</f>
        <v>375</v>
      </c>
      <c r="I294" s="1"/>
      <c r="J294" s="5">
        <f t="shared" ref="J294:J299" si="137">IF(H$12=0,0,H294/H$12)</f>
        <v>1.2115131353223343E-3</v>
      </c>
      <c r="K294" s="1"/>
      <c r="L294" s="1">
        <f t="shared" ref="L294:L299" si="138">+D294-H294</f>
        <v>-375</v>
      </c>
      <c r="M294" s="1"/>
      <c r="N294" s="5">
        <f t="shared" ref="N294:N299" si="139">IF(H294=0,0,L294/H294)</f>
        <v>-1</v>
      </c>
      <c r="O294" s="12"/>
      <c r="P294" s="1">
        <f>SUM(OSRRefP22_23x_0)</f>
        <v>23967.01</v>
      </c>
      <c r="Q294" s="1"/>
      <c r="R294" s="5">
        <f t="shared" ref="R294:R299" si="140">IF(P$12=0,0,P294/P$12)</f>
        <v>2.0662040841088248E-3</v>
      </c>
      <c r="S294" s="1"/>
      <c r="T294" s="1">
        <f>SUM(OSRRefT22_23x_0)</f>
        <v>21445.510000000002</v>
      </c>
      <c r="U294" s="1"/>
      <c r="V294" s="5">
        <f t="shared" ref="V294:V299" si="141">IF(T$12=0,0,T294/T$12)</f>
        <v>1.4771134520876676E-3</v>
      </c>
      <c r="W294" s="1"/>
      <c r="X294" s="1">
        <f t="shared" ref="X294:X299" si="142">+P294-T294</f>
        <v>2521.4999999999964</v>
      </c>
      <c r="Y294" s="1"/>
      <c r="Z294" s="5">
        <f t="shared" ref="Z294:Z299" si="143">IF(T294=0,0,X294/T294)</f>
        <v>0.11757705925389493</v>
      </c>
    </row>
    <row r="295" spans="1:26" s="24" customFormat="1" hidden="1" outlineLevel="2" x14ac:dyDescent="0.35">
      <c r="A295" s="27"/>
      <c r="B295" s="11" t="str">
        <f>CONCATENATE("          ", "6376", " - ", "TRAINING")</f>
        <v xml:space="preserve">          6376 - TRAINING</v>
      </c>
      <c r="C295" s="11"/>
      <c r="D295" s="7"/>
      <c r="E295" s="2"/>
      <c r="F295" s="6">
        <f t="shared" si="136"/>
        <v>0</v>
      </c>
      <c r="G295" s="2"/>
      <c r="H295" s="7">
        <v>375</v>
      </c>
      <c r="I295" s="2"/>
      <c r="J295" s="6">
        <f t="shared" si="137"/>
        <v>1.2115131353223343E-3</v>
      </c>
      <c r="K295" s="2"/>
      <c r="L295" s="7">
        <f t="shared" si="138"/>
        <v>-375</v>
      </c>
      <c r="M295" s="2"/>
      <c r="N295" s="6">
        <f t="shared" si="139"/>
        <v>-1</v>
      </c>
      <c r="O295" s="11"/>
      <c r="P295" s="7">
        <v>23967.01</v>
      </c>
      <c r="Q295" s="2"/>
      <c r="R295" s="6">
        <f t="shared" si="140"/>
        <v>2.0662040841088248E-3</v>
      </c>
      <c r="S295" s="2"/>
      <c r="T295" s="7">
        <v>21445.510000000002</v>
      </c>
      <c r="U295" s="2"/>
      <c r="V295" s="6">
        <f t="shared" si="141"/>
        <v>1.4771134520876676E-3</v>
      </c>
      <c r="W295" s="2"/>
      <c r="X295" s="7">
        <f t="shared" si="142"/>
        <v>2521.4999999999964</v>
      </c>
      <c r="Y295" s="2"/>
      <c r="Z295" s="6">
        <f t="shared" si="143"/>
        <v>0.11757705925389493</v>
      </c>
    </row>
    <row r="296" spans="1:26" s="25" customFormat="1" outlineLevel="1" collapsed="1" x14ac:dyDescent="0.35">
      <c r="A296" s="26"/>
      <c r="B296" s="12" t="str">
        <f>CONCATENATE("     ","Travel                                            ")</f>
        <v xml:space="preserve">     Travel                                            </v>
      </c>
      <c r="C296" s="12"/>
      <c r="D296" s="1">
        <f>SUM(OSRRefD22_24x_0)</f>
        <v>0</v>
      </c>
      <c r="E296" s="1"/>
      <c r="F296" s="5">
        <f t="shared" si="136"/>
        <v>0</v>
      </c>
      <c r="G296" s="1"/>
      <c r="H296" s="1">
        <f>SUM(OSRRefH22_24x_0)</f>
        <v>491.27</v>
      </c>
      <c r="I296" s="1"/>
      <c r="J296" s="5">
        <f t="shared" si="137"/>
        <v>1.5871468213061418E-3</v>
      </c>
      <c r="K296" s="1"/>
      <c r="L296" s="1">
        <f t="shared" si="138"/>
        <v>-491.27</v>
      </c>
      <c r="M296" s="1"/>
      <c r="N296" s="5">
        <f t="shared" si="139"/>
        <v>-1</v>
      </c>
      <c r="O296" s="12"/>
      <c r="P296" s="1">
        <f>SUM(OSRRefP22_24x_0)</f>
        <v>1383.79</v>
      </c>
      <c r="Q296" s="1"/>
      <c r="R296" s="5">
        <f t="shared" si="140"/>
        <v>1.1929700657482725E-4</v>
      </c>
      <c r="S296" s="1"/>
      <c r="T296" s="1">
        <f>SUM(OSRRefT22_24x_0)</f>
        <v>4176.3599999999997</v>
      </c>
      <c r="U296" s="1"/>
      <c r="V296" s="5">
        <f t="shared" si="141"/>
        <v>2.8765730154054858E-4</v>
      </c>
      <c r="W296" s="1"/>
      <c r="X296" s="1">
        <f t="shared" si="142"/>
        <v>-2792.5699999999997</v>
      </c>
      <c r="Y296" s="1"/>
      <c r="Z296" s="5">
        <f t="shared" si="143"/>
        <v>-0.66866122652261772</v>
      </c>
    </row>
    <row r="297" spans="1:26" s="24" customFormat="1" hidden="1" outlineLevel="2" x14ac:dyDescent="0.35">
      <c r="A297" s="27"/>
      <c r="B297" s="11" t="str">
        <f>CONCATENATE("          ", "6292", " - ", "TRAVEL/CONFERENCE")</f>
        <v xml:space="preserve">          6292 - TRAVEL/CONFERENCE</v>
      </c>
      <c r="C297" s="11"/>
      <c r="D297" s="7"/>
      <c r="E297" s="2"/>
      <c r="F297" s="6">
        <f t="shared" si="136"/>
        <v>0</v>
      </c>
      <c r="G297" s="2"/>
      <c r="H297" s="7">
        <v>326.18</v>
      </c>
      <c r="I297" s="2"/>
      <c r="J297" s="6">
        <f t="shared" si="137"/>
        <v>1.0537902786118374E-3</v>
      </c>
      <c r="K297" s="2"/>
      <c r="L297" s="7">
        <f t="shared" si="138"/>
        <v>-326.18</v>
      </c>
      <c r="M297" s="2"/>
      <c r="N297" s="6">
        <f t="shared" si="139"/>
        <v>-1</v>
      </c>
      <c r="O297" s="11"/>
      <c r="P297" s="7">
        <v>504.66</v>
      </c>
      <c r="Q297" s="2"/>
      <c r="R297" s="6">
        <f t="shared" si="140"/>
        <v>4.3506910252315979E-5</v>
      </c>
      <c r="S297" s="2"/>
      <c r="T297" s="7">
        <v>2787.64</v>
      </c>
      <c r="U297" s="2"/>
      <c r="V297" s="6">
        <f t="shared" si="141"/>
        <v>1.9200571791380409E-4</v>
      </c>
      <c r="W297" s="2"/>
      <c r="X297" s="7">
        <f t="shared" si="142"/>
        <v>-2282.98</v>
      </c>
      <c r="Y297" s="2"/>
      <c r="Z297" s="6">
        <f t="shared" si="143"/>
        <v>-0.81896514614512639</v>
      </c>
    </row>
    <row r="298" spans="1:26" s="24" customFormat="1" hidden="1" outlineLevel="2" x14ac:dyDescent="0.35">
      <c r="A298" s="27"/>
      <c r="B298" s="11" t="str">
        <f>CONCATENATE("          ", "6294", " - ", "TRAVEL OPERATIONAL")</f>
        <v xml:space="preserve">          6294 - TRAVEL OPERATIONAL</v>
      </c>
      <c r="C298" s="11"/>
      <c r="D298" s="7"/>
      <c r="E298" s="2"/>
      <c r="F298" s="6">
        <f t="shared" si="136"/>
        <v>0</v>
      </c>
      <c r="G298" s="2"/>
      <c r="H298" s="7">
        <v>141.72999999999999</v>
      </c>
      <c r="I298" s="2"/>
      <c r="J298" s="6">
        <f t="shared" si="137"/>
        <v>4.5788735111795847E-4</v>
      </c>
      <c r="K298" s="2"/>
      <c r="L298" s="7">
        <f t="shared" si="138"/>
        <v>-141.72999999999999</v>
      </c>
      <c r="M298" s="2"/>
      <c r="N298" s="6">
        <f t="shared" si="139"/>
        <v>-1</v>
      </c>
      <c r="O298" s="11"/>
      <c r="P298" s="7">
        <v>361.61</v>
      </c>
      <c r="Q298" s="2"/>
      <c r="R298" s="6">
        <f t="shared" si="140"/>
        <v>3.1174521096064638E-5</v>
      </c>
      <c r="S298" s="2"/>
      <c r="T298" s="7">
        <v>721.13</v>
      </c>
      <c r="U298" s="2"/>
      <c r="V298" s="6">
        <f t="shared" si="141"/>
        <v>4.9669642909120819E-5</v>
      </c>
      <c r="W298" s="2"/>
      <c r="X298" s="7">
        <f t="shared" si="142"/>
        <v>-359.52</v>
      </c>
      <c r="Y298" s="2"/>
      <c r="Z298" s="6">
        <f t="shared" si="143"/>
        <v>-0.49855088541594439</v>
      </c>
    </row>
    <row r="299" spans="1:26" s="24" customFormat="1" hidden="1" outlineLevel="2" x14ac:dyDescent="0.35">
      <c r="A299" s="27"/>
      <c r="B299" s="11" t="str">
        <f>CONCATENATE("          ", "6298", " - ", "VEHICLE MILEAGE")</f>
        <v xml:space="preserve">          6298 - VEHICLE MILEAGE</v>
      </c>
      <c r="C299" s="11"/>
      <c r="D299" s="7"/>
      <c r="E299" s="2"/>
      <c r="F299" s="6">
        <f t="shared" si="136"/>
        <v>0</v>
      </c>
      <c r="G299" s="2"/>
      <c r="H299" s="7">
        <v>23.36</v>
      </c>
      <c r="I299" s="2"/>
      <c r="J299" s="6">
        <f t="shared" si="137"/>
        <v>7.5469191576345938E-5</v>
      </c>
      <c r="K299" s="2"/>
      <c r="L299" s="7">
        <f t="shared" si="138"/>
        <v>-23.36</v>
      </c>
      <c r="M299" s="2"/>
      <c r="N299" s="6">
        <f t="shared" si="139"/>
        <v>-1</v>
      </c>
      <c r="O299" s="11"/>
      <c r="P299" s="7">
        <v>517.52</v>
      </c>
      <c r="Q299" s="2"/>
      <c r="R299" s="6">
        <f t="shared" si="140"/>
        <v>4.461557522644664E-5</v>
      </c>
      <c r="S299" s="2"/>
      <c r="T299" s="7">
        <v>667.59</v>
      </c>
      <c r="U299" s="2"/>
      <c r="V299" s="6">
        <f t="shared" si="141"/>
        <v>4.5981940717623684E-5</v>
      </c>
      <c r="W299" s="2"/>
      <c r="X299" s="7">
        <f t="shared" si="142"/>
        <v>-150.07000000000005</v>
      </c>
      <c r="Y299" s="2"/>
      <c r="Z299" s="6">
        <f t="shared" si="143"/>
        <v>-0.22479366077982002</v>
      </c>
    </row>
    <row r="300" spans="1:26" s="25" customFormat="1" outlineLevel="1" collapsed="1" x14ac:dyDescent="0.35">
      <c r="A300" s="26"/>
      <c r="B300" s="12" t="str">
        <f>CONCATENATE("     ","Utilities                                         ")</f>
        <v xml:space="preserve">     Utilities                                         </v>
      </c>
      <c r="C300" s="12"/>
      <c r="D300" s="1">
        <f>SUM(OSRRefD22_25x_0)</f>
        <v>7251.8</v>
      </c>
      <c r="E300" s="1"/>
      <c r="F300" s="5">
        <f t="shared" ref="F300:F301" si="144">IF(D$12=0,0,D300/D$12)</f>
        <v>3.4835517970929791E-2</v>
      </c>
      <c r="G300" s="1"/>
      <c r="H300" s="1">
        <f>SUM(OSRRefH22_25x_0)</f>
        <v>6594.24</v>
      </c>
      <c r="I300" s="1"/>
      <c r="J300" s="5">
        <f t="shared" ref="J300:J301" si="145">IF(H$12=0,0,H300/H$12)</f>
        <v>2.1304022339914533E-2</v>
      </c>
      <c r="K300" s="1"/>
      <c r="L300" s="1">
        <f t="shared" ref="L300:L301" si="146">+D300-H300</f>
        <v>657.5600000000004</v>
      </c>
      <c r="M300" s="1"/>
      <c r="N300" s="5">
        <f t="shared" ref="N300:N301" si="147">IF(H300=0,0,L300/H300)</f>
        <v>9.9717329062939841E-2</v>
      </c>
      <c r="O300" s="12"/>
      <c r="P300" s="1">
        <f>SUM(OSRRefP22_25x_0)</f>
        <v>84220.32</v>
      </c>
      <c r="Q300" s="1"/>
      <c r="R300" s="5">
        <f t="shared" ref="R300:R301" si="148">IF(P$12=0,0,P300/P$12)</f>
        <v>7.2606624334429761E-3</v>
      </c>
      <c r="S300" s="1"/>
      <c r="T300" s="1">
        <f>SUM(OSRRefT22_25x_0)</f>
        <v>68221.05</v>
      </c>
      <c r="U300" s="1"/>
      <c r="V300" s="5">
        <f t="shared" ref="V300:V301" si="149">IF(T$12=0,0,T300/T$12)</f>
        <v>4.6988964436166531E-3</v>
      </c>
      <c r="W300" s="1"/>
      <c r="X300" s="1">
        <f t="shared" ref="X300:X301" si="150">+P300-T300</f>
        <v>15999.270000000004</v>
      </c>
      <c r="Y300" s="1"/>
      <c r="Z300" s="5">
        <f t="shared" ref="Z300:Z301" si="151">IF(T300=0,0,X300/T300)</f>
        <v>0.23452101660704436</v>
      </c>
    </row>
    <row r="301" spans="1:26" s="24" customFormat="1" hidden="1" outlineLevel="2" x14ac:dyDescent="0.35">
      <c r="A301" s="27"/>
      <c r="B301" s="11" t="str">
        <f>CONCATENATE("          ", "6274", " - ", "UTILITIES")</f>
        <v xml:space="preserve">          6274 - UTILITIES</v>
      </c>
      <c r="C301" s="11"/>
      <c r="D301" s="7">
        <v>7251.8</v>
      </c>
      <c r="E301" s="2"/>
      <c r="F301" s="6">
        <f t="shared" si="144"/>
        <v>3.4835517970929791E-2</v>
      </c>
      <c r="G301" s="2"/>
      <c r="H301" s="7">
        <v>6594.24</v>
      </c>
      <c r="I301" s="2"/>
      <c r="J301" s="6">
        <f t="shared" si="145"/>
        <v>2.1304022339914533E-2</v>
      </c>
      <c r="K301" s="2"/>
      <c r="L301" s="7">
        <f t="shared" si="146"/>
        <v>657.5600000000004</v>
      </c>
      <c r="M301" s="2"/>
      <c r="N301" s="6">
        <f t="shared" si="147"/>
        <v>9.9717329062939841E-2</v>
      </c>
      <c r="O301" s="11"/>
      <c r="P301" s="7">
        <v>84220.32</v>
      </c>
      <c r="Q301" s="2"/>
      <c r="R301" s="6">
        <f t="shared" si="148"/>
        <v>7.2606624334429761E-3</v>
      </c>
      <c r="S301" s="2"/>
      <c r="T301" s="7">
        <v>68221.05</v>
      </c>
      <c r="U301" s="2"/>
      <c r="V301" s="6">
        <f t="shared" si="149"/>
        <v>4.6988964436166531E-3</v>
      </c>
      <c r="W301" s="2"/>
      <c r="X301" s="7">
        <f t="shared" si="150"/>
        <v>15999.270000000004</v>
      </c>
      <c r="Y301" s="2"/>
      <c r="Z301" s="6">
        <f t="shared" si="151"/>
        <v>0.23452101660704436</v>
      </c>
    </row>
    <row r="302" spans="1:26" s="56" customFormat="1" x14ac:dyDescent="0.35">
      <c r="A302" s="37"/>
      <c r="B302" s="37"/>
      <c r="C302" s="37"/>
      <c r="D302" s="1"/>
      <c r="E302" s="1"/>
      <c r="F302" s="5"/>
      <c r="G302" s="1"/>
      <c r="H302" s="1"/>
      <c r="I302" s="1"/>
      <c r="J302" s="5"/>
      <c r="K302" s="1"/>
      <c r="L302" s="1"/>
      <c r="M302" s="1"/>
      <c r="N302" s="5"/>
      <c r="O302" s="37"/>
      <c r="P302" s="1"/>
      <c r="Q302" s="1"/>
      <c r="R302" s="5"/>
      <c r="S302" s="1"/>
      <c r="T302" s="1"/>
      <c r="U302" s="1"/>
      <c r="V302" s="5"/>
      <c r="W302" s="1"/>
      <c r="X302" s="1"/>
      <c r="Y302" s="1"/>
      <c r="Z302" s="5"/>
    </row>
    <row r="303" spans="1:26" s="23" customFormat="1" collapsed="1" x14ac:dyDescent="0.35">
      <c r="A303" s="10"/>
      <c r="B303" s="29" t="s">
        <v>0</v>
      </c>
      <c r="C303" s="10"/>
      <c r="D303" s="4">
        <f>SUM(OSRRefD25x_0)</f>
        <v>38229.74</v>
      </c>
      <c r="E303" s="4"/>
      <c r="F303" s="13">
        <f t="shared" ref="F303:F312" si="152">IF(D$12=0,0,D303/D$12)</f>
        <v>0.18364444617804868</v>
      </c>
      <c r="G303" s="4"/>
      <c r="H303" s="4">
        <f>SUM(OSRRefH25x_0)</f>
        <v>144302.86000000002</v>
      </c>
      <c r="I303" s="4"/>
      <c r="J303" s="13">
        <f t="shared" ref="J303:J312" si="153">IF(H$12=0,0,H303/H$12)</f>
        <v>0.46619949427887969</v>
      </c>
      <c r="K303" s="4"/>
      <c r="L303" s="4">
        <f t="shared" ref="L303:L312" si="154">+D303-H303</f>
        <v>-106073.12000000002</v>
      </c>
      <c r="M303" s="4"/>
      <c r="N303" s="13">
        <f t="shared" ref="N303:N312" si="155">IF(H303=0,0,L303/H303)</f>
        <v>-0.73507288767526857</v>
      </c>
      <c r="O303" s="10"/>
      <c r="P303" s="4">
        <f>SUM(OSRRefP25x_0)</f>
        <v>1207334.8899999999</v>
      </c>
      <c r="Q303" s="4"/>
      <c r="R303" s="13">
        <f t="shared" ref="R303:R312" si="156">IF(P$12=0,0,P303/P$12)</f>
        <v>0.10408475152324292</v>
      </c>
      <c r="S303" s="4"/>
      <c r="T303" s="4">
        <f>SUM(OSRRefT25x_0)</f>
        <v>1346921.7200000002</v>
      </c>
      <c r="U303" s="4"/>
      <c r="V303" s="13">
        <f t="shared" ref="V303:V312" si="157">IF(T$12=0,0,T303/T$12)</f>
        <v>9.2772621939093955E-2</v>
      </c>
      <c r="W303" s="4"/>
      <c r="X303" s="4">
        <f t="shared" ref="X303:X312" si="158">+P303-T303</f>
        <v>-139586.83000000031</v>
      </c>
      <c r="Y303" s="4"/>
      <c r="Z303" s="13">
        <f t="shared" ref="Z303:Z312" si="159">IF(T303=0,0,X303/T303)</f>
        <v>-0.10363395877230362</v>
      </c>
    </row>
    <row r="304" spans="1:26" s="24" customFormat="1" hidden="1" outlineLevel="1" x14ac:dyDescent="0.35">
      <c r="A304" s="44"/>
      <c r="B304" s="11" t="str">
        <f>CONCATENATE("          ", "4098", " - ", "TAXABLE SALES-GRAD RENTALS")</f>
        <v xml:space="preserve">          4098 - TAXABLE SALES-GRAD RENTALS</v>
      </c>
      <c r="C304" s="11"/>
      <c r="D304" s="2">
        <f t="shared" ref="D304:D306" si="160">0</f>
        <v>0</v>
      </c>
      <c r="E304" s="2"/>
      <c r="F304" s="19">
        <f t="shared" si="152"/>
        <v>0</v>
      </c>
      <c r="G304" s="2"/>
      <c r="H304" s="2">
        <f>--8835</f>
        <v>8835</v>
      </c>
      <c r="I304" s="2"/>
      <c r="J304" s="19">
        <f t="shared" si="153"/>
        <v>2.8543249468194198E-2</v>
      </c>
      <c r="K304" s="2"/>
      <c r="L304" s="2">
        <f t="shared" si="154"/>
        <v>-8835</v>
      </c>
      <c r="M304" s="2"/>
      <c r="N304" s="19">
        <f t="shared" si="155"/>
        <v>-1</v>
      </c>
      <c r="O304" s="11"/>
      <c r="P304" s="2">
        <f>--1946.85</f>
        <v>1946.85</v>
      </c>
      <c r="Q304" s="2"/>
      <c r="R304" s="19">
        <f t="shared" si="156"/>
        <v>1.6783860069100257E-4</v>
      </c>
      <c r="S304" s="2"/>
      <c r="T304" s="2">
        <f>--86267.28</f>
        <v>86267.28</v>
      </c>
      <c r="U304" s="2"/>
      <c r="V304" s="19">
        <f t="shared" si="157"/>
        <v>5.9418759340772679E-3</v>
      </c>
      <c r="W304" s="2"/>
      <c r="X304" s="2">
        <f t="shared" si="158"/>
        <v>-84320.43</v>
      </c>
      <c r="Y304" s="2"/>
      <c r="Z304" s="19">
        <f t="shared" si="159"/>
        <v>-0.9774323474670813</v>
      </c>
    </row>
    <row r="305" spans="1:26" s="24" customFormat="1" hidden="1" outlineLevel="1" x14ac:dyDescent="0.35">
      <c r="A305" s="44"/>
      <c r="B305" s="11" t="str">
        <f>CONCATENATE("          ", "4197", " - ", "NON-TAXABLE SALES-RETURNED CHE")</f>
        <v xml:space="preserve">          4197 - NON-TAXABLE SALES-RETURNED CHE</v>
      </c>
      <c r="C305" s="11"/>
      <c r="D305" s="2">
        <f t="shared" si="160"/>
        <v>0</v>
      </c>
      <c r="E305" s="2"/>
      <c r="F305" s="19">
        <f t="shared" si="152"/>
        <v>0</v>
      </c>
      <c r="G305" s="2"/>
      <c r="H305" s="2">
        <f>0</f>
        <v>0</v>
      </c>
      <c r="I305" s="2"/>
      <c r="J305" s="19">
        <f t="shared" si="153"/>
        <v>0</v>
      </c>
      <c r="K305" s="2"/>
      <c r="L305" s="2">
        <f t="shared" si="154"/>
        <v>0</v>
      </c>
      <c r="M305" s="2"/>
      <c r="N305" s="19">
        <f t="shared" si="155"/>
        <v>0</v>
      </c>
      <c r="O305" s="11"/>
      <c r="P305" s="2">
        <f>--30</f>
        <v>30</v>
      </c>
      <c r="Q305" s="2"/>
      <c r="R305" s="19">
        <f t="shared" si="156"/>
        <v>2.5863102040373307E-6</v>
      </c>
      <c r="S305" s="2"/>
      <c r="T305" s="2">
        <f>--335</f>
        <v>335</v>
      </c>
      <c r="U305" s="2"/>
      <c r="V305" s="19">
        <f t="shared" si="157"/>
        <v>2.3073967765251028E-5</v>
      </c>
      <c r="W305" s="2"/>
      <c r="X305" s="2">
        <f t="shared" si="158"/>
        <v>-305</v>
      </c>
      <c r="Y305" s="2"/>
      <c r="Z305" s="19">
        <f t="shared" si="159"/>
        <v>-0.91044776119402981</v>
      </c>
    </row>
    <row r="306" spans="1:26" s="24" customFormat="1" hidden="1" outlineLevel="1" x14ac:dyDescent="0.35">
      <c r="A306" s="44"/>
      <c r="B306" s="11" t="str">
        <f>CONCATENATE("          ", "4198", " - ", "NON-TAXABLE SALES-GRAD RENTALS")</f>
        <v xml:space="preserve">          4198 - NON-TAXABLE SALES-GRAD RENTALS</v>
      </c>
      <c r="C306" s="11"/>
      <c r="D306" s="2">
        <f t="shared" si="160"/>
        <v>0</v>
      </c>
      <c r="E306" s="2"/>
      <c r="F306" s="19">
        <f t="shared" si="152"/>
        <v>0</v>
      </c>
      <c r="G306" s="2"/>
      <c r="H306" s="2">
        <f>--63293.56</f>
        <v>63293.56</v>
      </c>
      <c r="I306" s="2"/>
      <c r="J306" s="19">
        <f t="shared" si="153"/>
        <v>0.20448261152349942</v>
      </c>
      <c r="K306" s="2"/>
      <c r="L306" s="2">
        <f t="shared" si="154"/>
        <v>-63293.56</v>
      </c>
      <c r="M306" s="2"/>
      <c r="N306" s="19">
        <f t="shared" si="155"/>
        <v>-1</v>
      </c>
      <c r="O306" s="11"/>
      <c r="P306" s="2">
        <f>--163.76</f>
        <v>163.76</v>
      </c>
      <c r="Q306" s="2"/>
      <c r="R306" s="19">
        <f t="shared" si="156"/>
        <v>1.4117805300438442E-5</v>
      </c>
      <c r="S306" s="2"/>
      <c r="T306" s="2">
        <f>--449104.41</f>
        <v>449104.41</v>
      </c>
      <c r="U306" s="2"/>
      <c r="V306" s="19">
        <f t="shared" si="157"/>
        <v>3.0933196058424123E-2</v>
      </c>
      <c r="W306" s="2"/>
      <c r="X306" s="2">
        <f t="shared" si="158"/>
        <v>-448940.64999999997</v>
      </c>
      <c r="Y306" s="2"/>
      <c r="Z306" s="19">
        <f t="shared" si="159"/>
        <v>-0.99963536318870705</v>
      </c>
    </row>
    <row r="307" spans="1:26" s="24" customFormat="1" hidden="1" outlineLevel="1" x14ac:dyDescent="0.35">
      <c r="A307" s="44"/>
      <c r="B307" s="11" t="str">
        <f>CONCATENATE("          ", "9150", " - ", "MISC. INCOME")</f>
        <v xml:space="preserve">          9150 - MISC. INCOME</v>
      </c>
      <c r="C307" s="11"/>
      <c r="D307" s="2">
        <f>--56165.1</f>
        <v>56165.1</v>
      </c>
      <c r="E307" s="2"/>
      <c r="F307" s="19">
        <f t="shared" si="152"/>
        <v>0.2698006495475701</v>
      </c>
      <c r="G307" s="2"/>
      <c r="H307" s="2">
        <f>--69583.6</f>
        <v>69583.600000000006</v>
      </c>
      <c r="I307" s="2"/>
      <c r="J307" s="19">
        <f t="shared" si="153"/>
        <v>0.22480385440804052</v>
      </c>
      <c r="K307" s="2"/>
      <c r="L307" s="2">
        <f t="shared" si="154"/>
        <v>-13418.500000000007</v>
      </c>
      <c r="M307" s="2"/>
      <c r="N307" s="19">
        <f t="shared" si="155"/>
        <v>-0.19283997953540785</v>
      </c>
      <c r="O307" s="11"/>
      <c r="P307" s="2">
        <f>--532203.21</f>
        <v>532203.21</v>
      </c>
      <c r="Q307" s="2"/>
      <c r="R307" s="19">
        <f t="shared" si="156"/>
        <v>4.5881419754814072E-2</v>
      </c>
      <c r="S307" s="2"/>
      <c r="T307" s="2">
        <f>--688375.68</f>
        <v>688375.68</v>
      </c>
      <c r="U307" s="2"/>
      <c r="V307" s="19">
        <f t="shared" si="157"/>
        <v>4.7413606718515695E-2</v>
      </c>
      <c r="W307" s="2"/>
      <c r="X307" s="2">
        <f t="shared" si="158"/>
        <v>-156172.47000000009</v>
      </c>
      <c r="Y307" s="2"/>
      <c r="Z307" s="19">
        <f t="shared" si="159"/>
        <v>-0.22687098707496475</v>
      </c>
    </row>
    <row r="308" spans="1:26" s="24" customFormat="1" hidden="1" outlineLevel="1" x14ac:dyDescent="0.35">
      <c r="A308" s="44"/>
      <c r="B308" s="11" t="str">
        <f>CONCATENATE("          ", "9151", " - ", "MISC. INCOME")</f>
        <v xml:space="preserve">          9151 - MISC. INCOME</v>
      </c>
      <c r="C308" s="11"/>
      <c r="D308" s="2">
        <f>-18698.07</f>
        <v>-18698.07</v>
      </c>
      <c r="E308" s="2"/>
      <c r="F308" s="19">
        <f t="shared" si="152"/>
        <v>-8.9820038267285796E-2</v>
      </c>
      <c r="G308" s="2"/>
      <c r="H308" s="2">
        <f>0</f>
        <v>0</v>
      </c>
      <c r="I308" s="2"/>
      <c r="J308" s="19">
        <f t="shared" si="153"/>
        <v>0</v>
      </c>
      <c r="K308" s="2"/>
      <c r="L308" s="2">
        <f t="shared" si="154"/>
        <v>-18698.07</v>
      </c>
      <c r="M308" s="2"/>
      <c r="N308" s="19">
        <f t="shared" si="155"/>
        <v>0</v>
      </c>
      <c r="O308" s="11"/>
      <c r="P308" s="2">
        <f>--150694.63</f>
        <v>150694.63</v>
      </c>
      <c r="Q308" s="2"/>
      <c r="R308" s="19">
        <f t="shared" si="156"/>
        <v>1.2991435308754335E-2</v>
      </c>
      <c r="S308" s="2"/>
      <c r="T308" s="2">
        <f>--498.26</f>
        <v>498.26</v>
      </c>
      <c r="U308" s="2"/>
      <c r="V308" s="19">
        <f t="shared" si="157"/>
        <v>3.4318910981235751E-5</v>
      </c>
      <c r="W308" s="2"/>
      <c r="X308" s="2">
        <f t="shared" si="158"/>
        <v>150196.37</v>
      </c>
      <c r="Y308" s="2"/>
      <c r="Z308" s="19">
        <f t="shared" si="159"/>
        <v>301.44175731545778</v>
      </c>
    </row>
    <row r="309" spans="1:26" s="24" customFormat="1" hidden="1" outlineLevel="1" x14ac:dyDescent="0.35">
      <c r="A309" s="44"/>
      <c r="B309" s="11" t="str">
        <f>CONCATENATE("          ", "9152", " - ", "MISC. INCOME")</f>
        <v xml:space="preserve">          9152 - MISC. INCOME</v>
      </c>
      <c r="C309" s="11"/>
      <c r="D309" s="2">
        <f>--762.71</f>
        <v>762.71</v>
      </c>
      <c r="E309" s="2"/>
      <c r="F309" s="19">
        <f t="shared" si="152"/>
        <v>3.6638348977643979E-3</v>
      </c>
      <c r="G309" s="2"/>
      <c r="H309" s="2">
        <f>--2590.7</f>
        <v>2590.6999999999998</v>
      </c>
      <c r="I309" s="2"/>
      <c r="J309" s="19">
        <f t="shared" si="153"/>
        <v>8.3697788791455233E-3</v>
      </c>
      <c r="K309" s="2"/>
      <c r="L309" s="2">
        <f t="shared" si="154"/>
        <v>-1827.9899999999998</v>
      </c>
      <c r="M309" s="2"/>
      <c r="N309" s="19">
        <f t="shared" si="155"/>
        <v>-0.70559694291118225</v>
      </c>
      <c r="O309" s="11"/>
      <c r="P309" s="2">
        <f>--10637.6</f>
        <v>10637.6</v>
      </c>
      <c r="Q309" s="2"/>
      <c r="R309" s="19">
        <f t="shared" si="156"/>
        <v>9.1707111421558359E-4</v>
      </c>
      <c r="S309" s="2"/>
      <c r="T309" s="2">
        <f>--13830.34</f>
        <v>13830.34</v>
      </c>
      <c r="U309" s="2"/>
      <c r="V309" s="19">
        <f t="shared" si="157"/>
        <v>9.5259946072376691E-4</v>
      </c>
      <c r="W309" s="2"/>
      <c r="X309" s="2">
        <f t="shared" si="158"/>
        <v>-3192.74</v>
      </c>
      <c r="Y309" s="2"/>
      <c r="Z309" s="19">
        <f t="shared" si="159"/>
        <v>-0.23085043462416685</v>
      </c>
    </row>
    <row r="310" spans="1:26" s="24" customFormat="1" hidden="1" outlineLevel="1" x14ac:dyDescent="0.35">
      <c r="A310" s="44"/>
      <c r="B310" s="11" t="str">
        <f>CONCATENATE("          ", "9153", " - ", "MISC. INCOME")</f>
        <v xml:space="preserve">          9153 - MISC. INCOME</v>
      </c>
      <c r="C310" s="11"/>
      <c r="D310" s="2">
        <f t="shared" ref="D310:D312" si="161">0</f>
        <v>0</v>
      </c>
      <c r="E310" s="2"/>
      <c r="F310" s="19">
        <f t="shared" si="152"/>
        <v>0</v>
      </c>
      <c r="G310" s="2"/>
      <c r="H310" s="2">
        <f t="shared" ref="H310:H312" si="162">0</f>
        <v>0</v>
      </c>
      <c r="I310" s="2"/>
      <c r="J310" s="19">
        <f t="shared" si="153"/>
        <v>0</v>
      </c>
      <c r="K310" s="2"/>
      <c r="L310" s="2">
        <f t="shared" si="154"/>
        <v>0</v>
      </c>
      <c r="M310" s="2"/>
      <c r="N310" s="19">
        <f t="shared" si="155"/>
        <v>0</v>
      </c>
      <c r="O310" s="11"/>
      <c r="P310" s="2">
        <f>--450</f>
        <v>450</v>
      </c>
      <c r="Q310" s="2"/>
      <c r="R310" s="19">
        <f t="shared" si="156"/>
        <v>3.8794653060559957E-5</v>
      </c>
      <c r="S310" s="2"/>
      <c r="T310" s="2">
        <f>--180</f>
        <v>180</v>
      </c>
      <c r="U310" s="2"/>
      <c r="V310" s="19">
        <f t="shared" si="157"/>
        <v>1.2397952829090105E-5</v>
      </c>
      <c r="W310" s="2"/>
      <c r="X310" s="2">
        <f t="shared" si="158"/>
        <v>270</v>
      </c>
      <c r="Y310" s="2"/>
      <c r="Z310" s="19">
        <f t="shared" si="159"/>
        <v>1.5</v>
      </c>
    </row>
    <row r="311" spans="1:26" s="24" customFormat="1" hidden="1" outlineLevel="1" x14ac:dyDescent="0.35">
      <c r="A311" s="44"/>
      <c r="B311" s="11" t="str">
        <f>CONCATENATE("          ", "9160", " - ", "MISC. INCOME")</f>
        <v xml:space="preserve">          9160 - MISC. INCOME</v>
      </c>
      <c r="C311" s="11"/>
      <c r="D311" s="2">
        <f t="shared" si="161"/>
        <v>0</v>
      </c>
      <c r="E311" s="2"/>
      <c r="F311" s="19">
        <f t="shared" si="152"/>
        <v>0</v>
      </c>
      <c r="G311" s="2"/>
      <c r="H311" s="2">
        <f t="shared" si="162"/>
        <v>0</v>
      </c>
      <c r="I311" s="2"/>
      <c r="J311" s="19">
        <f t="shared" si="153"/>
        <v>0</v>
      </c>
      <c r="K311" s="2"/>
      <c r="L311" s="2">
        <f t="shared" si="154"/>
        <v>0</v>
      </c>
      <c r="M311" s="2"/>
      <c r="N311" s="19">
        <f t="shared" si="155"/>
        <v>0</v>
      </c>
      <c r="O311" s="11"/>
      <c r="P311" s="2">
        <f>--22475</f>
        <v>22475</v>
      </c>
      <c r="Q311" s="2"/>
      <c r="R311" s="19">
        <f t="shared" si="156"/>
        <v>1.9375773945246335E-3</v>
      </c>
      <c r="S311" s="2"/>
      <c r="T311" s="2">
        <f>--40000</f>
        <v>40000</v>
      </c>
      <c r="U311" s="2"/>
      <c r="V311" s="19">
        <f t="shared" si="157"/>
        <v>2.7551006286866899E-3</v>
      </c>
      <c r="W311" s="2"/>
      <c r="X311" s="2">
        <f t="shared" si="158"/>
        <v>-17525</v>
      </c>
      <c r="Y311" s="2"/>
      <c r="Z311" s="19">
        <f t="shared" si="159"/>
        <v>-0.43812499999999999</v>
      </c>
    </row>
    <row r="312" spans="1:26" s="24" customFormat="1" hidden="1" outlineLevel="1" x14ac:dyDescent="0.35">
      <c r="A312" s="44"/>
      <c r="B312" s="11" t="str">
        <f>CONCATENATE("          ", "9163", " - ", "MISC. INCOME")</f>
        <v xml:space="preserve">          9163 - MISC. INCOME</v>
      </c>
      <c r="C312" s="11"/>
      <c r="D312" s="2">
        <f t="shared" si="161"/>
        <v>0</v>
      </c>
      <c r="E312" s="2"/>
      <c r="F312" s="19">
        <f t="shared" si="152"/>
        <v>0</v>
      </c>
      <c r="G312" s="2"/>
      <c r="H312" s="2">
        <f t="shared" si="162"/>
        <v>0</v>
      </c>
      <c r="I312" s="2"/>
      <c r="J312" s="19">
        <f t="shared" si="153"/>
        <v>0</v>
      </c>
      <c r="K312" s="2"/>
      <c r="L312" s="2">
        <f t="shared" si="154"/>
        <v>0</v>
      </c>
      <c r="M312" s="2"/>
      <c r="N312" s="19">
        <f t="shared" si="155"/>
        <v>0</v>
      </c>
      <c r="O312" s="11"/>
      <c r="P312" s="2">
        <f>--488733.84</f>
        <v>488733.84</v>
      </c>
      <c r="Q312" s="2"/>
      <c r="R312" s="19">
        <f t="shared" si="156"/>
        <v>4.2133910581678272E-2</v>
      </c>
      <c r="S312" s="2"/>
      <c r="T312" s="2">
        <f>--68330.75</f>
        <v>68330.75</v>
      </c>
      <c r="U312" s="2"/>
      <c r="V312" s="19">
        <f t="shared" si="157"/>
        <v>4.7064523070908257E-3</v>
      </c>
      <c r="W312" s="2"/>
      <c r="X312" s="2">
        <f t="shared" si="158"/>
        <v>420403.09</v>
      </c>
      <c r="Y312" s="2"/>
      <c r="Z312" s="19">
        <f t="shared" si="159"/>
        <v>6.152472934952419</v>
      </c>
    </row>
    <row r="313" spans="1:26" x14ac:dyDescent="0.35">
      <c r="A313" s="9"/>
      <c r="B313" s="10"/>
      <c r="C313" s="10"/>
      <c r="D313" s="3"/>
      <c r="E313" s="3"/>
      <c r="F313" s="8"/>
      <c r="G313" s="3"/>
      <c r="H313" s="3"/>
      <c r="I313" s="3"/>
      <c r="J313" s="8"/>
      <c r="K313" s="3"/>
      <c r="L313" s="3"/>
      <c r="M313" s="3"/>
      <c r="N313" s="8"/>
      <c r="O313" s="10"/>
      <c r="P313" s="3"/>
      <c r="Q313" s="3"/>
      <c r="R313" s="8"/>
      <c r="S313" s="3"/>
      <c r="T313" s="3"/>
      <c r="U313" s="3"/>
      <c r="V313" s="8"/>
      <c r="W313" s="3"/>
      <c r="X313" s="3"/>
      <c r="Y313" s="3"/>
      <c r="Z313" s="8"/>
    </row>
    <row r="314" spans="1:26" s="23" customFormat="1" x14ac:dyDescent="0.35">
      <c r="A314" s="10"/>
      <c r="B314" s="28" t="s">
        <v>3</v>
      </c>
      <c r="C314" s="28"/>
      <c r="D314" s="22">
        <f>+D175-D177+D303</f>
        <v>-357347.17999999988</v>
      </c>
      <c r="E314" s="14"/>
      <c r="F314" s="21">
        <f>IF(D$12=0,0,D314/D$12)</f>
        <v>-1.7165909306311644</v>
      </c>
      <c r="G314" s="14"/>
      <c r="H314" s="22">
        <f>+H175-H177+H303</f>
        <v>-175376.53999999978</v>
      </c>
      <c r="I314" s="14"/>
      <c r="J314" s="21">
        <f>IF(H$12=0,0,H314/H$12)</f>
        <v>-0.56658928489968674</v>
      </c>
      <c r="K314" s="15"/>
      <c r="L314" s="22">
        <f>+D314-H314</f>
        <v>-181970.6400000001</v>
      </c>
      <c r="M314" s="15"/>
      <c r="N314" s="21">
        <f>IF(H314=0,0,L314/H314)</f>
        <v>1.0375996698304137</v>
      </c>
      <c r="O314" s="29"/>
      <c r="P314" s="22">
        <f>+P175-P177+P303</f>
        <v>795504.10000000359</v>
      </c>
      <c r="Q314" s="14"/>
      <c r="R314" s="21">
        <f>IF(P$12=0,0,P314/P$12)</f>
        <v>6.8580679039451406E-2</v>
      </c>
      <c r="S314" s="14"/>
      <c r="T314" s="22">
        <f>+T175-T177+T303</f>
        <v>1902278.8499999917</v>
      </c>
      <c r="U314" s="14"/>
      <c r="V314" s="21">
        <f>IF(T$12=0,0,T314/T$12)</f>
        <v>0.13102424138930927</v>
      </c>
      <c r="W314" s="15"/>
      <c r="X314" s="22">
        <f>+P314-T314</f>
        <v>-1106774.7499999881</v>
      </c>
      <c r="Y314" s="15"/>
      <c r="Z314" s="21">
        <f>IF(T314=0,0,X314/T314)</f>
        <v>-0.58181520022681898</v>
      </c>
    </row>
    <row r="315" spans="1:26" x14ac:dyDescent="0.35">
      <c r="A315" s="9"/>
      <c r="B315" s="10"/>
      <c r="C315" s="9"/>
      <c r="D315" s="3"/>
      <c r="E315" s="3"/>
      <c r="F315" s="8"/>
      <c r="G315" s="3"/>
      <c r="H315" s="3"/>
      <c r="I315" s="3"/>
      <c r="J315" s="8"/>
      <c r="K315" s="3"/>
      <c r="L315" s="3"/>
      <c r="M315" s="3"/>
      <c r="N315" s="8"/>
      <c r="P315" s="3"/>
      <c r="Q315" s="3"/>
      <c r="R315" s="8"/>
      <c r="S315" s="3"/>
      <c r="T315" s="3"/>
      <c r="U315" s="3"/>
      <c r="V315" s="8"/>
      <c r="W315" s="3"/>
      <c r="X315" s="3"/>
      <c r="Y315" s="3"/>
      <c r="Z315" s="8"/>
    </row>
    <row r="316" spans="1:26" s="23" customFormat="1" x14ac:dyDescent="0.35">
      <c r="A316" s="51"/>
      <c r="B316" s="10" t="s">
        <v>13</v>
      </c>
      <c r="C316" s="10"/>
      <c r="D316" s="4">
        <v>407647.43</v>
      </c>
      <c r="E316" s="4"/>
      <c r="F316" s="13">
        <f>IF(D$12=0,0,D316/D$12)</f>
        <v>1.9582185627800468</v>
      </c>
      <c r="G316" s="4"/>
      <c r="H316" s="4">
        <v>-443104.36</v>
      </c>
      <c r="I316" s="4"/>
      <c r="J316" s="13">
        <f>IF(H$12=0,0,H316/H$12)</f>
        <v>-1.4315380065562568</v>
      </c>
      <c r="K316" s="4"/>
      <c r="L316" s="4">
        <f>+D316-H316</f>
        <v>850751.79</v>
      </c>
      <c r="M316" s="4"/>
      <c r="N316" s="13">
        <f>IF(H316=0,0,L316/H316)</f>
        <v>-1.9199806339075518</v>
      </c>
      <c r="O316" s="10"/>
      <c r="P316" s="4">
        <v>1756619.3</v>
      </c>
      <c r="Q316" s="4"/>
      <c r="R316" s="13">
        <f>IF(P$12=0,0,P316/P$12)</f>
        <v>0.15143874733996376</v>
      </c>
      <c r="S316" s="4"/>
      <c r="T316" s="4">
        <v>1034838.2899999999</v>
      </c>
      <c r="U316" s="4"/>
      <c r="V316" s="13">
        <f>IF(T$12=0,0,T316/T$12)</f>
        <v>7.1277090584201466E-2</v>
      </c>
      <c r="W316" s="4"/>
      <c r="X316" s="4">
        <f>+P316-T316</f>
        <v>721781.01000000013</v>
      </c>
      <c r="Y316" s="4"/>
      <c r="Z316" s="13">
        <f>IF(T316=0,0,X316/T316)</f>
        <v>0.69748193217705556</v>
      </c>
    </row>
    <row r="317" spans="1:26" x14ac:dyDescent="0.35">
      <c r="A317" s="9"/>
      <c r="B317" s="10"/>
      <c r="C317" s="10"/>
      <c r="D317" s="3"/>
      <c r="E317" s="3"/>
      <c r="F317" s="8"/>
      <c r="G317" s="3"/>
      <c r="H317" s="3"/>
      <c r="I317" s="3"/>
      <c r="J317" s="8"/>
      <c r="K317" s="3"/>
      <c r="L317" s="3"/>
      <c r="M317" s="3"/>
      <c r="N317" s="8"/>
      <c r="O317" s="10"/>
      <c r="P317" s="3"/>
      <c r="Q317" s="3"/>
      <c r="R317" s="8"/>
      <c r="S317" s="3"/>
      <c r="T317" s="3"/>
      <c r="U317" s="3"/>
      <c r="V317" s="8"/>
      <c r="W317" s="3"/>
      <c r="X317" s="3"/>
      <c r="Y317" s="3"/>
      <c r="Z317" s="8"/>
    </row>
    <row r="318" spans="1:26" s="23" customFormat="1" ht="15" thickBot="1" x14ac:dyDescent="0.4">
      <c r="A318" s="10"/>
      <c r="B318" s="28" t="s">
        <v>4</v>
      </c>
      <c r="C318" s="28"/>
      <c r="D318" s="34">
        <f>+D314-D316</f>
        <v>-764994.60999999987</v>
      </c>
      <c r="E318" s="14"/>
      <c r="F318" s="32">
        <f>IF(D$12=0,0,D318/D$12)</f>
        <v>-3.6748094934112112</v>
      </c>
      <c r="G318" s="14"/>
      <c r="H318" s="34">
        <f>+H314-H316</f>
        <v>267727.82000000018</v>
      </c>
      <c r="I318" s="14"/>
      <c r="J318" s="32">
        <f>IF(H$12=0,0,H318/H$12)</f>
        <v>0.86494872165657011</v>
      </c>
      <c r="K318" s="15"/>
      <c r="L318" s="34">
        <f>D318-H318</f>
        <v>-1032722.43</v>
      </c>
      <c r="M318" s="15"/>
      <c r="N318" s="32">
        <f>IF(H318=0,0,L318/H318)</f>
        <v>-3.8573594257033106</v>
      </c>
      <c r="O318" s="29"/>
      <c r="P318" s="34">
        <f>+P314-P316</f>
        <v>-961115.19999999646</v>
      </c>
      <c r="Q318" s="14"/>
      <c r="R318" s="32">
        <f>IF(P$12=0,0,P318/P$12)</f>
        <v>-8.2858068300512358E-2</v>
      </c>
      <c r="S318" s="14"/>
      <c r="T318" s="34">
        <f>+T314-T316</f>
        <v>867440.55999999179</v>
      </c>
      <c r="U318" s="14"/>
      <c r="V318" s="32">
        <f>IF(T$12=0,0,T318/T$12)</f>
        <v>5.9747150805107792E-2</v>
      </c>
      <c r="W318" s="15"/>
      <c r="X318" s="34">
        <f>P318-T318</f>
        <v>-1828555.7599999881</v>
      </c>
      <c r="Y318" s="15"/>
      <c r="Z318" s="32">
        <f>IF(T318=0,0,X318/T318)</f>
        <v>-2.1079896932649835</v>
      </c>
    </row>
    <row r="319" spans="1:26" ht="15" thickTop="1" x14ac:dyDescent="0.35">
      <c r="A319" s="9"/>
      <c r="B319" s="9"/>
      <c r="C319" s="9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x14ac:dyDescent="0.35">
      <c r="A320" s="9"/>
      <c r="B320" s="9"/>
      <c r="C320" s="9"/>
      <c r="D320" s="3"/>
      <c r="E320" s="3"/>
      <c r="F320" s="8"/>
      <c r="G320" s="3"/>
      <c r="H320" s="3"/>
      <c r="I320" s="3"/>
      <c r="J320" s="8"/>
      <c r="K320" s="3"/>
      <c r="L320" s="3"/>
      <c r="M320" s="3"/>
      <c r="N320" s="8"/>
      <c r="P320" s="3"/>
      <c r="Q320" s="3"/>
      <c r="R320" s="8"/>
      <c r="S320" s="3"/>
      <c r="T320" s="3"/>
      <c r="U320" s="3"/>
      <c r="V320" s="8"/>
      <c r="W320" s="3"/>
      <c r="X320" s="3"/>
      <c r="Y320" s="3"/>
      <c r="Z320" s="8"/>
    </row>
    <row r="321" spans="1:26" s="23" customFormat="1" ht="15" thickBot="1" x14ac:dyDescent="0.4">
      <c r="A321" s="10"/>
      <c r="B321" s="28" t="s">
        <v>5</v>
      </c>
      <c r="C321" s="28"/>
      <c r="D321" s="35">
        <f>SUM(D318:D320)</f>
        <v>-764994.60999999987</v>
      </c>
      <c r="E321" s="14"/>
      <c r="F321" s="33">
        <f>IF(D$12=0,0,D321/D$12)</f>
        <v>-3.6748094934112112</v>
      </c>
      <c r="G321" s="14"/>
      <c r="H321" s="35">
        <f>SUM(H318:H320)</f>
        <v>267727.82000000018</v>
      </c>
      <c r="I321" s="14"/>
      <c r="J321" s="33">
        <f>IF(H$12=0,0,H321/H$12)</f>
        <v>0.86494872165657011</v>
      </c>
      <c r="K321" s="15"/>
      <c r="L321" s="35">
        <f>+D321-H321</f>
        <v>-1032722.43</v>
      </c>
      <c r="M321" s="15"/>
      <c r="N321" s="33">
        <f>IF(H321=0,0,L321/H321)</f>
        <v>-3.8573594257033106</v>
      </c>
      <c r="O321" s="29"/>
      <c r="P321" s="35">
        <f>SUM(P318:P320)</f>
        <v>-961115.19999999646</v>
      </c>
      <c r="Q321" s="14"/>
      <c r="R321" s="33">
        <f>IF(P$12=0,0,P321/P$12)</f>
        <v>-8.2858068300512358E-2</v>
      </c>
      <c r="S321" s="14"/>
      <c r="T321" s="35">
        <f>SUM(T318:T320)</f>
        <v>867440.55999999179</v>
      </c>
      <c r="U321" s="14"/>
      <c r="V321" s="33">
        <f>IF(T$12=0,0,T321/T$12)</f>
        <v>5.9747150805107792E-2</v>
      </c>
      <c r="W321" s="15"/>
      <c r="X321" s="35">
        <f>+P321-T321</f>
        <v>-1828555.7599999881</v>
      </c>
      <c r="Y321" s="15"/>
      <c r="Z321" s="33">
        <f>IF(T321=0,0,X321/T321)</f>
        <v>-2.1079896932649835</v>
      </c>
    </row>
    <row r="322" spans="1:26" ht="15" thickTop="1" x14ac:dyDescent="0.35">
      <c r="A322" s="9"/>
      <c r="C322" s="9"/>
      <c r="D322" s="17"/>
      <c r="E322" s="17"/>
      <c r="G322" s="17"/>
      <c r="H322" s="17"/>
      <c r="I322" s="17"/>
      <c r="J322" s="42"/>
      <c r="K322" s="17"/>
      <c r="L322" s="17"/>
      <c r="M322" s="17"/>
      <c r="P322" s="17"/>
      <c r="Q322" s="17"/>
      <c r="R322" s="42"/>
      <c r="S322" s="17"/>
      <c r="T322" s="17"/>
      <c r="U322" s="17"/>
      <c r="V322" s="42"/>
      <c r="W322" s="17"/>
      <c r="X322" s="17"/>
    </row>
    <row r="323" spans="1:26" x14ac:dyDescent="0.35">
      <c r="A323" s="9"/>
      <c r="B323" s="52">
        <v>44043.522228240741</v>
      </c>
      <c r="D323" s="17"/>
      <c r="E323" s="17"/>
      <c r="G323" s="17"/>
      <c r="H323" s="17"/>
      <c r="I323" s="17"/>
      <c r="J323" s="42"/>
      <c r="K323" s="17"/>
      <c r="L323" s="17"/>
      <c r="M323" s="17"/>
      <c r="P323" s="17"/>
      <c r="Q323" s="17"/>
      <c r="R323" s="42"/>
      <c r="S323" s="17"/>
      <c r="T323" s="17"/>
      <c r="U323" s="17"/>
      <c r="V323" s="42"/>
      <c r="W323" s="17"/>
      <c r="X323" s="17"/>
    </row>
    <row r="324" spans="1:26" x14ac:dyDescent="0.35">
      <c r="A324" s="9"/>
      <c r="B324" s="61" t="s">
        <v>313</v>
      </c>
      <c r="D324" s="17"/>
      <c r="E324" s="17"/>
      <c r="G324" s="17"/>
      <c r="H324" s="17"/>
      <c r="I324" s="17"/>
      <c r="J324" s="42"/>
      <c r="K324" s="17"/>
      <c r="L324" s="17"/>
      <c r="M324" s="17"/>
      <c r="P324" s="17"/>
      <c r="Q324" s="17"/>
      <c r="R324" s="42"/>
      <c r="S324" s="17"/>
      <c r="T324" s="17"/>
      <c r="U324" s="17"/>
      <c r="V324" s="42"/>
      <c r="W324" s="17"/>
      <c r="X324" s="17"/>
    </row>
    <row r="325" spans="1:26" x14ac:dyDescent="0.35">
      <c r="A325" s="9"/>
      <c r="B325" s="54"/>
      <c r="D325" s="17"/>
      <c r="E325" s="17"/>
      <c r="G325" s="17"/>
      <c r="H325" s="17"/>
      <c r="I325" s="17"/>
      <c r="J325" s="42"/>
      <c r="K325" s="17"/>
      <c r="L325" s="17"/>
      <c r="M325" s="17"/>
      <c r="P325" s="17"/>
      <c r="Q325" s="17"/>
      <c r="R325" s="42"/>
      <c r="S325" s="17"/>
      <c r="T325" s="17"/>
      <c r="U325" s="17"/>
      <c r="V325" s="42"/>
      <c r="W325" s="17"/>
      <c r="X325" s="17"/>
    </row>
    <row r="326" spans="1:26" x14ac:dyDescent="0.35">
      <c r="D326" s="17"/>
      <c r="E326" s="17"/>
      <c r="G326" s="17"/>
      <c r="H326" s="17"/>
      <c r="I326" s="17"/>
      <c r="J326" s="42"/>
      <c r="K326" s="17"/>
      <c r="L326" s="17"/>
      <c r="M326" s="17"/>
      <c r="P326" s="17"/>
      <c r="Q326" s="17"/>
      <c r="R326" s="42"/>
      <c r="S326" s="17"/>
      <c r="T326" s="17"/>
      <c r="U326" s="17"/>
      <c r="V326" s="42"/>
      <c r="W326" s="17"/>
      <c r="X326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295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31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308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208053.12000000002</v>
      </c>
      <c r="E12" s="4"/>
      <c r="F12" s="13"/>
      <c r="G12" s="4"/>
      <c r="H12" s="4">
        <f>SUM(OSRRefH13x_0)</f>
        <v>263832.99000000005</v>
      </c>
      <c r="I12" s="4"/>
      <c r="J12" s="13"/>
      <c r="K12" s="4"/>
      <c r="L12" s="4">
        <f t="shared" ref="L12:L115" si="0">+D12-H12</f>
        <v>-55779.870000000024</v>
      </c>
      <c r="M12" s="4"/>
      <c r="N12" s="13">
        <f t="shared" ref="N12:N115" si="1">IF(H12=0,0,L12/H12)</f>
        <v>-0.21142113425618234</v>
      </c>
      <c r="O12" s="10"/>
      <c r="P12" s="4">
        <f>SUM(OSRRefP13x_0)</f>
        <v>9234807.9300000016</v>
      </c>
      <c r="Q12" s="4"/>
      <c r="R12" s="13"/>
      <c r="S12" s="4"/>
      <c r="T12" s="4">
        <f>SUM(OSRRefT13x_0)</f>
        <v>11490396.719999991</v>
      </c>
      <c r="U12" s="4"/>
      <c r="V12" s="13"/>
      <c r="W12" s="4"/>
      <c r="X12" s="4">
        <f t="shared" ref="X12:X115" si="2">+P12-T12</f>
        <v>-2255588.7899999898</v>
      </c>
      <c r="Y12" s="4"/>
      <c r="Z12" s="13">
        <f t="shared" ref="Z12:Z115" si="3">IF(T12=0,0,X12/T12)</f>
        <v>-0.19630208120438086</v>
      </c>
    </row>
    <row r="13" spans="1:26" s="24" customFormat="1" hidden="1" outlineLevel="1" x14ac:dyDescent="0.3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3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--15904.07</f>
        <v>15904.07</v>
      </c>
      <c r="E14" s="2"/>
      <c r="F14" s="19"/>
      <c r="G14" s="2"/>
      <c r="H14" s="2">
        <f>--23249.99</f>
        <v>23249.99</v>
      </c>
      <c r="I14" s="2"/>
      <c r="J14" s="19"/>
      <c r="K14" s="2"/>
      <c r="L14" s="2">
        <f t="shared" si="0"/>
        <v>-7345.9200000000019</v>
      </c>
      <c r="M14" s="2"/>
      <c r="N14" s="19">
        <f t="shared" si="1"/>
        <v>-0.31595368428115461</v>
      </c>
      <c r="O14" s="11"/>
      <c r="P14" s="2">
        <f>--2451163.71</f>
        <v>2451163.71</v>
      </c>
      <c r="Q14" s="2"/>
      <c r="R14" s="19"/>
      <c r="S14" s="2"/>
      <c r="T14" s="2">
        <f>--3126487.75</f>
        <v>3126487.75</v>
      </c>
      <c r="U14" s="2"/>
      <c r="V14" s="19"/>
      <c r="W14" s="2"/>
      <c r="X14" s="2">
        <f t="shared" si="2"/>
        <v>-675324.04</v>
      </c>
      <c r="Y14" s="2"/>
      <c r="Z14" s="19">
        <f t="shared" si="3"/>
        <v>-0.21600085911099445</v>
      </c>
    </row>
    <row r="15" spans="1:26" s="24" customFormat="1" hidden="1" outlineLevel="1" x14ac:dyDescent="0.3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--15376.45</f>
        <v>15376.45</v>
      </c>
      <c r="E15" s="2"/>
      <c r="F15" s="19"/>
      <c r="G15" s="2"/>
      <c r="H15" s="2">
        <f>--10246.08</f>
        <v>10246.08</v>
      </c>
      <c r="I15" s="2"/>
      <c r="J15" s="19"/>
      <c r="K15" s="2"/>
      <c r="L15" s="2">
        <f t="shared" si="0"/>
        <v>5130.3700000000008</v>
      </c>
      <c r="M15" s="2"/>
      <c r="N15" s="19">
        <f t="shared" si="1"/>
        <v>0.50071539554639444</v>
      </c>
      <c r="O15" s="11"/>
      <c r="P15" s="2">
        <f>--1271803.19</f>
        <v>1271803.19</v>
      </c>
      <c r="Q15" s="2"/>
      <c r="R15" s="19"/>
      <c r="S15" s="2"/>
      <c r="T15" s="2">
        <f>--1404207.63</f>
        <v>1404207.63</v>
      </c>
      <c r="U15" s="2"/>
      <c r="V15" s="19"/>
      <c r="W15" s="2"/>
      <c r="X15" s="2">
        <f t="shared" si="2"/>
        <v>-132404.43999999994</v>
      </c>
      <c r="Y15" s="2"/>
      <c r="Z15" s="19">
        <f t="shared" si="3"/>
        <v>-9.4291212475465583E-2</v>
      </c>
    </row>
    <row r="16" spans="1:26" s="24" customFormat="1" hidden="1" outlineLevel="1" x14ac:dyDescent="0.3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--895</f>
        <v>895</v>
      </c>
      <c r="E16" s="2"/>
      <c r="F16" s="19"/>
      <c r="G16" s="2"/>
      <c r="H16" s="2">
        <f>--167.99</f>
        <v>167.99</v>
      </c>
      <c r="I16" s="2"/>
      <c r="J16" s="19"/>
      <c r="K16" s="2"/>
      <c r="L16" s="2">
        <f t="shared" si="0"/>
        <v>727.01</v>
      </c>
      <c r="M16" s="2"/>
      <c r="N16" s="19">
        <f t="shared" si="1"/>
        <v>4.3276980772665032</v>
      </c>
      <c r="O16" s="11"/>
      <c r="P16" s="2">
        <f>--34659.88</f>
        <v>34659.879999999997</v>
      </c>
      <c r="Q16" s="2"/>
      <c r="R16" s="19"/>
      <c r="S16" s="2"/>
      <c r="T16" s="2">
        <f>--15422.64</f>
        <v>15422.64</v>
      </c>
      <c r="U16" s="2"/>
      <c r="V16" s="19"/>
      <c r="W16" s="2"/>
      <c r="X16" s="2">
        <f t="shared" si="2"/>
        <v>19237.239999999998</v>
      </c>
      <c r="Y16" s="2"/>
      <c r="Z16" s="19">
        <f t="shared" si="3"/>
        <v>1.2473376801896432</v>
      </c>
    </row>
    <row r="17" spans="1:26" s="24" customFormat="1" hidden="1" outlineLevel="1" x14ac:dyDescent="0.3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--70418.64</f>
        <v>70418.64</v>
      </c>
      <c r="U17" s="2"/>
      <c r="V17" s="19"/>
      <c r="W17" s="2"/>
      <c r="X17" s="2">
        <f t="shared" si="2"/>
        <v>-28223.339999999997</v>
      </c>
      <c r="Y17" s="2"/>
      <c r="Z17" s="19">
        <f t="shared" si="3"/>
        <v>-0.40079359669542036</v>
      </c>
    </row>
    <row r="18" spans="1:26" s="24" customFormat="1" hidden="1" outlineLevel="1" x14ac:dyDescent="0.3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--3.88</f>
        <v>3.88</v>
      </c>
      <c r="I18" s="2"/>
      <c r="J18" s="19"/>
      <c r="K18" s="2"/>
      <c r="L18" s="2">
        <f t="shared" si="0"/>
        <v>-3.88</v>
      </c>
      <c r="M18" s="2"/>
      <c r="N18" s="19">
        <f t="shared" si="1"/>
        <v>-1</v>
      </c>
      <c r="O18" s="11"/>
      <c r="P18" s="2">
        <f>--1052.48</f>
        <v>1052.48</v>
      </c>
      <c r="Q18" s="2"/>
      <c r="R18" s="19"/>
      <c r="S18" s="2"/>
      <c r="T18" s="2">
        <f>--9.71</f>
        <v>9.7100000000000009</v>
      </c>
      <c r="U18" s="2"/>
      <c r="V18" s="19"/>
      <c r="W18" s="2"/>
      <c r="X18" s="2">
        <f t="shared" si="2"/>
        <v>1042.77</v>
      </c>
      <c r="Y18" s="2"/>
      <c r="Z18" s="19">
        <f t="shared" si="3"/>
        <v>107.39134912461378</v>
      </c>
    </row>
    <row r="19" spans="1:26" s="24" customFormat="1" hidden="1" outlineLevel="1" x14ac:dyDescent="0.3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--64.99</f>
        <v>64.989999999999995</v>
      </c>
      <c r="E19" s="2"/>
      <c r="F19" s="19"/>
      <c r="G19" s="2"/>
      <c r="H19" s="2">
        <f>--748.56</f>
        <v>748.56</v>
      </c>
      <c r="I19" s="2"/>
      <c r="J19" s="19"/>
      <c r="K19" s="2"/>
      <c r="L19" s="2">
        <f t="shared" si="0"/>
        <v>-683.56999999999994</v>
      </c>
      <c r="M19" s="2"/>
      <c r="N19" s="19">
        <f t="shared" si="1"/>
        <v>-0.91317997221331626</v>
      </c>
      <c r="O19" s="11"/>
      <c r="P19" s="2">
        <f>--2778.35</f>
        <v>2778.35</v>
      </c>
      <c r="Q19" s="2"/>
      <c r="R19" s="19"/>
      <c r="S19" s="2"/>
      <c r="T19" s="2">
        <f>--7572.79</f>
        <v>7572.79</v>
      </c>
      <c r="U19" s="2"/>
      <c r="V19" s="19"/>
      <c r="W19" s="2"/>
      <c r="X19" s="2">
        <f t="shared" si="2"/>
        <v>-4794.4400000000005</v>
      </c>
      <c r="Y19" s="2"/>
      <c r="Z19" s="19">
        <f t="shared" si="3"/>
        <v>-0.63311408344876863</v>
      </c>
    </row>
    <row r="20" spans="1:26" s="24" customFormat="1" hidden="1" outlineLevel="1" x14ac:dyDescent="0.3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--13.9</f>
        <v>13.9</v>
      </c>
      <c r="E20" s="2"/>
      <c r="F20" s="19"/>
      <c r="G20" s="2"/>
      <c r="H20" s="2">
        <f>--93.58</f>
        <v>93.58</v>
      </c>
      <c r="I20" s="2"/>
      <c r="J20" s="19"/>
      <c r="K20" s="2"/>
      <c r="L20" s="2">
        <f t="shared" si="0"/>
        <v>-79.679999999999993</v>
      </c>
      <c r="M20" s="2"/>
      <c r="N20" s="19">
        <f t="shared" si="1"/>
        <v>-0.85146398803163059</v>
      </c>
      <c r="O20" s="11"/>
      <c r="P20" s="2">
        <f>--1233.88</f>
        <v>1233.8800000000001</v>
      </c>
      <c r="Q20" s="2"/>
      <c r="R20" s="19"/>
      <c r="S20" s="2"/>
      <c r="T20" s="2">
        <f>--2221.33</f>
        <v>2221.33</v>
      </c>
      <c r="U20" s="2"/>
      <c r="V20" s="19"/>
      <c r="W20" s="2"/>
      <c r="X20" s="2">
        <f t="shared" si="2"/>
        <v>-987.44999999999982</v>
      </c>
      <c r="Y20" s="2"/>
      <c r="Z20" s="19">
        <f t="shared" si="3"/>
        <v>-0.44453097918814399</v>
      </c>
    </row>
    <row r="21" spans="1:26" s="24" customFormat="1" hidden="1" outlineLevel="1" x14ac:dyDescent="0.3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3" si="5">0</f>
        <v>0</v>
      </c>
      <c r="E21" s="2"/>
      <c r="F21" s="19"/>
      <c r="G21" s="2"/>
      <c r="H21" s="2">
        <f>--293.01</f>
        <v>293.01</v>
      </c>
      <c r="I21" s="2"/>
      <c r="J21" s="19"/>
      <c r="K21" s="2"/>
      <c r="L21" s="2">
        <f t="shared" si="0"/>
        <v>-293.01</v>
      </c>
      <c r="M21" s="2"/>
      <c r="N21" s="19">
        <f t="shared" si="1"/>
        <v>-1</v>
      </c>
      <c r="O21" s="11"/>
      <c r="P21" s="2">
        <f>--347.52</f>
        <v>347.52</v>
      </c>
      <c r="Q21" s="2"/>
      <c r="R21" s="19"/>
      <c r="S21" s="2"/>
      <c r="T21" s="2">
        <f>--1055.55</f>
        <v>1055.55</v>
      </c>
      <c r="U21" s="2"/>
      <c r="V21" s="19"/>
      <c r="W21" s="2"/>
      <c r="X21" s="2">
        <f t="shared" si="2"/>
        <v>-708.03</v>
      </c>
      <c r="Y21" s="2"/>
      <c r="Z21" s="19">
        <f t="shared" si="3"/>
        <v>-0.67076879351996588</v>
      </c>
    </row>
    <row r="22" spans="1:26" s="24" customFormat="1" hidden="1" outlineLevel="1" x14ac:dyDescent="0.3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>
        <f>--141</f>
        <v>141</v>
      </c>
      <c r="I22" s="2"/>
      <c r="J22" s="19"/>
      <c r="K22" s="2"/>
      <c r="L22" s="2">
        <f t="shared" si="0"/>
        <v>-141</v>
      </c>
      <c r="M22" s="2"/>
      <c r="N22" s="19">
        <f t="shared" si="1"/>
        <v>-1</v>
      </c>
      <c r="O22" s="11"/>
      <c r="P22" s="2">
        <f>--4179.3</f>
        <v>4179.3</v>
      </c>
      <c r="Q22" s="2"/>
      <c r="R22" s="19"/>
      <c r="S22" s="2"/>
      <c r="T22" s="2">
        <f>--6524.46</f>
        <v>6524.46</v>
      </c>
      <c r="U22" s="2"/>
      <c r="V22" s="19"/>
      <c r="W22" s="2"/>
      <c r="X22" s="2">
        <f t="shared" si="2"/>
        <v>-2345.16</v>
      </c>
      <c r="Y22" s="2"/>
      <c r="Z22" s="19">
        <f t="shared" si="3"/>
        <v>-0.35944124111420711</v>
      </c>
    </row>
    <row r="23" spans="1:26" s="24" customFormat="1" hidden="1" outlineLevel="1" x14ac:dyDescent="0.3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--81.89</f>
        <v>81.89</v>
      </c>
      <c r="U23" s="2"/>
      <c r="V23" s="19"/>
      <c r="W23" s="2"/>
      <c r="X23" s="2">
        <f t="shared" si="2"/>
        <v>-39.04</v>
      </c>
      <c r="Y23" s="2"/>
      <c r="Z23" s="19">
        <f t="shared" si="3"/>
        <v>-0.47673708633532785</v>
      </c>
    </row>
    <row r="24" spans="1:26" s="24" customFormat="1" hidden="1" outlineLevel="1" x14ac:dyDescent="0.3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--3099.74</f>
        <v>3099.74</v>
      </c>
      <c r="E24" s="2"/>
      <c r="F24" s="19"/>
      <c r="G24" s="2"/>
      <c r="H24" s="2">
        <f>--1050.08</f>
        <v>1050.08</v>
      </c>
      <c r="I24" s="2"/>
      <c r="J24" s="19"/>
      <c r="K24" s="2"/>
      <c r="L24" s="2">
        <f t="shared" si="0"/>
        <v>2049.66</v>
      </c>
      <c r="M24" s="2"/>
      <c r="N24" s="19">
        <f t="shared" si="1"/>
        <v>1.9519084260246837</v>
      </c>
      <c r="O24" s="11"/>
      <c r="P24" s="2">
        <f>--57819.85</f>
        <v>57819.85</v>
      </c>
      <c r="Q24" s="2"/>
      <c r="R24" s="19"/>
      <c r="S24" s="2"/>
      <c r="T24" s="2">
        <f>--61223.1</f>
        <v>61223.1</v>
      </c>
      <c r="U24" s="2"/>
      <c r="V24" s="19"/>
      <c r="W24" s="2"/>
      <c r="X24" s="2">
        <f t="shared" si="2"/>
        <v>-3403.25</v>
      </c>
      <c r="Y24" s="2"/>
      <c r="Z24" s="19">
        <f t="shared" si="3"/>
        <v>-5.5587678506968774E-2</v>
      </c>
    </row>
    <row r="25" spans="1:26" s="24" customFormat="1" hidden="1" outlineLevel="1" x14ac:dyDescent="0.3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--2531.99</f>
        <v>2531.9899999999998</v>
      </c>
      <c r="E25" s="2"/>
      <c r="F25" s="19"/>
      <c r="G25" s="2"/>
      <c r="H25" s="2">
        <f>--3059.93</f>
        <v>3059.93</v>
      </c>
      <c r="I25" s="2"/>
      <c r="J25" s="19"/>
      <c r="K25" s="2"/>
      <c r="L25" s="2">
        <f t="shared" si="0"/>
        <v>-527.94000000000005</v>
      </c>
      <c r="M25" s="2"/>
      <c r="N25" s="19">
        <f t="shared" si="1"/>
        <v>-0.17253335860624266</v>
      </c>
      <c r="O25" s="11"/>
      <c r="P25" s="2">
        <f>--83341.48</f>
        <v>83341.48</v>
      </c>
      <c r="Q25" s="2"/>
      <c r="R25" s="19"/>
      <c r="S25" s="2"/>
      <c r="T25" s="2">
        <f>--84530.93</f>
        <v>84530.93</v>
      </c>
      <c r="U25" s="2"/>
      <c r="V25" s="19"/>
      <c r="W25" s="2"/>
      <c r="X25" s="2">
        <f t="shared" si="2"/>
        <v>-1189.4499999999971</v>
      </c>
      <c r="Y25" s="2"/>
      <c r="Z25" s="19">
        <f t="shared" si="3"/>
        <v>-1.4071180809201994E-2</v>
      </c>
    </row>
    <row r="26" spans="1:26" s="24" customFormat="1" hidden="1" outlineLevel="1" x14ac:dyDescent="0.3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--4073.06</f>
        <v>4073.06</v>
      </c>
      <c r="E26" s="2"/>
      <c r="F26" s="19"/>
      <c r="G26" s="2"/>
      <c r="H26" s="2">
        <f>--17477.08</f>
        <v>17477.080000000002</v>
      </c>
      <c r="I26" s="2"/>
      <c r="J26" s="19"/>
      <c r="K26" s="2"/>
      <c r="L26" s="2">
        <f t="shared" si="0"/>
        <v>-13404.020000000002</v>
      </c>
      <c r="M26" s="2"/>
      <c r="N26" s="19">
        <f t="shared" si="1"/>
        <v>-0.76694848338509647</v>
      </c>
      <c r="O26" s="11"/>
      <c r="P26" s="2">
        <f>--280850.13</f>
        <v>280850.13</v>
      </c>
      <c r="Q26" s="2"/>
      <c r="R26" s="19"/>
      <c r="S26" s="2"/>
      <c r="T26" s="2">
        <f>--308997.93</f>
        <v>308997.93</v>
      </c>
      <c r="U26" s="2"/>
      <c r="V26" s="19"/>
      <c r="W26" s="2"/>
      <c r="X26" s="2">
        <f t="shared" si="2"/>
        <v>-28147.799999999988</v>
      </c>
      <c r="Y26" s="2"/>
      <c r="Z26" s="19">
        <f t="shared" si="3"/>
        <v>-9.1093814123609146E-2</v>
      </c>
    </row>
    <row r="27" spans="1:26" s="24" customFormat="1" hidden="1" outlineLevel="1" x14ac:dyDescent="0.3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--386.59</f>
        <v>386.59</v>
      </c>
      <c r="E27" s="2"/>
      <c r="F27" s="19"/>
      <c r="G27" s="2"/>
      <c r="H27" s="2">
        <f>--1510.21</f>
        <v>1510.21</v>
      </c>
      <c r="I27" s="2"/>
      <c r="J27" s="19"/>
      <c r="K27" s="2"/>
      <c r="L27" s="2">
        <f t="shared" si="0"/>
        <v>-1123.6200000000001</v>
      </c>
      <c r="M27" s="2"/>
      <c r="N27" s="19">
        <f t="shared" si="1"/>
        <v>-0.74401573291131706</v>
      </c>
      <c r="O27" s="11"/>
      <c r="P27" s="2">
        <f>--293577.64</f>
        <v>293577.64</v>
      </c>
      <c r="Q27" s="2"/>
      <c r="R27" s="19"/>
      <c r="S27" s="2"/>
      <c r="T27" s="2">
        <f>--346880.65</f>
        <v>346880.65</v>
      </c>
      <c r="U27" s="2"/>
      <c r="V27" s="19"/>
      <c r="W27" s="2"/>
      <c r="X27" s="2">
        <f t="shared" si="2"/>
        <v>-53303.010000000009</v>
      </c>
      <c r="Y27" s="2"/>
      <c r="Z27" s="19">
        <f t="shared" si="3"/>
        <v>-0.15366383221433655</v>
      </c>
    </row>
    <row r="28" spans="1:26" s="24" customFormat="1" hidden="1" outlineLevel="1" x14ac:dyDescent="0.3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6">0</f>
        <v>0</v>
      </c>
      <c r="E28" s="2"/>
      <c r="F28" s="19"/>
      <c r="G28" s="2"/>
      <c r="H28" s="2">
        <f>--140.23</f>
        <v>140.22999999999999</v>
      </c>
      <c r="I28" s="2"/>
      <c r="J28" s="19"/>
      <c r="K28" s="2"/>
      <c r="L28" s="2">
        <f t="shared" si="0"/>
        <v>-140.22999999999999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--834.06</f>
        <v>834.06</v>
      </c>
      <c r="U28" s="2"/>
      <c r="V28" s="19"/>
      <c r="W28" s="2"/>
      <c r="X28" s="2">
        <f t="shared" si="2"/>
        <v>-347.71999999999997</v>
      </c>
      <c r="Y28" s="2"/>
      <c r="Z28" s="19">
        <f t="shared" si="3"/>
        <v>-0.4169004627964415</v>
      </c>
    </row>
    <row r="29" spans="1:26" s="24" customFormat="1" hidden="1" outlineLevel="1" x14ac:dyDescent="0.3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6"/>
        <v>0</v>
      </c>
      <c r="E29" s="2"/>
      <c r="F29" s="19"/>
      <c r="G29" s="2"/>
      <c r="H29" s="2">
        <f>--0.34</f>
        <v>0.34</v>
      </c>
      <c r="I29" s="2"/>
      <c r="J29" s="19"/>
      <c r="K29" s="2"/>
      <c r="L29" s="2">
        <f t="shared" si="0"/>
        <v>-0.34</v>
      </c>
      <c r="M29" s="2"/>
      <c r="N29" s="19">
        <f t="shared" si="1"/>
        <v>-1</v>
      </c>
      <c r="O29" s="11"/>
      <c r="P29" s="2">
        <f>--1905.06</f>
        <v>1905.06</v>
      </c>
      <c r="Q29" s="2"/>
      <c r="R29" s="19"/>
      <c r="S29" s="2"/>
      <c r="T29" s="2">
        <f>--498.84</f>
        <v>498.84</v>
      </c>
      <c r="U29" s="2"/>
      <c r="V29" s="19"/>
      <c r="W29" s="2"/>
      <c r="X29" s="2">
        <f t="shared" si="2"/>
        <v>1406.22</v>
      </c>
      <c r="Y29" s="2"/>
      <c r="Z29" s="19">
        <f t="shared" si="3"/>
        <v>2.8189800336781334</v>
      </c>
    </row>
    <row r="30" spans="1:26" s="24" customFormat="1" hidden="1" outlineLevel="1" x14ac:dyDescent="0.3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--0.3</f>
        <v>0.3</v>
      </c>
      <c r="I30" s="2"/>
      <c r="J30" s="19"/>
      <c r="K30" s="2"/>
      <c r="L30" s="2">
        <f t="shared" si="0"/>
        <v>-0.3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--264.15</f>
        <v>264.14999999999998</v>
      </c>
      <c r="U30" s="2"/>
      <c r="V30" s="19"/>
      <c r="W30" s="2"/>
      <c r="X30" s="2">
        <f t="shared" si="2"/>
        <v>-58.619999999999976</v>
      </c>
      <c r="Y30" s="2"/>
      <c r="Z30" s="19">
        <f t="shared" si="3"/>
        <v>-0.22191936399772849</v>
      </c>
    </row>
    <row r="31" spans="1:26" s="24" customFormat="1" hidden="1" outlineLevel="1" x14ac:dyDescent="0.3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--422.25</f>
        <v>422.25</v>
      </c>
      <c r="I31" s="2"/>
      <c r="J31" s="19"/>
      <c r="K31" s="2"/>
      <c r="L31" s="2">
        <f t="shared" si="0"/>
        <v>-422.25</v>
      </c>
      <c r="M31" s="2"/>
      <c r="N31" s="19">
        <f t="shared" si="1"/>
        <v>-1</v>
      </c>
      <c r="O31" s="11"/>
      <c r="P31" s="2">
        <f>--7803.51</f>
        <v>7803.51</v>
      </c>
      <c r="Q31" s="2"/>
      <c r="R31" s="19"/>
      <c r="S31" s="2"/>
      <c r="T31" s="2">
        <f>--9299.56</f>
        <v>9299.56</v>
      </c>
      <c r="U31" s="2"/>
      <c r="V31" s="19"/>
      <c r="W31" s="2"/>
      <c r="X31" s="2">
        <f t="shared" si="2"/>
        <v>-1496.0499999999993</v>
      </c>
      <c r="Y31" s="2"/>
      <c r="Z31" s="19">
        <f t="shared" si="3"/>
        <v>-0.16087320260313384</v>
      </c>
    </row>
    <row r="32" spans="1:26" s="24" customFormat="1" hidden="1" outlineLevel="1" x14ac:dyDescent="0.3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--5.47</f>
        <v>5.47</v>
      </c>
      <c r="I32" s="2"/>
      <c r="J32" s="19"/>
      <c r="K32" s="2"/>
      <c r="L32" s="2">
        <f t="shared" si="0"/>
        <v>-5.47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--2675.56</f>
        <v>2675.56</v>
      </c>
      <c r="U32" s="2"/>
      <c r="V32" s="19"/>
      <c r="W32" s="2"/>
      <c r="X32" s="2">
        <f t="shared" si="2"/>
        <v>-693.72</v>
      </c>
      <c r="Y32" s="2"/>
      <c r="Z32" s="19">
        <f t="shared" si="3"/>
        <v>-0.25928030019883691</v>
      </c>
    </row>
    <row r="33" spans="1:26" s="24" customFormat="1" hidden="1" outlineLevel="1" x14ac:dyDescent="0.3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--11.04</f>
        <v>11.04</v>
      </c>
      <c r="I33" s="2"/>
      <c r="J33" s="19"/>
      <c r="K33" s="2"/>
      <c r="L33" s="2">
        <f t="shared" si="0"/>
        <v>-11.04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--881.19</f>
        <v>881.19</v>
      </c>
      <c r="U33" s="2"/>
      <c r="V33" s="19"/>
      <c r="W33" s="2"/>
      <c r="X33" s="2">
        <f t="shared" si="2"/>
        <v>-367.68000000000006</v>
      </c>
      <c r="Y33" s="2"/>
      <c r="Z33" s="19">
        <f t="shared" si="3"/>
        <v>-0.41725394069383454</v>
      </c>
    </row>
    <row r="34" spans="1:26" s="24" customFormat="1" hidden="1" outlineLevel="1" x14ac:dyDescent="0.3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--46364.3</f>
        <v>46364.3</v>
      </c>
      <c r="E34" s="2"/>
      <c r="F34" s="19"/>
      <c r="G34" s="2"/>
      <c r="H34" s="2">
        <f>--124399.79</f>
        <v>124399.79</v>
      </c>
      <c r="I34" s="2"/>
      <c r="J34" s="19"/>
      <c r="K34" s="2"/>
      <c r="L34" s="2">
        <f t="shared" si="0"/>
        <v>-78035.489999999991</v>
      </c>
      <c r="M34" s="2"/>
      <c r="N34" s="19">
        <f t="shared" si="1"/>
        <v>-0.6272959946315021</v>
      </c>
      <c r="O34" s="11"/>
      <c r="P34" s="2">
        <f>--1941274.42</f>
        <v>1941274.42</v>
      </c>
      <c r="Q34" s="2"/>
      <c r="R34" s="19"/>
      <c r="S34" s="2"/>
      <c r="T34" s="2">
        <f>--2503852.42</f>
        <v>2503852.42</v>
      </c>
      <c r="U34" s="2"/>
      <c r="V34" s="19"/>
      <c r="W34" s="2"/>
      <c r="X34" s="2">
        <f t="shared" si="2"/>
        <v>-562578</v>
      </c>
      <c r="Y34" s="2"/>
      <c r="Z34" s="19">
        <f t="shared" si="3"/>
        <v>-0.22468496765476298</v>
      </c>
    </row>
    <row r="35" spans="1:26" s="24" customFormat="1" hidden="1" outlineLevel="1" x14ac:dyDescent="0.3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--29904.23</f>
        <v>29904.23</v>
      </c>
      <c r="E35" s="2"/>
      <c r="F35" s="19"/>
      <c r="G35" s="2"/>
      <c r="H35" s="2">
        <f>--30632.03</f>
        <v>30632.03</v>
      </c>
      <c r="I35" s="2"/>
      <c r="J35" s="19"/>
      <c r="K35" s="2"/>
      <c r="L35" s="2">
        <f t="shared" si="0"/>
        <v>-727.79999999999927</v>
      </c>
      <c r="M35" s="2"/>
      <c r="N35" s="19">
        <f t="shared" si="1"/>
        <v>-2.3759443954579545E-2</v>
      </c>
      <c r="O35" s="11"/>
      <c r="P35" s="2">
        <f>--556536.79</f>
        <v>556536.79</v>
      </c>
      <c r="Q35" s="2"/>
      <c r="R35" s="19"/>
      <c r="S35" s="2"/>
      <c r="T35" s="2">
        <f>--859767.82</f>
        <v>859767.82</v>
      </c>
      <c r="U35" s="2"/>
      <c r="V35" s="19"/>
      <c r="W35" s="2"/>
      <c r="X35" s="2">
        <f t="shared" si="2"/>
        <v>-303231.02999999991</v>
      </c>
      <c r="Y35" s="2"/>
      <c r="Z35" s="19">
        <f t="shared" si="3"/>
        <v>-0.35268943887664922</v>
      </c>
    </row>
    <row r="36" spans="1:26" s="24" customFormat="1" hidden="1" outlineLevel="1" x14ac:dyDescent="0.3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--2836.85</f>
        <v>2836.85</v>
      </c>
      <c r="E36" s="2"/>
      <c r="F36" s="19"/>
      <c r="G36" s="2"/>
      <c r="H36" s="2">
        <f>--9489.04</f>
        <v>9489.0400000000009</v>
      </c>
      <c r="I36" s="2"/>
      <c r="J36" s="19"/>
      <c r="K36" s="2"/>
      <c r="L36" s="2">
        <f t="shared" si="0"/>
        <v>-6652.1900000000005</v>
      </c>
      <c r="M36" s="2"/>
      <c r="N36" s="19">
        <f t="shared" si="1"/>
        <v>-0.70103930429210959</v>
      </c>
      <c r="O36" s="11"/>
      <c r="P36" s="2">
        <f>--285558.05</f>
        <v>285558.05</v>
      </c>
      <c r="Q36" s="2"/>
      <c r="R36" s="19"/>
      <c r="S36" s="2"/>
      <c r="T36" s="2">
        <f>--334175.22</f>
        <v>334175.21999999997</v>
      </c>
      <c r="U36" s="2"/>
      <c r="V36" s="19"/>
      <c r="W36" s="2"/>
      <c r="X36" s="2">
        <f t="shared" si="2"/>
        <v>-48617.169999999984</v>
      </c>
      <c r="Y36" s="2"/>
      <c r="Z36" s="19">
        <f t="shared" si="3"/>
        <v>-0.14548406671206796</v>
      </c>
    </row>
    <row r="37" spans="1:26" s="24" customFormat="1" hidden="1" outlineLevel="1" x14ac:dyDescent="0.3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--54.96</f>
        <v>54.96</v>
      </c>
      <c r="E37" s="2"/>
      <c r="F37" s="19"/>
      <c r="G37" s="2"/>
      <c r="H37" s="2">
        <f>--75.61</f>
        <v>75.61</v>
      </c>
      <c r="I37" s="2"/>
      <c r="J37" s="19"/>
      <c r="K37" s="2"/>
      <c r="L37" s="2">
        <f t="shared" si="0"/>
        <v>-20.65</v>
      </c>
      <c r="M37" s="2"/>
      <c r="N37" s="19">
        <f t="shared" si="1"/>
        <v>-0.27311202221928316</v>
      </c>
      <c r="O37" s="11"/>
      <c r="P37" s="2">
        <f>--77324.14</f>
        <v>77324.14</v>
      </c>
      <c r="Q37" s="2"/>
      <c r="R37" s="19"/>
      <c r="S37" s="2"/>
      <c r="T37" s="2">
        <f>--4859.22</f>
        <v>4859.22</v>
      </c>
      <c r="U37" s="2"/>
      <c r="V37" s="19"/>
      <c r="W37" s="2"/>
      <c r="X37" s="2">
        <f t="shared" si="2"/>
        <v>72464.92</v>
      </c>
      <c r="Y37" s="2"/>
      <c r="Z37" s="19">
        <f t="shared" si="3"/>
        <v>14.912870789962174</v>
      </c>
    </row>
    <row r="38" spans="1:26" s="24" customFormat="1" hidden="1" outlineLevel="1" x14ac:dyDescent="0.3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--2524.8</f>
        <v>2524.8000000000002</v>
      </c>
      <c r="E38" s="2"/>
      <c r="F38" s="19"/>
      <c r="G38" s="2"/>
      <c r="H38" s="2">
        <f>--2130.34</f>
        <v>2130.34</v>
      </c>
      <c r="I38" s="2"/>
      <c r="J38" s="19"/>
      <c r="K38" s="2"/>
      <c r="L38" s="2">
        <f t="shared" si="0"/>
        <v>394.46000000000004</v>
      </c>
      <c r="M38" s="2"/>
      <c r="N38" s="19">
        <f t="shared" si="1"/>
        <v>0.18516293173859572</v>
      </c>
      <c r="O38" s="11"/>
      <c r="P38" s="2">
        <f>--73780.56</f>
        <v>73780.56</v>
      </c>
      <c r="Q38" s="2"/>
      <c r="R38" s="19"/>
      <c r="S38" s="2"/>
      <c r="T38" s="2">
        <f>--87817.61</f>
        <v>87817.61</v>
      </c>
      <c r="U38" s="2"/>
      <c r="V38" s="19"/>
      <c r="W38" s="2"/>
      <c r="X38" s="2">
        <f t="shared" si="2"/>
        <v>-14037.050000000003</v>
      </c>
      <c r="Y38" s="2"/>
      <c r="Z38" s="19">
        <f t="shared" si="3"/>
        <v>-0.15984322506613427</v>
      </c>
    </row>
    <row r="39" spans="1:26" s="24" customFormat="1" hidden="1" outlineLevel="1" x14ac:dyDescent="0.3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--26263.53</f>
        <v>26263.53</v>
      </c>
      <c r="E39" s="2"/>
      <c r="F39" s="19"/>
      <c r="G39" s="2"/>
      <c r="H39" s="2">
        <f>--25755.32</f>
        <v>25755.32</v>
      </c>
      <c r="I39" s="2"/>
      <c r="J39" s="19"/>
      <c r="K39" s="2"/>
      <c r="L39" s="2">
        <f t="shared" si="0"/>
        <v>508.20999999999913</v>
      </c>
      <c r="M39" s="2"/>
      <c r="N39" s="19">
        <f t="shared" si="1"/>
        <v>1.97322339617601E-2</v>
      </c>
      <c r="O39" s="11"/>
      <c r="P39" s="2">
        <f>--123103.09</f>
        <v>123103.09</v>
      </c>
      <c r="Q39" s="2"/>
      <c r="R39" s="19"/>
      <c r="S39" s="2"/>
      <c r="T39" s="2">
        <f>--219240.28</f>
        <v>219240.28</v>
      </c>
      <c r="U39" s="2"/>
      <c r="V39" s="19"/>
      <c r="W39" s="2"/>
      <c r="X39" s="2">
        <f t="shared" si="2"/>
        <v>-96137.19</v>
      </c>
      <c r="Y39" s="2"/>
      <c r="Z39" s="19">
        <f t="shared" si="3"/>
        <v>-0.43850149251770709</v>
      </c>
    </row>
    <row r="40" spans="1:26" s="24" customFormat="1" hidden="1" outlineLevel="1" x14ac:dyDescent="0.3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5" si="7">0</f>
        <v>0</v>
      </c>
      <c r="E40" s="2"/>
      <c r="F40" s="19"/>
      <c r="G40" s="2"/>
      <c r="H40" s="2">
        <f>--245.97</f>
        <v>245.97</v>
      </c>
      <c r="I40" s="2"/>
      <c r="J40" s="19"/>
      <c r="K40" s="2"/>
      <c r="L40" s="2">
        <f t="shared" si="0"/>
        <v>-245.97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--5818.6</f>
        <v>5818.6</v>
      </c>
      <c r="U40" s="2"/>
      <c r="V40" s="19"/>
      <c r="W40" s="2"/>
      <c r="X40" s="2">
        <f t="shared" si="2"/>
        <v>-3142.4600000000005</v>
      </c>
      <c r="Y40" s="2"/>
      <c r="Z40" s="19">
        <f t="shared" si="3"/>
        <v>-0.5400714948613069</v>
      </c>
    </row>
    <row r="41" spans="1:26" s="24" customFormat="1" hidden="1" outlineLevel="1" x14ac:dyDescent="0.3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7"/>
        <v>0</v>
      </c>
      <c r="E41" s="2"/>
      <c r="F41" s="19"/>
      <c r="G41" s="2"/>
      <c r="H41" s="2">
        <f>--22.97</f>
        <v>22.97</v>
      </c>
      <c r="I41" s="2"/>
      <c r="J41" s="19"/>
      <c r="K41" s="2"/>
      <c r="L41" s="2">
        <f t="shared" si="0"/>
        <v>-22.97</v>
      </c>
      <c r="M41" s="2"/>
      <c r="N41" s="19">
        <f t="shared" si="1"/>
        <v>-1</v>
      </c>
      <c r="O41" s="11"/>
      <c r="P41" s="2">
        <f>--3174.93</f>
        <v>3174.93</v>
      </c>
      <c r="Q41" s="2"/>
      <c r="R41" s="19"/>
      <c r="S41" s="2"/>
      <c r="T41" s="2">
        <f>--4426.51</f>
        <v>4426.51</v>
      </c>
      <c r="U41" s="2"/>
      <c r="V41" s="19"/>
      <c r="W41" s="2"/>
      <c r="X41" s="2">
        <f t="shared" si="2"/>
        <v>-1251.5800000000004</v>
      </c>
      <c r="Y41" s="2"/>
      <c r="Z41" s="19">
        <f t="shared" si="3"/>
        <v>-0.28274645262294684</v>
      </c>
    </row>
    <row r="42" spans="1:26" s="24" customFormat="1" hidden="1" outlineLevel="1" x14ac:dyDescent="0.3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7"/>
        <v>0</v>
      </c>
      <c r="E42" s="2"/>
      <c r="F42" s="19"/>
      <c r="G42" s="2"/>
      <c r="H42" s="2">
        <f t="shared" ref="H42:H45" si="8"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--363.94</f>
        <v>363.94</v>
      </c>
      <c r="Q42" s="2"/>
      <c r="R42" s="19"/>
      <c r="S42" s="2"/>
      <c r="T42" s="2">
        <f>--1650</f>
        <v>1650</v>
      </c>
      <c r="U42" s="2"/>
      <c r="V42" s="19"/>
      <c r="W42" s="2"/>
      <c r="X42" s="2">
        <f t="shared" si="2"/>
        <v>-1286.06</v>
      </c>
      <c r="Y42" s="2"/>
      <c r="Z42" s="19">
        <f t="shared" si="3"/>
        <v>-0.77943030303030303</v>
      </c>
    </row>
    <row r="43" spans="1:26" s="24" customFormat="1" hidden="1" outlineLevel="1" x14ac:dyDescent="0.3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7"/>
        <v>0</v>
      </c>
      <c r="E43" s="2"/>
      <c r="F43" s="19"/>
      <c r="G43" s="2"/>
      <c r="H43" s="2">
        <f t="shared" si="8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--914.33</f>
        <v>914.33</v>
      </c>
      <c r="Q43" s="2"/>
      <c r="R43" s="19"/>
      <c r="S43" s="2"/>
      <c r="T43" s="2">
        <f>--1403.83</f>
        <v>1403.83</v>
      </c>
      <c r="U43" s="2"/>
      <c r="V43" s="19"/>
      <c r="W43" s="2"/>
      <c r="X43" s="2">
        <f t="shared" si="2"/>
        <v>-489.49999999999989</v>
      </c>
      <c r="Y43" s="2"/>
      <c r="Z43" s="19">
        <f t="shared" si="3"/>
        <v>-0.3486889438179836</v>
      </c>
    </row>
    <row r="44" spans="1:26" s="24" customFormat="1" hidden="1" outlineLevel="1" x14ac:dyDescent="0.3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7"/>
        <v>0</v>
      </c>
      <c r="E44" s="2"/>
      <c r="F44" s="19"/>
      <c r="G44" s="2"/>
      <c r="H44" s="2">
        <f t="shared" si="8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--813.74</f>
        <v>813.74</v>
      </c>
      <c r="Q44" s="2"/>
      <c r="R44" s="19"/>
      <c r="S44" s="2"/>
      <c r="T44" s="2">
        <f>--2115.11</f>
        <v>2115.11</v>
      </c>
      <c r="U44" s="2"/>
      <c r="V44" s="19"/>
      <c r="W44" s="2"/>
      <c r="X44" s="2">
        <f t="shared" si="2"/>
        <v>-1301.3700000000001</v>
      </c>
      <c r="Y44" s="2"/>
      <c r="Z44" s="19">
        <f t="shared" si="3"/>
        <v>-0.61527296452666769</v>
      </c>
    </row>
    <row r="45" spans="1:26" s="24" customFormat="1" hidden="1" outlineLevel="1" x14ac:dyDescent="0.35">
      <c r="A45" s="44"/>
      <c r="B45" s="11" t="str">
        <f>CONCATENATE("          ", "4091", " - ", "TAXABLE SALES-GRAD ANNOUNCEMEN")</f>
        <v xml:space="preserve">          4091 - TAXABLE SALES-GRAD ANNOUNCEMEN</v>
      </c>
      <c r="C45" s="11"/>
      <c r="D45" s="2">
        <f t="shared" si="7"/>
        <v>0</v>
      </c>
      <c r="E45" s="2"/>
      <c r="F45" s="19"/>
      <c r="G45" s="2"/>
      <c r="H45" s="2">
        <f t="shared" si="8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0</f>
        <v>0</v>
      </c>
      <c r="Q45" s="2"/>
      <c r="R45" s="19"/>
      <c r="S45" s="2"/>
      <c r="T45" s="2">
        <f>0</f>
        <v>0</v>
      </c>
      <c r="U45" s="2"/>
      <c r="V45" s="19"/>
      <c r="W45" s="2"/>
      <c r="X45" s="2">
        <f t="shared" si="2"/>
        <v>0</v>
      </c>
      <c r="Y45" s="2"/>
      <c r="Z45" s="19">
        <f t="shared" si="3"/>
        <v>0</v>
      </c>
    </row>
    <row r="46" spans="1:26" s="24" customFormat="1" hidden="1" outlineLevel="1" x14ac:dyDescent="0.3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--6332.23</f>
        <v>6332.23</v>
      </c>
      <c r="E46" s="2"/>
      <c r="F46" s="19"/>
      <c r="G46" s="2"/>
      <c r="H46" s="2">
        <f>--466.49</f>
        <v>466.49</v>
      </c>
      <c r="I46" s="2"/>
      <c r="J46" s="19"/>
      <c r="K46" s="2"/>
      <c r="L46" s="2">
        <f t="shared" si="0"/>
        <v>5865.74</v>
      </c>
      <c r="M46" s="2"/>
      <c r="N46" s="19">
        <f t="shared" si="1"/>
        <v>12.574203091170228</v>
      </c>
      <c r="O46" s="11"/>
      <c r="P46" s="2">
        <f>--41685.94</f>
        <v>41685.94</v>
      </c>
      <c r="Q46" s="2"/>
      <c r="R46" s="19"/>
      <c r="S46" s="2"/>
      <c r="T46" s="2">
        <f>--223303.91</f>
        <v>223303.91</v>
      </c>
      <c r="U46" s="2"/>
      <c r="V46" s="19"/>
      <c r="W46" s="2"/>
      <c r="X46" s="2">
        <f t="shared" si="2"/>
        <v>-181617.97</v>
      </c>
      <c r="Y46" s="2"/>
      <c r="Z46" s="19">
        <f t="shared" si="3"/>
        <v>-0.81332194317600615</v>
      </c>
    </row>
    <row r="47" spans="1:26" s="24" customFormat="1" hidden="1" outlineLevel="1" x14ac:dyDescent="0.3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0</f>
        <v>0</v>
      </c>
      <c r="E47" s="2"/>
      <c r="F47" s="19"/>
      <c r="G47" s="2"/>
      <c r="H47" s="2">
        <f>--17.82</f>
        <v>17.82</v>
      </c>
      <c r="I47" s="2"/>
      <c r="J47" s="19"/>
      <c r="K47" s="2"/>
      <c r="L47" s="2">
        <f t="shared" si="0"/>
        <v>-17.82</v>
      </c>
      <c r="M47" s="2"/>
      <c r="N47" s="19">
        <f t="shared" si="1"/>
        <v>-1</v>
      </c>
      <c r="O47" s="11"/>
      <c r="P47" s="2">
        <f>--309.26</f>
        <v>309.26</v>
      </c>
      <c r="Q47" s="2"/>
      <c r="R47" s="19"/>
      <c r="S47" s="2"/>
      <c r="T47" s="2">
        <f>--2235.12</f>
        <v>2235.12</v>
      </c>
      <c r="U47" s="2"/>
      <c r="V47" s="19"/>
      <c r="W47" s="2"/>
      <c r="X47" s="2">
        <f t="shared" si="2"/>
        <v>-1925.86</v>
      </c>
      <c r="Y47" s="2"/>
      <c r="Z47" s="19">
        <f t="shared" si="3"/>
        <v>-0.86163606428290207</v>
      </c>
    </row>
    <row r="48" spans="1:26" s="24" customFormat="1" hidden="1" outlineLevel="1" x14ac:dyDescent="0.3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-16200.52</f>
        <v>-16200.52</v>
      </c>
      <c r="E48" s="2"/>
      <c r="F48" s="19"/>
      <c r="G48" s="2"/>
      <c r="H48" s="2">
        <f>--2784.85</f>
        <v>2784.85</v>
      </c>
      <c r="I48" s="2"/>
      <c r="J48" s="19"/>
      <c r="K48" s="2"/>
      <c r="L48" s="2">
        <f t="shared" si="0"/>
        <v>-18985.37</v>
      </c>
      <c r="M48" s="2"/>
      <c r="N48" s="19">
        <f t="shared" si="1"/>
        <v>-6.8173761602958862</v>
      </c>
      <c r="O48" s="11"/>
      <c r="P48" s="2">
        <f>--591246.5</f>
        <v>591246.5</v>
      </c>
      <c r="Q48" s="2"/>
      <c r="R48" s="19"/>
      <c r="S48" s="2"/>
      <c r="T48" s="2">
        <f>--792359.45</f>
        <v>792359.45</v>
      </c>
      <c r="U48" s="2"/>
      <c r="V48" s="19"/>
      <c r="W48" s="2"/>
      <c r="X48" s="2">
        <f t="shared" si="2"/>
        <v>-201112.94999999995</v>
      </c>
      <c r="Y48" s="2"/>
      <c r="Z48" s="19">
        <f t="shared" si="3"/>
        <v>-0.25381529809482295</v>
      </c>
    </row>
    <row r="49" spans="1:26" s="24" customFormat="1" hidden="1" outlineLevel="1" x14ac:dyDescent="0.3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--2671.34</f>
        <v>2671.34</v>
      </c>
      <c r="E49" s="2"/>
      <c r="F49" s="19"/>
      <c r="G49" s="2"/>
      <c r="H49" s="2">
        <f>--1051.16</f>
        <v>1051.1600000000001</v>
      </c>
      <c r="I49" s="2"/>
      <c r="J49" s="19"/>
      <c r="K49" s="2"/>
      <c r="L49" s="2">
        <f t="shared" si="0"/>
        <v>1620.18</v>
      </c>
      <c r="M49" s="2"/>
      <c r="N49" s="19">
        <f t="shared" si="1"/>
        <v>1.5413257734312569</v>
      </c>
      <c r="O49" s="11"/>
      <c r="P49" s="2">
        <f>--153953.68</f>
        <v>153953.68</v>
      </c>
      <c r="Q49" s="2"/>
      <c r="R49" s="19"/>
      <c r="S49" s="2"/>
      <c r="T49" s="2">
        <f>--281995.26</f>
        <v>281995.26</v>
      </c>
      <c r="U49" s="2"/>
      <c r="V49" s="19"/>
      <c r="W49" s="2"/>
      <c r="X49" s="2">
        <f t="shared" si="2"/>
        <v>-128041.58000000002</v>
      </c>
      <c r="Y49" s="2"/>
      <c r="Z49" s="19">
        <f t="shared" si="3"/>
        <v>-0.45405578802991231</v>
      </c>
    </row>
    <row r="50" spans="1:26" s="24" customFormat="1" hidden="1" outlineLevel="1" x14ac:dyDescent="0.3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--1718.15</f>
        <v>1718.15</v>
      </c>
      <c r="E50" s="2"/>
      <c r="F50" s="19"/>
      <c r="G50" s="2"/>
      <c r="H50" s="2">
        <f>--2191.44</f>
        <v>2191.44</v>
      </c>
      <c r="I50" s="2"/>
      <c r="J50" s="19"/>
      <c r="K50" s="2"/>
      <c r="L50" s="2">
        <f t="shared" si="0"/>
        <v>-473.28999999999996</v>
      </c>
      <c r="M50" s="2"/>
      <c r="N50" s="19">
        <f t="shared" si="1"/>
        <v>-0.21597214616872923</v>
      </c>
      <c r="O50" s="11"/>
      <c r="P50" s="2">
        <f>--71943.61</f>
        <v>71943.61</v>
      </c>
      <c r="Q50" s="2"/>
      <c r="R50" s="19"/>
      <c r="S50" s="2"/>
      <c r="T50" s="2">
        <f>--98541.39</f>
        <v>98541.39</v>
      </c>
      <c r="U50" s="2"/>
      <c r="V50" s="19"/>
      <c r="W50" s="2"/>
      <c r="X50" s="2">
        <f t="shared" si="2"/>
        <v>-26597.78</v>
      </c>
      <c r="Y50" s="2"/>
      <c r="Z50" s="19">
        <f t="shared" si="3"/>
        <v>-0.26991480432739989</v>
      </c>
    </row>
    <row r="51" spans="1:26" s="24" customFormat="1" hidden="1" outlineLevel="1" x14ac:dyDescent="0.3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>
        <f>--830.85</f>
        <v>830.85</v>
      </c>
      <c r="U51" s="2"/>
      <c r="V51" s="19"/>
      <c r="W51" s="2"/>
      <c r="X51" s="2">
        <f t="shared" si="2"/>
        <v>-165.88</v>
      </c>
      <c r="Y51" s="2"/>
      <c r="Z51" s="19">
        <f t="shared" si="3"/>
        <v>-0.19965095986038392</v>
      </c>
    </row>
    <row r="52" spans="1:26" s="24" customFormat="1" hidden="1" outlineLevel="1" x14ac:dyDescent="0.3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--1836.93</f>
        <v>1836.93</v>
      </c>
      <c r="E52" s="2"/>
      <c r="F52" s="19"/>
      <c r="G52" s="2"/>
      <c r="H52" s="2">
        <f>--1779.5</f>
        <v>1779.5</v>
      </c>
      <c r="I52" s="2"/>
      <c r="J52" s="19"/>
      <c r="K52" s="2"/>
      <c r="L52" s="2">
        <f t="shared" si="0"/>
        <v>57.430000000000064</v>
      </c>
      <c r="M52" s="2"/>
      <c r="N52" s="19">
        <f t="shared" si="1"/>
        <v>3.2273110424276517E-2</v>
      </c>
      <c r="O52" s="11"/>
      <c r="P52" s="2">
        <f>--533640.31</f>
        <v>533640.31000000006</v>
      </c>
      <c r="Q52" s="2"/>
      <c r="R52" s="19"/>
      <c r="S52" s="2"/>
      <c r="T52" s="2">
        <f>--535221.75</f>
        <v>535221.75</v>
      </c>
      <c r="U52" s="2"/>
      <c r="V52" s="19"/>
      <c r="W52" s="2"/>
      <c r="X52" s="2">
        <f t="shared" si="2"/>
        <v>-1581.4399999999441</v>
      </c>
      <c r="Y52" s="2"/>
      <c r="Z52" s="19">
        <f t="shared" si="3"/>
        <v>-2.9547379193763036E-3</v>
      </c>
    </row>
    <row r="53" spans="1:26" s="24" customFormat="1" hidden="1" outlineLevel="1" x14ac:dyDescent="0.3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--679.21</f>
        <v>679.21</v>
      </c>
      <c r="E53" s="2"/>
      <c r="F53" s="19"/>
      <c r="G53" s="2"/>
      <c r="H53" s="2">
        <f>--3194.97</f>
        <v>3194.97</v>
      </c>
      <c r="I53" s="2"/>
      <c r="J53" s="19"/>
      <c r="K53" s="2"/>
      <c r="L53" s="2">
        <f t="shared" si="0"/>
        <v>-2515.7599999999998</v>
      </c>
      <c r="M53" s="2"/>
      <c r="N53" s="19">
        <f t="shared" si="1"/>
        <v>-0.78741271436038518</v>
      </c>
      <c r="O53" s="11"/>
      <c r="P53" s="2">
        <f>--16342.67</f>
        <v>16342.67</v>
      </c>
      <c r="Q53" s="2"/>
      <c r="R53" s="19"/>
      <c r="S53" s="2"/>
      <c r="T53" s="2">
        <f>--25086.75</f>
        <v>25086.75</v>
      </c>
      <c r="U53" s="2"/>
      <c r="V53" s="19"/>
      <c r="W53" s="2"/>
      <c r="X53" s="2">
        <f t="shared" si="2"/>
        <v>-8744.08</v>
      </c>
      <c r="Y53" s="2"/>
      <c r="Z53" s="19">
        <f t="shared" si="3"/>
        <v>-0.34855371859647022</v>
      </c>
    </row>
    <row r="54" spans="1:26" s="24" customFormat="1" hidden="1" outlineLevel="1" x14ac:dyDescent="0.3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 t="shared" ref="D54:D55" si="9">0</f>
        <v>0</v>
      </c>
      <c r="E54" s="2"/>
      <c r="F54" s="19"/>
      <c r="G54" s="2"/>
      <c r="H54" s="2">
        <f>--1600</f>
        <v>1600</v>
      </c>
      <c r="I54" s="2"/>
      <c r="J54" s="19"/>
      <c r="K54" s="2"/>
      <c r="L54" s="2">
        <f t="shared" si="0"/>
        <v>-1600</v>
      </c>
      <c r="M54" s="2"/>
      <c r="N54" s="19">
        <f t="shared" si="1"/>
        <v>-1</v>
      </c>
      <c r="O54" s="11"/>
      <c r="P54" s="2">
        <f>--8266.16</f>
        <v>8266.16</v>
      </c>
      <c r="Q54" s="2"/>
      <c r="R54" s="19"/>
      <c r="S54" s="2"/>
      <c r="T54" s="2">
        <f>--5373</f>
        <v>5373</v>
      </c>
      <c r="U54" s="2"/>
      <c r="V54" s="19"/>
      <c r="W54" s="2"/>
      <c r="X54" s="2">
        <f t="shared" si="2"/>
        <v>2893.16</v>
      </c>
      <c r="Y54" s="2"/>
      <c r="Z54" s="19">
        <f t="shared" si="3"/>
        <v>0.53846268378931694</v>
      </c>
    </row>
    <row r="55" spans="1:26" s="24" customFormat="1" hidden="1" outlineLevel="1" x14ac:dyDescent="0.35">
      <c r="A55" s="44"/>
      <c r="B55" s="11" t="str">
        <f>CONCATENATE("          ", "4114", " - ", "NON-TAXABLE SALES-REMAINDERS")</f>
        <v xml:space="preserve">          4114 - NON-TAXABLE SALES-REMAINDERS</v>
      </c>
      <c r="C55" s="11"/>
      <c r="D55" s="2">
        <f t="shared" si="9"/>
        <v>0</v>
      </c>
      <c r="E55" s="2"/>
      <c r="F55" s="19"/>
      <c r="G55" s="2"/>
      <c r="H55" s="2">
        <f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--3.19</f>
        <v>3.19</v>
      </c>
      <c r="Q55" s="2"/>
      <c r="R55" s="19"/>
      <c r="S55" s="2"/>
      <c r="T55" s="2">
        <f>0</f>
        <v>0</v>
      </c>
      <c r="U55" s="2"/>
      <c r="V55" s="19"/>
      <c r="W55" s="2"/>
      <c r="X55" s="2">
        <f t="shared" si="2"/>
        <v>3.19</v>
      </c>
      <c r="Y55" s="2"/>
      <c r="Z55" s="19">
        <f t="shared" si="3"/>
        <v>0</v>
      </c>
    </row>
    <row r="56" spans="1:26" s="24" customFormat="1" hidden="1" outlineLevel="1" x14ac:dyDescent="0.35">
      <c r="A56" s="44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>--10.09</f>
        <v>10.09</v>
      </c>
      <c r="E56" s="2"/>
      <c r="F56" s="19"/>
      <c r="G56" s="2"/>
      <c r="H56" s="2">
        <f>--2507</f>
        <v>2507</v>
      </c>
      <c r="I56" s="2"/>
      <c r="J56" s="19"/>
      <c r="K56" s="2"/>
      <c r="L56" s="2">
        <f t="shared" si="0"/>
        <v>-2496.91</v>
      </c>
      <c r="M56" s="2"/>
      <c r="N56" s="19">
        <f t="shared" si="1"/>
        <v>-0.99597526924611079</v>
      </c>
      <c r="O56" s="11"/>
      <c r="P56" s="2">
        <f>--126.03</f>
        <v>126.03</v>
      </c>
      <c r="Q56" s="2"/>
      <c r="R56" s="19"/>
      <c r="S56" s="2"/>
      <c r="T56" s="2">
        <f>--2773.48</f>
        <v>2773.48</v>
      </c>
      <c r="U56" s="2"/>
      <c r="V56" s="19"/>
      <c r="W56" s="2"/>
      <c r="X56" s="2">
        <f t="shared" si="2"/>
        <v>-2647.45</v>
      </c>
      <c r="Y56" s="2"/>
      <c r="Z56" s="19">
        <f t="shared" si="3"/>
        <v>-0.95455889352005419</v>
      </c>
    </row>
    <row r="57" spans="1:26" s="24" customFormat="1" hidden="1" outlineLevel="1" x14ac:dyDescent="0.35">
      <c r="A57" s="44"/>
      <c r="B57" s="11" t="str">
        <f>CONCATENATE("          ", "4125", " - ", "NON-TAXABLE SALES-TEST FORMS")</f>
        <v xml:space="preserve">          4125 - NON-TAXABLE SALES-TEST FORMS</v>
      </c>
      <c r="C57" s="11"/>
      <c r="D57" s="2">
        <f>--185</f>
        <v>185</v>
      </c>
      <c r="E57" s="2"/>
      <c r="F57" s="19"/>
      <c r="G57" s="2"/>
      <c r="H57" s="2">
        <f>--12.94</f>
        <v>12.94</v>
      </c>
      <c r="I57" s="2"/>
      <c r="J57" s="19"/>
      <c r="K57" s="2"/>
      <c r="L57" s="2">
        <f t="shared" si="0"/>
        <v>172.06</v>
      </c>
      <c r="M57" s="2"/>
      <c r="N57" s="19">
        <f t="shared" si="1"/>
        <v>13.2967542503864</v>
      </c>
      <c r="O57" s="11"/>
      <c r="P57" s="2">
        <f>--452.61</f>
        <v>452.61</v>
      </c>
      <c r="Q57" s="2"/>
      <c r="R57" s="19"/>
      <c r="S57" s="2"/>
      <c r="T57" s="2">
        <f>--331.15</f>
        <v>331.15</v>
      </c>
      <c r="U57" s="2"/>
      <c r="V57" s="19"/>
      <c r="W57" s="2"/>
      <c r="X57" s="2">
        <f t="shared" si="2"/>
        <v>121.46000000000004</v>
      </c>
      <c r="Y57" s="2"/>
      <c r="Z57" s="19">
        <f t="shared" si="3"/>
        <v>0.36678242488298368</v>
      </c>
    </row>
    <row r="58" spans="1:26" s="24" customFormat="1" hidden="1" outlineLevel="1" x14ac:dyDescent="0.35">
      <c r="A58" s="44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>--168.02</f>
        <v>168.02</v>
      </c>
      <c r="E58" s="2"/>
      <c r="F58" s="19"/>
      <c r="G58" s="2"/>
      <c r="H58" s="2">
        <f>--160.46</f>
        <v>160.46</v>
      </c>
      <c r="I58" s="2"/>
      <c r="J58" s="19"/>
      <c r="K58" s="2"/>
      <c r="L58" s="2">
        <f t="shared" si="0"/>
        <v>7.5600000000000023</v>
      </c>
      <c r="M58" s="2"/>
      <c r="N58" s="19">
        <f t="shared" si="1"/>
        <v>4.7114545681166659E-2</v>
      </c>
      <c r="O58" s="11"/>
      <c r="P58" s="2">
        <f>--3301.44</f>
        <v>3301.44</v>
      </c>
      <c r="Q58" s="2"/>
      <c r="R58" s="19"/>
      <c r="S58" s="2"/>
      <c r="T58" s="2">
        <f>--4171.98</f>
        <v>4171.9799999999996</v>
      </c>
      <c r="U58" s="2"/>
      <c r="V58" s="19"/>
      <c r="W58" s="2"/>
      <c r="X58" s="2">
        <f t="shared" si="2"/>
        <v>-870.53999999999951</v>
      </c>
      <c r="Y58" s="2"/>
      <c r="Z58" s="19">
        <f t="shared" si="3"/>
        <v>-0.2086635122891288</v>
      </c>
    </row>
    <row r="59" spans="1:26" s="24" customFormat="1" hidden="1" outlineLevel="1" x14ac:dyDescent="0.35">
      <c r="A59" s="44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--97.62</f>
        <v>97.62</v>
      </c>
      <c r="E59" s="2"/>
      <c r="F59" s="19"/>
      <c r="G59" s="2"/>
      <c r="H59" s="2">
        <f>--83.39</f>
        <v>83.39</v>
      </c>
      <c r="I59" s="2"/>
      <c r="J59" s="19"/>
      <c r="K59" s="2"/>
      <c r="L59" s="2">
        <f t="shared" si="0"/>
        <v>14.230000000000004</v>
      </c>
      <c r="M59" s="2"/>
      <c r="N59" s="19">
        <f t="shared" si="1"/>
        <v>0.17064396210576813</v>
      </c>
      <c r="O59" s="11"/>
      <c r="P59" s="2">
        <f>--6471.33</f>
        <v>6471.33</v>
      </c>
      <c r="Q59" s="2"/>
      <c r="R59" s="19"/>
      <c r="S59" s="2"/>
      <c r="T59" s="2">
        <f>--12627.65</f>
        <v>12627.65</v>
      </c>
      <c r="U59" s="2"/>
      <c r="V59" s="19"/>
      <c r="W59" s="2"/>
      <c r="X59" s="2">
        <f t="shared" si="2"/>
        <v>-6156.32</v>
      </c>
      <c r="Y59" s="2"/>
      <c r="Z59" s="19">
        <f t="shared" si="3"/>
        <v>-0.48752697453603799</v>
      </c>
    </row>
    <row r="60" spans="1:26" s="24" customFormat="1" hidden="1" outlineLevel="1" x14ac:dyDescent="0.35">
      <c r="A60" s="44"/>
      <c r="B60" s="11" t="str">
        <f>CONCATENATE("          ", "4128", " - ", "NON-TAXABLE SALES-ART/TECH")</f>
        <v xml:space="preserve">          4128 - NON-TAXABLE SALES-ART/TECH</v>
      </c>
      <c r="C60" s="11"/>
      <c r="D60" s="2">
        <f>--0.74</f>
        <v>0.74</v>
      </c>
      <c r="E60" s="2"/>
      <c r="F60" s="19"/>
      <c r="G60" s="2"/>
      <c r="H60" s="2">
        <f>--16.55</f>
        <v>16.55</v>
      </c>
      <c r="I60" s="2"/>
      <c r="J60" s="19"/>
      <c r="K60" s="2"/>
      <c r="L60" s="2">
        <f t="shared" si="0"/>
        <v>-15.81</v>
      </c>
      <c r="M60" s="2"/>
      <c r="N60" s="19">
        <f t="shared" si="1"/>
        <v>-0.9552870090634441</v>
      </c>
      <c r="O60" s="11"/>
      <c r="P60" s="2">
        <f>--731.36</f>
        <v>731.36</v>
      </c>
      <c r="Q60" s="2"/>
      <c r="R60" s="19"/>
      <c r="S60" s="2"/>
      <c r="T60" s="2">
        <f>--894.51</f>
        <v>894.51</v>
      </c>
      <c r="U60" s="2"/>
      <c r="V60" s="19"/>
      <c r="W60" s="2"/>
      <c r="X60" s="2">
        <f t="shared" si="2"/>
        <v>-163.14999999999998</v>
      </c>
      <c r="Y60" s="2"/>
      <c r="Z60" s="19">
        <f t="shared" si="3"/>
        <v>-0.18239035896747938</v>
      </c>
    </row>
    <row r="61" spans="1:26" s="24" customFormat="1" hidden="1" outlineLevel="1" x14ac:dyDescent="0.35">
      <c r="A61" s="44"/>
      <c r="B61" s="11" t="str">
        <f>CONCATENATE("          ", "4131", " - ", "NON-TAXABLE SALES-FOOD")</f>
        <v xml:space="preserve">          4131 - NON-TAXABLE SALES-FOOD</v>
      </c>
      <c r="C61" s="11"/>
      <c r="D61" s="2">
        <f>--64.14</f>
        <v>64.14</v>
      </c>
      <c r="E61" s="2"/>
      <c r="F61" s="19"/>
      <c r="G61" s="2"/>
      <c r="H61" s="2">
        <f>--182.35</f>
        <v>182.35</v>
      </c>
      <c r="I61" s="2"/>
      <c r="J61" s="19"/>
      <c r="K61" s="2"/>
      <c r="L61" s="2">
        <f t="shared" si="0"/>
        <v>-118.21</v>
      </c>
      <c r="M61" s="2"/>
      <c r="N61" s="19">
        <f t="shared" si="1"/>
        <v>-0.64825884288456259</v>
      </c>
      <c r="O61" s="11"/>
      <c r="P61" s="2">
        <f>--57957.84</f>
        <v>57957.84</v>
      </c>
      <c r="Q61" s="2"/>
      <c r="R61" s="19"/>
      <c r="S61" s="2"/>
      <c r="T61" s="2">
        <f>--74222.68</f>
        <v>74222.679999999993</v>
      </c>
      <c r="U61" s="2"/>
      <c r="V61" s="19"/>
      <c r="W61" s="2"/>
      <c r="X61" s="2">
        <f t="shared" si="2"/>
        <v>-16264.839999999997</v>
      </c>
      <c r="Y61" s="2"/>
      <c r="Z61" s="19">
        <f t="shared" si="3"/>
        <v>-0.21913571431266021</v>
      </c>
    </row>
    <row r="62" spans="1:26" s="24" customFormat="1" hidden="1" outlineLevel="1" x14ac:dyDescent="0.35">
      <c r="A62" s="44"/>
      <c r="B62" s="11" t="str">
        <f>CONCATENATE("          ", "4132", " - ", "NON-TAXABLE SALES-JUICE")</f>
        <v xml:space="preserve">          4132 - NON-TAXABLE SALES-JUICE</v>
      </c>
      <c r="C62" s="11"/>
      <c r="D62" s="2">
        <f>0</f>
        <v>0</v>
      </c>
      <c r="E62" s="2"/>
      <c r="F62" s="19"/>
      <c r="G62" s="2"/>
      <c r="H62" s="2">
        <f>--50.31</f>
        <v>50.31</v>
      </c>
      <c r="I62" s="2"/>
      <c r="J62" s="19"/>
      <c r="K62" s="2"/>
      <c r="L62" s="2">
        <f t="shared" si="0"/>
        <v>-50.31</v>
      </c>
      <c r="M62" s="2"/>
      <c r="N62" s="19">
        <f t="shared" si="1"/>
        <v>-1</v>
      </c>
      <c r="O62" s="11"/>
      <c r="P62" s="2">
        <f>--16199.63</f>
        <v>16199.63</v>
      </c>
      <c r="Q62" s="2"/>
      <c r="R62" s="19"/>
      <c r="S62" s="2"/>
      <c r="T62" s="2">
        <f>--18307.55</f>
        <v>18307.55</v>
      </c>
      <c r="U62" s="2"/>
      <c r="V62" s="19"/>
      <c r="W62" s="2"/>
      <c r="X62" s="2">
        <f t="shared" si="2"/>
        <v>-2107.92</v>
      </c>
      <c r="Y62" s="2"/>
      <c r="Z62" s="19">
        <f t="shared" si="3"/>
        <v>-0.11513938238595553</v>
      </c>
    </row>
    <row r="63" spans="1:26" s="24" customFormat="1" hidden="1" outlineLevel="1" x14ac:dyDescent="0.35">
      <c r="A63" s="44"/>
      <c r="B63" s="11" t="str">
        <f>CONCATENATE("          ", "4133", " - ", "NON-TAXABLE SALES-CANDY")</f>
        <v xml:space="preserve">          4133 - NON-TAXABLE SALES-CANDY</v>
      </c>
      <c r="C63" s="11"/>
      <c r="D63" s="2">
        <f>--13.47</f>
        <v>13.47</v>
      </c>
      <c r="E63" s="2"/>
      <c r="F63" s="19"/>
      <c r="G63" s="2"/>
      <c r="H63" s="2">
        <f>--294.41</f>
        <v>294.41000000000003</v>
      </c>
      <c r="I63" s="2"/>
      <c r="J63" s="19"/>
      <c r="K63" s="2"/>
      <c r="L63" s="2">
        <f t="shared" si="0"/>
        <v>-280.94</v>
      </c>
      <c r="M63" s="2"/>
      <c r="N63" s="19">
        <f t="shared" si="1"/>
        <v>-0.95424747800686105</v>
      </c>
      <c r="O63" s="11"/>
      <c r="P63" s="2">
        <f>--18150.2</f>
        <v>18150.2</v>
      </c>
      <c r="Q63" s="2"/>
      <c r="R63" s="19"/>
      <c r="S63" s="2"/>
      <c r="T63" s="2">
        <f>--23768.73</f>
        <v>23768.73</v>
      </c>
      <c r="U63" s="2"/>
      <c r="V63" s="19"/>
      <c r="W63" s="2"/>
      <c r="X63" s="2">
        <f t="shared" si="2"/>
        <v>-5618.5299999999988</v>
      </c>
      <c r="Y63" s="2"/>
      <c r="Z63" s="19">
        <f t="shared" si="3"/>
        <v>-0.236383264903089</v>
      </c>
    </row>
    <row r="64" spans="1:26" s="24" customFormat="1" hidden="1" outlineLevel="1" x14ac:dyDescent="0.35">
      <c r="A64" s="44"/>
      <c r="B64" s="11" t="str">
        <f>CONCATENATE("          ", "4134", " - ", "NON-TAXABLE SALES-SODA")</f>
        <v xml:space="preserve">          4134 - NON-TAXABLE SALES-SODA</v>
      </c>
      <c r="C64" s="11"/>
      <c r="D64" s="2">
        <f t="shared" ref="D64:D66" si="10">0</f>
        <v>0</v>
      </c>
      <c r="E64" s="2"/>
      <c r="F64" s="19"/>
      <c r="G64" s="2"/>
      <c r="H64" s="2">
        <f t="shared" ref="H64:H65" si="11"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--1.89</f>
        <v>1.89</v>
      </c>
      <c r="Q64" s="2"/>
      <c r="R64" s="19"/>
      <c r="S64" s="2"/>
      <c r="T64" s="2">
        <f>--111.36</f>
        <v>111.36</v>
      </c>
      <c r="U64" s="2"/>
      <c r="V64" s="19"/>
      <c r="W64" s="2"/>
      <c r="X64" s="2">
        <f t="shared" si="2"/>
        <v>-109.47</v>
      </c>
      <c r="Y64" s="2"/>
      <c r="Z64" s="19">
        <f t="shared" si="3"/>
        <v>-0.98302801724137934</v>
      </c>
    </row>
    <row r="65" spans="1:26" s="24" customFormat="1" hidden="1" outlineLevel="1" x14ac:dyDescent="0.3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 t="shared" si="10"/>
        <v>0</v>
      </c>
      <c r="E65" s="2"/>
      <c r="F65" s="19"/>
      <c r="G65" s="2"/>
      <c r="H65" s="2">
        <f t="shared" si="11"/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--161.4</f>
        <v>161.4</v>
      </c>
      <c r="Q65" s="2"/>
      <c r="R65" s="19"/>
      <c r="S65" s="2"/>
      <c r="T65" s="2">
        <f>--383.81</f>
        <v>383.81</v>
      </c>
      <c r="U65" s="2"/>
      <c r="V65" s="19"/>
      <c r="W65" s="2"/>
      <c r="X65" s="2">
        <f t="shared" si="2"/>
        <v>-222.41</v>
      </c>
      <c r="Y65" s="2"/>
      <c r="Z65" s="19">
        <f t="shared" si="3"/>
        <v>-0.57947942992626555</v>
      </c>
    </row>
    <row r="66" spans="1:26" s="24" customFormat="1" hidden="1" outlineLevel="1" x14ac:dyDescent="0.3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 t="shared" si="10"/>
        <v>0</v>
      </c>
      <c r="E66" s="2"/>
      <c r="F66" s="19"/>
      <c r="G66" s="2"/>
      <c r="H66" s="2">
        <f>--39.37</f>
        <v>39.369999999999997</v>
      </c>
      <c r="I66" s="2"/>
      <c r="J66" s="19"/>
      <c r="K66" s="2"/>
      <c r="L66" s="2">
        <f t="shared" si="0"/>
        <v>-39.369999999999997</v>
      </c>
      <c r="M66" s="2"/>
      <c r="N66" s="19">
        <f t="shared" si="1"/>
        <v>-1</v>
      </c>
      <c r="O66" s="11"/>
      <c r="P66" s="2">
        <f>--8519.06</f>
        <v>8519.06</v>
      </c>
      <c r="Q66" s="2"/>
      <c r="R66" s="19"/>
      <c r="S66" s="2"/>
      <c r="T66" s="2">
        <f>--10182.76</f>
        <v>10182.76</v>
      </c>
      <c r="U66" s="2"/>
      <c r="V66" s="19"/>
      <c r="W66" s="2"/>
      <c r="X66" s="2">
        <f t="shared" si="2"/>
        <v>-1663.7000000000007</v>
      </c>
      <c r="Y66" s="2"/>
      <c r="Z66" s="19">
        <f t="shared" si="3"/>
        <v>-0.16338399412340079</v>
      </c>
    </row>
    <row r="67" spans="1:26" s="24" customFormat="1" hidden="1" outlineLevel="1" x14ac:dyDescent="0.3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--40740.37</f>
        <v>40740.370000000003</v>
      </c>
      <c r="E67" s="2"/>
      <c r="F67" s="19"/>
      <c r="G67" s="2"/>
      <c r="H67" s="2">
        <f>--6820.39</f>
        <v>6820.39</v>
      </c>
      <c r="I67" s="2"/>
      <c r="J67" s="19"/>
      <c r="K67" s="2"/>
      <c r="L67" s="2">
        <f t="shared" si="0"/>
        <v>33919.980000000003</v>
      </c>
      <c r="M67" s="2"/>
      <c r="N67" s="19">
        <f t="shared" si="1"/>
        <v>4.9733197075240572</v>
      </c>
      <c r="O67" s="11"/>
      <c r="P67" s="2">
        <f>--176221.13</f>
        <v>176221.13</v>
      </c>
      <c r="Q67" s="2"/>
      <c r="R67" s="19"/>
      <c r="S67" s="2"/>
      <c r="T67" s="2">
        <f>--62811.11</f>
        <v>62811.11</v>
      </c>
      <c r="U67" s="2"/>
      <c r="V67" s="19"/>
      <c r="W67" s="2"/>
      <c r="X67" s="2">
        <f t="shared" si="2"/>
        <v>113410.02</v>
      </c>
      <c r="Y67" s="2"/>
      <c r="Z67" s="19">
        <f t="shared" si="3"/>
        <v>1.8055726128705576</v>
      </c>
    </row>
    <row r="68" spans="1:26" s="24" customFormat="1" hidden="1" outlineLevel="1" x14ac:dyDescent="0.3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--6641.14</f>
        <v>6641.14</v>
      </c>
      <c r="E68" s="2"/>
      <c r="F68" s="19"/>
      <c r="G68" s="2"/>
      <c r="H68" s="2">
        <f>--392.25</f>
        <v>392.25</v>
      </c>
      <c r="I68" s="2"/>
      <c r="J68" s="19"/>
      <c r="K68" s="2"/>
      <c r="L68" s="2">
        <f t="shared" si="0"/>
        <v>6248.89</v>
      </c>
      <c r="M68" s="2"/>
      <c r="N68" s="19">
        <f t="shared" si="1"/>
        <v>15.930885914595285</v>
      </c>
      <c r="O68" s="11"/>
      <c r="P68" s="2">
        <f>--23601.45</f>
        <v>23601.45</v>
      </c>
      <c r="Q68" s="2"/>
      <c r="R68" s="19"/>
      <c r="S68" s="2"/>
      <c r="T68" s="2">
        <f>--6856.03</f>
        <v>6856.03</v>
      </c>
      <c r="U68" s="2"/>
      <c r="V68" s="19"/>
      <c r="W68" s="2"/>
      <c r="X68" s="2">
        <f t="shared" si="2"/>
        <v>16745.420000000002</v>
      </c>
      <c r="Y68" s="2"/>
      <c r="Z68" s="19">
        <f t="shared" si="3"/>
        <v>2.4424368038062849</v>
      </c>
    </row>
    <row r="69" spans="1:26" s="24" customFormat="1" hidden="1" outlineLevel="1" x14ac:dyDescent="0.3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--1018.52</f>
        <v>1018.52</v>
      </c>
      <c r="E69" s="2"/>
      <c r="F69" s="19"/>
      <c r="G69" s="2"/>
      <c r="H69" s="2">
        <f>--208.83</f>
        <v>208.83</v>
      </c>
      <c r="I69" s="2"/>
      <c r="J69" s="19"/>
      <c r="K69" s="2"/>
      <c r="L69" s="2">
        <f t="shared" si="0"/>
        <v>809.68999999999994</v>
      </c>
      <c r="M69" s="2"/>
      <c r="N69" s="19">
        <f t="shared" si="1"/>
        <v>3.8772685916774403</v>
      </c>
      <c r="O69" s="11"/>
      <c r="P69" s="2">
        <f>--16350.74</f>
        <v>16350.74</v>
      </c>
      <c r="Q69" s="2"/>
      <c r="R69" s="19"/>
      <c r="S69" s="2"/>
      <c r="T69" s="2">
        <f>--21317.71</f>
        <v>21317.71</v>
      </c>
      <c r="U69" s="2"/>
      <c r="V69" s="19"/>
      <c r="W69" s="2"/>
      <c r="X69" s="2">
        <f t="shared" si="2"/>
        <v>-4966.9699999999993</v>
      </c>
      <c r="Y69" s="2"/>
      <c r="Z69" s="19">
        <f t="shared" si="3"/>
        <v>-0.23299735290516663</v>
      </c>
    </row>
    <row r="70" spans="1:26" s="24" customFormat="1" hidden="1" outlineLevel="1" x14ac:dyDescent="0.35">
      <c r="A70" s="44"/>
      <c r="B70" s="11" t="str">
        <f>CONCATENATE("          ", "4143", " - ", "NON-TAXABLE SALES-CARDS")</f>
        <v xml:space="preserve">          4143 - NON-TAXABLE SALES-CARDS</v>
      </c>
      <c r="C70" s="11"/>
      <c r="D70" s="2">
        <f>0</f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--19.98</f>
        <v>19.98</v>
      </c>
      <c r="Q70" s="2"/>
      <c r="R70" s="19"/>
      <c r="S70" s="2"/>
      <c r="T70" s="2">
        <f>0</f>
        <v>0</v>
      </c>
      <c r="U70" s="2"/>
      <c r="V70" s="19"/>
      <c r="W70" s="2"/>
      <c r="X70" s="2">
        <f t="shared" si="2"/>
        <v>19.98</v>
      </c>
      <c r="Y70" s="2"/>
      <c r="Z70" s="19">
        <f t="shared" si="3"/>
        <v>0</v>
      </c>
    </row>
    <row r="71" spans="1:26" s="24" customFormat="1" hidden="1" outlineLevel="1" x14ac:dyDescent="0.35">
      <c r="A71" s="44"/>
      <c r="B71" s="11" t="str">
        <f>CONCATENATE("          ", "4144", " - ", "NON-TAXABLE SALES-ACCESSORIES")</f>
        <v xml:space="preserve">          4144 - NON-TAXABLE SALES-ACCESSORIES</v>
      </c>
      <c r="C71" s="11"/>
      <c r="D71" s="2">
        <f>--386.9</f>
        <v>386.9</v>
      </c>
      <c r="E71" s="2"/>
      <c r="F71" s="19"/>
      <c r="G71" s="2"/>
      <c r="H71" s="2">
        <f>--19.95</f>
        <v>19.95</v>
      </c>
      <c r="I71" s="2"/>
      <c r="J71" s="19"/>
      <c r="K71" s="2"/>
      <c r="L71" s="2">
        <f t="shared" si="0"/>
        <v>366.95</v>
      </c>
      <c r="M71" s="2"/>
      <c r="N71" s="19">
        <f t="shared" si="1"/>
        <v>18.393483709273184</v>
      </c>
      <c r="O71" s="11"/>
      <c r="P71" s="2">
        <f>--3710.92</f>
        <v>3710.92</v>
      </c>
      <c r="Q71" s="2"/>
      <c r="R71" s="19"/>
      <c r="S71" s="2"/>
      <c r="T71" s="2">
        <f>--659.84</f>
        <v>659.84</v>
      </c>
      <c r="U71" s="2"/>
      <c r="V71" s="19"/>
      <c r="W71" s="2"/>
      <c r="X71" s="2">
        <f t="shared" si="2"/>
        <v>3051.08</v>
      </c>
      <c r="Y71" s="2"/>
      <c r="Z71" s="19">
        <f t="shared" si="3"/>
        <v>4.6239694471387001</v>
      </c>
    </row>
    <row r="72" spans="1:26" s="24" customFormat="1" hidden="1" outlineLevel="1" x14ac:dyDescent="0.35">
      <c r="A72" s="44"/>
      <c r="B72" s="11" t="str">
        <f>CONCATENATE("          ", "4145", " - ", "NON-TAXABLE SALES-SPECIAL ORDE")</f>
        <v xml:space="preserve">          4145 - NON-TAXABLE SALES-SPECIAL ORDE</v>
      </c>
      <c r="C72" s="11"/>
      <c r="D72" s="2">
        <f>--19379.5</f>
        <v>19379.5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19379.5</v>
      </c>
      <c r="M72" s="2"/>
      <c r="N72" s="19">
        <f t="shared" si="1"/>
        <v>0</v>
      </c>
      <c r="O72" s="11"/>
      <c r="P72" s="2">
        <f>--27208.18</f>
        <v>27208.18</v>
      </c>
      <c r="Q72" s="2"/>
      <c r="R72" s="19"/>
      <c r="S72" s="2"/>
      <c r="T72" s="2">
        <f>--2382.85</f>
        <v>2382.85</v>
      </c>
      <c r="U72" s="2"/>
      <c r="V72" s="19"/>
      <c r="W72" s="2"/>
      <c r="X72" s="2">
        <f t="shared" si="2"/>
        <v>24825.33</v>
      </c>
      <c r="Y72" s="2"/>
      <c r="Z72" s="19">
        <f t="shared" si="3"/>
        <v>10.418335186856076</v>
      </c>
    </row>
    <row r="73" spans="1:26" s="24" customFormat="1" hidden="1" outlineLevel="1" x14ac:dyDescent="0.35">
      <c r="A73" s="44"/>
      <c r="B73" s="11" t="str">
        <f>CONCATENATE("          ", "4146", " - ", "NON-TAXABLE SALES-COIN OP MACH")</f>
        <v xml:space="preserve">          4146 - NON-TAXABLE SALES-COIN OP MACH</v>
      </c>
      <c r="C73" s="11"/>
      <c r="D73" s="2">
        <f t="shared" ref="D73:D77" si="12">0</f>
        <v>0</v>
      </c>
      <c r="E73" s="2"/>
      <c r="F73" s="19"/>
      <c r="G73" s="2"/>
      <c r="H73" s="2">
        <f>--2296.45</f>
        <v>2296.4499999999998</v>
      </c>
      <c r="I73" s="2"/>
      <c r="J73" s="19"/>
      <c r="K73" s="2"/>
      <c r="L73" s="2">
        <f t="shared" si="0"/>
        <v>-2296.4499999999998</v>
      </c>
      <c r="M73" s="2"/>
      <c r="N73" s="19">
        <f t="shared" si="1"/>
        <v>-1</v>
      </c>
      <c r="O73" s="11"/>
      <c r="P73" s="2">
        <f>--205908.65</f>
        <v>205908.65</v>
      </c>
      <c r="Q73" s="2"/>
      <c r="R73" s="19"/>
      <c r="S73" s="2"/>
      <c r="T73" s="2">
        <f>--288251.29</f>
        <v>288251.28999999998</v>
      </c>
      <c r="U73" s="2"/>
      <c r="V73" s="19"/>
      <c r="W73" s="2"/>
      <c r="X73" s="2">
        <f t="shared" si="2"/>
        <v>-82342.639999999985</v>
      </c>
      <c r="Y73" s="2"/>
      <c r="Z73" s="19">
        <f t="shared" si="3"/>
        <v>-0.28566269382523835</v>
      </c>
    </row>
    <row r="74" spans="1:26" s="24" customFormat="1" hidden="1" outlineLevel="1" x14ac:dyDescent="0.35">
      <c r="A74" s="44"/>
      <c r="B74" s="11" t="str">
        <f>CONCATENATE("          ", "4147", " - ", "NON-TAXABLE SALES-MISC")</f>
        <v xml:space="preserve">          4147 - NON-TAXABLE SALES-MISC</v>
      </c>
      <c r="C74" s="11"/>
      <c r="D74" s="2">
        <f t="shared" si="12"/>
        <v>0</v>
      </c>
      <c r="E74" s="2"/>
      <c r="F74" s="19"/>
      <c r="G74" s="2"/>
      <c r="H74" s="2">
        <f>--31</f>
        <v>31</v>
      </c>
      <c r="I74" s="2"/>
      <c r="J74" s="19"/>
      <c r="K74" s="2"/>
      <c r="L74" s="2">
        <f t="shared" si="0"/>
        <v>-31</v>
      </c>
      <c r="M74" s="2"/>
      <c r="N74" s="19">
        <f t="shared" si="1"/>
        <v>-1</v>
      </c>
      <c r="O74" s="11"/>
      <c r="P74" s="2">
        <f>--3446.37</f>
        <v>3446.37</v>
      </c>
      <c r="Q74" s="2"/>
      <c r="R74" s="19"/>
      <c r="S74" s="2"/>
      <c r="T74" s="2">
        <f>--959.73</f>
        <v>959.73</v>
      </c>
      <c r="U74" s="2"/>
      <c r="V74" s="19"/>
      <c r="W74" s="2"/>
      <c r="X74" s="2">
        <f t="shared" si="2"/>
        <v>2486.64</v>
      </c>
      <c r="Y74" s="2"/>
      <c r="Z74" s="19">
        <f t="shared" si="3"/>
        <v>2.5909787127629644</v>
      </c>
    </row>
    <row r="75" spans="1:26" s="24" customFormat="1" hidden="1" outlineLevel="1" x14ac:dyDescent="0.35">
      <c r="A75" s="44"/>
      <c r="B75" s="11" t="str">
        <f>CONCATENATE("          ", "4186", " - ", "NON-TAXABLE SALES-COMPUTER SUP")</f>
        <v xml:space="preserve">          4186 - NON-TAXABLE SALES-COMPUTER SUP</v>
      </c>
      <c r="C75" s="11"/>
      <c r="D75" s="2">
        <f t="shared" si="12"/>
        <v>0</v>
      </c>
      <c r="E75" s="2"/>
      <c r="F75" s="19"/>
      <c r="G75" s="2"/>
      <c r="H75" s="2">
        <f>0</f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-30.97</f>
        <v>-30.97</v>
      </c>
      <c r="Q75" s="2"/>
      <c r="R75" s="19"/>
      <c r="S75" s="2"/>
      <c r="T75" s="2">
        <f>-174.68</f>
        <v>-174.68</v>
      </c>
      <c r="U75" s="2"/>
      <c r="V75" s="19"/>
      <c r="W75" s="2"/>
      <c r="X75" s="2">
        <f t="shared" si="2"/>
        <v>143.71</v>
      </c>
      <c r="Y75" s="2"/>
      <c r="Z75" s="19">
        <f t="shared" si="3"/>
        <v>-0.82270437371193039</v>
      </c>
    </row>
    <row r="76" spans="1:26" s="24" customFormat="1" hidden="1" outlineLevel="1" x14ac:dyDescent="0.35">
      <c r="A76" s="44"/>
      <c r="B76" s="11" t="str">
        <f>CONCATENATE("          ", "4192", " - ", "NON-TAXABLE SALES-GRAD MERCH")</f>
        <v xml:space="preserve">          4192 - NON-TAXABLE SALES-GRAD MERCH</v>
      </c>
      <c r="C76" s="11"/>
      <c r="D76" s="2">
        <f t="shared" si="12"/>
        <v>0</v>
      </c>
      <c r="E76" s="2"/>
      <c r="F76" s="19"/>
      <c r="G76" s="2"/>
      <c r="H76" s="2">
        <f>-510</f>
        <v>-510</v>
      </c>
      <c r="I76" s="2"/>
      <c r="J76" s="19"/>
      <c r="K76" s="2"/>
      <c r="L76" s="2">
        <f t="shared" si="0"/>
        <v>510</v>
      </c>
      <c r="M76" s="2"/>
      <c r="N76" s="19">
        <f t="shared" si="1"/>
        <v>-1</v>
      </c>
      <c r="O76" s="11"/>
      <c r="P76" s="2">
        <f>--119.4</f>
        <v>119.4</v>
      </c>
      <c r="Q76" s="2"/>
      <c r="R76" s="19"/>
      <c r="S76" s="2"/>
      <c r="T76" s="2">
        <f>--21.25</f>
        <v>21.25</v>
      </c>
      <c r="U76" s="2"/>
      <c r="V76" s="19"/>
      <c r="W76" s="2"/>
      <c r="X76" s="2">
        <f t="shared" si="2"/>
        <v>98.15</v>
      </c>
      <c r="Y76" s="2"/>
      <c r="Z76" s="19">
        <f t="shared" si="3"/>
        <v>4.618823529411765</v>
      </c>
    </row>
    <row r="77" spans="1:26" s="24" customFormat="1" hidden="1" outlineLevel="1" x14ac:dyDescent="0.3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 t="shared" si="12"/>
        <v>0</v>
      </c>
      <c r="E77" s="2"/>
      <c r="F77" s="19"/>
      <c r="G77" s="2"/>
      <c r="H77" s="2">
        <f>-1869.01</f>
        <v>-1869.01</v>
      </c>
      <c r="I77" s="2"/>
      <c r="J77" s="19"/>
      <c r="K77" s="2"/>
      <c r="L77" s="2">
        <f t="shared" si="0"/>
        <v>1869.01</v>
      </c>
      <c r="M77" s="2"/>
      <c r="N77" s="19">
        <f t="shared" si="1"/>
        <v>-1</v>
      </c>
      <c r="O77" s="11"/>
      <c r="P77" s="2">
        <f>-121451.61</f>
        <v>-121451.61</v>
      </c>
      <c r="Q77" s="2"/>
      <c r="R77" s="19"/>
      <c r="S77" s="2"/>
      <c r="T77" s="2">
        <f>-180616.86</f>
        <v>-180616.86</v>
      </c>
      <c r="U77" s="2"/>
      <c r="V77" s="19"/>
      <c r="W77" s="2"/>
      <c r="X77" s="2">
        <f t="shared" si="2"/>
        <v>59165.249999999985</v>
      </c>
      <c r="Y77" s="2"/>
      <c r="Z77" s="19">
        <f t="shared" si="3"/>
        <v>-0.32757323984040021</v>
      </c>
    </row>
    <row r="78" spans="1:26" s="24" customFormat="1" hidden="1" outlineLevel="1" x14ac:dyDescent="0.3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-186.35</f>
        <v>-186.35</v>
      </c>
      <c r="E78" s="2"/>
      <c r="F78" s="19"/>
      <c r="G78" s="2"/>
      <c r="H78" s="2">
        <f>-393.35</f>
        <v>-393.35</v>
      </c>
      <c r="I78" s="2"/>
      <c r="J78" s="19"/>
      <c r="K78" s="2"/>
      <c r="L78" s="2">
        <f t="shared" si="0"/>
        <v>207.00000000000003</v>
      </c>
      <c r="M78" s="2"/>
      <c r="N78" s="19">
        <f t="shared" si="1"/>
        <v>-0.52624888775899326</v>
      </c>
      <c r="O78" s="11"/>
      <c r="P78" s="2">
        <f>-45799.46</f>
        <v>-45799.46</v>
      </c>
      <c r="Q78" s="2"/>
      <c r="R78" s="19"/>
      <c r="S78" s="2"/>
      <c r="T78" s="2">
        <f>-47688.8</f>
        <v>-47688.800000000003</v>
      </c>
      <c r="U78" s="2"/>
      <c r="V78" s="19"/>
      <c r="W78" s="2"/>
      <c r="X78" s="2">
        <f t="shared" si="2"/>
        <v>1889.3400000000038</v>
      </c>
      <c r="Y78" s="2"/>
      <c r="Z78" s="19">
        <f t="shared" si="3"/>
        <v>-3.9618107396285997E-2</v>
      </c>
    </row>
    <row r="79" spans="1:26" s="24" customFormat="1" hidden="1" outlineLevel="1" x14ac:dyDescent="0.3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 t="shared" ref="D79:D80" si="13"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-144.99</f>
        <v>-144.99</v>
      </c>
      <c r="Q79" s="2"/>
      <c r="R79" s="19"/>
      <c r="S79" s="2"/>
      <c r="T79" s="2">
        <f>-1699.5</f>
        <v>-1699.5</v>
      </c>
      <c r="U79" s="2"/>
      <c r="V79" s="19"/>
      <c r="W79" s="2"/>
      <c r="X79" s="2">
        <f t="shared" si="2"/>
        <v>1554.51</v>
      </c>
      <c r="Y79" s="2"/>
      <c r="Z79" s="19">
        <f t="shared" si="3"/>
        <v>-0.9146866725507502</v>
      </c>
    </row>
    <row r="80" spans="1:26" s="24" customFormat="1" hidden="1" outlineLevel="1" x14ac:dyDescent="0.3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 t="shared" si="13"/>
        <v>0</v>
      </c>
      <c r="E80" s="2"/>
      <c r="F80" s="19"/>
      <c r="G80" s="2"/>
      <c r="H80" s="2">
        <f>-44.1</f>
        <v>-44.1</v>
      </c>
      <c r="I80" s="2"/>
      <c r="J80" s="19"/>
      <c r="K80" s="2"/>
      <c r="L80" s="2">
        <f t="shared" si="0"/>
        <v>44.1</v>
      </c>
      <c r="M80" s="2"/>
      <c r="N80" s="19">
        <f t="shared" si="1"/>
        <v>-1</v>
      </c>
      <c r="O80" s="11"/>
      <c r="P80" s="2">
        <f>-17255.33</f>
        <v>-17255.330000000002</v>
      </c>
      <c r="Q80" s="2"/>
      <c r="R80" s="19"/>
      <c r="S80" s="2"/>
      <c r="T80" s="2">
        <f>-27147</f>
        <v>-27147</v>
      </c>
      <c r="U80" s="2"/>
      <c r="V80" s="19"/>
      <c r="W80" s="2"/>
      <c r="X80" s="2">
        <f t="shared" si="2"/>
        <v>9891.6699999999983</v>
      </c>
      <c r="Y80" s="2"/>
      <c r="Z80" s="19">
        <f t="shared" si="3"/>
        <v>-0.36437433233874822</v>
      </c>
    </row>
    <row r="81" spans="1:26" s="24" customFormat="1" hidden="1" outlineLevel="1" x14ac:dyDescent="0.3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>-100.7</f>
        <v>-100.7</v>
      </c>
      <c r="E81" s="2"/>
      <c r="F81" s="19"/>
      <c r="G81" s="2"/>
      <c r="H81" s="2">
        <f>-5.95</f>
        <v>-5.95</v>
      </c>
      <c r="I81" s="2"/>
      <c r="J81" s="19"/>
      <c r="K81" s="2"/>
      <c r="L81" s="2">
        <f t="shared" si="0"/>
        <v>-94.75</v>
      </c>
      <c r="M81" s="2"/>
      <c r="N81" s="19">
        <f t="shared" si="1"/>
        <v>15.92436974789916</v>
      </c>
      <c r="O81" s="11"/>
      <c r="P81" s="2">
        <f>-2869.37</f>
        <v>-2869.37</v>
      </c>
      <c r="Q81" s="2"/>
      <c r="R81" s="19"/>
      <c r="S81" s="2"/>
      <c r="T81" s="2">
        <f>-1554.3</f>
        <v>-1554.3</v>
      </c>
      <c r="U81" s="2"/>
      <c r="V81" s="19"/>
      <c r="W81" s="2"/>
      <c r="X81" s="2">
        <f t="shared" si="2"/>
        <v>-1315.07</v>
      </c>
      <c r="Y81" s="2"/>
      <c r="Z81" s="19">
        <f t="shared" si="3"/>
        <v>0.84608505436530912</v>
      </c>
    </row>
    <row r="82" spans="1:26" s="24" customFormat="1" hidden="1" outlineLevel="1" x14ac:dyDescent="0.35">
      <c r="A82" s="44"/>
      <c r="B82" s="11" t="str">
        <f>CONCATENATE("          ", "4214", " - ", "SALES RETURN TAXABLE-REMAINDER")</f>
        <v xml:space="preserve">          4214 - SALES RETURN TAXABLE-REMAINDER</v>
      </c>
      <c r="C82" s="11"/>
      <c r="D82" s="2">
        <f t="shared" ref="D82:D86" si="14">0</f>
        <v>0</v>
      </c>
      <c r="E82" s="2"/>
      <c r="F82" s="19"/>
      <c r="G82" s="2"/>
      <c r="H82" s="2">
        <f t="shared" ref="H82:H84" si="15"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-11.94</f>
        <v>-11.94</v>
      </c>
      <c r="Q82" s="2"/>
      <c r="R82" s="19"/>
      <c r="S82" s="2"/>
      <c r="T82" s="2">
        <f>-19.84</f>
        <v>-19.84</v>
      </c>
      <c r="U82" s="2"/>
      <c r="V82" s="19"/>
      <c r="W82" s="2"/>
      <c r="X82" s="2">
        <f t="shared" si="2"/>
        <v>7.9</v>
      </c>
      <c r="Y82" s="2"/>
      <c r="Z82" s="19">
        <f t="shared" si="3"/>
        <v>-0.39818548387096775</v>
      </c>
    </row>
    <row r="83" spans="1:26" s="24" customFormat="1" hidden="1" outlineLevel="1" x14ac:dyDescent="0.35">
      <c r="A83" s="44"/>
      <c r="B83" s="11" t="str">
        <f>CONCATENATE("          ", "4217", " - ", "NON-TAXABLE SALES-DORM/HOUSEWA")</f>
        <v xml:space="preserve">          4217 - NON-TAXABLE SALES-DORM/HOUSEWA</v>
      </c>
      <c r="C83" s="11"/>
      <c r="D83" s="2">
        <f t="shared" si="14"/>
        <v>0</v>
      </c>
      <c r="E83" s="2"/>
      <c r="F83" s="19"/>
      <c r="G83" s="2"/>
      <c r="H83" s="2">
        <f t="shared" si="15"/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-2.98</f>
        <v>-2.98</v>
      </c>
      <c r="Q83" s="2"/>
      <c r="R83" s="19"/>
      <c r="S83" s="2"/>
      <c r="T83" s="2">
        <f>-2.99</f>
        <v>-2.99</v>
      </c>
      <c r="U83" s="2"/>
      <c r="V83" s="19"/>
      <c r="W83" s="2"/>
      <c r="X83" s="2">
        <f t="shared" si="2"/>
        <v>1.0000000000000231E-2</v>
      </c>
      <c r="Y83" s="2"/>
      <c r="Z83" s="19">
        <f t="shared" si="3"/>
        <v>-3.3444816053512477E-3</v>
      </c>
    </row>
    <row r="84" spans="1:26" s="24" customFormat="1" hidden="1" outlineLevel="1" x14ac:dyDescent="0.35">
      <c r="A84" s="44"/>
      <c r="B84" s="11" t="str">
        <f>CONCATENATE("          ", "4218", " - ", "SALES RETURN TAXABLE-STUDY GUI")</f>
        <v xml:space="preserve">          4218 - SALES RETURN TAXABLE-STUDY GUI</v>
      </c>
      <c r="C84" s="11"/>
      <c r="D84" s="2">
        <f t="shared" si="14"/>
        <v>0</v>
      </c>
      <c r="E84" s="2"/>
      <c r="F84" s="19"/>
      <c r="G84" s="2"/>
      <c r="H84" s="2">
        <f t="shared" si="15"/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-39.25</f>
        <v>-39.25</v>
      </c>
      <c r="Q84" s="2"/>
      <c r="R84" s="19"/>
      <c r="S84" s="2"/>
      <c r="T84" s="2">
        <f>-67.6</f>
        <v>-67.599999999999994</v>
      </c>
      <c r="U84" s="2"/>
      <c r="V84" s="19"/>
      <c r="W84" s="2"/>
      <c r="X84" s="2">
        <f t="shared" si="2"/>
        <v>28.349999999999994</v>
      </c>
      <c r="Y84" s="2"/>
      <c r="Z84" s="19">
        <f t="shared" si="3"/>
        <v>-0.41937869822485202</v>
      </c>
    </row>
    <row r="85" spans="1:26" s="24" customFormat="1" hidden="1" outlineLevel="1" x14ac:dyDescent="0.35">
      <c r="A85" s="44"/>
      <c r="B85" s="11" t="str">
        <f>CONCATENATE("          ", "4225", " - ", "SALES RETURN TAXABLE-TEST FORM")</f>
        <v xml:space="preserve">          4225 - SALES RETURN TAXABLE-TEST FORM</v>
      </c>
      <c r="C85" s="11"/>
      <c r="D85" s="2">
        <f t="shared" si="14"/>
        <v>0</v>
      </c>
      <c r="E85" s="2"/>
      <c r="F85" s="19"/>
      <c r="G85" s="2"/>
      <c r="H85" s="2">
        <f>-3.39</f>
        <v>-3.39</v>
      </c>
      <c r="I85" s="2"/>
      <c r="J85" s="19"/>
      <c r="K85" s="2"/>
      <c r="L85" s="2">
        <f t="shared" si="0"/>
        <v>3.39</v>
      </c>
      <c r="M85" s="2"/>
      <c r="N85" s="19">
        <f t="shared" si="1"/>
        <v>-1</v>
      </c>
      <c r="O85" s="11"/>
      <c r="P85" s="2">
        <f>-205.91</f>
        <v>-205.91</v>
      </c>
      <c r="Q85" s="2"/>
      <c r="R85" s="19"/>
      <c r="S85" s="2"/>
      <c r="T85" s="2">
        <f>-191.21</f>
        <v>-191.21</v>
      </c>
      <c r="U85" s="2"/>
      <c r="V85" s="19"/>
      <c r="W85" s="2"/>
      <c r="X85" s="2">
        <f t="shared" si="2"/>
        <v>-14.699999999999989</v>
      </c>
      <c r="Y85" s="2"/>
      <c r="Z85" s="19">
        <f t="shared" si="3"/>
        <v>7.6878824329271414E-2</v>
      </c>
    </row>
    <row r="86" spans="1:26" s="24" customFormat="1" hidden="1" outlineLevel="1" x14ac:dyDescent="0.35">
      <c r="A86" s="44"/>
      <c r="B86" s="11" t="str">
        <f>CONCATENATE("          ", "4226", " - ", "SALES RETURN TAXABLE-WRITING I")</f>
        <v xml:space="preserve">          4226 - SALES RETURN TAXABLE-WRITING I</v>
      </c>
      <c r="C86" s="11"/>
      <c r="D86" s="2">
        <f t="shared" si="14"/>
        <v>0</v>
      </c>
      <c r="E86" s="2"/>
      <c r="F86" s="19"/>
      <c r="G86" s="2"/>
      <c r="H86" s="2">
        <f>-44.61</f>
        <v>-44.61</v>
      </c>
      <c r="I86" s="2"/>
      <c r="J86" s="19"/>
      <c r="K86" s="2"/>
      <c r="L86" s="2">
        <f t="shared" si="0"/>
        <v>44.61</v>
      </c>
      <c r="M86" s="2"/>
      <c r="N86" s="19">
        <f t="shared" si="1"/>
        <v>-1</v>
      </c>
      <c r="O86" s="11"/>
      <c r="P86" s="2">
        <f>-924.44</f>
        <v>-924.44</v>
      </c>
      <c r="Q86" s="2"/>
      <c r="R86" s="19"/>
      <c r="S86" s="2"/>
      <c r="T86" s="2">
        <f>-766.52</f>
        <v>-766.52</v>
      </c>
      <c r="U86" s="2"/>
      <c r="V86" s="19"/>
      <c r="W86" s="2"/>
      <c r="X86" s="2">
        <f t="shared" si="2"/>
        <v>-157.92000000000007</v>
      </c>
      <c r="Y86" s="2"/>
      <c r="Z86" s="19">
        <f t="shared" si="3"/>
        <v>0.20602202160413308</v>
      </c>
    </row>
    <row r="87" spans="1:26" s="24" customFormat="1" hidden="1" outlineLevel="1" x14ac:dyDescent="0.35">
      <c r="A87" s="44"/>
      <c r="B87" s="11" t="str">
        <f>CONCATENATE("          ", "4227", " - ", "SALES RETURN TAXABLE-SCHOOL SU")</f>
        <v xml:space="preserve">          4227 - SALES RETURN TAXABLE-SCHOOL SU</v>
      </c>
      <c r="C87" s="11"/>
      <c r="D87" s="2">
        <f>-81.87</f>
        <v>-81.87</v>
      </c>
      <c r="E87" s="2"/>
      <c r="F87" s="19"/>
      <c r="G87" s="2"/>
      <c r="H87" s="2">
        <f>-179.06</f>
        <v>-179.06</v>
      </c>
      <c r="I87" s="2"/>
      <c r="J87" s="19"/>
      <c r="K87" s="2"/>
      <c r="L87" s="2">
        <f t="shared" si="0"/>
        <v>97.19</v>
      </c>
      <c r="M87" s="2"/>
      <c r="N87" s="19">
        <f t="shared" si="1"/>
        <v>-0.54277895677426558</v>
      </c>
      <c r="O87" s="11"/>
      <c r="P87" s="2">
        <f>-8728.9</f>
        <v>-8728.9</v>
      </c>
      <c r="Q87" s="2"/>
      <c r="R87" s="19"/>
      <c r="S87" s="2"/>
      <c r="T87" s="2">
        <f>-6986.53</f>
        <v>-6986.53</v>
      </c>
      <c r="U87" s="2"/>
      <c r="V87" s="19"/>
      <c r="W87" s="2"/>
      <c r="X87" s="2">
        <f t="shared" si="2"/>
        <v>-1742.37</v>
      </c>
      <c r="Y87" s="2"/>
      <c r="Z87" s="19">
        <f t="shared" si="3"/>
        <v>0.2493898974168865</v>
      </c>
    </row>
    <row r="88" spans="1:26" s="24" customFormat="1" hidden="1" outlineLevel="1" x14ac:dyDescent="0.35">
      <c r="A88" s="44"/>
      <c r="B88" s="11" t="str">
        <f>CONCATENATE("          ", "4228", " - ", "SALES RETURN TAXABLE-ART/TECH")</f>
        <v xml:space="preserve">          4228 - SALES RETURN TAXABLE-ART/TECH</v>
      </c>
      <c r="C88" s="11"/>
      <c r="D88" s="2">
        <f t="shared" ref="D88:D90" si="16">0</f>
        <v>0</v>
      </c>
      <c r="E88" s="2"/>
      <c r="F88" s="19"/>
      <c r="G88" s="2"/>
      <c r="H88" s="2">
        <f>-17.45</f>
        <v>-17.45</v>
      </c>
      <c r="I88" s="2"/>
      <c r="J88" s="19"/>
      <c r="K88" s="2"/>
      <c r="L88" s="2">
        <f t="shared" si="0"/>
        <v>17.45</v>
      </c>
      <c r="M88" s="2"/>
      <c r="N88" s="19">
        <f t="shared" si="1"/>
        <v>-1</v>
      </c>
      <c r="O88" s="11"/>
      <c r="P88" s="2">
        <f>-4739.1</f>
        <v>-4739.1000000000004</v>
      </c>
      <c r="Q88" s="2"/>
      <c r="R88" s="19"/>
      <c r="S88" s="2"/>
      <c r="T88" s="2">
        <f>-8342.73</f>
        <v>-8342.73</v>
      </c>
      <c r="U88" s="2"/>
      <c r="V88" s="19"/>
      <c r="W88" s="2"/>
      <c r="X88" s="2">
        <f t="shared" si="2"/>
        <v>3603.6299999999992</v>
      </c>
      <c r="Y88" s="2"/>
      <c r="Z88" s="19">
        <f t="shared" si="3"/>
        <v>-0.4319485348321232</v>
      </c>
    </row>
    <row r="89" spans="1:26" s="24" customFormat="1" hidden="1" outlineLevel="1" x14ac:dyDescent="0.35">
      <c r="A89" s="44"/>
      <c r="B89" s="11" t="str">
        <f>CONCATENATE("          ", "4233", " - ", "SALES RETURN TAXABLE-CANDY")</f>
        <v xml:space="preserve">          4233 - SALES RETURN TAXABLE-CANDY</v>
      </c>
      <c r="C89" s="11"/>
      <c r="D89" s="2">
        <f t="shared" si="16"/>
        <v>0</v>
      </c>
      <c r="E89" s="2"/>
      <c r="F89" s="19"/>
      <c r="G89" s="2"/>
      <c r="H89" s="2">
        <f>-139.92</f>
        <v>-139.91999999999999</v>
      </c>
      <c r="I89" s="2"/>
      <c r="J89" s="19"/>
      <c r="K89" s="2"/>
      <c r="L89" s="2">
        <f t="shared" si="0"/>
        <v>139.91999999999999</v>
      </c>
      <c r="M89" s="2"/>
      <c r="N89" s="19">
        <f t="shared" si="1"/>
        <v>-1</v>
      </c>
      <c r="O89" s="11"/>
      <c r="P89" s="2">
        <f>-8.25</f>
        <v>-8.25</v>
      </c>
      <c r="Q89" s="2"/>
      <c r="R89" s="19"/>
      <c r="S89" s="2"/>
      <c r="T89" s="2">
        <f>-143.5</f>
        <v>-143.5</v>
      </c>
      <c r="U89" s="2"/>
      <c r="V89" s="19"/>
      <c r="W89" s="2"/>
      <c r="X89" s="2">
        <f t="shared" si="2"/>
        <v>135.25</v>
      </c>
      <c r="Y89" s="2"/>
      <c r="Z89" s="19">
        <f t="shared" si="3"/>
        <v>-0.94250871080139376</v>
      </c>
    </row>
    <row r="90" spans="1:26" s="24" customFormat="1" hidden="1" outlineLevel="1" x14ac:dyDescent="0.35">
      <c r="A90" s="44"/>
      <c r="B90" s="11" t="str">
        <f>CONCATENATE("          ", "4234", " - ", "SALES RETURN TAXABLE-SODA")</f>
        <v xml:space="preserve">          4234 - SALES RETURN TAXABLE-SODA</v>
      </c>
      <c r="C90" s="11"/>
      <c r="D90" s="2">
        <f t="shared" si="16"/>
        <v>0</v>
      </c>
      <c r="E90" s="2"/>
      <c r="F90" s="19"/>
      <c r="G90" s="2"/>
      <c r="H90" s="2">
        <f>-362.88</f>
        <v>-362.88</v>
      </c>
      <c r="I90" s="2"/>
      <c r="J90" s="19"/>
      <c r="K90" s="2"/>
      <c r="L90" s="2">
        <f t="shared" si="0"/>
        <v>362.88</v>
      </c>
      <c r="M90" s="2"/>
      <c r="N90" s="19">
        <f t="shared" si="1"/>
        <v>-1</v>
      </c>
      <c r="O90" s="11"/>
      <c r="P90" s="2">
        <f>0</f>
        <v>0</v>
      </c>
      <c r="Q90" s="2"/>
      <c r="R90" s="19"/>
      <c r="S90" s="2"/>
      <c r="T90" s="2">
        <f>-368.16</f>
        <v>-368.16</v>
      </c>
      <c r="U90" s="2"/>
      <c r="V90" s="19"/>
      <c r="W90" s="2"/>
      <c r="X90" s="2">
        <f t="shared" si="2"/>
        <v>368.16</v>
      </c>
      <c r="Y90" s="2"/>
      <c r="Z90" s="19">
        <f t="shared" si="3"/>
        <v>-1</v>
      </c>
    </row>
    <row r="91" spans="1:26" s="24" customFormat="1" hidden="1" outlineLevel="1" x14ac:dyDescent="0.35">
      <c r="A91" s="44"/>
      <c r="B91" s="11" t="str">
        <f>CONCATENATE("          ", "4240", " - ", "SALES RETURN TAXABLE-LOGO CLOT")</f>
        <v xml:space="preserve">          4240 - SALES RETURN TAXABLE-LOGO CLOT</v>
      </c>
      <c r="C91" s="11"/>
      <c r="D91" s="2">
        <f>-2702.34</f>
        <v>-2702.34</v>
      </c>
      <c r="E91" s="2"/>
      <c r="F91" s="19"/>
      <c r="G91" s="2"/>
      <c r="H91" s="2">
        <f>-4511.18</f>
        <v>-4511.18</v>
      </c>
      <c r="I91" s="2"/>
      <c r="J91" s="19"/>
      <c r="K91" s="2"/>
      <c r="L91" s="2">
        <f t="shared" si="0"/>
        <v>1808.8400000000001</v>
      </c>
      <c r="M91" s="2"/>
      <c r="N91" s="19">
        <f t="shared" si="1"/>
        <v>-0.40096826107581607</v>
      </c>
      <c r="O91" s="11"/>
      <c r="P91" s="2">
        <f>-80387.11</f>
        <v>-80387.11</v>
      </c>
      <c r="Q91" s="2"/>
      <c r="R91" s="19"/>
      <c r="S91" s="2"/>
      <c r="T91" s="2">
        <f>-98015.21</f>
        <v>-98015.21</v>
      </c>
      <c r="U91" s="2"/>
      <c r="V91" s="19"/>
      <c r="W91" s="2"/>
      <c r="X91" s="2">
        <f t="shared" si="2"/>
        <v>17628.100000000006</v>
      </c>
      <c r="Y91" s="2"/>
      <c r="Z91" s="19">
        <f t="shared" si="3"/>
        <v>-0.17985065787238536</v>
      </c>
    </row>
    <row r="92" spans="1:26" s="24" customFormat="1" hidden="1" outlineLevel="1" x14ac:dyDescent="0.35">
      <c r="A92" s="44"/>
      <c r="B92" s="11" t="str">
        <f>CONCATENATE("          ", "4241", " - ", "SALES RETURN TAXABLE-LOGO GIFT")</f>
        <v xml:space="preserve">          4241 - SALES RETURN TAXABLE-LOGO GIFT</v>
      </c>
      <c r="C92" s="11"/>
      <c r="D92" s="2">
        <f>-525.51</f>
        <v>-525.51</v>
      </c>
      <c r="E92" s="2"/>
      <c r="F92" s="19"/>
      <c r="G92" s="2"/>
      <c r="H92" s="2">
        <f>-930.18</f>
        <v>-930.18</v>
      </c>
      <c r="I92" s="2"/>
      <c r="J92" s="19"/>
      <c r="K92" s="2"/>
      <c r="L92" s="2">
        <f t="shared" si="0"/>
        <v>404.66999999999996</v>
      </c>
      <c r="M92" s="2"/>
      <c r="N92" s="19">
        <f t="shared" si="1"/>
        <v>-0.43504483003289685</v>
      </c>
      <c r="O92" s="11"/>
      <c r="P92" s="2">
        <f>-7990.78</f>
        <v>-7990.78</v>
      </c>
      <c r="Q92" s="2"/>
      <c r="R92" s="19"/>
      <c r="S92" s="2"/>
      <c r="T92" s="2">
        <f>-16238.22</f>
        <v>-16238.22</v>
      </c>
      <c r="U92" s="2"/>
      <c r="V92" s="19"/>
      <c r="W92" s="2"/>
      <c r="X92" s="2">
        <f t="shared" si="2"/>
        <v>8247.4399999999987</v>
      </c>
      <c r="Y92" s="2"/>
      <c r="Z92" s="19">
        <f t="shared" si="3"/>
        <v>-0.50790295980717093</v>
      </c>
    </row>
    <row r="93" spans="1:26" s="24" customFormat="1" hidden="1" outlineLevel="1" x14ac:dyDescent="0.35">
      <c r="A93" s="44"/>
      <c r="B93" s="11" t="str">
        <f>CONCATENATE("          ", "4242", " - ", "SALES RETURN TAXABLE-EVERYDAY")</f>
        <v xml:space="preserve">          4242 - SALES RETURN TAXABLE-EVERYDAY</v>
      </c>
      <c r="C93" s="11"/>
      <c r="D93" s="2">
        <f>-51.44</f>
        <v>-51.44</v>
      </c>
      <c r="E93" s="2"/>
      <c r="F93" s="19"/>
      <c r="G93" s="2"/>
      <c r="H93" s="2">
        <f>-229.78</f>
        <v>-229.78</v>
      </c>
      <c r="I93" s="2"/>
      <c r="J93" s="19"/>
      <c r="K93" s="2"/>
      <c r="L93" s="2">
        <f t="shared" si="0"/>
        <v>178.34</v>
      </c>
      <c r="M93" s="2"/>
      <c r="N93" s="19">
        <f t="shared" si="1"/>
        <v>-0.77613369309774571</v>
      </c>
      <c r="O93" s="11"/>
      <c r="P93" s="2">
        <f>-4232.85</f>
        <v>-4232.8500000000004</v>
      </c>
      <c r="Q93" s="2"/>
      <c r="R93" s="19"/>
      <c r="S93" s="2"/>
      <c r="T93" s="2">
        <f>-5238.15</f>
        <v>-5238.1499999999996</v>
      </c>
      <c r="U93" s="2"/>
      <c r="V93" s="19"/>
      <c r="W93" s="2"/>
      <c r="X93" s="2">
        <f t="shared" si="2"/>
        <v>1005.2999999999993</v>
      </c>
      <c r="Y93" s="2"/>
      <c r="Z93" s="19">
        <f t="shared" si="3"/>
        <v>-0.19191890266601747</v>
      </c>
    </row>
    <row r="94" spans="1:26" s="24" customFormat="1" hidden="1" outlineLevel="1" x14ac:dyDescent="0.35">
      <c r="A94" s="44"/>
      <c r="B94" s="11" t="str">
        <f>CONCATENATE("          ", "4243", " - ", "SALES RETURN TAXABLE-CARDS")</f>
        <v xml:space="preserve">          4243 - SALES RETURN TAXABLE-CARDS</v>
      </c>
      <c r="C94" s="11"/>
      <c r="D94" s="2">
        <f>-19.99</f>
        <v>-19.989999999999998</v>
      </c>
      <c r="E94" s="2"/>
      <c r="F94" s="19"/>
      <c r="G94" s="2"/>
      <c r="H94" s="2">
        <f>0</f>
        <v>0</v>
      </c>
      <c r="I94" s="2"/>
      <c r="J94" s="19"/>
      <c r="K94" s="2"/>
      <c r="L94" s="2">
        <f t="shared" si="0"/>
        <v>-19.989999999999998</v>
      </c>
      <c r="M94" s="2"/>
      <c r="N94" s="19">
        <f t="shared" si="1"/>
        <v>0</v>
      </c>
      <c r="O94" s="11"/>
      <c r="P94" s="2">
        <f>-3026.3</f>
        <v>-3026.3</v>
      </c>
      <c r="Q94" s="2"/>
      <c r="R94" s="19"/>
      <c r="S94" s="2"/>
      <c r="T94" s="2">
        <f>-25.94</f>
        <v>-25.94</v>
      </c>
      <c r="U94" s="2"/>
      <c r="V94" s="19"/>
      <c r="W94" s="2"/>
      <c r="X94" s="2">
        <f t="shared" si="2"/>
        <v>-3000.36</v>
      </c>
      <c r="Y94" s="2"/>
      <c r="Z94" s="19">
        <f t="shared" si="3"/>
        <v>115.66538164996145</v>
      </c>
    </row>
    <row r="95" spans="1:26" s="24" customFormat="1" hidden="1" outlineLevel="1" x14ac:dyDescent="0.35">
      <c r="A95" s="44"/>
      <c r="B95" s="11" t="str">
        <f>CONCATENATE("          ", "4244", " - ", "SALES RETURN TAXABLE-ACCESSORI")</f>
        <v xml:space="preserve">          4244 - SALES RETURN TAXABLE-ACCESSORI</v>
      </c>
      <c r="C95" s="11"/>
      <c r="D95" s="2">
        <f>0</f>
        <v>0</v>
      </c>
      <c r="E95" s="2"/>
      <c r="F95" s="19"/>
      <c r="G95" s="2"/>
      <c r="H95" s="2">
        <f>-9.95</f>
        <v>-9.9499999999999993</v>
      </c>
      <c r="I95" s="2"/>
      <c r="J95" s="19"/>
      <c r="K95" s="2"/>
      <c r="L95" s="2">
        <f t="shared" si="0"/>
        <v>9.9499999999999993</v>
      </c>
      <c r="M95" s="2"/>
      <c r="N95" s="19">
        <f t="shared" si="1"/>
        <v>-1</v>
      </c>
      <c r="O95" s="11"/>
      <c r="P95" s="2">
        <f>-2726.41</f>
        <v>-2726.41</v>
      </c>
      <c r="Q95" s="2"/>
      <c r="R95" s="19"/>
      <c r="S95" s="2"/>
      <c r="T95" s="2">
        <f>-3985.97</f>
        <v>-3985.97</v>
      </c>
      <c r="U95" s="2"/>
      <c r="V95" s="19"/>
      <c r="W95" s="2"/>
      <c r="X95" s="2">
        <f t="shared" si="2"/>
        <v>1259.56</v>
      </c>
      <c r="Y95" s="2"/>
      <c r="Z95" s="19">
        <f t="shared" si="3"/>
        <v>-0.31599836426265127</v>
      </c>
    </row>
    <row r="96" spans="1:26" s="24" customFormat="1" hidden="1" outlineLevel="1" x14ac:dyDescent="0.35">
      <c r="A96" s="44"/>
      <c r="B96" s="11" t="str">
        <f>CONCATENATE("          ", "4245", " - ", "SALES RETURN TAXABLE-SPECIAL O")</f>
        <v xml:space="preserve">          4245 - SALES RETURN TAXABLE-SPECIAL O</v>
      </c>
      <c r="C96" s="11"/>
      <c r="D96" s="2">
        <f>-2187.5</f>
        <v>-2187.5</v>
      </c>
      <c r="E96" s="2"/>
      <c r="F96" s="19"/>
      <c r="G96" s="2"/>
      <c r="H96" s="2">
        <f>-937.5</f>
        <v>-937.5</v>
      </c>
      <c r="I96" s="2"/>
      <c r="J96" s="19"/>
      <c r="K96" s="2"/>
      <c r="L96" s="2">
        <f t="shared" si="0"/>
        <v>-1250</v>
      </c>
      <c r="M96" s="2"/>
      <c r="N96" s="19">
        <f t="shared" si="1"/>
        <v>1.3333333333333333</v>
      </c>
      <c r="O96" s="11"/>
      <c r="P96" s="2">
        <f>-4097.53</f>
        <v>-4097.53</v>
      </c>
      <c r="Q96" s="2"/>
      <c r="R96" s="19"/>
      <c r="S96" s="2"/>
      <c r="T96" s="2">
        <f>-2848.22</f>
        <v>-2848.22</v>
      </c>
      <c r="U96" s="2"/>
      <c r="V96" s="19"/>
      <c r="W96" s="2"/>
      <c r="X96" s="2">
        <f t="shared" si="2"/>
        <v>-1249.31</v>
      </c>
      <c r="Y96" s="2"/>
      <c r="Z96" s="19">
        <f t="shared" si="3"/>
        <v>0.43862833629424697</v>
      </c>
    </row>
    <row r="97" spans="1:26" s="24" customFormat="1" hidden="1" outlineLevel="1" x14ac:dyDescent="0.35">
      <c r="A97" s="44"/>
      <c r="B97" s="11" t="str">
        <f>CONCATENATE("          ", "4281", " - ", "SALES RETURN TAXABLE-ELECTRONI")</f>
        <v xml:space="preserve">          4281 - SALES RETURN TAXABLE-ELECTRONI</v>
      </c>
      <c r="C97" s="11"/>
      <c r="D97" s="2">
        <f>0</f>
        <v>0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-54.97</f>
        <v>-54.97</v>
      </c>
      <c r="Q97" s="2"/>
      <c r="R97" s="19"/>
      <c r="S97" s="2"/>
      <c r="T97" s="2">
        <f>-64.95</f>
        <v>-64.95</v>
      </c>
      <c r="U97" s="2"/>
      <c r="V97" s="19"/>
      <c r="W97" s="2"/>
      <c r="X97" s="2">
        <f t="shared" si="2"/>
        <v>9.980000000000004</v>
      </c>
      <c r="Y97" s="2"/>
      <c r="Z97" s="19">
        <f t="shared" si="3"/>
        <v>-0.1536566589684373</v>
      </c>
    </row>
    <row r="98" spans="1:26" s="24" customFormat="1" hidden="1" outlineLevel="1" x14ac:dyDescent="0.35">
      <c r="A98" s="44"/>
      <c r="B98" s="11" t="str">
        <f>CONCATENATE("          ", "4292", " - ", "SALES RETURN TAXABLE-GRAD MERC")</f>
        <v xml:space="preserve">          4292 - SALES RETURN TAXABLE-GRAD MERC</v>
      </c>
      <c r="C98" s="11"/>
      <c r="D98" s="2">
        <f>-214.68</f>
        <v>-214.68</v>
      </c>
      <c r="E98" s="2"/>
      <c r="F98" s="19"/>
      <c r="G98" s="2"/>
      <c r="H98" s="2">
        <f>-39.95</f>
        <v>-39.950000000000003</v>
      </c>
      <c r="I98" s="2"/>
      <c r="J98" s="19"/>
      <c r="K98" s="2"/>
      <c r="L98" s="2">
        <f t="shared" si="0"/>
        <v>-174.73000000000002</v>
      </c>
      <c r="M98" s="2"/>
      <c r="N98" s="19">
        <f t="shared" si="1"/>
        <v>4.3737171464330418</v>
      </c>
      <c r="O98" s="11"/>
      <c r="P98" s="2">
        <f>-793.52</f>
        <v>-793.52</v>
      </c>
      <c r="Q98" s="2"/>
      <c r="R98" s="19"/>
      <c r="S98" s="2"/>
      <c r="T98" s="2">
        <f>-8552.26</f>
        <v>-8552.26</v>
      </c>
      <c r="U98" s="2"/>
      <c r="V98" s="19"/>
      <c r="W98" s="2"/>
      <c r="X98" s="2">
        <f t="shared" si="2"/>
        <v>7758.74</v>
      </c>
      <c r="Y98" s="2"/>
      <c r="Z98" s="19">
        <f t="shared" si="3"/>
        <v>-0.90721516885595144</v>
      </c>
    </row>
    <row r="99" spans="1:26" s="24" customFormat="1" hidden="1" outlineLevel="1" x14ac:dyDescent="0.35">
      <c r="A99" s="44"/>
      <c r="B99" s="11" t="str">
        <f>CONCATENATE("          ", "4295", " - ", "SALES RETURN TAXABLE-CUSTOMER")</f>
        <v xml:space="preserve">          4295 - SALES RETURN TAXABLE-CUSTOMER</v>
      </c>
      <c r="C99" s="11"/>
      <c r="D99" s="2">
        <f>0</f>
        <v>0</v>
      </c>
      <c r="E99" s="2"/>
      <c r="F99" s="19"/>
      <c r="G99" s="2"/>
      <c r="H99" s="2">
        <f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--0.99</f>
        <v>0.99</v>
      </c>
      <c r="Q99" s="2"/>
      <c r="R99" s="19"/>
      <c r="S99" s="2"/>
      <c r="T99" s="2">
        <f>-126.72</f>
        <v>-126.72</v>
      </c>
      <c r="U99" s="2"/>
      <c r="V99" s="19"/>
      <c r="W99" s="2"/>
      <c r="X99" s="2">
        <f t="shared" si="2"/>
        <v>127.71</v>
      </c>
      <c r="Y99" s="2"/>
      <c r="Z99" s="19">
        <f t="shared" si="3"/>
        <v>-1.0078125</v>
      </c>
    </row>
    <row r="100" spans="1:26" s="24" customFormat="1" hidden="1" outlineLevel="1" x14ac:dyDescent="0.35">
      <c r="A100" s="44"/>
      <c r="B100" s="11" t="str">
        <f>CONCATENATE("          ", "4301", " - ", "SALES RETURN NON TAXABLE-NEW T")</f>
        <v xml:space="preserve">          4301 - SALES RETURN NON TAXABLE-NEW T</v>
      </c>
      <c r="C100" s="11"/>
      <c r="D100" s="2">
        <f>-253.49</f>
        <v>-253.49</v>
      </c>
      <c r="E100" s="2"/>
      <c r="F100" s="19"/>
      <c r="G100" s="2"/>
      <c r="H100" s="2">
        <f>-429.12</f>
        <v>-429.12</v>
      </c>
      <c r="I100" s="2"/>
      <c r="J100" s="19"/>
      <c r="K100" s="2"/>
      <c r="L100" s="2">
        <f t="shared" si="0"/>
        <v>175.63</v>
      </c>
      <c r="M100" s="2"/>
      <c r="N100" s="19">
        <f t="shared" si="1"/>
        <v>-0.40927945563012674</v>
      </c>
      <c r="O100" s="11"/>
      <c r="P100" s="2">
        <f>-21543.36</f>
        <v>-21543.360000000001</v>
      </c>
      <c r="Q100" s="2"/>
      <c r="R100" s="19"/>
      <c r="S100" s="2"/>
      <c r="T100" s="2">
        <f>-51917.32</f>
        <v>-51917.32</v>
      </c>
      <c r="U100" s="2"/>
      <c r="V100" s="19"/>
      <c r="W100" s="2"/>
      <c r="X100" s="2">
        <f t="shared" si="2"/>
        <v>30373.96</v>
      </c>
      <c r="Y100" s="2"/>
      <c r="Z100" s="19">
        <f t="shared" si="3"/>
        <v>-0.58504483667492846</v>
      </c>
    </row>
    <row r="101" spans="1:26" s="24" customFormat="1" hidden="1" outlineLevel="1" x14ac:dyDescent="0.35">
      <c r="A101" s="44"/>
      <c r="B101" s="11" t="str">
        <f>CONCATENATE("          ", "4302", " - ", "SALES RETURN NON TAXABLE-TEXT")</f>
        <v xml:space="preserve">          4302 - SALES RETURN NON TAXABLE-TEXT</v>
      </c>
      <c r="C101" s="11"/>
      <c r="D101" s="2">
        <f>-95.75</f>
        <v>-95.75</v>
      </c>
      <c r="E101" s="2"/>
      <c r="F101" s="19"/>
      <c r="G101" s="2"/>
      <c r="H101" s="2">
        <f>-452.04</f>
        <v>-452.04</v>
      </c>
      <c r="I101" s="2"/>
      <c r="J101" s="19"/>
      <c r="K101" s="2"/>
      <c r="L101" s="2">
        <f t="shared" si="0"/>
        <v>356.29</v>
      </c>
      <c r="M101" s="2"/>
      <c r="N101" s="19">
        <f t="shared" si="1"/>
        <v>-0.78818246172905049</v>
      </c>
      <c r="O101" s="11"/>
      <c r="P101" s="2">
        <f>-1475.62</f>
        <v>-1475.62</v>
      </c>
      <c r="Q101" s="2"/>
      <c r="R101" s="19"/>
      <c r="S101" s="2"/>
      <c r="T101" s="2">
        <f>-6780.29</f>
        <v>-6780.29</v>
      </c>
      <c r="U101" s="2"/>
      <c r="V101" s="19"/>
      <c r="W101" s="2"/>
      <c r="X101" s="2">
        <f t="shared" si="2"/>
        <v>5304.67</v>
      </c>
      <c r="Y101" s="2"/>
      <c r="Z101" s="19">
        <f t="shared" si="3"/>
        <v>-0.78236624097199381</v>
      </c>
    </row>
    <row r="102" spans="1:26" s="24" customFormat="1" hidden="1" outlineLevel="1" x14ac:dyDescent="0.35">
      <c r="A102" s="44"/>
      <c r="B102" s="11" t="str">
        <f>CONCATENATE("          ", "4303", " - ", "SALES RETURN NON-TAXABLE-RENTA")</f>
        <v xml:space="preserve">          4303 - SALES RETURN NON-TAXABLE-RENTA</v>
      </c>
      <c r="C102" s="11"/>
      <c r="D102" s="2">
        <f>0</f>
        <v>0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-184.99</f>
        <v>-184.99</v>
      </c>
      <c r="Q102" s="2"/>
      <c r="R102" s="19"/>
      <c r="S102" s="2"/>
      <c r="T102" s="2">
        <f>-509.85</f>
        <v>-509.85</v>
      </c>
      <c r="U102" s="2"/>
      <c r="V102" s="19"/>
      <c r="W102" s="2"/>
      <c r="X102" s="2">
        <f t="shared" si="2"/>
        <v>324.86</v>
      </c>
      <c r="Y102" s="2"/>
      <c r="Z102" s="19">
        <f t="shared" si="3"/>
        <v>-0.63716779444934779</v>
      </c>
    </row>
    <row r="103" spans="1:26" s="24" customFormat="1" hidden="1" outlineLevel="1" x14ac:dyDescent="0.35">
      <c r="A103" s="44"/>
      <c r="B103" s="11" t="str">
        <f>CONCATENATE("          ", "4304", " - ", "SALES RETURN NON TAXABLE-DIGIT")</f>
        <v xml:space="preserve">          4304 - SALES RETURN NON TAXABLE-DIGIT</v>
      </c>
      <c r="C103" s="11"/>
      <c r="D103" s="2">
        <f>-398.87</f>
        <v>-398.87</v>
      </c>
      <c r="E103" s="2"/>
      <c r="F103" s="19"/>
      <c r="G103" s="2"/>
      <c r="H103" s="2">
        <f>-124.01</f>
        <v>-124.01</v>
      </c>
      <c r="I103" s="2"/>
      <c r="J103" s="19"/>
      <c r="K103" s="2"/>
      <c r="L103" s="2">
        <f t="shared" si="0"/>
        <v>-274.86</v>
      </c>
      <c r="M103" s="2"/>
      <c r="N103" s="19">
        <f t="shared" si="1"/>
        <v>2.216434158535602</v>
      </c>
      <c r="O103" s="11"/>
      <c r="P103" s="2">
        <f>-19873.2</f>
        <v>-19873.2</v>
      </c>
      <c r="Q103" s="2"/>
      <c r="R103" s="19"/>
      <c r="S103" s="2"/>
      <c r="T103" s="2">
        <f>-6171.97</f>
        <v>-6171.97</v>
      </c>
      <c r="U103" s="2"/>
      <c r="V103" s="19"/>
      <c r="W103" s="2"/>
      <c r="X103" s="2">
        <f t="shared" si="2"/>
        <v>-13701.23</v>
      </c>
      <c r="Y103" s="2"/>
      <c r="Z103" s="19">
        <f t="shared" si="3"/>
        <v>2.2199119567982346</v>
      </c>
    </row>
    <row r="104" spans="1:26" s="24" customFormat="1" hidden="1" outlineLevel="1" x14ac:dyDescent="0.35">
      <c r="A104" s="44"/>
      <c r="B104" s="11" t="str">
        <f>CONCATENATE("          ", "4311", " - ", "SALES RETURN NON TAXABLE-NO VA")</f>
        <v xml:space="preserve">          4311 - SALES RETURN NON TAXABLE-NO VA</v>
      </c>
      <c r="C104" s="11"/>
      <c r="D104" s="2">
        <f>-70.37</f>
        <v>-70.37</v>
      </c>
      <c r="E104" s="2"/>
      <c r="F104" s="19"/>
      <c r="G104" s="2"/>
      <c r="H104" s="2">
        <f>-289.3</f>
        <v>-289.3</v>
      </c>
      <c r="I104" s="2"/>
      <c r="J104" s="19"/>
      <c r="K104" s="2"/>
      <c r="L104" s="2">
        <f t="shared" si="0"/>
        <v>218.93</v>
      </c>
      <c r="M104" s="2"/>
      <c r="N104" s="19">
        <f t="shared" si="1"/>
        <v>-0.75675769097822332</v>
      </c>
      <c r="O104" s="11"/>
      <c r="P104" s="2">
        <f>-1011.65</f>
        <v>-1011.65</v>
      </c>
      <c r="Q104" s="2"/>
      <c r="R104" s="19"/>
      <c r="S104" s="2"/>
      <c r="T104" s="2">
        <f>-2399.84</f>
        <v>-2399.84</v>
      </c>
      <c r="U104" s="2"/>
      <c r="V104" s="19"/>
      <c r="W104" s="2"/>
      <c r="X104" s="2">
        <f t="shared" si="2"/>
        <v>1388.19</v>
      </c>
      <c r="Y104" s="2"/>
      <c r="Z104" s="19">
        <f t="shared" si="3"/>
        <v>-0.57845106340422692</v>
      </c>
    </row>
    <row r="105" spans="1:26" s="24" customFormat="1" hidden="1" outlineLevel="1" x14ac:dyDescent="0.35">
      <c r="A105" s="44"/>
      <c r="B105" s="11" t="str">
        <f>CONCATENATE("          ", "4313", " - ", "SALES RETURN NON TAXABLE-TRADE")</f>
        <v xml:space="preserve">          4313 - SALES RETURN NON TAXABLE-TRADE</v>
      </c>
      <c r="C105" s="11"/>
      <c r="D105" s="2">
        <f t="shared" ref="D105:D106" si="17">0</f>
        <v>0</v>
      </c>
      <c r="E105" s="2"/>
      <c r="F105" s="19"/>
      <c r="G105" s="2"/>
      <c r="H105" s="2">
        <f>-800</f>
        <v>-800</v>
      </c>
      <c r="I105" s="2"/>
      <c r="J105" s="19"/>
      <c r="K105" s="2"/>
      <c r="L105" s="2">
        <f t="shared" si="0"/>
        <v>800</v>
      </c>
      <c r="M105" s="2"/>
      <c r="N105" s="19">
        <f t="shared" si="1"/>
        <v>-1</v>
      </c>
      <c r="O105" s="11"/>
      <c r="P105" s="2">
        <f>-2481.44</f>
        <v>-2481.44</v>
      </c>
      <c r="Q105" s="2"/>
      <c r="R105" s="19"/>
      <c r="S105" s="2"/>
      <c r="T105" s="2">
        <f>-800</f>
        <v>-800</v>
      </c>
      <c r="U105" s="2"/>
      <c r="V105" s="19"/>
      <c r="W105" s="2"/>
      <c r="X105" s="2">
        <f t="shared" si="2"/>
        <v>-1681.44</v>
      </c>
      <c r="Y105" s="2"/>
      <c r="Z105" s="19">
        <f t="shared" si="3"/>
        <v>2.1017999999999999</v>
      </c>
    </row>
    <row r="106" spans="1:26" s="24" customFormat="1" hidden="1" outlineLevel="1" x14ac:dyDescent="0.35">
      <c r="A106" s="44"/>
      <c r="B106" s="11" t="str">
        <f>CONCATENATE("          ", "4318", " - ", "SALES RETURN NON TAXABLE-STUDY")</f>
        <v xml:space="preserve">          4318 - SALES RETURN NON TAXABLE-STUDY</v>
      </c>
      <c r="C106" s="11"/>
      <c r="D106" s="2">
        <f t="shared" si="17"/>
        <v>0</v>
      </c>
      <c r="E106" s="2"/>
      <c r="F106" s="19"/>
      <c r="G106" s="2"/>
      <c r="H106" s="2">
        <f>-1253.5</f>
        <v>-1253.5</v>
      </c>
      <c r="I106" s="2"/>
      <c r="J106" s="19"/>
      <c r="K106" s="2"/>
      <c r="L106" s="2">
        <f t="shared" si="0"/>
        <v>1253.5</v>
      </c>
      <c r="M106" s="2"/>
      <c r="N106" s="19">
        <f t="shared" si="1"/>
        <v>-1</v>
      </c>
      <c r="O106" s="11"/>
      <c r="P106" s="2">
        <f>0</f>
        <v>0</v>
      </c>
      <c r="Q106" s="2"/>
      <c r="R106" s="19"/>
      <c r="S106" s="2"/>
      <c r="T106" s="2">
        <f>-1258.54</f>
        <v>-1258.54</v>
      </c>
      <c r="U106" s="2"/>
      <c r="V106" s="19"/>
      <c r="W106" s="2"/>
      <c r="X106" s="2">
        <f t="shared" si="2"/>
        <v>1258.54</v>
      </c>
      <c r="Y106" s="2"/>
      <c r="Z106" s="19">
        <f t="shared" si="3"/>
        <v>-1</v>
      </c>
    </row>
    <row r="107" spans="1:26" s="24" customFormat="1" hidden="1" outlineLevel="1" x14ac:dyDescent="0.35">
      <c r="A107" s="44"/>
      <c r="B107" s="11" t="str">
        <f>CONCATENATE("          ", "4326", " - ", "SALES RETURN NON TAXABLE-WRITI")</f>
        <v xml:space="preserve">          4326 - SALES RETURN NON TAXABLE-WRITI</v>
      </c>
      <c r="C107" s="11"/>
      <c r="D107" s="2">
        <f>-2.98</f>
        <v>-2.98</v>
      </c>
      <c r="E107" s="2"/>
      <c r="F107" s="19"/>
      <c r="G107" s="2"/>
      <c r="H107" s="2">
        <f t="shared" ref="H107:H110" si="18">0</f>
        <v>0</v>
      </c>
      <c r="I107" s="2"/>
      <c r="J107" s="19"/>
      <c r="K107" s="2"/>
      <c r="L107" s="2">
        <f t="shared" si="0"/>
        <v>-2.98</v>
      </c>
      <c r="M107" s="2"/>
      <c r="N107" s="19">
        <f t="shared" si="1"/>
        <v>0</v>
      </c>
      <c r="O107" s="11"/>
      <c r="P107" s="2">
        <f>-2.98</f>
        <v>-2.98</v>
      </c>
      <c r="Q107" s="2"/>
      <c r="R107" s="19"/>
      <c r="S107" s="2"/>
      <c r="T107" s="2">
        <f>-28.23</f>
        <v>-28.23</v>
      </c>
      <c r="U107" s="2"/>
      <c r="V107" s="19"/>
      <c r="W107" s="2"/>
      <c r="X107" s="2">
        <f t="shared" si="2"/>
        <v>25.25</v>
      </c>
      <c r="Y107" s="2"/>
      <c r="Z107" s="19">
        <f t="shared" si="3"/>
        <v>-0.8944385405596883</v>
      </c>
    </row>
    <row r="108" spans="1:26" s="24" customFormat="1" hidden="1" outlineLevel="1" x14ac:dyDescent="0.35">
      <c r="A108" s="44"/>
      <c r="B108" s="11" t="str">
        <f>CONCATENATE("          ", "4327", " - ", "SALES RETURN NON TAXABLE-SCHOO")</f>
        <v xml:space="preserve">          4327 - SALES RETURN NON TAXABLE-SCHOO</v>
      </c>
      <c r="C108" s="11"/>
      <c r="D108" s="2">
        <f t="shared" ref="D108:D110" si="19">0</f>
        <v>0</v>
      </c>
      <c r="E108" s="2"/>
      <c r="F108" s="19"/>
      <c r="G108" s="2"/>
      <c r="H108" s="2">
        <f t="shared" si="18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-21.87</f>
        <v>-21.87</v>
      </c>
      <c r="Q108" s="2"/>
      <c r="R108" s="19"/>
      <c r="S108" s="2"/>
      <c r="T108" s="2">
        <f>-4.99</f>
        <v>-4.99</v>
      </c>
      <c r="U108" s="2"/>
      <c r="V108" s="19"/>
      <c r="W108" s="2"/>
      <c r="X108" s="2">
        <f t="shared" si="2"/>
        <v>-16.880000000000003</v>
      </c>
      <c r="Y108" s="2"/>
      <c r="Z108" s="19">
        <f t="shared" si="3"/>
        <v>3.3827655310621245</v>
      </c>
    </row>
    <row r="109" spans="1:26" s="24" customFormat="1" hidden="1" outlineLevel="1" x14ac:dyDescent="0.35">
      <c r="A109" s="44"/>
      <c r="B109" s="11" t="str">
        <f>CONCATENATE("          ", "4331", " - ", "SALES RETURN NON TAXABLE-FOOD")</f>
        <v xml:space="preserve">          4331 - SALES RETURN NON TAXABLE-FOOD</v>
      </c>
      <c r="C109" s="11"/>
      <c r="D109" s="2">
        <f t="shared" si="19"/>
        <v>0</v>
      </c>
      <c r="E109" s="2"/>
      <c r="F109" s="19"/>
      <c r="G109" s="2"/>
      <c r="H109" s="2">
        <f t="shared" si="18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-12.57</f>
        <v>-12.57</v>
      </c>
      <c r="Q109" s="2"/>
      <c r="R109" s="19"/>
      <c r="S109" s="2"/>
      <c r="T109" s="2">
        <f t="shared" ref="T109:T110" si="20">0</f>
        <v>0</v>
      </c>
      <c r="U109" s="2"/>
      <c r="V109" s="19"/>
      <c r="W109" s="2"/>
      <c r="X109" s="2">
        <f t="shared" si="2"/>
        <v>-12.57</v>
      </c>
      <c r="Y109" s="2"/>
      <c r="Z109" s="19">
        <f t="shared" si="3"/>
        <v>0</v>
      </c>
    </row>
    <row r="110" spans="1:26" s="24" customFormat="1" hidden="1" outlineLevel="1" x14ac:dyDescent="0.35">
      <c r="A110" s="44"/>
      <c r="B110" s="11" t="str">
        <f>CONCATENATE("          ", "4332", " - ", "SALES RETURN NON TAXABLE-JUICE")</f>
        <v xml:space="preserve">          4332 - SALES RETURN NON TAXABLE-JUICE</v>
      </c>
      <c r="C110" s="11"/>
      <c r="D110" s="2">
        <f t="shared" si="19"/>
        <v>0</v>
      </c>
      <c r="E110" s="2"/>
      <c r="F110" s="19"/>
      <c r="G110" s="2"/>
      <c r="H110" s="2">
        <f t="shared" si="18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-2.79</f>
        <v>-2.79</v>
      </c>
      <c r="Q110" s="2"/>
      <c r="R110" s="19"/>
      <c r="S110" s="2"/>
      <c r="T110" s="2">
        <f t="shared" si="20"/>
        <v>0</v>
      </c>
      <c r="U110" s="2"/>
      <c r="V110" s="19"/>
      <c r="W110" s="2"/>
      <c r="X110" s="2">
        <f t="shared" si="2"/>
        <v>-2.79</v>
      </c>
      <c r="Y110" s="2"/>
      <c r="Z110" s="19">
        <f t="shared" si="3"/>
        <v>0</v>
      </c>
    </row>
    <row r="111" spans="1:26" s="24" customFormat="1" hidden="1" outlineLevel="1" x14ac:dyDescent="0.35">
      <c r="A111" s="44"/>
      <c r="B111" s="11" t="str">
        <f>CONCATENATE("          ", "4340", " - ", "SALES RETURN NON TAXABLE-LOGO")</f>
        <v xml:space="preserve">          4340 - SALES RETURN NON TAXABLE-LOGO</v>
      </c>
      <c r="C111" s="11"/>
      <c r="D111" s="2">
        <f>-1045.65</f>
        <v>-1045.6500000000001</v>
      </c>
      <c r="E111" s="2"/>
      <c r="F111" s="19"/>
      <c r="G111" s="2"/>
      <c r="H111" s="2">
        <f>-96.85</f>
        <v>-96.85</v>
      </c>
      <c r="I111" s="2"/>
      <c r="J111" s="19"/>
      <c r="K111" s="2"/>
      <c r="L111" s="2">
        <f t="shared" si="0"/>
        <v>-948.80000000000007</v>
      </c>
      <c r="M111" s="2"/>
      <c r="N111" s="19">
        <f t="shared" si="1"/>
        <v>9.796592669075892</v>
      </c>
      <c r="O111" s="11"/>
      <c r="P111" s="2">
        <f>-2664.48</f>
        <v>-2664.48</v>
      </c>
      <c r="Q111" s="2"/>
      <c r="R111" s="19"/>
      <c r="S111" s="2"/>
      <c r="T111" s="2">
        <f>-1132.72</f>
        <v>-1132.72</v>
      </c>
      <c r="U111" s="2"/>
      <c r="V111" s="19"/>
      <c r="W111" s="2"/>
      <c r="X111" s="2">
        <f t="shared" si="2"/>
        <v>-1531.76</v>
      </c>
      <c r="Y111" s="2"/>
      <c r="Z111" s="19">
        <f t="shared" si="3"/>
        <v>1.3522847658732962</v>
      </c>
    </row>
    <row r="112" spans="1:26" s="24" customFormat="1" hidden="1" outlineLevel="1" x14ac:dyDescent="0.35">
      <c r="A112" s="44"/>
      <c r="B112" s="11" t="str">
        <f>CONCATENATE("          ", "4341", " - ", "SALES RETURN NON TAXABLE-LOGO")</f>
        <v xml:space="preserve">          4341 - SALES RETURN NON TAXABLE-LOGO</v>
      </c>
      <c r="C112" s="11"/>
      <c r="D112" s="2">
        <f>-9.9</f>
        <v>-9.9</v>
      </c>
      <c r="E112" s="2"/>
      <c r="F112" s="19"/>
      <c r="G112" s="2"/>
      <c r="H112" s="2">
        <f>-42.95</f>
        <v>-42.95</v>
      </c>
      <c r="I112" s="2"/>
      <c r="J112" s="19"/>
      <c r="K112" s="2"/>
      <c r="L112" s="2">
        <f t="shared" si="0"/>
        <v>33.050000000000004</v>
      </c>
      <c r="M112" s="2"/>
      <c r="N112" s="19">
        <f t="shared" si="1"/>
        <v>-0.76949941792782306</v>
      </c>
      <c r="O112" s="11"/>
      <c r="P112" s="2">
        <f>-295.35</f>
        <v>-295.35000000000002</v>
      </c>
      <c r="Q112" s="2"/>
      <c r="R112" s="19"/>
      <c r="S112" s="2"/>
      <c r="T112" s="2">
        <f>-335.8</f>
        <v>-335.8</v>
      </c>
      <c r="U112" s="2"/>
      <c r="V112" s="19"/>
      <c r="W112" s="2"/>
      <c r="X112" s="2">
        <f t="shared" si="2"/>
        <v>40.449999999999989</v>
      </c>
      <c r="Y112" s="2"/>
      <c r="Z112" s="19">
        <f t="shared" si="3"/>
        <v>-0.12045860631328167</v>
      </c>
    </row>
    <row r="113" spans="1:26" s="24" customFormat="1" hidden="1" outlineLevel="1" x14ac:dyDescent="0.35">
      <c r="A113" s="44"/>
      <c r="B113" s="11" t="str">
        <f>CONCATENATE("          ", "4342", " - ", "SALES RETURN NON TAXABLE-EVERY")</f>
        <v xml:space="preserve">          4342 - SALES RETURN NON TAXABLE-EVERY</v>
      </c>
      <c r="C113" s="11"/>
      <c r="D113" s="2">
        <f>-36.8</f>
        <v>-36.799999999999997</v>
      </c>
      <c r="E113" s="2"/>
      <c r="F113" s="19"/>
      <c r="G113" s="2"/>
      <c r="H113" s="2">
        <f>-24.95</f>
        <v>-24.95</v>
      </c>
      <c r="I113" s="2"/>
      <c r="J113" s="19"/>
      <c r="K113" s="2"/>
      <c r="L113" s="2">
        <f t="shared" si="0"/>
        <v>-11.849999999999998</v>
      </c>
      <c r="M113" s="2"/>
      <c r="N113" s="19">
        <f t="shared" si="1"/>
        <v>0.47494989979959912</v>
      </c>
      <c r="O113" s="11"/>
      <c r="P113" s="2">
        <f>-186.02</f>
        <v>-186.02</v>
      </c>
      <c r="Q113" s="2"/>
      <c r="R113" s="19"/>
      <c r="S113" s="2"/>
      <c r="T113" s="2">
        <f>-128.55</f>
        <v>-128.55000000000001</v>
      </c>
      <c r="U113" s="2"/>
      <c r="V113" s="19"/>
      <c r="W113" s="2"/>
      <c r="X113" s="2">
        <f t="shared" si="2"/>
        <v>-57.47</v>
      </c>
      <c r="Y113" s="2"/>
      <c r="Z113" s="19">
        <f t="shared" si="3"/>
        <v>0.44706339945546475</v>
      </c>
    </row>
    <row r="114" spans="1:26" s="24" customFormat="1" hidden="1" outlineLevel="1" x14ac:dyDescent="0.35">
      <c r="A114" s="44"/>
      <c r="B114" s="11" t="str">
        <f>CONCATENATE("          ", "4346", " - ", "SALES RETURN NON TAXABLE-COIN-")</f>
        <v xml:space="preserve">          4346 - SALES RETURN NON TAXABLE-COIN-</v>
      </c>
      <c r="C114" s="11"/>
      <c r="D114" s="2">
        <f t="shared" ref="D114:D115" si="21">0</f>
        <v>0</v>
      </c>
      <c r="E114" s="2"/>
      <c r="F114" s="19"/>
      <c r="G114" s="2"/>
      <c r="H114" s="2">
        <f t="shared" ref="H114:H115" si="22"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-8.15</f>
        <v>-8.15</v>
      </c>
      <c r="Q114" s="2"/>
      <c r="R114" s="19"/>
      <c r="S114" s="2"/>
      <c r="T114" s="2">
        <f t="shared" ref="T114:T115" si="23">0</f>
        <v>0</v>
      </c>
      <c r="U114" s="2"/>
      <c r="V114" s="19"/>
      <c r="W114" s="2"/>
      <c r="X114" s="2">
        <f t="shared" si="2"/>
        <v>-8.15</v>
      </c>
      <c r="Y114" s="2"/>
      <c r="Z114" s="19">
        <f t="shared" si="3"/>
        <v>0</v>
      </c>
    </row>
    <row r="115" spans="1:26" s="24" customFormat="1" hidden="1" outlineLevel="1" x14ac:dyDescent="0.35">
      <c r="A115" s="44"/>
      <c r="B115" s="11" t="str">
        <f>CONCATENATE("          ", "4347", " - ", "SALES RETURN NON TAXABLE-MISC")</f>
        <v xml:space="preserve">          4347 - SALES RETURN NON TAXABLE-MISC</v>
      </c>
      <c r="C115" s="11"/>
      <c r="D115" s="2">
        <f t="shared" si="21"/>
        <v>0</v>
      </c>
      <c r="E115" s="2"/>
      <c r="F115" s="19"/>
      <c r="G115" s="2"/>
      <c r="H115" s="2">
        <f t="shared" si="22"/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-84</f>
        <v>-84</v>
      </c>
      <c r="Q115" s="2"/>
      <c r="R115" s="19"/>
      <c r="S115" s="2"/>
      <c r="T115" s="2">
        <f t="shared" si="23"/>
        <v>0</v>
      </c>
      <c r="U115" s="2"/>
      <c r="V115" s="19"/>
      <c r="W115" s="2"/>
      <c r="X115" s="2">
        <f t="shared" si="2"/>
        <v>-84</v>
      </c>
      <c r="Y115" s="2"/>
      <c r="Z115" s="19">
        <f t="shared" si="3"/>
        <v>0</v>
      </c>
    </row>
    <row r="116" spans="1:26" x14ac:dyDescent="0.3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collapsed="1" x14ac:dyDescent="0.35">
      <c r="A117" s="10"/>
      <c r="B117" s="29" t="s">
        <v>8</v>
      </c>
      <c r="C117" s="10"/>
      <c r="D117" s="4">
        <f>SUM(OSRRefD16x_0)</f>
        <v>264082.88999999996</v>
      </c>
      <c r="E117" s="4"/>
      <c r="F117" s="13">
        <f t="shared" ref="F117:F168" si="24">IF(D$12=0,0,D117/D$12)</f>
        <v>1.2693051178468264</v>
      </c>
      <c r="G117" s="4"/>
      <c r="H117" s="4">
        <f>SUM(OSRRefH16x_0)</f>
        <v>248425.96999999997</v>
      </c>
      <c r="I117" s="4"/>
      <c r="J117" s="13">
        <f t="shared" ref="J117:J168" si="25">IF(H$12=0,0,H117/H$12)</f>
        <v>0.94160313310325572</v>
      </c>
      <c r="K117" s="4"/>
      <c r="L117" s="4">
        <f t="shared" ref="L117:L168" si="26">+D117-H117</f>
        <v>15656.919999999984</v>
      </c>
      <c r="M117" s="4"/>
      <c r="N117" s="13">
        <f t="shared" ref="N117:N168" si="27">IF(H117=0,0,L117/H117)</f>
        <v>6.3024489750407281E-2</v>
      </c>
      <c r="O117" s="10"/>
      <c r="P117" s="4">
        <f>SUM(OSRRefP16x_0)</f>
        <v>5512791.4300000006</v>
      </c>
      <c r="Q117" s="4"/>
      <c r="R117" s="13">
        <f t="shared" ref="R117:R168" si="28">IF(P$12=0,0,P117/P$12)</f>
        <v>0.5969578871360457</v>
      </c>
      <c r="S117" s="4"/>
      <c r="T117" s="4">
        <f>SUM(OSRRefT16x_0)</f>
        <v>6701569.4900000002</v>
      </c>
      <c r="U117" s="4"/>
      <c r="V117" s="13">
        <f t="shared" ref="V117:V168" si="29">IF(T$12=0,0,T117/T$12)</f>
        <v>0.58323221149843862</v>
      </c>
      <c r="W117" s="4"/>
      <c r="X117" s="4">
        <f t="shared" ref="X117:X168" si="30">+P117-T117</f>
        <v>-1188778.0599999996</v>
      </c>
      <c r="Y117" s="4"/>
      <c r="Z117" s="13">
        <f t="shared" ref="Z117:Z168" si="31">IF(T117=0,0,X117/T117)</f>
        <v>-0.17738800765609902</v>
      </c>
    </row>
    <row r="118" spans="1:26" s="24" customFormat="1" hidden="1" outlineLevel="1" x14ac:dyDescent="0.35">
      <c r="A118" s="44"/>
      <c r="B118" s="11" t="str">
        <f>CONCATENATE("          ", "5000", " - ", "PURCHASES @ COST")</f>
        <v xml:space="preserve">          5000 - PURCHASES @ COST</v>
      </c>
      <c r="C118" s="11"/>
      <c r="D118" s="2"/>
      <c r="E118" s="2"/>
      <c r="F118" s="19">
        <f t="shared" si="24"/>
        <v>0</v>
      </c>
      <c r="G118" s="2"/>
      <c r="H118" s="2">
        <v>-1000</v>
      </c>
      <c r="I118" s="2"/>
      <c r="J118" s="19">
        <f t="shared" si="25"/>
        <v>-3.7902765685216234E-3</v>
      </c>
      <c r="K118" s="2"/>
      <c r="L118" s="2">
        <f t="shared" si="26"/>
        <v>1000</v>
      </c>
      <c r="M118" s="2"/>
      <c r="N118" s="19">
        <f t="shared" si="27"/>
        <v>-1</v>
      </c>
      <c r="O118" s="11"/>
      <c r="P118" s="2">
        <v>0</v>
      </c>
      <c r="Q118" s="2"/>
      <c r="R118" s="19">
        <f t="shared" si="28"/>
        <v>0</v>
      </c>
      <c r="S118" s="2"/>
      <c r="T118" s="2">
        <v>20</v>
      </c>
      <c r="U118" s="2"/>
      <c r="V118" s="19">
        <f t="shared" si="29"/>
        <v>1.7405839404298666E-6</v>
      </c>
      <c r="W118" s="2"/>
      <c r="X118" s="2">
        <f t="shared" si="30"/>
        <v>-20</v>
      </c>
      <c r="Y118" s="2"/>
      <c r="Z118" s="19">
        <f t="shared" si="31"/>
        <v>-1</v>
      </c>
    </row>
    <row r="119" spans="1:26" s="24" customFormat="1" hidden="1" outlineLevel="1" x14ac:dyDescent="0.35">
      <c r="A119" s="44"/>
      <c r="B119" s="11" t="str">
        <f>CONCATENATE("          ", "5001", " - ", "PURCHASES @ COST-NEW TEXT")</f>
        <v xml:space="preserve">          5001 - PURCHASES @ COST-NEW TEXT</v>
      </c>
      <c r="C119" s="11"/>
      <c r="D119" s="2">
        <v>21388.809999999998</v>
      </c>
      <c r="E119" s="2"/>
      <c r="F119" s="19">
        <f t="shared" si="24"/>
        <v>0.10280456260401187</v>
      </c>
      <c r="G119" s="2"/>
      <c r="H119" s="2">
        <v>35029.230000000003</v>
      </c>
      <c r="I119" s="2"/>
      <c r="J119" s="19">
        <f t="shared" si="25"/>
        <v>0.13277046968235473</v>
      </c>
      <c r="K119" s="2"/>
      <c r="L119" s="2">
        <f t="shared" si="26"/>
        <v>-13640.420000000006</v>
      </c>
      <c r="M119" s="2"/>
      <c r="N119" s="19">
        <f t="shared" si="27"/>
        <v>-0.38940108018360681</v>
      </c>
      <c r="O119" s="11"/>
      <c r="P119" s="2">
        <v>1662669.27</v>
      </c>
      <c r="Q119" s="2"/>
      <c r="R119" s="19">
        <f t="shared" si="28"/>
        <v>0.18004373048178812</v>
      </c>
      <c r="S119" s="2"/>
      <c r="T119" s="2">
        <v>2431202.9900000002</v>
      </c>
      <c r="U119" s="2"/>
      <c r="V119" s="19">
        <f t="shared" si="29"/>
        <v>0.2115856440159537</v>
      </c>
      <c r="W119" s="2"/>
      <c r="X119" s="2">
        <f t="shared" si="30"/>
        <v>-768533.7200000002</v>
      </c>
      <c r="Y119" s="2"/>
      <c r="Z119" s="19">
        <f t="shared" si="31"/>
        <v>-0.31611252666318912</v>
      </c>
    </row>
    <row r="120" spans="1:26" s="24" customFormat="1" hidden="1" outlineLevel="1" x14ac:dyDescent="0.35">
      <c r="A120" s="44"/>
      <c r="B120" s="11" t="str">
        <f>CONCATENATE("          ", "5002", " - ", "PURCHASES @ COST-USED TEXT")</f>
        <v xml:space="preserve">          5002 - PURCHASES @ COST-USED TEXT</v>
      </c>
      <c r="C120" s="11"/>
      <c r="D120" s="2">
        <v>121021.81</v>
      </c>
      <c r="E120" s="2"/>
      <c r="F120" s="19">
        <f t="shared" si="24"/>
        <v>0.5816870710710802</v>
      </c>
      <c r="G120" s="2"/>
      <c r="H120" s="2">
        <v>573715.04</v>
      </c>
      <c r="I120" s="2"/>
      <c r="J120" s="19">
        <f t="shared" si="25"/>
        <v>2.1745386731204461</v>
      </c>
      <c r="K120" s="2"/>
      <c r="L120" s="2">
        <f t="shared" si="26"/>
        <v>-452693.23000000004</v>
      </c>
      <c r="M120" s="2"/>
      <c r="N120" s="19">
        <f t="shared" si="27"/>
        <v>-0.78905588739664212</v>
      </c>
      <c r="O120" s="11"/>
      <c r="P120" s="2">
        <v>731343.19</v>
      </c>
      <c r="Q120" s="2"/>
      <c r="R120" s="19">
        <f t="shared" si="28"/>
        <v>7.9194196083296323E-2</v>
      </c>
      <c r="S120" s="2"/>
      <c r="T120" s="2">
        <v>1006777.4099999999</v>
      </c>
      <c r="U120" s="2"/>
      <c r="V120" s="19">
        <f t="shared" si="29"/>
        <v>8.7619029571678761E-2</v>
      </c>
      <c r="W120" s="2"/>
      <c r="X120" s="2">
        <f t="shared" si="30"/>
        <v>-275434.21999999997</v>
      </c>
      <c r="Y120" s="2"/>
      <c r="Z120" s="19">
        <f t="shared" si="31"/>
        <v>-0.27358005579406075</v>
      </c>
    </row>
    <row r="121" spans="1:26" s="24" customFormat="1" hidden="1" outlineLevel="1" x14ac:dyDescent="0.35">
      <c r="A121" s="44"/>
      <c r="B121" s="11" t="str">
        <f>CONCATENATE("          ", "5003", " - ", "PURCHASES @ COST-RENTAL TEXT")</f>
        <v xml:space="preserve">          5003 - PURCHASES @ COST-RENTAL TEXT</v>
      </c>
      <c r="C121" s="11"/>
      <c r="D121" s="2">
        <v>24656.6</v>
      </c>
      <c r="E121" s="2"/>
      <c r="F121" s="19">
        <f t="shared" si="24"/>
        <v>0.11851108024719839</v>
      </c>
      <c r="G121" s="2"/>
      <c r="H121" s="2">
        <v>288.39999999999998</v>
      </c>
      <c r="I121" s="2"/>
      <c r="J121" s="19">
        <f t="shared" si="25"/>
        <v>1.093115762361636E-3</v>
      </c>
      <c r="K121" s="2"/>
      <c r="L121" s="2">
        <f t="shared" si="26"/>
        <v>24368.199999999997</v>
      </c>
      <c r="M121" s="2"/>
      <c r="N121" s="19">
        <f t="shared" si="27"/>
        <v>84.494452149791954</v>
      </c>
      <c r="O121" s="11"/>
      <c r="P121" s="2">
        <v>24578.2</v>
      </c>
      <c r="Q121" s="2"/>
      <c r="R121" s="19">
        <f t="shared" si="28"/>
        <v>2.6614738699822635E-3</v>
      </c>
      <c r="S121" s="2"/>
      <c r="T121" s="2">
        <v>15917.98</v>
      </c>
      <c r="U121" s="2"/>
      <c r="V121" s="19">
        <f t="shared" si="29"/>
        <v>1.3853290176041905E-3</v>
      </c>
      <c r="W121" s="2"/>
      <c r="X121" s="2">
        <f t="shared" si="30"/>
        <v>8660.2200000000012</v>
      </c>
      <c r="Y121" s="2"/>
      <c r="Z121" s="19">
        <f t="shared" si="31"/>
        <v>0.5440527001541654</v>
      </c>
    </row>
    <row r="122" spans="1:26" s="24" customFormat="1" hidden="1" outlineLevel="1" x14ac:dyDescent="0.35">
      <c r="A122" s="44"/>
      <c r="B122" s="11" t="str">
        <f>CONCATENATE("          ", "5004", " - ", "PURCHASES @ COST-DIGITAL TEXT")</f>
        <v xml:space="preserve">          5004 - PURCHASES @ COST-DIGITAL TEXT</v>
      </c>
      <c r="C122" s="11"/>
      <c r="D122" s="2">
        <v>5038.95</v>
      </c>
      <c r="E122" s="2"/>
      <c r="F122" s="19">
        <f t="shared" si="24"/>
        <v>2.4219535856996516E-2</v>
      </c>
      <c r="G122" s="2"/>
      <c r="H122" s="2">
        <v>5564.47</v>
      </c>
      <c r="I122" s="2"/>
      <c r="J122" s="19">
        <f t="shared" si="25"/>
        <v>2.1090880257241519E-2</v>
      </c>
      <c r="K122" s="2"/>
      <c r="L122" s="2">
        <f t="shared" si="26"/>
        <v>-525.52000000000044</v>
      </c>
      <c r="M122" s="2"/>
      <c r="N122" s="19">
        <f t="shared" si="27"/>
        <v>-9.4442058273294743E-2</v>
      </c>
      <c r="O122" s="11"/>
      <c r="P122" s="2">
        <v>451308.6</v>
      </c>
      <c r="Q122" s="2"/>
      <c r="R122" s="19">
        <f t="shared" si="28"/>
        <v>4.8870382949047421E-2</v>
      </c>
      <c r="S122" s="2"/>
      <c r="T122" s="2">
        <v>507143.44999999995</v>
      </c>
      <c r="U122" s="2"/>
      <c r="V122" s="19">
        <f t="shared" si="29"/>
        <v>4.413628722820985E-2</v>
      </c>
      <c r="W122" s="2"/>
      <c r="X122" s="2">
        <f t="shared" si="30"/>
        <v>-55834.849999999977</v>
      </c>
      <c r="Y122" s="2"/>
      <c r="Z122" s="19">
        <f t="shared" si="31"/>
        <v>-0.11009675861928214</v>
      </c>
    </row>
    <row r="123" spans="1:26" s="24" customFormat="1" hidden="1" outlineLevel="1" x14ac:dyDescent="0.35">
      <c r="A123" s="44"/>
      <c r="B123" s="11" t="str">
        <f>CONCATENATE("          ", "5011", " - ", "PURCHASES @ COST-NO VALUE TEXT")</f>
        <v xml:space="preserve">          5011 - PURCHASES @ COST-NO VALUE TEXT</v>
      </c>
      <c r="C123" s="11"/>
      <c r="D123" s="2">
        <v>99</v>
      </c>
      <c r="E123" s="2"/>
      <c r="F123" s="19">
        <f t="shared" si="24"/>
        <v>4.7584001624200584E-4</v>
      </c>
      <c r="G123" s="2"/>
      <c r="H123" s="2">
        <v>1551</v>
      </c>
      <c r="I123" s="2"/>
      <c r="J123" s="19">
        <f t="shared" si="25"/>
        <v>5.878718957777038E-3</v>
      </c>
      <c r="K123" s="2"/>
      <c r="L123" s="2">
        <f t="shared" si="26"/>
        <v>-1452</v>
      </c>
      <c r="M123" s="2"/>
      <c r="N123" s="19">
        <f t="shared" si="27"/>
        <v>-0.93617021276595747</v>
      </c>
      <c r="O123" s="11"/>
      <c r="P123" s="2">
        <v>6462</v>
      </c>
      <c r="Q123" s="2"/>
      <c r="R123" s="19">
        <f t="shared" si="28"/>
        <v>6.9974384404982413E-4</v>
      </c>
      <c r="S123" s="2"/>
      <c r="T123" s="2">
        <v>5295</v>
      </c>
      <c r="U123" s="2"/>
      <c r="V123" s="19">
        <f t="shared" si="29"/>
        <v>4.6081959822880721E-4</v>
      </c>
      <c r="W123" s="2"/>
      <c r="X123" s="2">
        <f t="shared" si="30"/>
        <v>1167</v>
      </c>
      <c r="Y123" s="2"/>
      <c r="Z123" s="19">
        <f t="shared" si="31"/>
        <v>0.22039660056657223</v>
      </c>
    </row>
    <row r="124" spans="1:26" s="24" customFormat="1" hidden="1" outlineLevel="1" x14ac:dyDescent="0.35">
      <c r="A124" s="44"/>
      <c r="B124" s="11" t="str">
        <f>CONCATENATE("          ", "5013", " - ", "PURCHASES @ COST-TRADE BOOKS")</f>
        <v xml:space="preserve">          5013 - PURCHASES @ COST-TRADE BOOKS</v>
      </c>
      <c r="C124" s="11"/>
      <c r="D124" s="2">
        <v>-420.76</v>
      </c>
      <c r="E124" s="2"/>
      <c r="F124" s="19">
        <f t="shared" si="24"/>
        <v>-2.0223681336766302E-3</v>
      </c>
      <c r="G124" s="2"/>
      <c r="H124" s="2">
        <v>839.85</v>
      </c>
      <c r="I124" s="2"/>
      <c r="J124" s="19">
        <f t="shared" si="25"/>
        <v>3.1832637760728856E-3</v>
      </c>
      <c r="K124" s="2"/>
      <c r="L124" s="2">
        <f t="shared" si="26"/>
        <v>-1260.6100000000001</v>
      </c>
      <c r="M124" s="2"/>
      <c r="N124" s="19">
        <f t="shared" si="27"/>
        <v>-1.5009942251592547</v>
      </c>
      <c r="O124" s="11"/>
      <c r="P124" s="2">
        <v>2777.09</v>
      </c>
      <c r="Q124" s="2"/>
      <c r="R124" s="19">
        <f t="shared" si="28"/>
        <v>3.0071984399138439E-4</v>
      </c>
      <c r="S124" s="2"/>
      <c r="T124" s="2">
        <v>6715.59</v>
      </c>
      <c r="U124" s="2"/>
      <c r="V124" s="19">
        <f t="shared" si="29"/>
        <v>5.8445240522557039E-4</v>
      </c>
      <c r="W124" s="2"/>
      <c r="X124" s="2">
        <f t="shared" si="30"/>
        <v>-3938.5</v>
      </c>
      <c r="Y124" s="2"/>
      <c r="Z124" s="19">
        <f t="shared" si="31"/>
        <v>-0.586471181236496</v>
      </c>
    </row>
    <row r="125" spans="1:26" s="24" customFormat="1" hidden="1" outlineLevel="1" x14ac:dyDescent="0.35">
      <c r="A125" s="44"/>
      <c r="B125" s="11" t="str">
        <f>CONCATENATE("          ", "5014", " - ", "PURCHASES @ COST-REMAINDERS")</f>
        <v xml:space="preserve">          5014 - PURCHASES @ COST-REMAINDERS</v>
      </c>
      <c r="C125" s="11"/>
      <c r="D125" s="2">
        <v>132</v>
      </c>
      <c r="E125" s="2"/>
      <c r="F125" s="19">
        <f t="shared" si="24"/>
        <v>6.3445335498934108E-4</v>
      </c>
      <c r="G125" s="2"/>
      <c r="H125" s="2">
        <v>62.4</v>
      </c>
      <c r="I125" s="2"/>
      <c r="J125" s="19">
        <f t="shared" si="25"/>
        <v>2.3651325787574931E-4</v>
      </c>
      <c r="K125" s="2"/>
      <c r="L125" s="2">
        <f t="shared" si="26"/>
        <v>69.599999999999994</v>
      </c>
      <c r="M125" s="2"/>
      <c r="N125" s="19">
        <f t="shared" si="27"/>
        <v>1.1153846153846154</v>
      </c>
      <c r="O125" s="11"/>
      <c r="P125" s="2">
        <v>747.07</v>
      </c>
      <c r="Q125" s="2"/>
      <c r="R125" s="19">
        <f t="shared" si="28"/>
        <v>8.0897188730161268E-5</v>
      </c>
      <c r="S125" s="2"/>
      <c r="T125" s="2">
        <v>1261.47</v>
      </c>
      <c r="U125" s="2"/>
      <c r="V125" s="19">
        <f t="shared" si="29"/>
        <v>1.097847211667032E-4</v>
      </c>
      <c r="W125" s="2"/>
      <c r="X125" s="2">
        <f t="shared" si="30"/>
        <v>-514.4</v>
      </c>
      <c r="Y125" s="2"/>
      <c r="Z125" s="19">
        <f t="shared" si="31"/>
        <v>-0.40777822698914756</v>
      </c>
    </row>
    <row r="126" spans="1:26" s="24" customFormat="1" hidden="1" outlineLevel="1" x14ac:dyDescent="0.35">
      <c r="A126" s="44"/>
      <c r="B126" s="11" t="str">
        <f>CONCATENATE("          ", "5017", " - ", "PURCHASES @ COST-DORM/HOUSEWAR")</f>
        <v xml:space="preserve">          5017 - PURCHASES @ COST-DORM/HOUSEWAR</v>
      </c>
      <c r="C126" s="11"/>
      <c r="D126" s="2"/>
      <c r="E126" s="2"/>
      <c r="F126" s="19">
        <f t="shared" si="24"/>
        <v>0</v>
      </c>
      <c r="G126" s="2"/>
      <c r="H126" s="2"/>
      <c r="I126" s="2"/>
      <c r="J126" s="19">
        <f t="shared" si="25"/>
        <v>0</v>
      </c>
      <c r="K126" s="2"/>
      <c r="L126" s="2">
        <f t="shared" si="26"/>
        <v>0</v>
      </c>
      <c r="M126" s="2"/>
      <c r="N126" s="19">
        <f t="shared" si="27"/>
        <v>0</v>
      </c>
      <c r="O126" s="11"/>
      <c r="P126" s="2">
        <v>14.46</v>
      </c>
      <c r="Q126" s="2"/>
      <c r="R126" s="19">
        <f t="shared" si="28"/>
        <v>1.5658149156546668E-6</v>
      </c>
      <c r="S126" s="2"/>
      <c r="T126" s="2">
        <v>239.9</v>
      </c>
      <c r="U126" s="2"/>
      <c r="V126" s="19">
        <f t="shared" si="29"/>
        <v>2.0878304365456252E-5</v>
      </c>
      <c r="W126" s="2"/>
      <c r="X126" s="2">
        <f t="shared" si="30"/>
        <v>-225.44</v>
      </c>
      <c r="Y126" s="2"/>
      <c r="Z126" s="19">
        <f t="shared" si="31"/>
        <v>-0.93972488536890364</v>
      </c>
    </row>
    <row r="127" spans="1:26" s="24" customFormat="1" hidden="1" outlineLevel="1" x14ac:dyDescent="0.35">
      <c r="A127" s="44"/>
      <c r="B127" s="11" t="str">
        <f>CONCATENATE("          ", "5018", " - ", "PURCHASES @ COST-STUDY GUIDES")</f>
        <v xml:space="preserve">          5018 - PURCHASES @ COST-STUDY GUIDES</v>
      </c>
      <c r="C127" s="11"/>
      <c r="D127" s="2">
        <v>-249.38</v>
      </c>
      <c r="E127" s="2"/>
      <c r="F127" s="19">
        <f t="shared" si="24"/>
        <v>-1.1986361944488022E-3</v>
      </c>
      <c r="G127" s="2"/>
      <c r="H127" s="2">
        <v>1034</v>
      </c>
      <c r="I127" s="2"/>
      <c r="J127" s="19">
        <f t="shared" si="25"/>
        <v>3.9191459718513587E-3</v>
      </c>
      <c r="K127" s="2"/>
      <c r="L127" s="2">
        <f t="shared" si="26"/>
        <v>-1283.3800000000001</v>
      </c>
      <c r="M127" s="2"/>
      <c r="N127" s="19">
        <f t="shared" si="27"/>
        <v>-1.2411798839458414</v>
      </c>
      <c r="O127" s="11"/>
      <c r="P127" s="2">
        <v>-454.52</v>
      </c>
      <c r="Q127" s="2"/>
      <c r="R127" s="19">
        <f t="shared" si="28"/>
        <v>-4.9218132466345722E-5</v>
      </c>
      <c r="S127" s="2"/>
      <c r="T127" s="2">
        <v>3717</v>
      </c>
      <c r="U127" s="2"/>
      <c r="V127" s="19">
        <f t="shared" si="29"/>
        <v>3.234875253288907E-4</v>
      </c>
      <c r="W127" s="2"/>
      <c r="X127" s="2">
        <f t="shared" si="30"/>
        <v>-4171.5200000000004</v>
      </c>
      <c r="Y127" s="2"/>
      <c r="Z127" s="19">
        <f t="shared" si="31"/>
        <v>-1.122281409739037</v>
      </c>
    </row>
    <row r="128" spans="1:26" s="24" customFormat="1" hidden="1" outlineLevel="1" x14ac:dyDescent="0.35">
      <c r="A128" s="44"/>
      <c r="B128" s="11" t="str">
        <f>CONCATENATE("          ", "5025", " - ", "PURCHASES @ COST-TEST FORMS")</f>
        <v xml:space="preserve">          5025 - PURCHASES @ COST-TEST FORMS</v>
      </c>
      <c r="C128" s="11"/>
      <c r="D128" s="2"/>
      <c r="E128" s="2"/>
      <c r="F128" s="19">
        <f t="shared" si="24"/>
        <v>0</v>
      </c>
      <c r="G128" s="2"/>
      <c r="H128" s="2">
        <v>13</v>
      </c>
      <c r="I128" s="2"/>
      <c r="J128" s="19">
        <f t="shared" si="25"/>
        <v>4.9273595390781105E-5</v>
      </c>
      <c r="K128" s="2"/>
      <c r="L128" s="2">
        <f t="shared" si="26"/>
        <v>-13</v>
      </c>
      <c r="M128" s="2"/>
      <c r="N128" s="19">
        <f t="shared" si="27"/>
        <v>-1</v>
      </c>
      <c r="O128" s="11"/>
      <c r="P128" s="2">
        <v>26400.390000000003</v>
      </c>
      <c r="Q128" s="2"/>
      <c r="R128" s="19">
        <f t="shared" si="28"/>
        <v>2.858791455124503E-3</v>
      </c>
      <c r="S128" s="2"/>
      <c r="T128" s="2">
        <v>21295.599999999999</v>
      </c>
      <c r="U128" s="2"/>
      <c r="V128" s="19">
        <f t="shared" si="29"/>
        <v>1.8533389680909134E-3</v>
      </c>
      <c r="W128" s="2"/>
      <c r="X128" s="2">
        <f t="shared" si="30"/>
        <v>5104.7900000000045</v>
      </c>
      <c r="Y128" s="2"/>
      <c r="Z128" s="19">
        <f t="shared" si="31"/>
        <v>0.23971102011683187</v>
      </c>
    </row>
    <row r="129" spans="1:26" s="24" customFormat="1" hidden="1" outlineLevel="1" x14ac:dyDescent="0.35">
      <c r="A129" s="44"/>
      <c r="B129" s="11" t="str">
        <f>CONCATENATE("          ", "5026", " - ", "PURCHASES @ COST-WRITING INSTR")</f>
        <v xml:space="preserve">          5026 - PURCHASES @ COST-WRITING INSTR</v>
      </c>
      <c r="C129" s="11"/>
      <c r="D129" s="2"/>
      <c r="E129" s="2"/>
      <c r="F129" s="19">
        <f t="shared" si="24"/>
        <v>0</v>
      </c>
      <c r="G129" s="2"/>
      <c r="H129" s="2">
        <v>859.55</v>
      </c>
      <c r="I129" s="2"/>
      <c r="J129" s="19">
        <f t="shared" si="25"/>
        <v>3.2579322244727614E-3</v>
      </c>
      <c r="K129" s="2"/>
      <c r="L129" s="2">
        <f t="shared" si="26"/>
        <v>-859.55</v>
      </c>
      <c r="M129" s="2"/>
      <c r="N129" s="19">
        <f t="shared" si="27"/>
        <v>-1</v>
      </c>
      <c r="O129" s="11"/>
      <c r="P129" s="2">
        <v>44186.57</v>
      </c>
      <c r="Q129" s="2"/>
      <c r="R129" s="19">
        <f t="shared" si="28"/>
        <v>4.7847849500428094E-3</v>
      </c>
      <c r="S129" s="2"/>
      <c r="T129" s="2">
        <v>54938.310000000005</v>
      </c>
      <c r="U129" s="2"/>
      <c r="V129" s="19">
        <f t="shared" si="29"/>
        <v>4.7812370050178774E-3</v>
      </c>
      <c r="W129" s="2"/>
      <c r="X129" s="2">
        <f t="shared" si="30"/>
        <v>-10751.740000000005</v>
      </c>
      <c r="Y129" s="2"/>
      <c r="Z129" s="19">
        <f t="shared" si="31"/>
        <v>-0.19570569243939256</v>
      </c>
    </row>
    <row r="130" spans="1:26" s="24" customFormat="1" hidden="1" outlineLevel="1" x14ac:dyDescent="0.35">
      <c r="A130" s="44"/>
      <c r="B130" s="11" t="str">
        <f>CONCATENATE("          ", "5027", " - ", "PURCHASES @ COST-SCHOOL SUPPLI")</f>
        <v xml:space="preserve">          5027 - PURCHASES @ COST-SCHOOL SUPPLI</v>
      </c>
      <c r="C130" s="11"/>
      <c r="D130" s="2">
        <v>11947.58</v>
      </c>
      <c r="E130" s="2"/>
      <c r="F130" s="19">
        <f t="shared" si="24"/>
        <v>5.7425622840935997E-2</v>
      </c>
      <c r="G130" s="2"/>
      <c r="H130" s="2">
        <v>12673.15</v>
      </c>
      <c r="I130" s="2"/>
      <c r="J130" s="19">
        <f t="shared" si="25"/>
        <v>4.8034743494359815E-2</v>
      </c>
      <c r="K130" s="2"/>
      <c r="L130" s="2">
        <f t="shared" si="26"/>
        <v>-725.56999999999971</v>
      </c>
      <c r="M130" s="2"/>
      <c r="N130" s="19">
        <f t="shared" si="27"/>
        <v>-5.7252537845760502E-2</v>
      </c>
      <c r="O130" s="11"/>
      <c r="P130" s="2">
        <v>153162.12</v>
      </c>
      <c r="Q130" s="2"/>
      <c r="R130" s="19">
        <f t="shared" si="28"/>
        <v>1.658530650133402E-2</v>
      </c>
      <c r="S130" s="2"/>
      <c r="T130" s="2">
        <v>168868.30000000002</v>
      </c>
      <c r="U130" s="2"/>
      <c r="V130" s="19">
        <f t="shared" si="29"/>
        <v>1.4696472551384643E-2</v>
      </c>
      <c r="W130" s="2"/>
      <c r="X130" s="2">
        <f t="shared" si="30"/>
        <v>-15706.180000000022</v>
      </c>
      <c r="Y130" s="2"/>
      <c r="Z130" s="19">
        <f t="shared" si="31"/>
        <v>-9.3008456886224472E-2</v>
      </c>
    </row>
    <row r="131" spans="1:26" s="24" customFormat="1" hidden="1" outlineLevel="1" x14ac:dyDescent="0.35">
      <c r="A131" s="44"/>
      <c r="B131" s="11" t="str">
        <f>CONCATENATE("          ", "5028", " - ", "PURCHASES @ COST-ART/TECH")</f>
        <v xml:space="preserve">          5028 - PURCHASES @ COST-ART/TECH</v>
      </c>
      <c r="C131" s="11"/>
      <c r="D131" s="2">
        <v>-1073.3800000000001</v>
      </c>
      <c r="E131" s="2"/>
      <c r="F131" s="19">
        <f t="shared" si="24"/>
        <v>-5.159163198321659E-3</v>
      </c>
      <c r="G131" s="2"/>
      <c r="H131" s="2">
        <v>598.71</v>
      </c>
      <c r="I131" s="2"/>
      <c r="J131" s="19">
        <f t="shared" si="25"/>
        <v>2.2692764843395812E-3</v>
      </c>
      <c r="K131" s="2"/>
      <c r="L131" s="2">
        <f t="shared" si="26"/>
        <v>-1672.0900000000001</v>
      </c>
      <c r="M131" s="2"/>
      <c r="N131" s="19">
        <f t="shared" si="27"/>
        <v>-2.7928212323161463</v>
      </c>
      <c r="O131" s="11"/>
      <c r="P131" s="2">
        <v>158554.31</v>
      </c>
      <c r="Q131" s="2"/>
      <c r="R131" s="19">
        <f t="shared" si="28"/>
        <v>1.7169204947395152E-2</v>
      </c>
      <c r="S131" s="2"/>
      <c r="T131" s="2">
        <v>178081.3</v>
      </c>
      <c r="U131" s="2"/>
      <c r="V131" s="19">
        <f t="shared" si="29"/>
        <v>1.549827254354366E-2</v>
      </c>
      <c r="W131" s="2"/>
      <c r="X131" s="2">
        <f t="shared" si="30"/>
        <v>-19526.989999999991</v>
      </c>
      <c r="Y131" s="2"/>
      <c r="Z131" s="19">
        <f t="shared" si="31"/>
        <v>-0.10965210833478861</v>
      </c>
    </row>
    <row r="132" spans="1:26" s="24" customFormat="1" hidden="1" outlineLevel="1" x14ac:dyDescent="0.35">
      <c r="A132" s="44"/>
      <c r="B132" s="11" t="str">
        <f>CONCATENATE("          ", "5031", " - ", "PURCHASES @ COST-FOOD")</f>
        <v xml:space="preserve">          5031 - PURCHASES @ COST-FOOD</v>
      </c>
      <c r="C132" s="11"/>
      <c r="D132" s="2"/>
      <c r="E132" s="2"/>
      <c r="F132" s="19">
        <f t="shared" si="24"/>
        <v>0</v>
      </c>
      <c r="G132" s="2"/>
      <c r="H132" s="2">
        <v>100.95</v>
      </c>
      <c r="I132" s="2"/>
      <c r="J132" s="19">
        <f t="shared" si="25"/>
        <v>3.8262841959225789E-4</v>
      </c>
      <c r="K132" s="2"/>
      <c r="L132" s="2">
        <f t="shared" si="26"/>
        <v>-100.95</v>
      </c>
      <c r="M132" s="2"/>
      <c r="N132" s="19">
        <f t="shared" si="27"/>
        <v>-1</v>
      </c>
      <c r="O132" s="11"/>
      <c r="P132" s="2">
        <v>33239.879999999997</v>
      </c>
      <c r="Q132" s="2"/>
      <c r="R132" s="19">
        <f t="shared" si="28"/>
        <v>3.5994121644931701E-3</v>
      </c>
      <c r="S132" s="2"/>
      <c r="T132" s="2">
        <v>39394.630000000005</v>
      </c>
      <c r="U132" s="2"/>
      <c r="V132" s="19">
        <f t="shared" si="29"/>
        <v>3.4284830158588324E-3</v>
      </c>
      <c r="W132" s="2"/>
      <c r="X132" s="2">
        <f t="shared" si="30"/>
        <v>-6154.7500000000073</v>
      </c>
      <c r="Y132" s="2"/>
      <c r="Z132" s="19">
        <f t="shared" si="31"/>
        <v>-0.15623322264988926</v>
      </c>
    </row>
    <row r="133" spans="1:26" s="24" customFormat="1" hidden="1" outlineLevel="1" x14ac:dyDescent="0.35">
      <c r="A133" s="44"/>
      <c r="B133" s="11" t="str">
        <f>CONCATENATE("          ", "5032", " - ", "PURCHASES @ COST-JUICE")</f>
        <v xml:space="preserve">          5032 - PURCHASES @ COST-JUICE</v>
      </c>
      <c r="C133" s="11"/>
      <c r="D133" s="2"/>
      <c r="E133" s="2"/>
      <c r="F133" s="19">
        <f t="shared" si="24"/>
        <v>0</v>
      </c>
      <c r="G133" s="2"/>
      <c r="H133" s="2">
        <v>469.57</v>
      </c>
      <c r="I133" s="2"/>
      <c r="J133" s="19">
        <f t="shared" si="25"/>
        <v>1.7798001682806988E-3</v>
      </c>
      <c r="K133" s="2"/>
      <c r="L133" s="2">
        <f t="shared" si="26"/>
        <v>-469.57</v>
      </c>
      <c r="M133" s="2"/>
      <c r="N133" s="19">
        <f t="shared" si="27"/>
        <v>-1</v>
      </c>
      <c r="O133" s="11"/>
      <c r="P133" s="2">
        <v>7802.45</v>
      </c>
      <c r="Q133" s="2"/>
      <c r="R133" s="19">
        <f t="shared" si="28"/>
        <v>8.4489575301865516E-4</v>
      </c>
      <c r="S133" s="2"/>
      <c r="T133" s="2">
        <v>10038.59</v>
      </c>
      <c r="U133" s="2"/>
      <c r="V133" s="19">
        <f t="shared" si="29"/>
        <v>8.7365042692799275E-4</v>
      </c>
      <c r="W133" s="2"/>
      <c r="X133" s="2">
        <f t="shared" si="30"/>
        <v>-2236.1400000000003</v>
      </c>
      <c r="Y133" s="2"/>
      <c r="Z133" s="19">
        <f t="shared" si="31"/>
        <v>-0.22275439080588014</v>
      </c>
    </row>
    <row r="134" spans="1:26" s="24" customFormat="1" hidden="1" outlineLevel="1" x14ac:dyDescent="0.35">
      <c r="A134" s="44"/>
      <c r="B134" s="11" t="str">
        <f>CONCATENATE("          ", "5033", " - ", "PURCHASES @ COST-CANDY")</f>
        <v xml:space="preserve">          5033 - PURCHASES @ COST-CANDY</v>
      </c>
      <c r="C134" s="11"/>
      <c r="D134" s="2"/>
      <c r="E134" s="2"/>
      <c r="F134" s="19">
        <f t="shared" si="24"/>
        <v>0</v>
      </c>
      <c r="G134" s="2"/>
      <c r="H134" s="2">
        <v>550.99</v>
      </c>
      <c r="I134" s="2"/>
      <c r="J134" s="19">
        <f t="shared" si="25"/>
        <v>2.0884044864897294E-3</v>
      </c>
      <c r="K134" s="2"/>
      <c r="L134" s="2">
        <f t="shared" si="26"/>
        <v>-550.99</v>
      </c>
      <c r="M134" s="2"/>
      <c r="N134" s="19">
        <f t="shared" si="27"/>
        <v>-1</v>
      </c>
      <c r="O134" s="11"/>
      <c r="P134" s="2">
        <v>9998.41</v>
      </c>
      <c r="Q134" s="2"/>
      <c r="R134" s="19">
        <f t="shared" si="28"/>
        <v>1.0826873797255031E-3</v>
      </c>
      <c r="S134" s="2"/>
      <c r="T134" s="2">
        <v>10043.27</v>
      </c>
      <c r="U134" s="2"/>
      <c r="V134" s="19">
        <f t="shared" si="29"/>
        <v>8.740577235700534E-4</v>
      </c>
      <c r="W134" s="2"/>
      <c r="X134" s="2">
        <f t="shared" si="30"/>
        <v>-44.860000000000582</v>
      </c>
      <c r="Y134" s="2"/>
      <c r="Z134" s="19">
        <f t="shared" si="31"/>
        <v>-4.466672707196021E-3</v>
      </c>
    </row>
    <row r="135" spans="1:26" s="24" customFormat="1" hidden="1" outlineLevel="1" x14ac:dyDescent="0.35">
      <c r="A135" s="44"/>
      <c r="B135" s="11" t="str">
        <f>CONCATENATE("          ", "5034", " - ", "PURCHASES @ COST-SODA")</f>
        <v xml:space="preserve">          5034 - PURCHASES @ COST-SODA</v>
      </c>
      <c r="C135" s="11"/>
      <c r="D135" s="2"/>
      <c r="E135" s="2"/>
      <c r="F135" s="19">
        <f t="shared" si="24"/>
        <v>0</v>
      </c>
      <c r="G135" s="2"/>
      <c r="H135" s="2">
        <v>140.63999999999999</v>
      </c>
      <c r="I135" s="2"/>
      <c r="J135" s="19">
        <f t="shared" si="25"/>
        <v>5.3306449659688111E-4</v>
      </c>
      <c r="K135" s="2"/>
      <c r="L135" s="2">
        <f t="shared" si="26"/>
        <v>-140.63999999999999</v>
      </c>
      <c r="M135" s="2"/>
      <c r="N135" s="19">
        <f t="shared" si="27"/>
        <v>-1</v>
      </c>
      <c r="O135" s="11"/>
      <c r="P135" s="2">
        <v>4033.88</v>
      </c>
      <c r="Q135" s="2"/>
      <c r="R135" s="19">
        <f t="shared" si="28"/>
        <v>4.3681254992814986E-4</v>
      </c>
      <c r="S135" s="2"/>
      <c r="T135" s="2">
        <v>3996.87</v>
      </c>
      <c r="U135" s="2"/>
      <c r="V135" s="19">
        <f t="shared" si="29"/>
        <v>3.4784438669929605E-4</v>
      </c>
      <c r="W135" s="2"/>
      <c r="X135" s="2">
        <f t="shared" si="30"/>
        <v>37.010000000000218</v>
      </c>
      <c r="Y135" s="2"/>
      <c r="Z135" s="19">
        <f t="shared" si="31"/>
        <v>9.2597457510502513E-3</v>
      </c>
    </row>
    <row r="136" spans="1:26" s="24" customFormat="1" hidden="1" outlineLevel="1" x14ac:dyDescent="0.35">
      <c r="A136" s="44"/>
      <c r="B136" s="11" t="str">
        <f>CONCATENATE("          ", "5035", " - ", "PURCHASES @ COST-HEALTH &amp; BEAU")</f>
        <v xml:space="preserve">          5035 - PURCHASES @ COST-HEALTH &amp; BEAU</v>
      </c>
      <c r="C136" s="11"/>
      <c r="D136" s="2"/>
      <c r="E136" s="2"/>
      <c r="F136" s="19">
        <f t="shared" si="24"/>
        <v>0</v>
      </c>
      <c r="G136" s="2"/>
      <c r="H136" s="2"/>
      <c r="I136" s="2"/>
      <c r="J136" s="19">
        <f t="shared" si="25"/>
        <v>0</v>
      </c>
      <c r="K136" s="2"/>
      <c r="L136" s="2">
        <f t="shared" si="26"/>
        <v>0</v>
      </c>
      <c r="M136" s="2"/>
      <c r="N136" s="19">
        <f t="shared" si="27"/>
        <v>0</v>
      </c>
      <c r="O136" s="11"/>
      <c r="P136" s="2">
        <v>1117.6500000000001</v>
      </c>
      <c r="Q136" s="2"/>
      <c r="R136" s="19">
        <f t="shared" si="28"/>
        <v>1.2102579809691829E-4</v>
      </c>
      <c r="S136" s="2"/>
      <c r="T136" s="2">
        <v>1219.07</v>
      </c>
      <c r="U136" s="2"/>
      <c r="V136" s="19">
        <f t="shared" si="29"/>
        <v>1.0609468321299187E-4</v>
      </c>
      <c r="W136" s="2"/>
      <c r="X136" s="2">
        <f t="shared" si="30"/>
        <v>-101.41999999999985</v>
      </c>
      <c r="Y136" s="2"/>
      <c r="Z136" s="19">
        <f t="shared" si="31"/>
        <v>-8.3194566349758303E-2</v>
      </c>
    </row>
    <row r="137" spans="1:26" s="24" customFormat="1" hidden="1" outlineLevel="1" x14ac:dyDescent="0.35">
      <c r="A137" s="44"/>
      <c r="B137" s="11" t="str">
        <f>CONCATENATE("          ", "5037", " - ", "PURCHASES @ COST-WATER")</f>
        <v xml:space="preserve">          5037 - PURCHASES @ COST-WATER</v>
      </c>
      <c r="C137" s="11"/>
      <c r="D137" s="2"/>
      <c r="E137" s="2"/>
      <c r="F137" s="19">
        <f t="shared" si="24"/>
        <v>0</v>
      </c>
      <c r="G137" s="2"/>
      <c r="H137" s="2">
        <v>418.26</v>
      </c>
      <c r="I137" s="2"/>
      <c r="J137" s="19">
        <f t="shared" si="25"/>
        <v>1.5853210775498541E-3</v>
      </c>
      <c r="K137" s="2"/>
      <c r="L137" s="2">
        <f t="shared" si="26"/>
        <v>-418.26</v>
      </c>
      <c r="M137" s="2"/>
      <c r="N137" s="19">
        <f t="shared" si="27"/>
        <v>-1</v>
      </c>
      <c r="O137" s="11"/>
      <c r="P137" s="2">
        <v>5693.57</v>
      </c>
      <c r="Q137" s="2"/>
      <c r="R137" s="19">
        <f t="shared" si="28"/>
        <v>6.1653366731147588E-4</v>
      </c>
      <c r="S137" s="2"/>
      <c r="T137" s="2">
        <v>6290.29</v>
      </c>
      <c r="U137" s="2"/>
      <c r="V137" s="19">
        <f t="shared" si="29"/>
        <v>5.474388877323293E-4</v>
      </c>
      <c r="W137" s="2"/>
      <c r="X137" s="2">
        <f t="shared" si="30"/>
        <v>-596.72000000000025</v>
      </c>
      <c r="Y137" s="2"/>
      <c r="Z137" s="19">
        <f t="shared" si="31"/>
        <v>-9.4863670832346397E-2</v>
      </c>
    </row>
    <row r="138" spans="1:26" s="24" customFormat="1" hidden="1" outlineLevel="1" x14ac:dyDescent="0.35">
      <c r="A138" s="44"/>
      <c r="B138" s="11" t="str">
        <f>CONCATENATE("          ", "5040", " - ", "PURCHASES @ COST-LOGO CLOTHING")</f>
        <v xml:space="preserve">          5040 - PURCHASES @ COST-LOGO CLOTHING</v>
      </c>
      <c r="C138" s="11"/>
      <c r="D138" s="2">
        <v>6472.18</v>
      </c>
      <c r="E138" s="2"/>
      <c r="F138" s="19">
        <f t="shared" si="24"/>
        <v>3.1108305417385712E-2</v>
      </c>
      <c r="G138" s="2"/>
      <c r="H138" s="2">
        <v>40406.019999999997</v>
      </c>
      <c r="I138" s="2"/>
      <c r="J138" s="19">
        <f t="shared" si="25"/>
        <v>0.15314999083321607</v>
      </c>
      <c r="K138" s="2"/>
      <c r="L138" s="2">
        <f t="shared" si="26"/>
        <v>-33933.839999999997</v>
      </c>
      <c r="M138" s="2"/>
      <c r="N138" s="19">
        <f t="shared" si="27"/>
        <v>-0.83982139295085234</v>
      </c>
      <c r="O138" s="11"/>
      <c r="P138" s="2">
        <v>982941.51</v>
      </c>
      <c r="Q138" s="2"/>
      <c r="R138" s="19">
        <f t="shared" si="28"/>
        <v>0.10643876055146063</v>
      </c>
      <c r="S138" s="2"/>
      <c r="T138" s="2">
        <v>1080553.1199999999</v>
      </c>
      <c r="U138" s="2"/>
      <c r="V138" s="19">
        <f t="shared" si="29"/>
        <v>9.4039670372669318E-2</v>
      </c>
      <c r="W138" s="2"/>
      <c r="X138" s="2">
        <f t="shared" si="30"/>
        <v>-97611.60999999987</v>
      </c>
      <c r="Y138" s="2"/>
      <c r="Z138" s="19">
        <f t="shared" si="31"/>
        <v>-9.0334855541391507E-2</v>
      </c>
    </row>
    <row r="139" spans="1:26" s="24" customFormat="1" hidden="1" outlineLevel="1" x14ac:dyDescent="0.35">
      <c r="A139" s="44"/>
      <c r="B139" s="11" t="str">
        <f>CONCATENATE("          ", "5041", " - ", "PURCHASES @ COST-LOGO GIFTS")</f>
        <v xml:space="preserve">          5041 - PURCHASES @ COST-LOGO GIFTS</v>
      </c>
      <c r="C139" s="11"/>
      <c r="D139" s="2">
        <v>13093.79</v>
      </c>
      <c r="E139" s="2"/>
      <c r="F139" s="19">
        <f t="shared" si="24"/>
        <v>6.2934840871408215E-2</v>
      </c>
      <c r="G139" s="2"/>
      <c r="H139" s="2">
        <v>41981.85</v>
      </c>
      <c r="I139" s="2"/>
      <c r="J139" s="19">
        <f t="shared" si="25"/>
        <v>0.1591228223581895</v>
      </c>
      <c r="K139" s="2"/>
      <c r="L139" s="2">
        <f t="shared" si="26"/>
        <v>-28888.059999999998</v>
      </c>
      <c r="M139" s="2"/>
      <c r="N139" s="19">
        <f t="shared" si="27"/>
        <v>-0.68810831347356061</v>
      </c>
      <c r="O139" s="11"/>
      <c r="P139" s="2">
        <v>162844.62999999998</v>
      </c>
      <c r="Q139" s="2"/>
      <c r="R139" s="19">
        <f t="shared" si="28"/>
        <v>1.7633786347736196E-2</v>
      </c>
      <c r="S139" s="2"/>
      <c r="T139" s="2">
        <v>323814.98</v>
      </c>
      <c r="U139" s="2"/>
      <c r="V139" s="19">
        <f t="shared" si="29"/>
        <v>2.8181357692930922E-2</v>
      </c>
      <c r="W139" s="2"/>
      <c r="X139" s="2">
        <f t="shared" si="30"/>
        <v>-160970.35</v>
      </c>
      <c r="Y139" s="2"/>
      <c r="Z139" s="19">
        <f t="shared" si="31"/>
        <v>-0.49710593994138264</v>
      </c>
    </row>
    <row r="140" spans="1:26" s="24" customFormat="1" hidden="1" outlineLevel="1" x14ac:dyDescent="0.35">
      <c r="A140" s="44"/>
      <c r="B140" s="11" t="str">
        <f>CONCATENATE("          ", "5042", " - ", "PURCHASES @ COST-EVERYDAY GIFT")</f>
        <v xml:space="preserve">          5042 - PURCHASES @ COST-EVERYDAY GIFT</v>
      </c>
      <c r="C140" s="11"/>
      <c r="D140" s="2">
        <v>-836.65</v>
      </c>
      <c r="E140" s="2"/>
      <c r="F140" s="19">
        <f t="shared" si="24"/>
        <v>-4.0213287837260019E-3</v>
      </c>
      <c r="G140" s="2"/>
      <c r="H140" s="2">
        <v>1405.4</v>
      </c>
      <c r="I140" s="2"/>
      <c r="J140" s="19">
        <f t="shared" si="25"/>
        <v>5.3268546894002901E-3</v>
      </c>
      <c r="K140" s="2"/>
      <c r="L140" s="2">
        <f t="shared" si="26"/>
        <v>-2242.0500000000002</v>
      </c>
      <c r="M140" s="2"/>
      <c r="N140" s="19">
        <f t="shared" si="27"/>
        <v>-1.5953109435036288</v>
      </c>
      <c r="O140" s="11"/>
      <c r="P140" s="2">
        <v>125778.54999999999</v>
      </c>
      <c r="Q140" s="2"/>
      <c r="R140" s="19">
        <f t="shared" si="28"/>
        <v>1.3620050460540543E-2</v>
      </c>
      <c r="S140" s="2"/>
      <c r="T140" s="2">
        <v>143887.09999999998</v>
      </c>
      <c r="U140" s="2"/>
      <c r="V140" s="19">
        <f t="shared" si="29"/>
        <v>1.2522378774751311E-2</v>
      </c>
      <c r="W140" s="2"/>
      <c r="X140" s="2">
        <f t="shared" si="30"/>
        <v>-18108.549999999988</v>
      </c>
      <c r="Y140" s="2"/>
      <c r="Z140" s="19">
        <f t="shared" si="31"/>
        <v>-0.12585249129352105</v>
      </c>
    </row>
    <row r="141" spans="1:26" s="24" customFormat="1" hidden="1" outlineLevel="1" x14ac:dyDescent="0.35">
      <c r="A141" s="44"/>
      <c r="B141" s="11" t="str">
        <f>CONCATENATE("          ", "5043", " - ", "PURCHASES @ COST-CARDS")</f>
        <v xml:space="preserve">          5043 - PURCHASES @ COST-CARDS</v>
      </c>
      <c r="C141" s="11"/>
      <c r="D141" s="2">
        <v>0</v>
      </c>
      <c r="E141" s="2"/>
      <c r="F141" s="19">
        <f t="shared" si="24"/>
        <v>0</v>
      </c>
      <c r="G141" s="2"/>
      <c r="H141" s="2">
        <v>238.47</v>
      </c>
      <c r="I141" s="2"/>
      <c r="J141" s="19">
        <f t="shared" si="25"/>
        <v>9.0386725329535153E-4</v>
      </c>
      <c r="K141" s="2"/>
      <c r="L141" s="2">
        <f t="shared" si="26"/>
        <v>-238.47</v>
      </c>
      <c r="M141" s="2"/>
      <c r="N141" s="19">
        <f t="shared" si="27"/>
        <v>-1</v>
      </c>
      <c r="O141" s="11"/>
      <c r="P141" s="2">
        <v>30914.659999999996</v>
      </c>
      <c r="Q141" s="2"/>
      <c r="R141" s="19">
        <f t="shared" si="28"/>
        <v>3.3476234951862168E-3</v>
      </c>
      <c r="S141" s="2"/>
      <c r="T141" s="2">
        <v>3631.23</v>
      </c>
      <c r="U141" s="2"/>
      <c r="V141" s="19">
        <f t="shared" si="29"/>
        <v>3.1602303110035723E-4</v>
      </c>
      <c r="W141" s="2"/>
      <c r="X141" s="2">
        <f t="shared" si="30"/>
        <v>27283.429999999997</v>
      </c>
      <c r="Y141" s="2"/>
      <c r="Z141" s="19">
        <f t="shared" si="31"/>
        <v>7.5135505049253277</v>
      </c>
    </row>
    <row r="142" spans="1:26" s="24" customFormat="1" hidden="1" outlineLevel="1" x14ac:dyDescent="0.35">
      <c r="A142" s="44"/>
      <c r="B142" s="11" t="str">
        <f>CONCATENATE("          ", "5044", " - ", "PURCHASES @ COST-ACCESSORIES")</f>
        <v xml:space="preserve">          5044 - PURCHASES @ COST-ACCESSORIES</v>
      </c>
      <c r="C142" s="11"/>
      <c r="D142" s="2">
        <v>0</v>
      </c>
      <c r="E142" s="2"/>
      <c r="F142" s="19">
        <f t="shared" si="24"/>
        <v>0</v>
      </c>
      <c r="G142" s="2"/>
      <c r="H142" s="2">
        <v>-637.52</v>
      </c>
      <c r="I142" s="2"/>
      <c r="J142" s="19">
        <f t="shared" si="25"/>
        <v>-2.4163771179639055E-3</v>
      </c>
      <c r="K142" s="2"/>
      <c r="L142" s="2">
        <f t="shared" si="26"/>
        <v>637.52</v>
      </c>
      <c r="M142" s="2"/>
      <c r="N142" s="19">
        <f t="shared" si="27"/>
        <v>-1</v>
      </c>
      <c r="O142" s="11"/>
      <c r="P142" s="2">
        <v>37869.03</v>
      </c>
      <c r="Q142" s="2"/>
      <c r="R142" s="19">
        <f t="shared" si="28"/>
        <v>4.1006840951157706E-3</v>
      </c>
      <c r="S142" s="2"/>
      <c r="T142" s="2">
        <v>37653.61</v>
      </c>
      <c r="U142" s="2"/>
      <c r="V142" s="19">
        <f t="shared" si="29"/>
        <v>3.2769634432604717E-3</v>
      </c>
      <c r="W142" s="2"/>
      <c r="X142" s="2">
        <f t="shared" si="30"/>
        <v>215.41999999999825</v>
      </c>
      <c r="Y142" s="2"/>
      <c r="Z142" s="19">
        <f t="shared" si="31"/>
        <v>5.7210981895228176E-3</v>
      </c>
    </row>
    <row r="143" spans="1:26" s="24" customFormat="1" hidden="1" outlineLevel="1" x14ac:dyDescent="0.35">
      <c r="A143" s="44"/>
      <c r="B143" s="11" t="str">
        <f>CONCATENATE("          ", "5045", " - ", "PURCHASES @ COST-SPECIAL ORDER")</f>
        <v xml:space="preserve">          5045 - PURCHASES @ COST-SPECIAL ORDER</v>
      </c>
      <c r="C143" s="11"/>
      <c r="D143" s="2">
        <v>52772.409999999996</v>
      </c>
      <c r="E143" s="2"/>
      <c r="F143" s="19">
        <f t="shared" si="24"/>
        <v>0.25364873163161406</v>
      </c>
      <c r="G143" s="2"/>
      <c r="H143" s="2">
        <v>36286.67</v>
      </c>
      <c r="I143" s="2"/>
      <c r="J143" s="19">
        <f t="shared" si="25"/>
        <v>0.13753651505067654</v>
      </c>
      <c r="K143" s="2"/>
      <c r="L143" s="2">
        <f t="shared" si="26"/>
        <v>16485.739999999998</v>
      </c>
      <c r="M143" s="2"/>
      <c r="N143" s="19">
        <f t="shared" si="27"/>
        <v>0.45431945119240752</v>
      </c>
      <c r="O143" s="11"/>
      <c r="P143" s="2">
        <v>131614.81</v>
      </c>
      <c r="Q143" s="2"/>
      <c r="R143" s="19">
        <f t="shared" si="28"/>
        <v>1.4252035450833677E-2</v>
      </c>
      <c r="S143" s="2"/>
      <c r="T143" s="2">
        <v>157881.61000000002</v>
      </c>
      <c r="U143" s="2"/>
      <c r="V143" s="19">
        <f t="shared" si="29"/>
        <v>1.3740309742760573E-2</v>
      </c>
      <c r="W143" s="2"/>
      <c r="X143" s="2">
        <f t="shared" si="30"/>
        <v>-26266.800000000017</v>
      </c>
      <c r="Y143" s="2"/>
      <c r="Z143" s="19">
        <f t="shared" si="31"/>
        <v>-0.16637023146647678</v>
      </c>
    </row>
    <row r="144" spans="1:26" s="24" customFormat="1" hidden="1" outlineLevel="1" x14ac:dyDescent="0.35">
      <c r="A144" s="44"/>
      <c r="B144" s="11" t="str">
        <f>CONCATENATE("          ", "5081", " - ", "PURCHASES @ COST-ELECTRONICS")</f>
        <v xml:space="preserve">          5081 - PURCHASES @ COST-ELECTRONICS</v>
      </c>
      <c r="C144" s="11"/>
      <c r="D144" s="2"/>
      <c r="E144" s="2"/>
      <c r="F144" s="19">
        <f t="shared" si="24"/>
        <v>0</v>
      </c>
      <c r="G144" s="2"/>
      <c r="H144" s="2">
        <v>-5.89</v>
      </c>
      <c r="I144" s="2"/>
      <c r="J144" s="19">
        <f t="shared" si="25"/>
        <v>-2.2324728988592363E-5</v>
      </c>
      <c r="K144" s="2"/>
      <c r="L144" s="2">
        <f t="shared" si="26"/>
        <v>5.89</v>
      </c>
      <c r="M144" s="2"/>
      <c r="N144" s="19">
        <f t="shared" si="27"/>
        <v>-1</v>
      </c>
      <c r="O144" s="11"/>
      <c r="P144" s="2">
        <v>2008.03</v>
      </c>
      <c r="Q144" s="2"/>
      <c r="R144" s="19">
        <f t="shared" si="28"/>
        <v>2.174414471011093E-4</v>
      </c>
      <c r="S144" s="2"/>
      <c r="T144" s="2">
        <v>2676.75</v>
      </c>
      <c r="U144" s="2"/>
      <c r="V144" s="19">
        <f t="shared" si="29"/>
        <v>2.3295540312728228E-4</v>
      </c>
      <c r="W144" s="2"/>
      <c r="X144" s="2">
        <f t="shared" si="30"/>
        <v>-668.72</v>
      </c>
      <c r="Y144" s="2"/>
      <c r="Z144" s="19">
        <f t="shared" si="31"/>
        <v>-0.24982534790324087</v>
      </c>
    </row>
    <row r="145" spans="1:26" s="24" customFormat="1" hidden="1" outlineLevel="1" x14ac:dyDescent="0.35">
      <c r="A145" s="44"/>
      <c r="B145" s="11" t="str">
        <f>CONCATENATE("          ", "5082", " - ", "PURCHASES @ COST-COMPUTER HARD")</f>
        <v xml:space="preserve">          5082 - PURCHASES @ COST-COMPUTER HARD</v>
      </c>
      <c r="C145" s="11"/>
      <c r="D145" s="2"/>
      <c r="E145" s="2"/>
      <c r="F145" s="19">
        <f t="shared" si="24"/>
        <v>0</v>
      </c>
      <c r="G145" s="2"/>
      <c r="H145" s="2"/>
      <c r="I145" s="2"/>
      <c r="J145" s="19">
        <f t="shared" si="25"/>
        <v>0</v>
      </c>
      <c r="K145" s="2"/>
      <c r="L145" s="2">
        <f t="shared" si="26"/>
        <v>0</v>
      </c>
      <c r="M145" s="2"/>
      <c r="N145" s="19">
        <f t="shared" si="27"/>
        <v>0</v>
      </c>
      <c r="O145" s="11"/>
      <c r="P145" s="2">
        <v>349.6</v>
      </c>
      <c r="Q145" s="2"/>
      <c r="R145" s="19">
        <f t="shared" si="28"/>
        <v>3.7856770021637034E-5</v>
      </c>
      <c r="S145" s="2"/>
      <c r="T145" s="2">
        <v>1118</v>
      </c>
      <c r="U145" s="2"/>
      <c r="V145" s="19">
        <f t="shared" si="29"/>
        <v>9.7298642270029549E-5</v>
      </c>
      <c r="W145" s="2"/>
      <c r="X145" s="2">
        <f t="shared" si="30"/>
        <v>-768.4</v>
      </c>
      <c r="Y145" s="2"/>
      <c r="Z145" s="19">
        <f t="shared" si="31"/>
        <v>-0.68729874776386402</v>
      </c>
    </row>
    <row r="146" spans="1:26" s="24" customFormat="1" hidden="1" outlineLevel="1" x14ac:dyDescent="0.35">
      <c r="A146" s="44"/>
      <c r="B146" s="11" t="str">
        <f>CONCATENATE("          ", "5083", " - ", "PURCHASES @ COST-COMPUTER EQUI")</f>
        <v xml:space="preserve">          5083 - PURCHASES @ COST-COMPUTER EQUI</v>
      </c>
      <c r="C146" s="11"/>
      <c r="D146" s="2"/>
      <c r="E146" s="2"/>
      <c r="F146" s="19">
        <f t="shared" si="24"/>
        <v>0</v>
      </c>
      <c r="G146" s="2"/>
      <c r="H146" s="2"/>
      <c r="I146" s="2"/>
      <c r="J146" s="19">
        <f t="shared" si="25"/>
        <v>0</v>
      </c>
      <c r="K146" s="2"/>
      <c r="L146" s="2">
        <f t="shared" si="26"/>
        <v>0</v>
      </c>
      <c r="M146" s="2"/>
      <c r="N146" s="19">
        <f t="shared" si="27"/>
        <v>0</v>
      </c>
      <c r="O146" s="11"/>
      <c r="P146" s="2">
        <v>395.06</v>
      </c>
      <c r="Q146" s="2"/>
      <c r="R146" s="19">
        <f t="shared" si="28"/>
        <v>4.2779449555915123E-5</v>
      </c>
      <c r="S146" s="2"/>
      <c r="T146" s="2">
        <v>653.19000000000005</v>
      </c>
      <c r="U146" s="2"/>
      <c r="V146" s="19">
        <f t="shared" si="29"/>
        <v>5.6846601202469235E-5</v>
      </c>
      <c r="W146" s="2"/>
      <c r="X146" s="2">
        <f t="shared" si="30"/>
        <v>-258.13000000000005</v>
      </c>
      <c r="Y146" s="2"/>
      <c r="Z146" s="19">
        <f t="shared" si="31"/>
        <v>-0.39518363722653443</v>
      </c>
    </row>
    <row r="147" spans="1:26" s="24" customFormat="1" hidden="1" outlineLevel="1" x14ac:dyDescent="0.35">
      <c r="A147" s="44"/>
      <c r="B147" s="11" t="str">
        <f>CONCATENATE("          ", "5086", " - ", "PURCHASES @ COST-COMPUTER SUPP")</f>
        <v xml:space="preserve">          5086 - PURCHASES @ COST-COMPUTER SUPP</v>
      </c>
      <c r="C147" s="11"/>
      <c r="D147" s="2"/>
      <c r="E147" s="2"/>
      <c r="F147" s="19">
        <f t="shared" si="24"/>
        <v>0</v>
      </c>
      <c r="G147" s="2"/>
      <c r="H147" s="2"/>
      <c r="I147" s="2"/>
      <c r="J147" s="19">
        <f t="shared" si="25"/>
        <v>0</v>
      </c>
      <c r="K147" s="2"/>
      <c r="L147" s="2">
        <f t="shared" si="26"/>
        <v>0</v>
      </c>
      <c r="M147" s="2"/>
      <c r="N147" s="19">
        <f t="shared" si="27"/>
        <v>0</v>
      </c>
      <c r="O147" s="11"/>
      <c r="P147" s="2">
        <v>426.22</v>
      </c>
      <c r="Q147" s="2"/>
      <c r="R147" s="19">
        <f t="shared" si="28"/>
        <v>4.6153639927408857E-5</v>
      </c>
      <c r="S147" s="2"/>
      <c r="T147" s="2">
        <v>971.76</v>
      </c>
      <c r="U147" s="2"/>
      <c r="V147" s="19">
        <f t="shared" si="29"/>
        <v>8.4571492497606364E-5</v>
      </c>
      <c r="W147" s="2"/>
      <c r="X147" s="2">
        <f t="shared" si="30"/>
        <v>-545.54</v>
      </c>
      <c r="Y147" s="2"/>
      <c r="Z147" s="19">
        <f t="shared" si="31"/>
        <v>-0.56139375977607642</v>
      </c>
    </row>
    <row r="148" spans="1:26" s="24" customFormat="1" hidden="1" outlineLevel="1" x14ac:dyDescent="0.35">
      <c r="A148" s="44"/>
      <c r="B148" s="11" t="str">
        <f>CONCATENATE("          ", "5092", " - ", "PURCHASES @ COST-GRAD MERCH")</f>
        <v xml:space="preserve">          5092 - PURCHASES @ COST-GRAD MERCH</v>
      </c>
      <c r="C148" s="11"/>
      <c r="D148" s="2">
        <v>9354.1</v>
      </c>
      <c r="E148" s="2"/>
      <c r="F148" s="19">
        <f t="shared" si="24"/>
        <v>4.4960152484134819E-2</v>
      </c>
      <c r="G148" s="2"/>
      <c r="H148" s="2">
        <v>72080.739999999991</v>
      </c>
      <c r="I148" s="2"/>
      <c r="J148" s="19">
        <f t="shared" si="25"/>
        <v>0.27320593986369929</v>
      </c>
      <c r="K148" s="2"/>
      <c r="L148" s="2">
        <f t="shared" si="26"/>
        <v>-62726.639999999992</v>
      </c>
      <c r="M148" s="2"/>
      <c r="N148" s="19">
        <f t="shared" si="27"/>
        <v>-0.87022746991776168</v>
      </c>
      <c r="O148" s="11"/>
      <c r="P148" s="2">
        <v>13839.98</v>
      </c>
      <c r="Q148" s="2"/>
      <c r="R148" s="19">
        <f t="shared" si="28"/>
        <v>1.4986754575630895E-3</v>
      </c>
      <c r="S148" s="2"/>
      <c r="T148" s="2">
        <v>96915.8</v>
      </c>
      <c r="U148" s="2"/>
      <c r="V148" s="19">
        <f t="shared" si="29"/>
        <v>8.4345042526956446E-3</v>
      </c>
      <c r="W148" s="2"/>
      <c r="X148" s="2">
        <f t="shared" si="30"/>
        <v>-83075.820000000007</v>
      </c>
      <c r="Y148" s="2"/>
      <c r="Z148" s="19">
        <f t="shared" si="31"/>
        <v>-0.85719583390943488</v>
      </c>
    </row>
    <row r="149" spans="1:26" s="24" customFormat="1" hidden="1" outlineLevel="1" x14ac:dyDescent="0.35">
      <c r="A149" s="44"/>
      <c r="B149" s="11" t="str">
        <f>CONCATENATE("          ", "5095", " - ", "PURCHASES @ COST-CUSTOMER SERV")</f>
        <v xml:space="preserve">          5095 - PURCHASES @ COST-CUSTOMER SERV</v>
      </c>
      <c r="C149" s="11"/>
      <c r="D149" s="2">
        <v>0</v>
      </c>
      <c r="E149" s="2"/>
      <c r="F149" s="19">
        <f t="shared" si="24"/>
        <v>0</v>
      </c>
      <c r="G149" s="2"/>
      <c r="H149" s="2">
        <v>0</v>
      </c>
      <c r="I149" s="2"/>
      <c r="J149" s="19">
        <f t="shared" si="25"/>
        <v>0</v>
      </c>
      <c r="K149" s="2"/>
      <c r="L149" s="2">
        <f t="shared" si="26"/>
        <v>0</v>
      </c>
      <c r="M149" s="2"/>
      <c r="N149" s="19">
        <f t="shared" si="27"/>
        <v>0</v>
      </c>
      <c r="O149" s="11"/>
      <c r="P149" s="2">
        <v>0</v>
      </c>
      <c r="Q149" s="2"/>
      <c r="R149" s="19">
        <f t="shared" si="28"/>
        <v>0</v>
      </c>
      <c r="S149" s="2"/>
      <c r="T149" s="2">
        <v>0</v>
      </c>
      <c r="U149" s="2"/>
      <c r="V149" s="19">
        <f t="shared" si="29"/>
        <v>0</v>
      </c>
      <c r="W149" s="2"/>
      <c r="X149" s="2">
        <f t="shared" si="30"/>
        <v>0</v>
      </c>
      <c r="Y149" s="2"/>
      <c r="Z149" s="19">
        <f t="shared" si="31"/>
        <v>0</v>
      </c>
    </row>
    <row r="150" spans="1:26" s="24" customFormat="1" hidden="1" outlineLevel="1" x14ac:dyDescent="0.35">
      <c r="A150" s="44"/>
      <c r="B150" s="11" t="str">
        <f>CONCATENATE("          ", "5200", " - ", "PURCHASES OFFSET")</f>
        <v xml:space="preserve">          5200 - PURCHASES OFFSET</v>
      </c>
      <c r="C150" s="11"/>
      <c r="D150" s="2">
        <v>-303919</v>
      </c>
      <c r="E150" s="2"/>
      <c r="F150" s="19">
        <f t="shared" si="24"/>
        <v>-1.4607759787500421</v>
      </c>
      <c r="G150" s="2"/>
      <c r="H150" s="2">
        <v>-798192</v>
      </c>
      <c r="I150" s="2"/>
      <c r="J150" s="19">
        <f t="shared" si="25"/>
        <v>-3.0253684347814116</v>
      </c>
      <c r="K150" s="2"/>
      <c r="L150" s="2">
        <f t="shared" si="26"/>
        <v>494273</v>
      </c>
      <c r="M150" s="2"/>
      <c r="N150" s="19">
        <f t="shared" si="27"/>
        <v>-0.61924073405897329</v>
      </c>
      <c r="O150" s="11"/>
      <c r="P150" s="2">
        <v>-3777245</v>
      </c>
      <c r="Q150" s="2"/>
      <c r="R150" s="19">
        <f t="shared" si="28"/>
        <v>-0.40902258375394274</v>
      </c>
      <c r="S150" s="2"/>
      <c r="T150" s="2">
        <v>-4932261</v>
      </c>
      <c r="U150" s="2"/>
      <c r="V150" s="19">
        <f t="shared" si="29"/>
        <v>-0.42925071433042772</v>
      </c>
      <c r="W150" s="2"/>
      <c r="X150" s="2">
        <f t="shared" si="30"/>
        <v>1155016</v>
      </c>
      <c r="Y150" s="2"/>
      <c r="Z150" s="19">
        <f t="shared" si="31"/>
        <v>-0.23417576644869362</v>
      </c>
    </row>
    <row r="151" spans="1:26" s="24" customFormat="1" hidden="1" outlineLevel="1" x14ac:dyDescent="0.35">
      <c r="A151" s="44"/>
      <c r="B151" s="11" t="str">
        <f>CONCATENATE("          ", "5300", " - ", "COG$ OFFSET")</f>
        <v xml:space="preserve">          5300 - COG$ OFFSET</v>
      </c>
      <c r="C151" s="11"/>
      <c r="D151" s="2">
        <v>300761.52999999997</v>
      </c>
      <c r="E151" s="2"/>
      <c r="F151" s="19">
        <f t="shared" si="24"/>
        <v>1.4455997103047526</v>
      </c>
      <c r="G151" s="2"/>
      <c r="H151" s="2">
        <v>213367</v>
      </c>
      <c r="I151" s="2"/>
      <c r="J151" s="19">
        <f t="shared" si="25"/>
        <v>0.80871994059575325</v>
      </c>
      <c r="K151" s="2"/>
      <c r="L151" s="2">
        <f t="shared" si="26"/>
        <v>87394.52999999997</v>
      </c>
      <c r="M151" s="2"/>
      <c r="N151" s="19">
        <f t="shared" si="27"/>
        <v>0.40959721981374803</v>
      </c>
      <c r="O151" s="11"/>
      <c r="P151" s="2">
        <v>4336696</v>
      </c>
      <c r="Q151" s="2"/>
      <c r="R151" s="19">
        <f t="shared" si="28"/>
        <v>0.46960326981050698</v>
      </c>
      <c r="S151" s="2"/>
      <c r="T151" s="2">
        <v>5167505</v>
      </c>
      <c r="U151" s="2"/>
      <c r="V151" s="19">
        <f t="shared" si="29"/>
        <v>0.44972381075455192</v>
      </c>
      <c r="W151" s="2"/>
      <c r="X151" s="2">
        <f t="shared" si="30"/>
        <v>-830809</v>
      </c>
      <c r="Y151" s="2"/>
      <c r="Z151" s="19">
        <f t="shared" si="31"/>
        <v>-0.16077565478891651</v>
      </c>
    </row>
    <row r="152" spans="1:26" s="24" customFormat="1" hidden="1" outlineLevel="1" x14ac:dyDescent="0.35">
      <c r="A152" s="44"/>
      <c r="B152" s="11" t="str">
        <f>CONCATENATE("          ", "5500", " - ", "FREIGHT-IN")</f>
        <v xml:space="preserve">          5500 - FREIGHT-IN</v>
      </c>
      <c r="C152" s="11"/>
      <c r="D152" s="2">
        <v>83.13</v>
      </c>
      <c r="E152" s="2"/>
      <c r="F152" s="19">
        <f t="shared" si="24"/>
        <v>3.9956141969896909E-4</v>
      </c>
      <c r="G152" s="2"/>
      <c r="H152" s="2"/>
      <c r="I152" s="2"/>
      <c r="J152" s="19">
        <f t="shared" si="25"/>
        <v>0</v>
      </c>
      <c r="K152" s="2"/>
      <c r="L152" s="2">
        <f t="shared" si="26"/>
        <v>83.13</v>
      </c>
      <c r="M152" s="2"/>
      <c r="N152" s="19">
        <f t="shared" si="27"/>
        <v>0</v>
      </c>
      <c r="O152" s="11"/>
      <c r="P152" s="2">
        <v>239.61</v>
      </c>
      <c r="Q152" s="2"/>
      <c r="R152" s="19">
        <f t="shared" si="28"/>
        <v>2.5946397782850257E-5</v>
      </c>
      <c r="S152" s="2"/>
      <c r="T152" s="2">
        <v>188.91</v>
      </c>
      <c r="U152" s="2"/>
      <c r="V152" s="19">
        <f t="shared" si="29"/>
        <v>1.6440685609330304E-5</v>
      </c>
      <c r="W152" s="2"/>
      <c r="X152" s="2">
        <f t="shared" si="30"/>
        <v>50.700000000000017</v>
      </c>
      <c r="Y152" s="2"/>
      <c r="Z152" s="19">
        <f t="shared" si="31"/>
        <v>0.26838176909639522</v>
      </c>
    </row>
    <row r="153" spans="1:26" s="24" customFormat="1" hidden="1" outlineLevel="1" x14ac:dyDescent="0.35">
      <c r="A153" s="44"/>
      <c r="B153" s="11" t="str">
        <f>CONCATENATE("          ", "5501", " - ", "FREIGHT-IN-NEW TEXT")</f>
        <v xml:space="preserve">          5501 - FREIGHT-IN-NEW TEXT</v>
      </c>
      <c r="C153" s="11"/>
      <c r="D153" s="2">
        <v>2483.06</v>
      </c>
      <c r="E153" s="2"/>
      <c r="F153" s="19">
        <f t="shared" si="24"/>
        <v>1.193474051242298E-2</v>
      </c>
      <c r="G153" s="2"/>
      <c r="H153" s="2">
        <v>1815.25</v>
      </c>
      <c r="I153" s="2"/>
      <c r="J153" s="19">
        <f t="shared" si="25"/>
        <v>6.8802995410088769E-3</v>
      </c>
      <c r="K153" s="2"/>
      <c r="L153" s="2">
        <f t="shared" si="26"/>
        <v>667.81</v>
      </c>
      <c r="M153" s="2"/>
      <c r="N153" s="19">
        <f t="shared" si="27"/>
        <v>0.36788872056190602</v>
      </c>
      <c r="O153" s="11"/>
      <c r="P153" s="2">
        <v>72230.790000000008</v>
      </c>
      <c r="Q153" s="2"/>
      <c r="R153" s="19">
        <f t="shared" si="28"/>
        <v>7.8215801072973688E-3</v>
      </c>
      <c r="S153" s="2"/>
      <c r="T153" s="2">
        <v>66019.19</v>
      </c>
      <c r="U153" s="2"/>
      <c r="V153" s="19">
        <f t="shared" si="29"/>
        <v>5.7455970937094029E-3</v>
      </c>
      <c r="W153" s="2"/>
      <c r="X153" s="2">
        <f t="shared" si="30"/>
        <v>6211.6000000000058</v>
      </c>
      <c r="Y153" s="2"/>
      <c r="Z153" s="19">
        <f t="shared" si="31"/>
        <v>9.4087794776034142E-2</v>
      </c>
    </row>
    <row r="154" spans="1:26" s="24" customFormat="1" hidden="1" outlineLevel="1" x14ac:dyDescent="0.35">
      <c r="A154" s="44"/>
      <c r="B154" s="11" t="str">
        <f>CONCATENATE("          ", "5502", " - ", "FREIGHT-IN-USED TEXT")</f>
        <v xml:space="preserve">          5502 - FREIGHT-IN-USED TEXT</v>
      </c>
      <c r="C154" s="11"/>
      <c r="D154" s="2">
        <v>519.36</v>
      </c>
      <c r="E154" s="2"/>
      <c r="F154" s="19">
        <f t="shared" si="24"/>
        <v>2.4962855639944258E-3</v>
      </c>
      <c r="G154" s="2"/>
      <c r="H154" s="2">
        <v>351.17</v>
      </c>
      <c r="I154" s="2"/>
      <c r="J154" s="19">
        <f t="shared" si="25"/>
        <v>1.3310314225677385E-3</v>
      </c>
      <c r="K154" s="2"/>
      <c r="L154" s="2">
        <f t="shared" si="26"/>
        <v>168.19</v>
      </c>
      <c r="M154" s="2"/>
      <c r="N154" s="19">
        <f t="shared" si="27"/>
        <v>0.47894182304866584</v>
      </c>
      <c r="O154" s="11"/>
      <c r="P154" s="2">
        <v>16200.12</v>
      </c>
      <c r="Q154" s="2"/>
      <c r="R154" s="19">
        <f t="shared" si="28"/>
        <v>1.754245472433989E-3</v>
      </c>
      <c r="S154" s="2"/>
      <c r="T154" s="2">
        <v>14394.46</v>
      </c>
      <c r="U154" s="2"/>
      <c r="V154" s="19">
        <f t="shared" si="29"/>
        <v>1.2527382953580047E-3</v>
      </c>
      <c r="W154" s="2"/>
      <c r="X154" s="2">
        <f t="shared" si="30"/>
        <v>1805.6600000000017</v>
      </c>
      <c r="Y154" s="2"/>
      <c r="Z154" s="19">
        <f t="shared" si="31"/>
        <v>0.12544131561725844</v>
      </c>
    </row>
    <row r="155" spans="1:26" s="24" customFormat="1" hidden="1" outlineLevel="1" x14ac:dyDescent="0.35">
      <c r="A155" s="44"/>
      <c r="B155" s="11" t="str">
        <f>CONCATENATE("          ", "5504", " - ", "FREIGHT-IN-DIGITAL TEXT")</f>
        <v xml:space="preserve">          5504 - FREIGHT-IN-DIGITAL TEXT</v>
      </c>
      <c r="C155" s="11"/>
      <c r="D155" s="2"/>
      <c r="E155" s="2"/>
      <c r="F155" s="19">
        <f t="shared" si="24"/>
        <v>0</v>
      </c>
      <c r="G155" s="2"/>
      <c r="H155" s="2"/>
      <c r="I155" s="2"/>
      <c r="J155" s="19">
        <f t="shared" si="25"/>
        <v>0</v>
      </c>
      <c r="K155" s="2"/>
      <c r="L155" s="2">
        <f t="shared" si="26"/>
        <v>0</v>
      </c>
      <c r="M155" s="2"/>
      <c r="N155" s="19">
        <f t="shared" si="27"/>
        <v>0</v>
      </c>
      <c r="O155" s="11"/>
      <c r="P155" s="2">
        <v>118.75</v>
      </c>
      <c r="Q155" s="2"/>
      <c r="R155" s="19">
        <f t="shared" si="28"/>
        <v>1.2858957208436493E-5</v>
      </c>
      <c r="S155" s="2"/>
      <c r="T155" s="2">
        <v>243.53</v>
      </c>
      <c r="U155" s="2"/>
      <c r="V155" s="19">
        <f t="shared" si="29"/>
        <v>2.119422035064427E-5</v>
      </c>
      <c r="W155" s="2"/>
      <c r="X155" s="2">
        <f t="shared" si="30"/>
        <v>-124.78</v>
      </c>
      <c r="Y155" s="2"/>
      <c r="Z155" s="19">
        <f t="shared" si="31"/>
        <v>-0.5123804048782491</v>
      </c>
    </row>
    <row r="156" spans="1:26" s="24" customFormat="1" hidden="1" outlineLevel="1" x14ac:dyDescent="0.35">
      <c r="A156" s="44"/>
      <c r="B156" s="11" t="str">
        <f>CONCATENATE("          ", "5513", " - ", "FREIGHT-IN-TRADE BOOKS")</f>
        <v xml:space="preserve">          5513 - FREIGHT-IN-TRADE BOOKS</v>
      </c>
      <c r="C156" s="11"/>
      <c r="D156" s="2"/>
      <c r="E156" s="2"/>
      <c r="F156" s="19">
        <f t="shared" si="24"/>
        <v>0</v>
      </c>
      <c r="G156" s="2"/>
      <c r="H156" s="2"/>
      <c r="I156" s="2"/>
      <c r="J156" s="19">
        <f t="shared" si="25"/>
        <v>0</v>
      </c>
      <c r="K156" s="2"/>
      <c r="L156" s="2">
        <f t="shared" si="26"/>
        <v>0</v>
      </c>
      <c r="M156" s="2"/>
      <c r="N156" s="19">
        <f t="shared" si="27"/>
        <v>0</v>
      </c>
      <c r="O156" s="11"/>
      <c r="P156" s="2">
        <v>30.24</v>
      </c>
      <c r="Q156" s="2"/>
      <c r="R156" s="19">
        <f t="shared" si="28"/>
        <v>3.2745672924894274E-6</v>
      </c>
      <c r="S156" s="2"/>
      <c r="T156" s="2">
        <v>54.9</v>
      </c>
      <c r="U156" s="2"/>
      <c r="V156" s="19">
        <f t="shared" si="29"/>
        <v>4.7779029164799835E-6</v>
      </c>
      <c r="W156" s="2"/>
      <c r="X156" s="2">
        <f t="shared" si="30"/>
        <v>-24.66</v>
      </c>
      <c r="Y156" s="2"/>
      <c r="Z156" s="19">
        <f t="shared" si="31"/>
        <v>-0.44918032786885248</v>
      </c>
    </row>
    <row r="157" spans="1:26" s="24" customFormat="1" hidden="1" outlineLevel="1" x14ac:dyDescent="0.35">
      <c r="A157" s="44"/>
      <c r="B157" s="11" t="str">
        <f>CONCATENATE("          ", "5518", " - ", "FREIGHT-IN-STUDY GUIDES")</f>
        <v xml:space="preserve">          5518 - FREIGHT-IN-STUDY GUIDES</v>
      </c>
      <c r="C157" s="11"/>
      <c r="D157" s="2"/>
      <c r="E157" s="2"/>
      <c r="F157" s="19">
        <f t="shared" si="24"/>
        <v>0</v>
      </c>
      <c r="G157" s="2"/>
      <c r="H157" s="2"/>
      <c r="I157" s="2"/>
      <c r="J157" s="19">
        <f t="shared" si="25"/>
        <v>0</v>
      </c>
      <c r="K157" s="2"/>
      <c r="L157" s="2">
        <f t="shared" si="26"/>
        <v>0</v>
      </c>
      <c r="M157" s="2"/>
      <c r="N157" s="19">
        <f t="shared" si="27"/>
        <v>0</v>
      </c>
      <c r="O157" s="11"/>
      <c r="P157" s="2">
        <v>21.13</v>
      </c>
      <c r="Q157" s="2"/>
      <c r="R157" s="19">
        <f t="shared" si="28"/>
        <v>2.2880822384358996E-6</v>
      </c>
      <c r="S157" s="2"/>
      <c r="T157" s="2"/>
      <c r="U157" s="2"/>
      <c r="V157" s="19">
        <f t="shared" si="29"/>
        <v>0</v>
      </c>
      <c r="W157" s="2"/>
      <c r="X157" s="2">
        <f t="shared" si="30"/>
        <v>21.13</v>
      </c>
      <c r="Y157" s="2"/>
      <c r="Z157" s="19">
        <f t="shared" si="31"/>
        <v>0</v>
      </c>
    </row>
    <row r="158" spans="1:26" s="24" customFormat="1" hidden="1" outlineLevel="1" x14ac:dyDescent="0.35">
      <c r="A158" s="44"/>
      <c r="B158" s="11" t="str">
        <f>CONCATENATE("          ", "5525", " - ", "FREIGHT-IN-TEST FORMS")</f>
        <v xml:space="preserve">          5525 - FREIGHT-IN-TEST FORMS</v>
      </c>
      <c r="C158" s="11"/>
      <c r="D158" s="2"/>
      <c r="E158" s="2"/>
      <c r="F158" s="19">
        <f t="shared" si="24"/>
        <v>0</v>
      </c>
      <c r="G158" s="2"/>
      <c r="H158" s="2"/>
      <c r="I158" s="2"/>
      <c r="J158" s="19">
        <f t="shared" si="25"/>
        <v>0</v>
      </c>
      <c r="K158" s="2"/>
      <c r="L158" s="2">
        <f t="shared" si="26"/>
        <v>0</v>
      </c>
      <c r="M158" s="2"/>
      <c r="N158" s="19">
        <f t="shared" si="27"/>
        <v>0</v>
      </c>
      <c r="O158" s="11"/>
      <c r="P158" s="2">
        <v>1614.32</v>
      </c>
      <c r="Q158" s="2"/>
      <c r="R158" s="19">
        <f t="shared" si="28"/>
        <v>1.7480818358503746E-4</v>
      </c>
      <c r="S158" s="2"/>
      <c r="T158" s="2">
        <v>390.96</v>
      </c>
      <c r="U158" s="2"/>
      <c r="V158" s="19">
        <f t="shared" si="29"/>
        <v>3.4024934867523033E-5</v>
      </c>
      <c r="W158" s="2"/>
      <c r="X158" s="2">
        <f t="shared" si="30"/>
        <v>1223.3599999999999</v>
      </c>
      <c r="Y158" s="2"/>
      <c r="Z158" s="19">
        <f t="shared" si="31"/>
        <v>3.1291180683445874</v>
      </c>
    </row>
    <row r="159" spans="1:26" s="24" customFormat="1" hidden="1" outlineLevel="1" x14ac:dyDescent="0.35">
      <c r="A159" s="44"/>
      <c r="B159" s="11" t="str">
        <f>CONCATENATE("          ", "5526", " - ", "FREIGHT-IN-WRITING INSTRUMENTS")</f>
        <v xml:space="preserve">          5526 - FREIGHT-IN-WRITING INSTRUMENTS</v>
      </c>
      <c r="C159" s="11"/>
      <c r="D159" s="2"/>
      <c r="E159" s="2"/>
      <c r="F159" s="19">
        <f t="shared" si="24"/>
        <v>0</v>
      </c>
      <c r="G159" s="2"/>
      <c r="H159" s="2">
        <v>6.5</v>
      </c>
      <c r="I159" s="2"/>
      <c r="J159" s="19">
        <f t="shared" si="25"/>
        <v>2.4636797695390552E-5</v>
      </c>
      <c r="K159" s="2"/>
      <c r="L159" s="2">
        <f t="shared" si="26"/>
        <v>-6.5</v>
      </c>
      <c r="M159" s="2"/>
      <c r="N159" s="19">
        <f t="shared" si="27"/>
        <v>-1</v>
      </c>
      <c r="O159" s="11"/>
      <c r="P159" s="2">
        <v>274.5</v>
      </c>
      <c r="Q159" s="2"/>
      <c r="R159" s="19">
        <f t="shared" si="28"/>
        <v>2.9724494768133197E-5</v>
      </c>
      <c r="S159" s="2"/>
      <c r="T159" s="2">
        <v>262.62</v>
      </c>
      <c r="U159" s="2"/>
      <c r="V159" s="19">
        <f t="shared" si="29"/>
        <v>2.2855607721784578E-5</v>
      </c>
      <c r="W159" s="2"/>
      <c r="X159" s="2">
        <f t="shared" si="30"/>
        <v>11.879999999999995</v>
      </c>
      <c r="Y159" s="2"/>
      <c r="Z159" s="19">
        <f t="shared" si="31"/>
        <v>4.5236463331048644E-2</v>
      </c>
    </row>
    <row r="160" spans="1:26" s="24" customFormat="1" hidden="1" outlineLevel="1" x14ac:dyDescent="0.35">
      <c r="A160" s="44"/>
      <c r="B160" s="11" t="str">
        <f>CONCATENATE("          ", "5527", " - ", "FREIGHT-IN-SCHOOL SUPPLIES")</f>
        <v xml:space="preserve">          5527 - FREIGHT-IN-SCHOOL SUPPLIES</v>
      </c>
      <c r="C160" s="11"/>
      <c r="D160" s="2"/>
      <c r="E160" s="2"/>
      <c r="F160" s="19">
        <f t="shared" si="24"/>
        <v>0</v>
      </c>
      <c r="G160" s="2"/>
      <c r="H160" s="2">
        <v>194.74</v>
      </c>
      <c r="I160" s="2"/>
      <c r="J160" s="19">
        <f t="shared" si="25"/>
        <v>7.3811845895390099E-4</v>
      </c>
      <c r="K160" s="2"/>
      <c r="L160" s="2">
        <f t="shared" si="26"/>
        <v>-194.74</v>
      </c>
      <c r="M160" s="2"/>
      <c r="N160" s="19">
        <f t="shared" si="27"/>
        <v>-1</v>
      </c>
      <c r="O160" s="11"/>
      <c r="P160" s="2">
        <v>1808</v>
      </c>
      <c r="Q160" s="2"/>
      <c r="R160" s="19">
        <f t="shared" si="28"/>
        <v>1.9578100743455307E-4</v>
      </c>
      <c r="S160" s="2"/>
      <c r="T160" s="2">
        <v>2106.8200000000002</v>
      </c>
      <c r="U160" s="2"/>
      <c r="V160" s="19">
        <f t="shared" si="29"/>
        <v>1.833548528688226E-4</v>
      </c>
      <c r="W160" s="2"/>
      <c r="X160" s="2">
        <f t="shared" si="30"/>
        <v>-298.82000000000016</v>
      </c>
      <c r="Y160" s="2"/>
      <c r="Z160" s="19">
        <f t="shared" si="31"/>
        <v>-0.14183461330346217</v>
      </c>
    </row>
    <row r="161" spans="1:26" s="24" customFormat="1" hidden="1" outlineLevel="1" x14ac:dyDescent="0.35">
      <c r="A161" s="44"/>
      <c r="B161" s="11" t="str">
        <f>CONCATENATE("          ", "5528", " - ", "FREIGHT-IN-ART/TECH")</f>
        <v xml:space="preserve">          5528 - FREIGHT-IN-ART/TECH</v>
      </c>
      <c r="C161" s="11"/>
      <c r="D161" s="2">
        <v>13.33</v>
      </c>
      <c r="E161" s="2"/>
      <c r="F161" s="19">
        <f t="shared" si="24"/>
        <v>6.4070175924302403E-5</v>
      </c>
      <c r="G161" s="2"/>
      <c r="H161" s="2">
        <v>54.91</v>
      </c>
      <c r="I161" s="2"/>
      <c r="J161" s="19">
        <f t="shared" si="25"/>
        <v>2.0812408637752234E-4</v>
      </c>
      <c r="K161" s="2"/>
      <c r="L161" s="2">
        <f t="shared" si="26"/>
        <v>-41.58</v>
      </c>
      <c r="M161" s="2"/>
      <c r="N161" s="19">
        <f t="shared" si="27"/>
        <v>-0.75723911855763981</v>
      </c>
      <c r="O161" s="11"/>
      <c r="P161" s="2">
        <v>2837.7</v>
      </c>
      <c r="Q161" s="2"/>
      <c r="R161" s="19">
        <f t="shared" si="28"/>
        <v>3.0728305575057038E-4</v>
      </c>
      <c r="S161" s="2"/>
      <c r="T161" s="2">
        <v>7608.5</v>
      </c>
      <c r="U161" s="2"/>
      <c r="V161" s="19">
        <f t="shared" si="29"/>
        <v>6.6216164553803197E-4</v>
      </c>
      <c r="W161" s="2"/>
      <c r="X161" s="2">
        <f t="shared" si="30"/>
        <v>-4770.8</v>
      </c>
      <c r="Y161" s="2"/>
      <c r="Z161" s="19">
        <f t="shared" si="31"/>
        <v>-0.62703555234277453</v>
      </c>
    </row>
    <row r="162" spans="1:26" s="24" customFormat="1" hidden="1" outlineLevel="1" x14ac:dyDescent="0.35">
      <c r="A162" s="44"/>
      <c r="B162" s="11" t="str">
        <f>CONCATENATE("          ", "5540", " - ", "FREIGHT-IN-LOGO CLOTHING")</f>
        <v xml:space="preserve">          5540 - FREIGHT-IN-LOGO CLOTHING</v>
      </c>
      <c r="C162" s="11"/>
      <c r="D162" s="2">
        <v>29.98</v>
      </c>
      <c r="E162" s="2"/>
      <c r="F162" s="19">
        <f t="shared" si="24"/>
        <v>1.4409781501954885E-4</v>
      </c>
      <c r="G162" s="2"/>
      <c r="H162" s="2">
        <v>5856.09</v>
      </c>
      <c r="I162" s="2"/>
      <c r="J162" s="19">
        <f t="shared" si="25"/>
        <v>2.2196200710153796E-2</v>
      </c>
      <c r="K162" s="2"/>
      <c r="L162" s="2">
        <f t="shared" si="26"/>
        <v>-5826.1100000000006</v>
      </c>
      <c r="M162" s="2"/>
      <c r="N162" s="19">
        <f t="shared" si="27"/>
        <v>-0.99488054316105123</v>
      </c>
      <c r="O162" s="11"/>
      <c r="P162" s="2">
        <v>32548.979999999996</v>
      </c>
      <c r="Q162" s="2"/>
      <c r="R162" s="19">
        <f t="shared" si="28"/>
        <v>3.5245973978800436E-3</v>
      </c>
      <c r="S162" s="2"/>
      <c r="T162" s="2">
        <v>35751.939999999995</v>
      </c>
      <c r="U162" s="2"/>
      <c r="V162" s="19">
        <f t="shared" si="29"/>
        <v>3.1114626301606079E-3</v>
      </c>
      <c r="W162" s="2"/>
      <c r="X162" s="2">
        <f t="shared" si="30"/>
        <v>-3202.9599999999991</v>
      </c>
      <c r="Y162" s="2"/>
      <c r="Z162" s="19">
        <f t="shared" si="31"/>
        <v>-8.9588425131615218E-2</v>
      </c>
    </row>
    <row r="163" spans="1:26" s="24" customFormat="1" hidden="1" outlineLevel="1" x14ac:dyDescent="0.35">
      <c r="A163" s="44"/>
      <c r="B163" s="11" t="str">
        <f>CONCATENATE("          ", "5541", " - ", "FREIGHT-IN-LOGO GIFTS")</f>
        <v xml:space="preserve">          5541 - FREIGHT-IN-LOGO GIFTS</v>
      </c>
      <c r="C163" s="11"/>
      <c r="D163" s="2">
        <v>348.31</v>
      </c>
      <c r="E163" s="2"/>
      <c r="F163" s="19">
        <f t="shared" si="24"/>
        <v>1.6741397581540713E-3</v>
      </c>
      <c r="G163" s="2"/>
      <c r="H163" s="2">
        <v>-327.45</v>
      </c>
      <c r="I163" s="2"/>
      <c r="J163" s="19">
        <f t="shared" si="25"/>
        <v>-1.2411260623624056E-3</v>
      </c>
      <c r="K163" s="2"/>
      <c r="L163" s="2">
        <f t="shared" si="26"/>
        <v>675.76</v>
      </c>
      <c r="M163" s="2"/>
      <c r="N163" s="19">
        <f t="shared" si="27"/>
        <v>-2.0637043823484502</v>
      </c>
      <c r="O163" s="11"/>
      <c r="P163" s="2">
        <v>5574.41</v>
      </c>
      <c r="Q163" s="2"/>
      <c r="R163" s="19">
        <f t="shared" si="28"/>
        <v>6.036303128613092E-4</v>
      </c>
      <c r="S163" s="2"/>
      <c r="T163" s="2">
        <v>8438.06</v>
      </c>
      <c r="U163" s="2"/>
      <c r="V163" s="19">
        <f t="shared" si="29"/>
        <v>7.3435758621918196E-4</v>
      </c>
      <c r="W163" s="2"/>
      <c r="X163" s="2">
        <f t="shared" si="30"/>
        <v>-2863.6499999999996</v>
      </c>
      <c r="Y163" s="2"/>
      <c r="Z163" s="19">
        <f t="shared" si="31"/>
        <v>-0.33937303124177831</v>
      </c>
    </row>
    <row r="164" spans="1:26" s="24" customFormat="1" hidden="1" outlineLevel="1" x14ac:dyDescent="0.35">
      <c r="A164" s="44"/>
      <c r="B164" s="11" t="str">
        <f>CONCATENATE("          ", "5542", " - ", "FREIGHT-IN-EVERYDAY GIFTS")</f>
        <v xml:space="preserve">          5542 - FREIGHT-IN-EVERYDAY GIFTS</v>
      </c>
      <c r="C164" s="11"/>
      <c r="D164" s="2"/>
      <c r="E164" s="2"/>
      <c r="F164" s="19">
        <f t="shared" si="24"/>
        <v>0</v>
      </c>
      <c r="G164" s="2"/>
      <c r="H164" s="2">
        <v>62.85</v>
      </c>
      <c r="I164" s="2"/>
      <c r="J164" s="19">
        <f t="shared" si="25"/>
        <v>2.3821888233158405E-4</v>
      </c>
      <c r="K164" s="2"/>
      <c r="L164" s="2">
        <f t="shared" si="26"/>
        <v>-62.85</v>
      </c>
      <c r="M164" s="2"/>
      <c r="N164" s="19">
        <f t="shared" si="27"/>
        <v>-1</v>
      </c>
      <c r="O164" s="11"/>
      <c r="P164" s="2">
        <v>2223.5100000000002</v>
      </c>
      <c r="Q164" s="2"/>
      <c r="R164" s="19">
        <f t="shared" si="28"/>
        <v>2.4077490477920527E-4</v>
      </c>
      <c r="S164" s="2"/>
      <c r="T164" s="2">
        <v>2038.06</v>
      </c>
      <c r="U164" s="2"/>
      <c r="V164" s="19">
        <f t="shared" si="29"/>
        <v>1.7737072528162471E-4</v>
      </c>
      <c r="W164" s="2"/>
      <c r="X164" s="2">
        <f t="shared" si="30"/>
        <v>185.45000000000027</v>
      </c>
      <c r="Y164" s="2"/>
      <c r="Z164" s="19">
        <f t="shared" si="31"/>
        <v>9.0993395680205827E-2</v>
      </c>
    </row>
    <row r="165" spans="1:26" s="24" customFormat="1" hidden="1" outlineLevel="1" x14ac:dyDescent="0.35">
      <c r="A165" s="44"/>
      <c r="B165" s="11" t="str">
        <f>CONCATENATE("          ", "5543", " - ", "FREIGHT-IN-CARDS")</f>
        <v xml:space="preserve">          5543 - FREIGHT-IN-CARDS</v>
      </c>
      <c r="C165" s="11"/>
      <c r="D165" s="2"/>
      <c r="E165" s="2"/>
      <c r="F165" s="19">
        <f t="shared" si="24"/>
        <v>0</v>
      </c>
      <c r="G165" s="2"/>
      <c r="H165" s="2"/>
      <c r="I165" s="2"/>
      <c r="J165" s="19">
        <f t="shared" si="25"/>
        <v>0</v>
      </c>
      <c r="K165" s="2"/>
      <c r="L165" s="2">
        <f t="shared" si="26"/>
        <v>0</v>
      </c>
      <c r="M165" s="2"/>
      <c r="N165" s="19">
        <f t="shared" si="27"/>
        <v>0</v>
      </c>
      <c r="O165" s="11"/>
      <c r="P165" s="2">
        <v>2926.76</v>
      </c>
      <c r="Q165" s="2"/>
      <c r="R165" s="19">
        <f t="shared" si="28"/>
        <v>3.1692700294200921E-4</v>
      </c>
      <c r="S165" s="2"/>
      <c r="T165" s="2">
        <v>57.18</v>
      </c>
      <c r="U165" s="2"/>
      <c r="V165" s="19">
        <f t="shared" si="29"/>
        <v>4.9763294856889887E-6</v>
      </c>
      <c r="W165" s="2"/>
      <c r="X165" s="2">
        <f t="shared" si="30"/>
        <v>2869.5800000000004</v>
      </c>
      <c r="Y165" s="2"/>
      <c r="Z165" s="19">
        <f t="shared" si="31"/>
        <v>50.185029730675069</v>
      </c>
    </row>
    <row r="166" spans="1:26" s="24" customFormat="1" hidden="1" outlineLevel="1" x14ac:dyDescent="0.35">
      <c r="A166" s="44"/>
      <c r="B166" s="11" t="str">
        <f>CONCATENATE("          ", "5544", " - ", "FREIGHT-IN-ACCESSORIES")</f>
        <v xml:space="preserve">          5544 - FREIGHT-IN-ACCESSORIES</v>
      </c>
      <c r="C166" s="11"/>
      <c r="D166" s="2"/>
      <c r="E166" s="2"/>
      <c r="F166" s="19">
        <f t="shared" si="24"/>
        <v>0</v>
      </c>
      <c r="G166" s="2"/>
      <c r="H166" s="2"/>
      <c r="I166" s="2"/>
      <c r="J166" s="19">
        <f t="shared" si="25"/>
        <v>0</v>
      </c>
      <c r="K166" s="2"/>
      <c r="L166" s="2">
        <f t="shared" si="26"/>
        <v>0</v>
      </c>
      <c r="M166" s="2"/>
      <c r="N166" s="19">
        <f t="shared" si="27"/>
        <v>0</v>
      </c>
      <c r="O166" s="11"/>
      <c r="P166" s="2">
        <v>483.44</v>
      </c>
      <c r="Q166" s="2"/>
      <c r="R166" s="19">
        <f t="shared" si="28"/>
        <v>5.2349762297655056E-5</v>
      </c>
      <c r="S166" s="2"/>
      <c r="T166" s="2">
        <v>1360.08</v>
      </c>
      <c r="U166" s="2"/>
      <c r="V166" s="19">
        <f t="shared" si="29"/>
        <v>1.1836667028499264E-4</v>
      </c>
      <c r="W166" s="2"/>
      <c r="X166" s="2">
        <f t="shared" si="30"/>
        <v>-876.63999999999987</v>
      </c>
      <c r="Y166" s="2"/>
      <c r="Z166" s="19">
        <f t="shared" si="31"/>
        <v>-0.64455032056937822</v>
      </c>
    </row>
    <row r="167" spans="1:26" s="24" customFormat="1" hidden="1" outlineLevel="1" x14ac:dyDescent="0.35">
      <c r="A167" s="44"/>
      <c r="B167" s="11" t="str">
        <f>CONCATENATE("          ", "5545", " - ", "FREIGHT-IN-SPECIAL ORDERS")</f>
        <v xml:space="preserve">          5545 - FREIGHT-IN-SPECIAL ORDERS</v>
      </c>
      <c r="C167" s="11"/>
      <c r="D167" s="2">
        <v>355.3</v>
      </c>
      <c r="E167" s="2"/>
      <c r="F167" s="19">
        <f t="shared" si="24"/>
        <v>1.7077369471796432E-3</v>
      </c>
      <c r="G167" s="2"/>
      <c r="H167" s="2">
        <v>463.26</v>
      </c>
      <c r="I167" s="2"/>
      <c r="J167" s="19">
        <f t="shared" si="25"/>
        <v>1.7558835231333272E-3</v>
      </c>
      <c r="K167" s="2"/>
      <c r="L167" s="2">
        <f t="shared" si="26"/>
        <v>-107.95999999999998</v>
      </c>
      <c r="M167" s="2"/>
      <c r="N167" s="19">
        <f t="shared" si="27"/>
        <v>-0.23304407891896556</v>
      </c>
      <c r="O167" s="11"/>
      <c r="P167" s="2">
        <v>1420.62</v>
      </c>
      <c r="Q167" s="2"/>
      <c r="R167" s="19">
        <f t="shared" si="28"/>
        <v>1.5383319401641305E-4</v>
      </c>
      <c r="S167" s="2"/>
      <c r="T167" s="2">
        <v>2744.68</v>
      </c>
      <c r="U167" s="2"/>
      <c r="V167" s="19">
        <f t="shared" si="29"/>
        <v>2.3886729648095231E-4</v>
      </c>
      <c r="W167" s="2"/>
      <c r="X167" s="2">
        <f t="shared" si="30"/>
        <v>-1324.06</v>
      </c>
      <c r="Y167" s="2"/>
      <c r="Z167" s="19">
        <f t="shared" si="31"/>
        <v>-0.48240960694871532</v>
      </c>
    </row>
    <row r="168" spans="1:26" s="24" customFormat="1" hidden="1" outlineLevel="1" x14ac:dyDescent="0.35">
      <c r="A168" s="44"/>
      <c r="B168" s="11" t="str">
        <f>CONCATENATE("          ", "5592", " - ", "FREIGHT-IN-GRAD MERCH")</f>
        <v xml:space="preserve">          5592 - FREIGHT-IN-GRAD MERCH</v>
      </c>
      <c r="C168" s="11"/>
      <c r="D168" s="2">
        <v>10.83</v>
      </c>
      <c r="E168" s="2"/>
      <c r="F168" s="19">
        <f t="shared" si="24"/>
        <v>5.2054013897989123E-5</v>
      </c>
      <c r="G168" s="2"/>
      <c r="H168" s="2">
        <v>108.7</v>
      </c>
      <c r="I168" s="2"/>
      <c r="J168" s="19">
        <f t="shared" si="25"/>
        <v>4.1200306299830051E-4</v>
      </c>
      <c r="K168" s="2"/>
      <c r="L168" s="2">
        <f t="shared" si="26"/>
        <v>-97.87</v>
      </c>
      <c r="M168" s="2"/>
      <c r="N168" s="19">
        <f t="shared" si="27"/>
        <v>-0.90036798528058881</v>
      </c>
      <c r="O168" s="11"/>
      <c r="P168" s="2">
        <v>170.88</v>
      </c>
      <c r="Q168" s="2"/>
      <c r="R168" s="19">
        <f t="shared" si="28"/>
        <v>1.8503904065495811E-5</v>
      </c>
      <c r="S168" s="2"/>
      <c r="T168" s="2">
        <v>2451.4299999999998</v>
      </c>
      <c r="U168" s="2"/>
      <c r="V168" s="19">
        <f t="shared" si="29"/>
        <v>2.1334598445439939E-4</v>
      </c>
      <c r="W168" s="2"/>
      <c r="X168" s="2">
        <f t="shared" si="30"/>
        <v>-2280.5499999999997</v>
      </c>
      <c r="Y168" s="2"/>
      <c r="Z168" s="19">
        <f t="shared" si="31"/>
        <v>-0.93029374691506583</v>
      </c>
    </row>
    <row r="169" spans="1:26" x14ac:dyDescent="0.35">
      <c r="A169" s="9"/>
      <c r="B169" s="10"/>
      <c r="C169" s="10"/>
      <c r="D169" s="3"/>
      <c r="E169" s="3"/>
      <c r="F169" s="8"/>
      <c r="G169" s="3"/>
      <c r="H169" s="3"/>
      <c r="I169" s="3"/>
      <c r="J169" s="8"/>
      <c r="K169" s="3"/>
      <c r="L169" s="3"/>
      <c r="M169" s="3"/>
      <c r="N169" s="8"/>
      <c r="O169" s="10"/>
      <c r="P169" s="3"/>
      <c r="Q169" s="3"/>
      <c r="R169" s="8"/>
      <c r="S169" s="3"/>
      <c r="T169" s="3"/>
      <c r="U169" s="3"/>
      <c r="V169" s="8"/>
      <c r="W169" s="3"/>
      <c r="X169" s="3"/>
      <c r="Y169" s="3"/>
      <c r="Z169" s="8"/>
    </row>
    <row r="170" spans="1:26" s="23" customFormat="1" x14ac:dyDescent="0.35">
      <c r="A170" s="10"/>
      <c r="B170" s="28" t="s">
        <v>6</v>
      </c>
      <c r="C170" s="28"/>
      <c r="D170" s="22">
        <f>D12-D117</f>
        <v>-56029.769999999931</v>
      </c>
      <c r="E170" s="14"/>
      <c r="F170" s="21">
        <f>IF(D$12=0,0,D170/D$12)</f>
        <v>-0.26930511784682643</v>
      </c>
      <c r="G170" s="14"/>
      <c r="H170" s="22">
        <f>H12-H117</f>
        <v>15407.020000000077</v>
      </c>
      <c r="I170" s="14"/>
      <c r="J170" s="21">
        <f>IF(H$12=0,0,H170/H$12)</f>
        <v>5.8396866896744316E-2</v>
      </c>
      <c r="K170" s="15"/>
      <c r="L170" s="22">
        <f>+D170-H170</f>
        <v>-71436.790000000008</v>
      </c>
      <c r="M170" s="15"/>
      <c r="N170" s="21">
        <f>IF(H170=0,0,L170/H170)</f>
        <v>-4.6366390126059196</v>
      </c>
      <c r="O170" s="29"/>
      <c r="P170" s="22">
        <f>P12-P117</f>
        <v>3722016.5000000009</v>
      </c>
      <c r="Q170" s="14"/>
      <c r="R170" s="21">
        <f>IF(P$12=0,0,P170/P$12)</f>
        <v>0.4030421128639543</v>
      </c>
      <c r="S170" s="14"/>
      <c r="T170" s="22">
        <f>T12-T117</f>
        <v>4788827.2299999911</v>
      </c>
      <c r="U170" s="14"/>
      <c r="V170" s="21">
        <f>IF(T$12=0,0,T170/T$12)</f>
        <v>0.41676778850156138</v>
      </c>
      <c r="W170" s="15"/>
      <c r="X170" s="22">
        <f>+P170-T170</f>
        <v>-1066810.7299999902</v>
      </c>
      <c r="Y170" s="15"/>
      <c r="Z170" s="21">
        <f>IF(T170=0,0,X170/T170)</f>
        <v>-0.22277077012026433</v>
      </c>
    </row>
    <row r="171" spans="1:26" x14ac:dyDescent="0.35">
      <c r="A171" s="9"/>
      <c r="B171" s="10"/>
      <c r="C171" s="9"/>
      <c r="D171" s="1"/>
      <c r="E171" s="1"/>
      <c r="F171" s="5"/>
      <c r="G171" s="1"/>
      <c r="H171" s="1"/>
      <c r="I171" s="1"/>
      <c r="J171" s="5"/>
      <c r="K171" s="1"/>
      <c r="L171" s="1"/>
      <c r="M171" s="1"/>
      <c r="N171" s="5"/>
      <c r="O171" s="37"/>
      <c r="P171" s="1"/>
      <c r="Q171" s="1"/>
      <c r="R171" s="5"/>
      <c r="S171" s="1"/>
      <c r="T171" s="1"/>
      <c r="U171" s="1"/>
      <c r="V171" s="5"/>
      <c r="W171" s="1"/>
      <c r="X171" s="1"/>
      <c r="Y171" s="1"/>
      <c r="Z171" s="5"/>
    </row>
    <row r="172" spans="1:26" s="23" customFormat="1" x14ac:dyDescent="0.35">
      <c r="A172" s="10"/>
      <c r="B172" s="29" t="s">
        <v>9</v>
      </c>
      <c r="C172" s="10"/>
      <c r="D172" s="20">
        <f>SUM(OSRRefD22x_0)</f>
        <v>293680.64000000001</v>
      </c>
      <c r="E172" s="20"/>
      <c r="F172" s="36">
        <f t="shared" ref="F172:F182" si="32">IF(D$12=0,0,D172/D$12)</f>
        <v>1.4115656616925523</v>
      </c>
      <c r="G172" s="20"/>
      <c r="H172" s="20">
        <f>SUM(OSRRefH22x_0)</f>
        <v>241221.59999999998</v>
      </c>
      <c r="I172" s="20"/>
      <c r="J172" s="36">
        <f t="shared" ref="J172:J182" si="33">IF(H$12=0,0,H172/H$12)</f>
        <v>0.91429657830129563</v>
      </c>
      <c r="K172" s="4"/>
      <c r="L172" s="20">
        <f t="shared" ref="L172:L182" si="34">+D172-H172</f>
        <v>52459.040000000037</v>
      </c>
      <c r="M172" s="4"/>
      <c r="N172" s="36">
        <f t="shared" ref="N172:N182" si="35">IF(H172=0,0,L172/H172)</f>
        <v>0.21747239882332281</v>
      </c>
      <c r="O172" s="10"/>
      <c r="P172" s="20">
        <f>SUM(OSRRefP22x_0)</f>
        <v>4188580.8799999994</v>
      </c>
      <c r="Q172" s="20"/>
      <c r="R172" s="36">
        <f t="shared" ref="R172:R182" si="36">IF(P$12=0,0,P172/P$12)</f>
        <v>0.45356448252627585</v>
      </c>
      <c r="S172" s="20"/>
      <c r="T172" s="20">
        <f>SUM(OSRRefT22x_0)</f>
        <v>4552559.1499999994</v>
      </c>
      <c r="U172" s="20"/>
      <c r="V172" s="36">
        <f t="shared" ref="V172:V182" si="37">IF(T$12=0,0,T172/T$12)</f>
        <v>0.39620556721735217</v>
      </c>
      <c r="W172" s="4"/>
      <c r="X172" s="20">
        <f t="shared" ref="X172:X182" si="38">+P172-T172</f>
        <v>-363978.27</v>
      </c>
      <c r="Y172" s="4"/>
      <c r="Z172" s="36">
        <f t="shared" ref="Z172:Z182" si="39">IF(T172=0,0,X172/T172)</f>
        <v>-7.9950256110346216E-2</v>
      </c>
    </row>
    <row r="173" spans="1:26" s="25" customFormat="1" outlineLevel="1" collapsed="1" x14ac:dyDescent="0.35">
      <c r="A173" s="26"/>
      <c r="B173" s="12" t="str">
        <f>CONCATENATE("     ","*Benefits                                         ")</f>
        <v xml:space="preserve">     *Benefits                                         </v>
      </c>
      <c r="C173" s="12"/>
      <c r="D173" s="1">
        <f>SUM(OSRRefD22_0x_0)</f>
        <v>31275.16</v>
      </c>
      <c r="E173" s="1"/>
      <c r="F173" s="5">
        <f t="shared" si="32"/>
        <v>0.15032295598354881</v>
      </c>
      <c r="G173" s="1"/>
      <c r="H173" s="1">
        <f>SUM(OSRRefH22_0x_0)</f>
        <v>36907.589999999989</v>
      </c>
      <c r="I173" s="1"/>
      <c r="J173" s="5">
        <f t="shared" si="33"/>
        <v>0.13988997357760294</v>
      </c>
      <c r="K173" s="1"/>
      <c r="L173" s="1">
        <f t="shared" si="34"/>
        <v>-5632.4299999999894</v>
      </c>
      <c r="M173" s="1"/>
      <c r="N173" s="5">
        <f t="shared" si="35"/>
        <v>-0.15260898909953186</v>
      </c>
      <c r="O173" s="12"/>
      <c r="P173" s="1">
        <f>SUM(OSRRefP22_0x_0)</f>
        <v>516439.71</v>
      </c>
      <c r="Q173" s="1"/>
      <c r="R173" s="5">
        <f t="shared" si="36"/>
        <v>5.5923167424230334E-2</v>
      </c>
      <c r="S173" s="1"/>
      <c r="T173" s="1">
        <f>SUM(OSRRefT22_0x_0)</f>
        <v>593890.02000000014</v>
      </c>
      <c r="U173" s="1"/>
      <c r="V173" s="5">
        <f t="shared" si="37"/>
        <v>5.1685771559678628E-2</v>
      </c>
      <c r="W173" s="1"/>
      <c r="X173" s="1">
        <f t="shared" si="38"/>
        <v>-77450.310000000114</v>
      </c>
      <c r="Y173" s="1"/>
      <c r="Z173" s="5">
        <f t="shared" si="39"/>
        <v>-0.13041187322864947</v>
      </c>
    </row>
    <row r="174" spans="1:26" s="24" customFormat="1" hidden="1" outlineLevel="2" x14ac:dyDescent="0.35">
      <c r="A174" s="27"/>
      <c r="B174" s="11" t="str">
        <f>CONCATENATE("          ", "6111", " - ", "F.I.C.A.")</f>
        <v xml:space="preserve">          6111 - F.I.C.A.</v>
      </c>
      <c r="C174" s="11"/>
      <c r="D174" s="7">
        <v>7624.57</v>
      </c>
      <c r="E174" s="2"/>
      <c r="F174" s="6">
        <f t="shared" si="32"/>
        <v>3.6647227400386971E-2</v>
      </c>
      <c r="G174" s="2"/>
      <c r="H174" s="7">
        <v>10611.69</v>
      </c>
      <c r="I174" s="2"/>
      <c r="J174" s="6">
        <f t="shared" si="33"/>
        <v>4.0221239959415227E-2</v>
      </c>
      <c r="K174" s="2"/>
      <c r="L174" s="7">
        <f t="shared" si="34"/>
        <v>-2987.1200000000008</v>
      </c>
      <c r="M174" s="2"/>
      <c r="N174" s="6">
        <f t="shared" si="35"/>
        <v>-0.28149333423799611</v>
      </c>
      <c r="O174" s="11"/>
      <c r="P174" s="7">
        <v>107469.41</v>
      </c>
      <c r="Q174" s="2"/>
      <c r="R174" s="6">
        <f t="shared" si="36"/>
        <v>1.1637427742365616E-2</v>
      </c>
      <c r="S174" s="2"/>
      <c r="T174" s="7">
        <v>114211.82</v>
      </c>
      <c r="U174" s="2"/>
      <c r="V174" s="6">
        <f t="shared" si="37"/>
        <v>9.9397629849633327E-3</v>
      </c>
      <c r="W174" s="2"/>
      <c r="X174" s="7">
        <f t="shared" si="38"/>
        <v>-6742.4100000000035</v>
      </c>
      <c r="Y174" s="2"/>
      <c r="Z174" s="6">
        <f t="shared" si="39"/>
        <v>-5.9034257575091641E-2</v>
      </c>
    </row>
    <row r="175" spans="1:26" s="24" customFormat="1" hidden="1" outlineLevel="2" x14ac:dyDescent="0.35">
      <c r="A175" s="27"/>
      <c r="B175" s="11" t="str">
        <f>CONCATENATE("          ", "6112", " - ", "COMPENSATION INSURANCE")</f>
        <v xml:space="preserve">          6112 - COMPENSATION INSURANCE</v>
      </c>
      <c r="C175" s="11"/>
      <c r="D175" s="7">
        <v>1713.58</v>
      </c>
      <c r="E175" s="2"/>
      <c r="F175" s="6">
        <f t="shared" si="32"/>
        <v>8.2362619700199636E-3</v>
      </c>
      <c r="G175" s="2"/>
      <c r="H175" s="7">
        <v>1968.44</v>
      </c>
      <c r="I175" s="2"/>
      <c r="J175" s="6">
        <f t="shared" si="33"/>
        <v>7.4609320085407046E-3</v>
      </c>
      <c r="K175" s="2"/>
      <c r="L175" s="7">
        <f t="shared" si="34"/>
        <v>-254.86000000000013</v>
      </c>
      <c r="M175" s="2"/>
      <c r="N175" s="6">
        <f t="shared" si="35"/>
        <v>-0.12947308528581014</v>
      </c>
      <c r="O175" s="11"/>
      <c r="P175" s="7">
        <v>28022.37</v>
      </c>
      <c r="Q175" s="2"/>
      <c r="R175" s="6">
        <f t="shared" si="36"/>
        <v>3.0344291091282064E-3</v>
      </c>
      <c r="S175" s="2"/>
      <c r="T175" s="7">
        <v>18949.12</v>
      </c>
      <c r="U175" s="2"/>
      <c r="V175" s="6">
        <f t="shared" si="37"/>
        <v>1.6491266978639195E-3</v>
      </c>
      <c r="W175" s="2"/>
      <c r="X175" s="7">
        <f t="shared" si="38"/>
        <v>9073.25</v>
      </c>
      <c r="Y175" s="2"/>
      <c r="Z175" s="6">
        <f t="shared" si="39"/>
        <v>0.4788217078154553</v>
      </c>
    </row>
    <row r="176" spans="1:26" s="24" customFormat="1" hidden="1" outlineLevel="2" x14ac:dyDescent="0.35">
      <c r="A176" s="27"/>
      <c r="B176" s="11" t="str">
        <f>CONCATENATE("          ", "6113", " - ", "GROUP INSURANCE")</f>
        <v xml:space="preserve">          6113 - GROUP INSURANCE</v>
      </c>
      <c r="C176" s="11"/>
      <c r="D176" s="7">
        <v>13413.27</v>
      </c>
      <c r="E176" s="2"/>
      <c r="F176" s="6">
        <f t="shared" si="32"/>
        <v>6.447041024907485E-2</v>
      </c>
      <c r="G176" s="2"/>
      <c r="H176" s="7">
        <v>20406.18</v>
      </c>
      <c r="I176" s="2"/>
      <c r="J176" s="6">
        <f t="shared" si="33"/>
        <v>7.7345065907034591E-2</v>
      </c>
      <c r="K176" s="2"/>
      <c r="L176" s="7">
        <f t="shared" si="34"/>
        <v>-6992.91</v>
      </c>
      <c r="M176" s="2"/>
      <c r="N176" s="6">
        <f t="shared" si="35"/>
        <v>-0.34268589221500545</v>
      </c>
      <c r="O176" s="11"/>
      <c r="P176" s="7">
        <v>203442.34</v>
      </c>
      <c r="Q176" s="2"/>
      <c r="R176" s="6">
        <f t="shared" si="36"/>
        <v>2.2029948163740529E-2</v>
      </c>
      <c r="S176" s="2"/>
      <c r="T176" s="7">
        <v>235721.5</v>
      </c>
      <c r="U176" s="2"/>
      <c r="V176" s="6">
        <f t="shared" si="37"/>
        <v>2.0514652865701942E-2</v>
      </c>
      <c r="W176" s="2"/>
      <c r="X176" s="7">
        <f t="shared" si="38"/>
        <v>-32279.160000000003</v>
      </c>
      <c r="Y176" s="2"/>
      <c r="Z176" s="6">
        <f t="shared" si="39"/>
        <v>-0.13693769978555204</v>
      </c>
    </row>
    <row r="177" spans="1:26" s="24" customFormat="1" hidden="1" outlineLevel="2" x14ac:dyDescent="0.35">
      <c r="A177" s="27"/>
      <c r="B177" s="11" t="str">
        <f>CONCATENATE("          ", "6114", " - ", "STATE UNEMPLOYMENT INSURANCE")</f>
        <v xml:space="preserve">          6114 - STATE UNEMPLOYMENT INSURANCE</v>
      </c>
      <c r="C177" s="11"/>
      <c r="D177" s="7">
        <v>-5103.99</v>
      </c>
      <c r="E177" s="2"/>
      <c r="F177" s="6">
        <f t="shared" si="32"/>
        <v>-2.4532148328273082E-2</v>
      </c>
      <c r="G177" s="2"/>
      <c r="H177" s="7">
        <v>585.91999999999996</v>
      </c>
      <c r="I177" s="2"/>
      <c r="J177" s="6">
        <f t="shared" si="33"/>
        <v>2.2207988470281893E-3</v>
      </c>
      <c r="K177" s="2"/>
      <c r="L177" s="7">
        <f t="shared" si="34"/>
        <v>-5689.91</v>
      </c>
      <c r="M177" s="2"/>
      <c r="N177" s="6">
        <f t="shared" si="35"/>
        <v>-9.7110697706171489</v>
      </c>
      <c r="O177" s="11"/>
      <c r="P177" s="7">
        <v>0</v>
      </c>
      <c r="Q177" s="2"/>
      <c r="R177" s="6">
        <f t="shared" si="36"/>
        <v>0</v>
      </c>
      <c r="S177" s="2"/>
      <c r="T177" s="7">
        <v>5883.4</v>
      </c>
      <c r="U177" s="2"/>
      <c r="V177" s="6">
        <f t="shared" si="37"/>
        <v>5.1202757775625383E-4</v>
      </c>
      <c r="W177" s="2"/>
      <c r="X177" s="7">
        <f t="shared" si="38"/>
        <v>-5883.4</v>
      </c>
      <c r="Y177" s="2"/>
      <c r="Z177" s="6">
        <f t="shared" si="39"/>
        <v>-1</v>
      </c>
    </row>
    <row r="178" spans="1:26" s="24" customFormat="1" hidden="1" outlineLevel="2" x14ac:dyDescent="0.35">
      <c r="A178" s="27"/>
      <c r="B178" s="11" t="str">
        <f>CONCATENATE("          ", "6115", " - ", "P.E.R.S.")</f>
        <v xml:space="preserve">          6115 - P.E.R.S.</v>
      </c>
      <c r="C178" s="11"/>
      <c r="D178" s="7">
        <v>4664.0600000000004</v>
      </c>
      <c r="E178" s="2"/>
      <c r="F178" s="6">
        <f t="shared" si="32"/>
        <v>2.2417640264178685E-2</v>
      </c>
      <c r="G178" s="2"/>
      <c r="H178" s="7"/>
      <c r="I178" s="2"/>
      <c r="J178" s="6">
        <f t="shared" si="33"/>
        <v>0</v>
      </c>
      <c r="K178" s="2"/>
      <c r="L178" s="7">
        <f t="shared" si="34"/>
        <v>4664.0600000000004</v>
      </c>
      <c r="M178" s="2"/>
      <c r="N178" s="6">
        <f t="shared" si="35"/>
        <v>0</v>
      </c>
      <c r="O178" s="11"/>
      <c r="P178" s="7">
        <v>79124.67</v>
      </c>
      <c r="Q178" s="2"/>
      <c r="R178" s="6">
        <f t="shared" si="36"/>
        <v>8.5680904897823887E-3</v>
      </c>
      <c r="S178" s="2"/>
      <c r="T178" s="7">
        <v>71467.14</v>
      </c>
      <c r="U178" s="2"/>
      <c r="V178" s="6">
        <f t="shared" si="37"/>
        <v>6.2197278076226471E-3</v>
      </c>
      <c r="W178" s="2"/>
      <c r="X178" s="7">
        <f t="shared" si="38"/>
        <v>7657.5299999999988</v>
      </c>
      <c r="Y178" s="2"/>
      <c r="Z178" s="6">
        <f t="shared" si="39"/>
        <v>0.10714756460101801</v>
      </c>
    </row>
    <row r="179" spans="1:26" s="24" customFormat="1" hidden="1" outlineLevel="2" x14ac:dyDescent="0.35">
      <c r="A179" s="27"/>
      <c r="B179" s="11" t="str">
        <f>CONCATENATE("          ", "6117", " - ", "RETIREMENT STAFF HOURLY")</f>
        <v xml:space="preserve">          6117 - RETIREMENT STAFF HOURLY</v>
      </c>
      <c r="C179" s="11"/>
      <c r="D179" s="7">
        <v>220.92</v>
      </c>
      <c r="E179" s="2"/>
      <c r="F179" s="6">
        <f t="shared" si="32"/>
        <v>1.0618442059412518E-3</v>
      </c>
      <c r="G179" s="2"/>
      <c r="H179" s="7">
        <v>254.39</v>
      </c>
      <c r="I179" s="2"/>
      <c r="J179" s="6">
        <f t="shared" si="33"/>
        <v>9.6420845626621571E-4</v>
      </c>
      <c r="K179" s="2"/>
      <c r="L179" s="7">
        <f t="shared" si="34"/>
        <v>-33.47</v>
      </c>
      <c r="M179" s="2"/>
      <c r="N179" s="6">
        <f t="shared" si="35"/>
        <v>-0.13156963717127246</v>
      </c>
      <c r="O179" s="11"/>
      <c r="P179" s="7">
        <v>2056.84</v>
      </c>
      <c r="Q179" s="2"/>
      <c r="R179" s="6">
        <f t="shared" si="36"/>
        <v>2.227268845861096E-4</v>
      </c>
      <c r="S179" s="2"/>
      <c r="T179" s="7">
        <v>3458.37</v>
      </c>
      <c r="U179" s="2"/>
      <c r="V179" s="6">
        <f t="shared" si="37"/>
        <v>3.0097916410322189E-4</v>
      </c>
      <c r="W179" s="2"/>
      <c r="X179" s="7">
        <f t="shared" si="38"/>
        <v>-1401.5299999999997</v>
      </c>
      <c r="Y179" s="2"/>
      <c r="Z179" s="6">
        <f t="shared" si="39"/>
        <v>-0.40525739004212963</v>
      </c>
    </row>
    <row r="180" spans="1:26" s="24" customFormat="1" hidden="1" outlineLevel="2" x14ac:dyDescent="0.35">
      <c r="A180" s="27"/>
      <c r="B180" s="11" t="str">
        <f>CONCATENATE("          ", "6118", " - ", "VACATION")</f>
        <v xml:space="preserve">          6118 - VACATION</v>
      </c>
      <c r="C180" s="11"/>
      <c r="D180" s="7">
        <v>5037.25</v>
      </c>
      <c r="E180" s="2"/>
      <c r="F180" s="6">
        <f t="shared" si="32"/>
        <v>2.4211364866818626E-2</v>
      </c>
      <c r="G180" s="2"/>
      <c r="H180" s="7">
        <v>4564.7299999999996</v>
      </c>
      <c r="I180" s="2"/>
      <c r="J180" s="6">
        <f t="shared" si="33"/>
        <v>1.7301589160627708E-2</v>
      </c>
      <c r="K180" s="2"/>
      <c r="L180" s="7">
        <f t="shared" si="34"/>
        <v>472.52000000000044</v>
      </c>
      <c r="M180" s="2"/>
      <c r="N180" s="6">
        <f t="shared" si="35"/>
        <v>0.10351543245712243</v>
      </c>
      <c r="O180" s="11"/>
      <c r="P180" s="7">
        <v>67749.900000000009</v>
      </c>
      <c r="Q180" s="2"/>
      <c r="R180" s="6">
        <f t="shared" si="36"/>
        <v>7.3363626524282242E-3</v>
      </c>
      <c r="S180" s="2"/>
      <c r="T180" s="7">
        <v>72089.59</v>
      </c>
      <c r="U180" s="2"/>
      <c r="V180" s="6">
        <f t="shared" si="37"/>
        <v>6.2738991313086752E-3</v>
      </c>
      <c r="W180" s="2"/>
      <c r="X180" s="7">
        <f t="shared" si="38"/>
        <v>-4339.6899999999878</v>
      </c>
      <c r="Y180" s="2"/>
      <c r="Z180" s="6">
        <f t="shared" si="39"/>
        <v>-6.019856681110252E-2</v>
      </c>
    </row>
    <row r="181" spans="1:26" s="24" customFormat="1" hidden="1" outlineLevel="2" x14ac:dyDescent="0.35">
      <c r="A181" s="27"/>
      <c r="B181" s="11" t="str">
        <f>CONCATENATE("          ", "6119", " - ", "SICK LEAVE")</f>
        <v xml:space="preserve">          6119 - SICK LEAVE</v>
      </c>
      <c r="C181" s="11"/>
      <c r="D181" s="7">
        <v>2857.44</v>
      </c>
      <c r="E181" s="2"/>
      <c r="F181" s="6">
        <f t="shared" si="32"/>
        <v>1.3734184808187446E-2</v>
      </c>
      <c r="G181" s="2"/>
      <c r="H181" s="7">
        <v>-3358.91</v>
      </c>
      <c r="I181" s="2"/>
      <c r="J181" s="6">
        <f t="shared" si="33"/>
        <v>-1.2731197868772966E-2</v>
      </c>
      <c r="K181" s="2"/>
      <c r="L181" s="7">
        <f t="shared" si="34"/>
        <v>6216.35</v>
      </c>
      <c r="M181" s="2"/>
      <c r="N181" s="6">
        <f t="shared" si="35"/>
        <v>-1.8507045440336301</v>
      </c>
      <c r="O181" s="11"/>
      <c r="P181" s="7">
        <v>8900.5499999999993</v>
      </c>
      <c r="Q181" s="2"/>
      <c r="R181" s="6">
        <f t="shared" si="36"/>
        <v>9.6380456068673192E-4</v>
      </c>
      <c r="S181" s="2"/>
      <c r="T181" s="7">
        <v>47798.94</v>
      </c>
      <c r="U181" s="2"/>
      <c r="V181" s="6">
        <f t="shared" si="37"/>
        <v>4.1599033666785386E-3</v>
      </c>
      <c r="W181" s="2"/>
      <c r="X181" s="7">
        <f t="shared" si="38"/>
        <v>-38898.39</v>
      </c>
      <c r="Y181" s="2"/>
      <c r="Z181" s="6">
        <f t="shared" si="39"/>
        <v>-0.81379189580354705</v>
      </c>
    </row>
    <row r="182" spans="1:26" s="24" customFormat="1" hidden="1" outlineLevel="2" x14ac:dyDescent="0.35">
      <c r="A182" s="27"/>
      <c r="B182" s="11" t="str">
        <f>CONCATENATE("          ", "6156", " - ", "EMPLOYEE MEALS")</f>
        <v xml:space="preserve">          6156 - EMPLOYEE MEALS</v>
      </c>
      <c r="C182" s="11"/>
      <c r="D182" s="7">
        <v>848.06</v>
      </c>
      <c r="E182" s="2"/>
      <c r="F182" s="6">
        <f t="shared" si="32"/>
        <v>4.0761705472140957E-3</v>
      </c>
      <c r="G182" s="2"/>
      <c r="H182" s="7">
        <v>1875.15</v>
      </c>
      <c r="I182" s="2"/>
      <c r="J182" s="6">
        <f t="shared" si="33"/>
        <v>7.107337107463323E-3</v>
      </c>
      <c r="K182" s="2"/>
      <c r="L182" s="7">
        <f t="shared" si="34"/>
        <v>-1027.0900000000001</v>
      </c>
      <c r="M182" s="2"/>
      <c r="N182" s="6">
        <f t="shared" si="35"/>
        <v>-0.54773751433218676</v>
      </c>
      <c r="O182" s="11"/>
      <c r="P182" s="7">
        <v>19673.63</v>
      </c>
      <c r="Q182" s="2"/>
      <c r="R182" s="6">
        <f t="shared" si="36"/>
        <v>2.1303778215125257E-3</v>
      </c>
      <c r="S182" s="2"/>
      <c r="T182" s="7">
        <v>24310.14</v>
      </c>
      <c r="U182" s="2"/>
      <c r="V182" s="6">
        <f t="shared" si="37"/>
        <v>2.1156919636800857E-3</v>
      </c>
      <c r="W182" s="2"/>
      <c r="X182" s="7">
        <f t="shared" si="38"/>
        <v>-4636.5099999999984</v>
      </c>
      <c r="Y182" s="2"/>
      <c r="Z182" s="6">
        <f t="shared" si="39"/>
        <v>-0.19072329488847034</v>
      </c>
    </row>
    <row r="183" spans="1:26" s="25" customFormat="1" outlineLevel="1" collapsed="1" x14ac:dyDescent="0.35">
      <c r="A183" s="26"/>
      <c r="B183" s="12" t="str">
        <f>CONCATENATE("     ","*Payroll                                          ")</f>
        <v xml:space="preserve">     *Payroll                                          </v>
      </c>
      <c r="C183" s="12"/>
      <c r="D183" s="1">
        <f>SUM(OSRRefD22_1x_0)</f>
        <v>98312.079999999987</v>
      </c>
      <c r="E183" s="1"/>
      <c r="F183" s="5">
        <f t="shared" ref="F183:F190" si="40">IF(D$12=0,0,D183/D$12)</f>
        <v>0.47253355296954919</v>
      </c>
      <c r="G183" s="1"/>
      <c r="H183" s="1">
        <f>SUM(OSRRefH22_1x_0)</f>
        <v>130083.41</v>
      </c>
      <c r="I183" s="1"/>
      <c r="J183" s="5">
        <f t="shared" ref="J183:J190" si="41">IF(H$12=0,0,H183/H$12)</f>
        <v>0.49305210087639145</v>
      </c>
      <c r="K183" s="1"/>
      <c r="L183" s="1">
        <f t="shared" ref="L183:L190" si="42">+D183-H183</f>
        <v>-31771.330000000016</v>
      </c>
      <c r="M183" s="1"/>
      <c r="N183" s="5">
        <f t="shared" ref="N183:N190" si="43">IF(H183=0,0,L183/H183)</f>
        <v>-0.24423813920622173</v>
      </c>
      <c r="O183" s="12"/>
      <c r="P183" s="1">
        <f>SUM(OSRRefP22_1x_0)</f>
        <v>1893252.79</v>
      </c>
      <c r="Q183" s="1"/>
      <c r="R183" s="5">
        <f t="shared" ref="R183:R190" si="44">IF(P$12=0,0,P183/P$12)</f>
        <v>0.20501268725358315</v>
      </c>
      <c r="S183" s="1"/>
      <c r="T183" s="1">
        <f>SUM(OSRRefT22_1x_0)</f>
        <v>2030508.3800000001</v>
      </c>
      <c r="U183" s="1"/>
      <c r="V183" s="5">
        <f t="shared" ref="V183:V190" si="45">IF(T$12=0,0,T183/T$12)</f>
        <v>0.17671351385681325</v>
      </c>
      <c r="W183" s="1"/>
      <c r="X183" s="1">
        <f t="shared" ref="X183:X190" si="46">+P183-T183</f>
        <v>-137255.59000000008</v>
      </c>
      <c r="Y183" s="1"/>
      <c r="Z183" s="5">
        <f t="shared" ref="Z183:Z190" si="47">IF(T183=0,0,X183/T183)</f>
        <v>-6.7596662664352103E-2</v>
      </c>
    </row>
    <row r="184" spans="1:26" s="24" customFormat="1" hidden="1" outlineLevel="2" x14ac:dyDescent="0.35">
      <c r="A184" s="27"/>
      <c r="B184" s="11" t="str">
        <f>CONCATENATE("          ", "6001", " - ", "ADMINISTRATIVE SALARIES")</f>
        <v xml:space="preserve">          6001 - ADMINISTRATIVE SALARIES</v>
      </c>
      <c r="C184" s="11"/>
      <c r="D184" s="7"/>
      <c r="E184" s="2"/>
      <c r="F184" s="6">
        <f t="shared" si="40"/>
        <v>0</v>
      </c>
      <c r="G184" s="2"/>
      <c r="H184" s="7">
        <v>7283.5</v>
      </c>
      <c r="I184" s="2"/>
      <c r="J184" s="6">
        <f t="shared" si="41"/>
        <v>2.7606479386827244E-2</v>
      </c>
      <c r="K184" s="2"/>
      <c r="L184" s="7">
        <f t="shared" si="42"/>
        <v>-7283.5</v>
      </c>
      <c r="M184" s="2"/>
      <c r="N184" s="6">
        <f t="shared" si="43"/>
        <v>-1</v>
      </c>
      <c r="O184" s="11"/>
      <c r="P184" s="7">
        <v>93238.31</v>
      </c>
      <c r="Q184" s="2"/>
      <c r="R184" s="6">
        <f t="shared" si="44"/>
        <v>1.0096399481911041E-2</v>
      </c>
      <c r="S184" s="2"/>
      <c r="T184" s="7">
        <v>125900.5</v>
      </c>
      <c r="U184" s="2"/>
      <c r="V184" s="6">
        <f t="shared" si="45"/>
        <v>1.0957019419604521E-2</v>
      </c>
      <c r="W184" s="2"/>
      <c r="X184" s="7">
        <f t="shared" si="46"/>
        <v>-32662.190000000002</v>
      </c>
      <c r="Y184" s="2"/>
      <c r="Z184" s="6">
        <f t="shared" si="47"/>
        <v>-0.25942859639159499</v>
      </c>
    </row>
    <row r="185" spans="1:26" s="24" customFormat="1" hidden="1" outlineLevel="2" x14ac:dyDescent="0.35">
      <c r="A185" s="27"/>
      <c r="B185" s="11" t="str">
        <f>CONCATENATE("          ", "6002", " - ", "STAFF SALARIES")</f>
        <v xml:space="preserve">          6002 - STAFF SALARIES</v>
      </c>
      <c r="C185" s="11"/>
      <c r="D185" s="7">
        <v>46941.219999999994</v>
      </c>
      <c r="E185" s="2"/>
      <c r="F185" s="6">
        <f t="shared" si="40"/>
        <v>0.22562132209312694</v>
      </c>
      <c r="G185" s="2"/>
      <c r="H185" s="7">
        <v>49185.24</v>
      </c>
      <c r="I185" s="2"/>
      <c r="J185" s="6">
        <f t="shared" si="41"/>
        <v>0.18642566268911248</v>
      </c>
      <c r="K185" s="2"/>
      <c r="L185" s="7">
        <f t="shared" si="42"/>
        <v>-2244.0200000000041</v>
      </c>
      <c r="M185" s="2"/>
      <c r="N185" s="6">
        <f t="shared" si="43"/>
        <v>-4.5623849756553064E-2</v>
      </c>
      <c r="O185" s="11"/>
      <c r="P185" s="7">
        <v>658058.64</v>
      </c>
      <c r="Q185" s="2"/>
      <c r="R185" s="6">
        <f t="shared" si="44"/>
        <v>7.1258508567595066E-2</v>
      </c>
      <c r="S185" s="2"/>
      <c r="T185" s="7">
        <v>659916.53</v>
      </c>
      <c r="U185" s="2"/>
      <c r="V185" s="6">
        <f t="shared" si="45"/>
        <v>5.7432005707110219E-2</v>
      </c>
      <c r="W185" s="2"/>
      <c r="X185" s="7">
        <f t="shared" si="46"/>
        <v>-1857.890000000014</v>
      </c>
      <c r="Y185" s="2"/>
      <c r="Z185" s="6">
        <f t="shared" si="47"/>
        <v>-2.8153409037958389E-3</v>
      </c>
    </row>
    <row r="186" spans="1:26" s="24" customFormat="1" hidden="1" outlineLevel="2" x14ac:dyDescent="0.35">
      <c r="A186" s="27"/>
      <c r="B186" s="11" t="str">
        <f>CONCATENATE("          ", "6004", " - ", "STAFF HOURLY")</f>
        <v xml:space="preserve">          6004 - STAFF HOURLY</v>
      </c>
      <c r="C186" s="11"/>
      <c r="D186" s="7">
        <v>18264.34</v>
      </c>
      <c r="E186" s="2"/>
      <c r="F186" s="6">
        <f t="shared" si="40"/>
        <v>8.7786907497469868E-2</v>
      </c>
      <c r="G186" s="2"/>
      <c r="H186" s="7">
        <v>4906.1499999999996</v>
      </c>
      <c r="I186" s="2"/>
      <c r="J186" s="6">
        <f t="shared" si="41"/>
        <v>1.859566538665236E-2</v>
      </c>
      <c r="K186" s="2"/>
      <c r="L186" s="7">
        <f t="shared" si="42"/>
        <v>13358.19</v>
      </c>
      <c r="M186" s="2"/>
      <c r="N186" s="6">
        <f t="shared" si="43"/>
        <v>2.722743903060445</v>
      </c>
      <c r="O186" s="11"/>
      <c r="P186" s="7">
        <v>81101.31</v>
      </c>
      <c r="Q186" s="2"/>
      <c r="R186" s="6">
        <f t="shared" si="44"/>
        <v>8.7821328407422534E-3</v>
      </c>
      <c r="S186" s="2"/>
      <c r="T186" s="7">
        <v>72178.3</v>
      </c>
      <c r="U186" s="2"/>
      <c r="V186" s="6">
        <f t="shared" si="45"/>
        <v>6.2816194913764521E-3</v>
      </c>
      <c r="W186" s="2"/>
      <c r="X186" s="7">
        <f t="shared" si="46"/>
        <v>8923.0099999999948</v>
      </c>
      <c r="Y186" s="2"/>
      <c r="Z186" s="6">
        <f t="shared" si="47"/>
        <v>0.12362455197753333</v>
      </c>
    </row>
    <row r="187" spans="1:26" s="24" customFormat="1" hidden="1" outlineLevel="2" x14ac:dyDescent="0.35">
      <c r="A187" s="27"/>
      <c r="B187" s="11" t="str">
        <f>CONCATENATE("          ", "6005", " - ", "TEMPORARY WAGES-HOURLY")</f>
        <v xml:space="preserve">          6005 - TEMPORARY WAGES-HOURLY</v>
      </c>
      <c r="C187" s="11"/>
      <c r="D187" s="7">
        <v>13347.48</v>
      </c>
      <c r="E187" s="2"/>
      <c r="F187" s="6">
        <f t="shared" si="40"/>
        <v>6.4154192929190376E-2</v>
      </c>
      <c r="G187" s="2"/>
      <c r="H187" s="7">
        <v>18941.060000000001</v>
      </c>
      <c r="I187" s="2"/>
      <c r="J187" s="6">
        <f t="shared" si="41"/>
        <v>7.1791855900962182E-2</v>
      </c>
      <c r="K187" s="2"/>
      <c r="L187" s="7">
        <f t="shared" si="42"/>
        <v>-5593.5800000000017</v>
      </c>
      <c r="M187" s="2"/>
      <c r="N187" s="6">
        <f t="shared" si="43"/>
        <v>-0.29531504572605766</v>
      </c>
      <c r="O187" s="11"/>
      <c r="P187" s="7">
        <v>201695.69999999998</v>
      </c>
      <c r="Q187" s="2"/>
      <c r="R187" s="6">
        <f t="shared" si="44"/>
        <v>2.184081158253174E-2</v>
      </c>
      <c r="S187" s="2"/>
      <c r="T187" s="7">
        <v>233534.58</v>
      </c>
      <c r="U187" s="2"/>
      <c r="V187" s="6">
        <f t="shared" si="45"/>
        <v>2.0324326974151694E-2</v>
      </c>
      <c r="W187" s="2"/>
      <c r="X187" s="7">
        <f t="shared" si="46"/>
        <v>-31838.880000000005</v>
      </c>
      <c r="Y187" s="2"/>
      <c r="Z187" s="6">
        <f t="shared" si="47"/>
        <v>-0.13633475607766526</v>
      </c>
    </row>
    <row r="188" spans="1:26" s="24" customFormat="1" hidden="1" outlineLevel="2" x14ac:dyDescent="0.35">
      <c r="A188" s="27"/>
      <c r="B188" s="11" t="str">
        <f>CONCATENATE("          ", "6006", " - ", "TEMPORARY PART TIME")</f>
        <v xml:space="preserve">          6006 - TEMPORARY PART TIME</v>
      </c>
      <c r="C188" s="11"/>
      <c r="D188" s="7">
        <v>2246.59</v>
      </c>
      <c r="E188" s="2"/>
      <c r="F188" s="6">
        <f t="shared" si="40"/>
        <v>1.079815577867806E-2</v>
      </c>
      <c r="G188" s="2"/>
      <c r="H188" s="7">
        <v>4431.59</v>
      </c>
      <c r="I188" s="2"/>
      <c r="J188" s="6">
        <f t="shared" si="41"/>
        <v>1.6796951738294742E-2</v>
      </c>
      <c r="K188" s="2"/>
      <c r="L188" s="7">
        <f t="shared" si="42"/>
        <v>-2185</v>
      </c>
      <c r="M188" s="2"/>
      <c r="N188" s="6">
        <f t="shared" si="43"/>
        <v>-0.49305102683235585</v>
      </c>
      <c r="O188" s="11"/>
      <c r="P188" s="7">
        <v>37331.990000000005</v>
      </c>
      <c r="Q188" s="2"/>
      <c r="R188" s="6">
        <f t="shared" si="44"/>
        <v>4.0425302056065612E-3</v>
      </c>
      <c r="S188" s="2"/>
      <c r="T188" s="7">
        <v>65600.53</v>
      </c>
      <c r="U188" s="2"/>
      <c r="V188" s="6">
        <f t="shared" si="45"/>
        <v>5.7091614500843837E-3</v>
      </c>
      <c r="W188" s="2"/>
      <c r="X188" s="7">
        <f t="shared" si="46"/>
        <v>-28268.539999999994</v>
      </c>
      <c r="Y188" s="2"/>
      <c r="Z188" s="6">
        <f t="shared" si="47"/>
        <v>-0.43091938434033983</v>
      </c>
    </row>
    <row r="189" spans="1:26" s="24" customFormat="1" hidden="1" outlineLevel="2" x14ac:dyDescent="0.35">
      <c r="A189" s="27"/>
      <c r="B189" s="11" t="str">
        <f>CONCATENATE("          ", "6007", " - ", "STUDENT HOURLY")</f>
        <v xml:space="preserve">          6007 - STUDENT HOURLY</v>
      </c>
      <c r="C189" s="11"/>
      <c r="D189" s="7">
        <v>17512.449999999997</v>
      </c>
      <c r="E189" s="2"/>
      <c r="F189" s="6">
        <f t="shared" si="40"/>
        <v>8.4172974671083978E-2</v>
      </c>
      <c r="G189" s="2"/>
      <c r="H189" s="7">
        <v>45335.87</v>
      </c>
      <c r="I189" s="2"/>
      <c r="J189" s="6">
        <f t="shared" si="41"/>
        <v>0.17183548577454241</v>
      </c>
      <c r="K189" s="2"/>
      <c r="L189" s="7">
        <f t="shared" si="42"/>
        <v>-27823.420000000006</v>
      </c>
      <c r="M189" s="2"/>
      <c r="N189" s="6">
        <f t="shared" si="43"/>
        <v>-0.61371757065652432</v>
      </c>
      <c r="O189" s="11"/>
      <c r="P189" s="7">
        <v>806346.92</v>
      </c>
      <c r="Q189" s="2"/>
      <c r="R189" s="6">
        <f t="shared" si="44"/>
        <v>8.7316046647870016E-2</v>
      </c>
      <c r="S189" s="2"/>
      <c r="T189" s="7">
        <v>845891.99</v>
      </c>
      <c r="U189" s="2"/>
      <c r="V189" s="6">
        <f t="shared" si="45"/>
        <v>7.3617300656613066E-2</v>
      </c>
      <c r="W189" s="2"/>
      <c r="X189" s="7">
        <f t="shared" si="46"/>
        <v>-39545.069999999949</v>
      </c>
      <c r="Y189" s="2"/>
      <c r="Z189" s="6">
        <f t="shared" si="47"/>
        <v>-4.6749550140556304E-2</v>
      </c>
    </row>
    <row r="190" spans="1:26" s="24" customFormat="1" hidden="1" outlineLevel="2" x14ac:dyDescent="0.35">
      <c r="A190" s="27"/>
      <c r="B190" s="11" t="str">
        <f>CONCATENATE("          ", "6008", " - ", "STUDENT HOURLY-FICA EXEMPT")</f>
        <v xml:space="preserve">          6008 - STUDENT HOURLY-FICA EXEMPT</v>
      </c>
      <c r="C190" s="11"/>
      <c r="D190" s="7"/>
      <c r="E190" s="2"/>
      <c r="F190" s="6">
        <f t="shared" si="40"/>
        <v>0</v>
      </c>
      <c r="G190" s="2"/>
      <c r="H190" s="7"/>
      <c r="I190" s="2"/>
      <c r="J190" s="6">
        <f t="shared" si="41"/>
        <v>0</v>
      </c>
      <c r="K190" s="2"/>
      <c r="L190" s="7">
        <f t="shared" si="42"/>
        <v>0</v>
      </c>
      <c r="M190" s="2"/>
      <c r="N190" s="6">
        <f t="shared" si="43"/>
        <v>0</v>
      </c>
      <c r="O190" s="11"/>
      <c r="P190" s="7">
        <v>15479.92</v>
      </c>
      <c r="Q190" s="2"/>
      <c r="R190" s="6">
        <f t="shared" si="44"/>
        <v>1.676257927326486E-3</v>
      </c>
      <c r="S190" s="2"/>
      <c r="T190" s="7">
        <v>27485.95</v>
      </c>
      <c r="U190" s="2"/>
      <c r="V190" s="6">
        <f t="shared" si="45"/>
        <v>2.3920801578729148E-3</v>
      </c>
      <c r="W190" s="2"/>
      <c r="X190" s="7">
        <f t="shared" si="46"/>
        <v>-12006.03</v>
      </c>
      <c r="Y190" s="2"/>
      <c r="Z190" s="6">
        <f t="shared" si="47"/>
        <v>-0.43680607728675924</v>
      </c>
    </row>
    <row r="191" spans="1:26" s="25" customFormat="1" outlineLevel="1" collapsed="1" x14ac:dyDescent="0.35">
      <c r="A191" s="26"/>
      <c r="B191" s="12" t="str">
        <f>CONCATENATE("     ","Advertising/Promo                                 ")</f>
        <v xml:space="preserve">     Advertising/Promo                                 </v>
      </c>
      <c r="C191" s="12"/>
      <c r="D191" s="1">
        <f>SUM(OSRRefD22_2x_0)</f>
        <v>-2415.19</v>
      </c>
      <c r="E191" s="1"/>
      <c r="F191" s="5">
        <f t="shared" ref="F191:F195" si="48">IF(D$12=0,0,D191/D$12)</f>
        <v>-1.1608525745732626E-2</v>
      </c>
      <c r="G191" s="1"/>
      <c r="H191" s="1">
        <f>SUM(OSRRefH22_2x_0)</f>
        <v>7946.82</v>
      </c>
      <c r="I191" s="1"/>
      <c r="J191" s="5">
        <f t="shared" ref="J191:J195" si="49">IF(H$12=0,0,H191/H$12)</f>
        <v>3.0120645640259007E-2</v>
      </c>
      <c r="K191" s="1"/>
      <c r="L191" s="1">
        <f t="shared" ref="L191:L195" si="50">+D191-H191</f>
        <v>-10362.01</v>
      </c>
      <c r="M191" s="1"/>
      <c r="N191" s="5">
        <f t="shared" ref="N191:N195" si="51">IF(H191=0,0,L191/H191)</f>
        <v>-1.3039190518974886</v>
      </c>
      <c r="O191" s="12"/>
      <c r="P191" s="1">
        <f>SUM(OSRRefP22_2x_0)</f>
        <v>43056.3</v>
      </c>
      <c r="Q191" s="1"/>
      <c r="R191" s="5">
        <f t="shared" ref="R191:R195" si="52">IF(P$12=0,0,P191/P$12)</f>
        <v>4.6623925831882455E-3</v>
      </c>
      <c r="S191" s="1"/>
      <c r="T191" s="1">
        <f>SUM(OSRRefT22_2x_0)</f>
        <v>74195.039999999994</v>
      </c>
      <c r="U191" s="1"/>
      <c r="V191" s="5">
        <f t="shared" ref="V191:V195" si="53">IF(T$12=0,0,T191/T$12)</f>
        <v>6.4571347541775778E-3</v>
      </c>
      <c r="W191" s="1"/>
      <c r="X191" s="1">
        <f t="shared" ref="X191:X195" si="54">+P191-T191</f>
        <v>-31138.739999999991</v>
      </c>
      <c r="Y191" s="1"/>
      <c r="Z191" s="5">
        <f t="shared" ref="Z191:Z195" si="55">IF(T191=0,0,X191/T191)</f>
        <v>-0.41968762332360754</v>
      </c>
    </row>
    <row r="192" spans="1:26" s="24" customFormat="1" hidden="1" outlineLevel="2" x14ac:dyDescent="0.35">
      <c r="A192" s="27"/>
      <c r="B192" s="11" t="str">
        <f>CONCATENATE("          ", "6362", " - ", "ADVERTISING EXPENSE")</f>
        <v xml:space="preserve">          6362 - ADVERTISING EXPENSE</v>
      </c>
      <c r="C192" s="11"/>
      <c r="D192" s="7">
        <v>-2415.19</v>
      </c>
      <c r="E192" s="2"/>
      <c r="F192" s="6">
        <f t="shared" si="48"/>
        <v>-1.1608525745732626E-2</v>
      </c>
      <c r="G192" s="2"/>
      <c r="H192" s="7">
        <v>7946.82</v>
      </c>
      <c r="I192" s="2"/>
      <c r="J192" s="6">
        <f t="shared" si="49"/>
        <v>3.0120645640259007E-2</v>
      </c>
      <c r="K192" s="2"/>
      <c r="L192" s="7">
        <f t="shared" si="50"/>
        <v>-10362.01</v>
      </c>
      <c r="M192" s="2"/>
      <c r="N192" s="6">
        <f t="shared" si="51"/>
        <v>-1.3039190518974886</v>
      </c>
      <c r="O192" s="11"/>
      <c r="P192" s="7">
        <v>43056.3</v>
      </c>
      <c r="Q192" s="2"/>
      <c r="R192" s="6">
        <f t="shared" si="52"/>
        <v>4.6623925831882455E-3</v>
      </c>
      <c r="S192" s="2"/>
      <c r="T192" s="7">
        <v>74195.039999999994</v>
      </c>
      <c r="U192" s="2"/>
      <c r="V192" s="6">
        <f t="shared" si="53"/>
        <v>6.4571347541775778E-3</v>
      </c>
      <c r="W192" s="2"/>
      <c r="X192" s="7">
        <f t="shared" si="54"/>
        <v>-31138.739999999991</v>
      </c>
      <c r="Y192" s="2"/>
      <c r="Z192" s="6">
        <f t="shared" si="55"/>
        <v>-0.41968762332360754</v>
      </c>
    </row>
    <row r="193" spans="1:26" s="25" customFormat="1" outlineLevel="1" collapsed="1" x14ac:dyDescent="0.35">
      <c r="A193" s="26"/>
      <c r="B193" s="12" t="str">
        <f>CONCATENATE("     ","Bad Debts/Over/Short                              ")</f>
        <v xml:space="preserve">     Bad Debts/Over/Short                              </v>
      </c>
      <c r="C193" s="12"/>
      <c r="D193" s="1">
        <f>SUM(OSRRefD22_3x_0)</f>
        <v>0</v>
      </c>
      <c r="E193" s="1"/>
      <c r="F193" s="5">
        <f t="shared" si="48"/>
        <v>0</v>
      </c>
      <c r="G193" s="1"/>
      <c r="H193" s="1">
        <f>SUM(OSRRefH22_3x_0)</f>
        <v>40.93</v>
      </c>
      <c r="I193" s="1"/>
      <c r="J193" s="5">
        <f t="shared" si="49"/>
        <v>1.5513601994959005E-4</v>
      </c>
      <c r="K193" s="1"/>
      <c r="L193" s="1">
        <f t="shared" si="50"/>
        <v>-40.93</v>
      </c>
      <c r="M193" s="1"/>
      <c r="N193" s="5">
        <f t="shared" si="51"/>
        <v>-1</v>
      </c>
      <c r="O193" s="12"/>
      <c r="P193" s="1">
        <f>SUM(OSRRefP22_3x_0)</f>
        <v>-30.92</v>
      </c>
      <c r="Q193" s="1"/>
      <c r="R193" s="5">
        <f t="shared" si="52"/>
        <v>-3.3482017421882642E-6</v>
      </c>
      <c r="S193" s="1"/>
      <c r="T193" s="1">
        <f>SUM(OSRRefT22_3x_0)</f>
        <v>325.27999999999997</v>
      </c>
      <c r="U193" s="1"/>
      <c r="V193" s="5">
        <f t="shared" si="53"/>
        <v>2.8308857207151348E-5</v>
      </c>
      <c r="W193" s="1"/>
      <c r="X193" s="1">
        <f t="shared" si="54"/>
        <v>-356.2</v>
      </c>
      <c r="Y193" s="1"/>
      <c r="Z193" s="5">
        <f t="shared" si="55"/>
        <v>-1.0950565666502705</v>
      </c>
    </row>
    <row r="194" spans="1:26" s="24" customFormat="1" hidden="1" outlineLevel="2" x14ac:dyDescent="0.35">
      <c r="A194" s="27"/>
      <c r="B194" s="11" t="str">
        <f>CONCATENATE("          ", "6272", " - ", "CASH (OVER/SHORT)")</f>
        <v xml:space="preserve">          6272 - CASH (OVER/SHORT)</v>
      </c>
      <c r="C194" s="11"/>
      <c r="D194" s="7"/>
      <c r="E194" s="2"/>
      <c r="F194" s="6">
        <f t="shared" si="48"/>
        <v>0</v>
      </c>
      <c r="G194" s="2"/>
      <c r="H194" s="7">
        <v>40.93</v>
      </c>
      <c r="I194" s="2"/>
      <c r="J194" s="6">
        <f t="shared" si="49"/>
        <v>1.5513601994959005E-4</v>
      </c>
      <c r="K194" s="2"/>
      <c r="L194" s="7">
        <f t="shared" si="50"/>
        <v>-40.93</v>
      </c>
      <c r="M194" s="2"/>
      <c r="N194" s="6">
        <f t="shared" si="51"/>
        <v>-1</v>
      </c>
      <c r="O194" s="11"/>
      <c r="P194" s="7">
        <v>-75.72</v>
      </c>
      <c r="Q194" s="2"/>
      <c r="R194" s="6">
        <f t="shared" si="52"/>
        <v>-8.1994125458763046E-6</v>
      </c>
      <c r="S194" s="2"/>
      <c r="T194" s="7">
        <v>325.27999999999997</v>
      </c>
      <c r="U194" s="2"/>
      <c r="V194" s="6">
        <f t="shared" si="53"/>
        <v>2.8308857207151348E-5</v>
      </c>
      <c r="W194" s="2"/>
      <c r="X194" s="7">
        <f t="shared" si="54"/>
        <v>-401</v>
      </c>
      <c r="Y194" s="2"/>
      <c r="Z194" s="6">
        <f t="shared" si="55"/>
        <v>-1.2327840629611413</v>
      </c>
    </row>
    <row r="195" spans="1:26" s="24" customFormat="1" hidden="1" outlineLevel="2" x14ac:dyDescent="0.35">
      <c r="A195" s="27"/>
      <c r="B195" s="11" t="str">
        <f>CONCATENATE("          ", "6342", " - ", "BAD DEBT")</f>
        <v xml:space="preserve">          6342 - BAD DEBT</v>
      </c>
      <c r="C195" s="11"/>
      <c r="D195" s="7"/>
      <c r="E195" s="2"/>
      <c r="F195" s="6">
        <f t="shared" si="48"/>
        <v>0</v>
      </c>
      <c r="G195" s="2"/>
      <c r="H195" s="7"/>
      <c r="I195" s="2"/>
      <c r="J195" s="6">
        <f t="shared" si="49"/>
        <v>0</v>
      </c>
      <c r="K195" s="2"/>
      <c r="L195" s="7">
        <f t="shared" si="50"/>
        <v>0</v>
      </c>
      <c r="M195" s="2"/>
      <c r="N195" s="6">
        <f t="shared" si="51"/>
        <v>0</v>
      </c>
      <c r="O195" s="11"/>
      <c r="P195" s="7">
        <v>44.8</v>
      </c>
      <c r="Q195" s="2"/>
      <c r="R195" s="6">
        <f t="shared" si="52"/>
        <v>4.8512108036880404E-6</v>
      </c>
      <c r="S195" s="2"/>
      <c r="T195" s="7"/>
      <c r="U195" s="2"/>
      <c r="V195" s="6">
        <f t="shared" si="53"/>
        <v>0</v>
      </c>
      <c r="W195" s="2"/>
      <c r="X195" s="7">
        <f t="shared" si="54"/>
        <v>44.8</v>
      </c>
      <c r="Y195" s="2"/>
      <c r="Z195" s="6">
        <f t="shared" si="55"/>
        <v>0</v>
      </c>
    </row>
    <row r="196" spans="1:26" s="25" customFormat="1" outlineLevel="1" collapsed="1" x14ac:dyDescent="0.35">
      <c r="A196" s="26"/>
      <c r="B196" s="12" t="str">
        <f>CONCATENATE("     ","Bank/card Fees                                    ")</f>
        <v xml:space="preserve">     Bank/card Fees                                    </v>
      </c>
      <c r="C196" s="12"/>
      <c r="D196" s="1">
        <f>SUM(OSRRefD22_4x_0)</f>
        <v>3703.6</v>
      </c>
      <c r="E196" s="1"/>
      <c r="F196" s="5">
        <f t="shared" ref="F196:F200" si="56">IF(D$12=0,0,D196/D$12)</f>
        <v>1.7801223072261542E-2</v>
      </c>
      <c r="G196" s="1"/>
      <c r="H196" s="1">
        <f>SUM(OSRRefH22_4x_0)</f>
        <v>5536.26</v>
      </c>
      <c r="I196" s="1"/>
      <c r="J196" s="5">
        <f t="shared" ref="J196:J200" si="57">IF(H$12=0,0,H196/H$12)</f>
        <v>2.0983956555243523E-2</v>
      </c>
      <c r="K196" s="1"/>
      <c r="L196" s="1">
        <f t="shared" ref="L196:L200" si="58">+D196-H196</f>
        <v>-1832.6600000000003</v>
      </c>
      <c r="M196" s="1"/>
      <c r="N196" s="5">
        <f t="shared" ref="N196:N200" si="59">IF(H196=0,0,L196/H196)</f>
        <v>-0.33102852828443757</v>
      </c>
      <c r="O196" s="12"/>
      <c r="P196" s="1">
        <f>SUM(OSRRefP22_4x_0)</f>
        <v>148948.62999999998</v>
      </c>
      <c r="Q196" s="1"/>
      <c r="R196" s="5">
        <f t="shared" ref="R196:R200" si="60">IF(P$12=0,0,P196/P$12)</f>
        <v>1.6129044710949385E-2</v>
      </c>
      <c r="S196" s="1"/>
      <c r="T196" s="1">
        <f>SUM(OSRRefT22_4x_0)</f>
        <v>175343.88</v>
      </c>
      <c r="U196" s="1"/>
      <c r="V196" s="5">
        <f t="shared" ref="V196:V200" si="61">IF(T$12=0,0,T196/T$12)</f>
        <v>1.5260037079033084E-2</v>
      </c>
      <c r="W196" s="1"/>
      <c r="X196" s="1">
        <f t="shared" ref="X196:X200" si="62">+P196-T196</f>
        <v>-26395.250000000029</v>
      </c>
      <c r="Y196" s="1"/>
      <c r="Z196" s="5">
        <f t="shared" ref="Z196:Z200" si="63">IF(T196=0,0,X196/T196)</f>
        <v>-0.15053419600387552</v>
      </c>
    </row>
    <row r="197" spans="1:26" s="24" customFormat="1" hidden="1" outlineLevel="2" x14ac:dyDescent="0.35">
      <c r="A197" s="27"/>
      <c r="B197" s="11" t="str">
        <f>CONCATENATE("          ", "6381", " - ", "BANK/CREDIT CARD FEES")</f>
        <v xml:space="preserve">          6381 - BANK/CREDIT CARD FEES</v>
      </c>
      <c r="C197" s="11"/>
      <c r="D197" s="7">
        <v>3703.6</v>
      </c>
      <c r="E197" s="2"/>
      <c r="F197" s="6">
        <f t="shared" si="56"/>
        <v>1.7801223072261542E-2</v>
      </c>
      <c r="G197" s="2"/>
      <c r="H197" s="7">
        <v>5536.26</v>
      </c>
      <c r="I197" s="2"/>
      <c r="J197" s="6">
        <f t="shared" si="57"/>
        <v>2.0983956555243523E-2</v>
      </c>
      <c r="K197" s="2"/>
      <c r="L197" s="7">
        <f t="shared" si="58"/>
        <v>-1832.6600000000003</v>
      </c>
      <c r="M197" s="2"/>
      <c r="N197" s="6">
        <f t="shared" si="59"/>
        <v>-0.33102852828443757</v>
      </c>
      <c r="O197" s="11"/>
      <c r="P197" s="7">
        <v>148948.62999999998</v>
      </c>
      <c r="Q197" s="2"/>
      <c r="R197" s="6">
        <f t="shared" si="60"/>
        <v>1.6129044710949385E-2</v>
      </c>
      <c r="S197" s="2"/>
      <c r="T197" s="7">
        <v>175343.88</v>
      </c>
      <c r="U197" s="2"/>
      <c r="V197" s="6">
        <f t="shared" si="61"/>
        <v>1.5260037079033084E-2</v>
      </c>
      <c r="W197" s="2"/>
      <c r="X197" s="7">
        <f t="shared" si="62"/>
        <v>-26395.250000000029</v>
      </c>
      <c r="Y197" s="2"/>
      <c r="Z197" s="6">
        <f t="shared" si="63"/>
        <v>-0.15053419600387552</v>
      </c>
    </row>
    <row r="198" spans="1:26" s="25" customFormat="1" outlineLevel="1" collapsed="1" x14ac:dyDescent="0.35">
      <c r="A198" s="26"/>
      <c r="B198" s="12" t="str">
        <f>CONCATENATE("     ","Depreciation                                      ")</f>
        <v xml:space="preserve">     Depreciation                                      </v>
      </c>
      <c r="C198" s="12"/>
      <c r="D198" s="1">
        <f>SUM(OSRRefD22_5x_0)</f>
        <v>30349.21</v>
      </c>
      <c r="E198" s="1"/>
      <c r="F198" s="5">
        <f t="shared" si="56"/>
        <v>0.14587240989224287</v>
      </c>
      <c r="G198" s="1"/>
      <c r="H198" s="1">
        <f>SUM(OSRRefH22_5x_0)</f>
        <v>29666.799999999996</v>
      </c>
      <c r="I198" s="1"/>
      <c r="J198" s="5">
        <f t="shared" si="57"/>
        <v>0.11244537690301729</v>
      </c>
      <c r="K198" s="1"/>
      <c r="L198" s="1">
        <f t="shared" si="58"/>
        <v>682.41000000000349</v>
      </c>
      <c r="M198" s="1"/>
      <c r="N198" s="5">
        <f t="shared" si="59"/>
        <v>2.3002480887726467E-2</v>
      </c>
      <c r="O198" s="12"/>
      <c r="P198" s="1">
        <f>SUM(OSRRefP22_5x_0)</f>
        <v>359381.63</v>
      </c>
      <c r="Q198" s="1"/>
      <c r="R198" s="5">
        <f t="shared" si="60"/>
        <v>3.8915983171942371E-2</v>
      </c>
      <c r="S198" s="1"/>
      <c r="T198" s="1">
        <f>SUM(OSRRefT22_5x_0)</f>
        <v>353174.27</v>
      </c>
      <c r="U198" s="1"/>
      <c r="V198" s="5">
        <f t="shared" si="61"/>
        <v>3.0736473126752085E-2</v>
      </c>
      <c r="W198" s="1"/>
      <c r="X198" s="1">
        <f t="shared" si="62"/>
        <v>6207.359999999986</v>
      </c>
      <c r="Y198" s="1"/>
      <c r="Z198" s="5">
        <f t="shared" si="63"/>
        <v>1.757591231093926E-2</v>
      </c>
    </row>
    <row r="199" spans="1:26" s="24" customFormat="1" hidden="1" outlineLevel="2" x14ac:dyDescent="0.35">
      <c r="A199" s="27"/>
      <c r="B199" s="11" t="str">
        <f>CONCATENATE("          ", "6321", " - ", "BUILDING DEPRECIATION")</f>
        <v xml:space="preserve">          6321 - BUILDING DEPRECIATION</v>
      </c>
      <c r="C199" s="11"/>
      <c r="D199" s="7">
        <v>16396.25</v>
      </c>
      <c r="E199" s="2"/>
      <c r="F199" s="6">
        <f t="shared" si="56"/>
        <v>7.8807998649575633E-2</v>
      </c>
      <c r="G199" s="2"/>
      <c r="H199" s="7">
        <v>16453.129999999997</v>
      </c>
      <c r="I199" s="2"/>
      <c r="J199" s="6">
        <f t="shared" si="57"/>
        <v>6.2361913117840173E-2</v>
      </c>
      <c r="K199" s="2"/>
      <c r="L199" s="7">
        <f t="shared" si="58"/>
        <v>-56.879999999997381</v>
      </c>
      <c r="M199" s="2"/>
      <c r="N199" s="6">
        <f t="shared" si="59"/>
        <v>-3.4570929665053026E-3</v>
      </c>
      <c r="O199" s="11"/>
      <c r="P199" s="7">
        <v>196757.97</v>
      </c>
      <c r="Q199" s="2"/>
      <c r="R199" s="6">
        <f t="shared" si="60"/>
        <v>2.1306124771779629E-2</v>
      </c>
      <c r="S199" s="2"/>
      <c r="T199" s="7">
        <v>197440.31</v>
      </c>
      <c r="U199" s="2"/>
      <c r="V199" s="6">
        <f t="shared" si="61"/>
        <v>1.7183071638974722E-2</v>
      </c>
      <c r="W199" s="2"/>
      <c r="X199" s="7">
        <f t="shared" si="62"/>
        <v>-682.33999999999651</v>
      </c>
      <c r="Y199" s="2"/>
      <c r="Z199" s="6">
        <f t="shared" si="63"/>
        <v>-3.4559305544039944E-3</v>
      </c>
    </row>
    <row r="200" spans="1:26" s="24" customFormat="1" hidden="1" outlineLevel="2" x14ac:dyDescent="0.35">
      <c r="A200" s="27"/>
      <c r="B200" s="11" t="str">
        <f>CONCATENATE("          ", "6322", " - ", "EQUIPMENT DEPRECIATION EXPENSE")</f>
        <v xml:space="preserve">          6322 - EQUIPMENT DEPRECIATION EXPENSE</v>
      </c>
      <c r="C200" s="11"/>
      <c r="D200" s="7">
        <v>13952.96</v>
      </c>
      <c r="E200" s="2"/>
      <c r="F200" s="6">
        <f t="shared" si="56"/>
        <v>6.7064411242667252E-2</v>
      </c>
      <c r="G200" s="2"/>
      <c r="H200" s="7">
        <v>13213.67</v>
      </c>
      <c r="I200" s="2"/>
      <c r="J200" s="6">
        <f t="shared" si="57"/>
        <v>5.0083463785177119E-2</v>
      </c>
      <c r="K200" s="2"/>
      <c r="L200" s="7">
        <f t="shared" si="58"/>
        <v>739.28999999999905</v>
      </c>
      <c r="M200" s="2"/>
      <c r="N200" s="6">
        <f t="shared" si="59"/>
        <v>5.5948877185520683E-2</v>
      </c>
      <c r="O200" s="11"/>
      <c r="P200" s="7">
        <v>162623.66</v>
      </c>
      <c r="Q200" s="2"/>
      <c r="R200" s="6">
        <f t="shared" si="60"/>
        <v>1.7609858400162739E-2</v>
      </c>
      <c r="S200" s="2"/>
      <c r="T200" s="7">
        <v>155733.96</v>
      </c>
      <c r="U200" s="2"/>
      <c r="V200" s="6">
        <f t="shared" si="61"/>
        <v>1.3553401487777362E-2</v>
      </c>
      <c r="W200" s="2"/>
      <c r="X200" s="7">
        <f t="shared" si="62"/>
        <v>6889.7000000000116</v>
      </c>
      <c r="Y200" s="2"/>
      <c r="Z200" s="6">
        <f t="shared" si="63"/>
        <v>4.4240190129371991E-2</v>
      </c>
    </row>
    <row r="201" spans="1:26" s="25" customFormat="1" outlineLevel="1" collapsed="1" x14ac:dyDescent="0.35">
      <c r="A201" s="26"/>
      <c r="B201" s="12" t="str">
        <f>CONCATENATE("     ","Discounts and Markdowns                           ")</f>
        <v xml:space="preserve">     Discounts and Markdowns                           </v>
      </c>
      <c r="C201" s="12"/>
      <c r="D201" s="1">
        <f>SUM(OSRRefD22_6x_0)</f>
        <v>39907.229999999996</v>
      </c>
      <c r="E201" s="1"/>
      <c r="F201" s="5">
        <f t="shared" ref="F201:F203" si="64">IF(D$12=0,0,D201/D$12)</f>
        <v>0.19181269668054002</v>
      </c>
      <c r="G201" s="1"/>
      <c r="H201" s="1">
        <f>SUM(OSRRefH22_6x_0)</f>
        <v>13784.71</v>
      </c>
      <c r="I201" s="1"/>
      <c r="J201" s="5">
        <f t="shared" ref="J201:J203" si="65">IF(H$12=0,0,H201/H$12)</f>
        <v>5.2247863316865706E-2</v>
      </c>
      <c r="K201" s="1"/>
      <c r="L201" s="1">
        <f t="shared" ref="L201:L203" si="66">+D201-H201</f>
        <v>26122.519999999997</v>
      </c>
      <c r="M201" s="1"/>
      <c r="N201" s="5">
        <f t="shared" ref="N201:N203" si="67">IF(H201=0,0,L201/H201)</f>
        <v>1.8950358767068729</v>
      </c>
      <c r="O201" s="12"/>
      <c r="P201" s="1">
        <f>SUM(OSRRefP22_6x_0)</f>
        <v>387319.51</v>
      </c>
      <c r="Q201" s="1"/>
      <c r="R201" s="5">
        <f t="shared" ref="R201:R203" si="68">IF(P$12=0,0,P201/P$12)</f>
        <v>4.1941263200695494E-2</v>
      </c>
      <c r="S201" s="1"/>
      <c r="T201" s="1">
        <f>SUM(OSRRefT22_6x_0)</f>
        <v>352190.7</v>
      </c>
      <c r="U201" s="1"/>
      <c r="V201" s="5">
        <f t="shared" ref="V201:V203" si="69">IF(T$12=0,0,T201/T$12)</f>
        <v>3.0650873819437652E-2</v>
      </c>
      <c r="W201" s="1"/>
      <c r="X201" s="1">
        <f t="shared" ref="X201:X203" si="70">+P201-T201</f>
        <v>35128.81</v>
      </c>
      <c r="Y201" s="1"/>
      <c r="Z201" s="5">
        <f t="shared" ref="Z201:Z203" si="71">IF(T201=0,0,X201/T201)</f>
        <v>9.974371838892962E-2</v>
      </c>
    </row>
    <row r="202" spans="1:26" s="24" customFormat="1" hidden="1" outlineLevel="2" x14ac:dyDescent="0.35">
      <c r="A202" s="27"/>
      <c r="B202" s="11" t="str">
        <f>CONCATENATE("          ", "6382", " - ", "DISCOUNTS/MARK DOWNS")</f>
        <v xml:space="preserve">          6382 - DISCOUNTS/MARK DOWNS</v>
      </c>
      <c r="C202" s="11"/>
      <c r="D202" s="7">
        <v>39910.089999999997</v>
      </c>
      <c r="E202" s="2"/>
      <c r="F202" s="6">
        <f t="shared" si="64"/>
        <v>0.19182644316989811</v>
      </c>
      <c r="G202" s="2"/>
      <c r="H202" s="7">
        <v>13831.65</v>
      </c>
      <c r="I202" s="2"/>
      <c r="J202" s="6">
        <f t="shared" si="65"/>
        <v>5.2425778898992116E-2</v>
      </c>
      <c r="K202" s="2"/>
      <c r="L202" s="7">
        <f t="shared" si="66"/>
        <v>26078.439999999995</v>
      </c>
      <c r="M202" s="2"/>
      <c r="N202" s="6">
        <f t="shared" si="67"/>
        <v>1.8854178641015349</v>
      </c>
      <c r="O202" s="11"/>
      <c r="P202" s="7">
        <v>390553.99</v>
      </c>
      <c r="Q202" s="2"/>
      <c r="R202" s="6">
        <f t="shared" si="68"/>
        <v>4.2291511957845335E-2</v>
      </c>
      <c r="S202" s="2"/>
      <c r="T202" s="7">
        <v>356813.8</v>
      </c>
      <c r="U202" s="2"/>
      <c r="V202" s="6">
        <f t="shared" si="69"/>
        <v>3.1053218500187718E-2</v>
      </c>
      <c r="W202" s="2"/>
      <c r="X202" s="7">
        <f t="shared" si="70"/>
        <v>33740.19</v>
      </c>
      <c r="Y202" s="2"/>
      <c r="Z202" s="6">
        <f t="shared" si="71"/>
        <v>9.4559655484176913E-2</v>
      </c>
    </row>
    <row r="203" spans="1:26" s="24" customFormat="1" hidden="1" outlineLevel="2" x14ac:dyDescent="0.35">
      <c r="A203" s="27"/>
      <c r="B203" s="11" t="str">
        <f>CONCATENATE("          ", "9175", " - ", "EARNED DISCOUNTS")</f>
        <v xml:space="preserve">          9175 - EARNED DISCOUNTS</v>
      </c>
      <c r="C203" s="11"/>
      <c r="D203" s="7">
        <v>-2.86</v>
      </c>
      <c r="E203" s="2"/>
      <c r="F203" s="6">
        <f t="shared" si="64"/>
        <v>-1.374648935810239E-5</v>
      </c>
      <c r="G203" s="2"/>
      <c r="H203" s="7">
        <v>-46.94</v>
      </c>
      <c r="I203" s="2"/>
      <c r="J203" s="6">
        <f t="shared" si="65"/>
        <v>-1.77915582126405E-4</v>
      </c>
      <c r="K203" s="2"/>
      <c r="L203" s="7">
        <f t="shared" si="66"/>
        <v>44.08</v>
      </c>
      <c r="M203" s="2"/>
      <c r="N203" s="6">
        <f t="shared" si="67"/>
        <v>-0.93907115466553048</v>
      </c>
      <c r="O203" s="11"/>
      <c r="P203" s="7">
        <v>-3234.48</v>
      </c>
      <c r="Q203" s="2"/>
      <c r="R203" s="6">
        <f t="shared" si="68"/>
        <v>-3.5024875714984141E-4</v>
      </c>
      <c r="S203" s="2"/>
      <c r="T203" s="7">
        <v>-4623.1000000000004</v>
      </c>
      <c r="U203" s="2"/>
      <c r="V203" s="6">
        <f t="shared" si="69"/>
        <v>-4.0234468075006586E-4</v>
      </c>
      <c r="W203" s="2"/>
      <c r="X203" s="7">
        <f t="shared" si="70"/>
        <v>1388.6200000000003</v>
      </c>
      <c r="Y203" s="2"/>
      <c r="Z203" s="6">
        <f t="shared" si="71"/>
        <v>-0.30036555557958949</v>
      </c>
    </row>
    <row r="204" spans="1:26" s="25" customFormat="1" outlineLevel="1" collapsed="1" x14ac:dyDescent="0.35">
      <c r="A204" s="26"/>
      <c r="B204" s="12" t="str">
        <f>CONCATENATE("     ","Donations                                         ")</f>
        <v xml:space="preserve">     Donations                                         </v>
      </c>
      <c r="C204" s="12"/>
      <c r="D204" s="1">
        <f>SUM(OSRRefD22_7x_0)</f>
        <v>0</v>
      </c>
      <c r="E204" s="1"/>
      <c r="F204" s="5">
        <f t="shared" ref="F204:F212" si="72">IF(D$12=0,0,D204/D$12)</f>
        <v>0</v>
      </c>
      <c r="G204" s="1"/>
      <c r="H204" s="1">
        <f>SUM(OSRRefH22_7x_0)</f>
        <v>674.49</v>
      </c>
      <c r="I204" s="1"/>
      <c r="J204" s="5">
        <f t="shared" ref="J204:J212" si="73">IF(H$12=0,0,H204/H$12)</f>
        <v>2.5565036427021501E-3</v>
      </c>
      <c r="K204" s="1"/>
      <c r="L204" s="1">
        <f t="shared" ref="L204:L212" si="74">+D204-H204</f>
        <v>-674.49</v>
      </c>
      <c r="M204" s="1"/>
      <c r="N204" s="5">
        <f t="shared" ref="N204:N212" si="75">IF(H204=0,0,L204/H204)</f>
        <v>-1</v>
      </c>
      <c r="O204" s="12"/>
      <c r="P204" s="1">
        <f>SUM(OSRRefP22_7x_0)</f>
        <v>10985.64</v>
      </c>
      <c r="Q204" s="1"/>
      <c r="R204" s="5">
        <f t="shared" ref="R204:R212" si="76">IF(P$12=0,0,P204/P$12)</f>
        <v>1.1895905235140064E-3</v>
      </c>
      <c r="S204" s="1"/>
      <c r="T204" s="1">
        <f>SUM(OSRRefT22_7x_0)</f>
        <v>9858.49</v>
      </c>
      <c r="U204" s="1"/>
      <c r="V204" s="5">
        <f t="shared" ref="V204:V212" si="77">IF(T$12=0,0,T204/T$12)</f>
        <v>8.5797646854442178E-4</v>
      </c>
      <c r="W204" s="1"/>
      <c r="X204" s="1">
        <f t="shared" ref="X204:X212" si="78">+P204-T204</f>
        <v>1127.1499999999996</v>
      </c>
      <c r="Y204" s="1"/>
      <c r="Z204" s="5">
        <f t="shared" ref="Z204:Z212" si="79">IF(T204=0,0,X204/T204)</f>
        <v>0.11433292522485691</v>
      </c>
    </row>
    <row r="205" spans="1:26" s="24" customFormat="1" hidden="1" outlineLevel="2" x14ac:dyDescent="0.35">
      <c r="A205" s="27"/>
      <c r="B205" s="11" t="str">
        <f>CONCATENATE("          ", "6399", " - ", "DONATION-ON CAMPUS")</f>
        <v xml:space="preserve">          6399 - DONATION-ON CAMPUS</v>
      </c>
      <c r="C205" s="11"/>
      <c r="D205" s="7"/>
      <c r="E205" s="2"/>
      <c r="F205" s="6">
        <f t="shared" si="72"/>
        <v>0</v>
      </c>
      <c r="G205" s="2"/>
      <c r="H205" s="7">
        <v>674.49</v>
      </c>
      <c r="I205" s="2"/>
      <c r="J205" s="6">
        <f t="shared" si="73"/>
        <v>2.5565036427021501E-3</v>
      </c>
      <c r="K205" s="2"/>
      <c r="L205" s="7">
        <f t="shared" si="74"/>
        <v>-674.49</v>
      </c>
      <c r="M205" s="2"/>
      <c r="N205" s="6">
        <f t="shared" si="75"/>
        <v>-1</v>
      </c>
      <c r="O205" s="11"/>
      <c r="P205" s="7">
        <v>10985.64</v>
      </c>
      <c r="Q205" s="2"/>
      <c r="R205" s="6">
        <f t="shared" si="76"/>
        <v>1.1895905235140064E-3</v>
      </c>
      <c r="S205" s="2"/>
      <c r="T205" s="7">
        <v>9858.49</v>
      </c>
      <c r="U205" s="2"/>
      <c r="V205" s="6">
        <f t="shared" si="77"/>
        <v>8.5797646854442178E-4</v>
      </c>
      <c r="W205" s="2"/>
      <c r="X205" s="7">
        <f t="shared" si="78"/>
        <v>1127.1499999999996</v>
      </c>
      <c r="Y205" s="2"/>
      <c r="Z205" s="6">
        <f t="shared" si="79"/>
        <v>0.11433292522485691</v>
      </c>
    </row>
    <row r="206" spans="1:26" s="25" customFormat="1" outlineLevel="1" collapsed="1" x14ac:dyDescent="0.35">
      <c r="A206" s="26"/>
      <c r="B206" s="12" t="str">
        <f>CONCATENATE("     ","Employees' Appreciation                           ")</f>
        <v xml:space="preserve">     Employees' Appreciation                           </v>
      </c>
      <c r="C206" s="12"/>
      <c r="D206" s="1">
        <f>SUM(OSRRefD22_8x_0)</f>
        <v>57</v>
      </c>
      <c r="E206" s="1"/>
      <c r="F206" s="5">
        <f t="shared" si="72"/>
        <v>2.7396849419994277E-4</v>
      </c>
      <c r="G206" s="1"/>
      <c r="H206" s="1">
        <f>SUM(OSRRefH22_8x_0)</f>
        <v>132.37</v>
      </c>
      <c r="I206" s="1"/>
      <c r="J206" s="5">
        <f t="shared" si="73"/>
        <v>5.0171890937520736E-4</v>
      </c>
      <c r="K206" s="1"/>
      <c r="L206" s="1">
        <f t="shared" si="74"/>
        <v>-75.37</v>
      </c>
      <c r="M206" s="1"/>
      <c r="N206" s="5">
        <f t="shared" si="75"/>
        <v>-0.56938883432802001</v>
      </c>
      <c r="O206" s="12"/>
      <c r="P206" s="1">
        <f>SUM(OSRRefP22_8x_0)</f>
        <v>1611.27</v>
      </c>
      <c r="Q206" s="1"/>
      <c r="R206" s="5">
        <f t="shared" si="76"/>
        <v>1.7447791142094707E-4</v>
      </c>
      <c r="S206" s="1"/>
      <c r="T206" s="1">
        <f>SUM(OSRRefT22_8x_0)</f>
        <v>4114.25</v>
      </c>
      <c r="U206" s="1"/>
      <c r="V206" s="5">
        <f t="shared" si="77"/>
        <v>3.5805987384567896E-4</v>
      </c>
      <c r="W206" s="1"/>
      <c r="X206" s="1">
        <f t="shared" si="78"/>
        <v>-2502.98</v>
      </c>
      <c r="Y206" s="1"/>
      <c r="Z206" s="5">
        <f t="shared" si="79"/>
        <v>-0.60836847542079364</v>
      </c>
    </row>
    <row r="207" spans="1:26" s="24" customFormat="1" hidden="1" outlineLevel="2" x14ac:dyDescent="0.35">
      <c r="A207" s="27"/>
      <c r="B207" s="11" t="str">
        <f>CONCATENATE("          ", "6277", " - ", "EMPLOYEE APPRECIATION")</f>
        <v xml:space="preserve">          6277 - EMPLOYEE APPRECIATION</v>
      </c>
      <c r="C207" s="11"/>
      <c r="D207" s="7">
        <v>57</v>
      </c>
      <c r="E207" s="2"/>
      <c r="F207" s="6">
        <f t="shared" si="72"/>
        <v>2.7396849419994277E-4</v>
      </c>
      <c r="G207" s="2"/>
      <c r="H207" s="7">
        <v>132.37</v>
      </c>
      <c r="I207" s="2"/>
      <c r="J207" s="6">
        <f t="shared" si="73"/>
        <v>5.0171890937520736E-4</v>
      </c>
      <c r="K207" s="2"/>
      <c r="L207" s="7">
        <f t="shared" si="74"/>
        <v>-75.37</v>
      </c>
      <c r="M207" s="2"/>
      <c r="N207" s="6">
        <f t="shared" si="75"/>
        <v>-0.56938883432802001</v>
      </c>
      <c r="O207" s="11"/>
      <c r="P207" s="7">
        <v>1611.27</v>
      </c>
      <c r="Q207" s="2"/>
      <c r="R207" s="6">
        <f t="shared" si="76"/>
        <v>1.7447791142094707E-4</v>
      </c>
      <c r="S207" s="2"/>
      <c r="T207" s="7">
        <v>4114.25</v>
      </c>
      <c r="U207" s="2"/>
      <c r="V207" s="6">
        <f t="shared" si="77"/>
        <v>3.5805987384567896E-4</v>
      </c>
      <c r="W207" s="2"/>
      <c r="X207" s="7">
        <f t="shared" si="78"/>
        <v>-2502.98</v>
      </c>
      <c r="Y207" s="2"/>
      <c r="Z207" s="6">
        <f t="shared" si="79"/>
        <v>-0.60836847542079364</v>
      </c>
    </row>
    <row r="208" spans="1:26" s="25" customFormat="1" outlineLevel="1" collapsed="1" x14ac:dyDescent="0.35">
      <c r="A208" s="26"/>
      <c r="B208" s="12" t="str">
        <f>CONCATENATE("     ","Equipment Rental                                  ")</f>
        <v xml:space="preserve">     Equipment Rental                                  </v>
      </c>
      <c r="C208" s="12"/>
      <c r="D208" s="1">
        <f>SUM(OSRRefD22_9x_0)</f>
        <v>1388.16</v>
      </c>
      <c r="E208" s="1"/>
      <c r="F208" s="5">
        <f t="shared" si="72"/>
        <v>6.6721421913788171E-3</v>
      </c>
      <c r="G208" s="1"/>
      <c r="H208" s="1">
        <f>SUM(OSRRefH22_9x_0)</f>
        <v>3424.48</v>
      </c>
      <c r="I208" s="1"/>
      <c r="J208" s="5">
        <f t="shared" si="73"/>
        <v>1.297972630337093E-2</v>
      </c>
      <c r="K208" s="1"/>
      <c r="L208" s="1">
        <f t="shared" si="74"/>
        <v>-2036.32</v>
      </c>
      <c r="M208" s="1"/>
      <c r="N208" s="5">
        <f t="shared" si="75"/>
        <v>-0.59463626594402652</v>
      </c>
      <c r="O208" s="12"/>
      <c r="P208" s="1">
        <f>SUM(OSRRefP22_9x_0)</f>
        <v>19839.79</v>
      </c>
      <c r="Q208" s="1"/>
      <c r="R208" s="5">
        <f t="shared" si="76"/>
        <v>2.1483706158683473E-3</v>
      </c>
      <c r="S208" s="1"/>
      <c r="T208" s="1">
        <f>SUM(OSRRefT22_9x_0)</f>
        <v>40979.39</v>
      </c>
      <c r="U208" s="1"/>
      <c r="V208" s="5">
        <f t="shared" si="77"/>
        <v>3.5664034061306136E-3</v>
      </c>
      <c r="W208" s="1"/>
      <c r="X208" s="1">
        <f t="shared" si="78"/>
        <v>-21139.599999999999</v>
      </c>
      <c r="Y208" s="1"/>
      <c r="Z208" s="5">
        <f t="shared" si="79"/>
        <v>-0.51585931366962756</v>
      </c>
    </row>
    <row r="209" spans="1:26" s="24" customFormat="1" hidden="1" outlineLevel="2" x14ac:dyDescent="0.35">
      <c r="A209" s="27"/>
      <c r="B209" s="11" t="str">
        <f>CONCATENATE("          ", "6351", " - ", "EQUIPMENT RENTAL")</f>
        <v xml:space="preserve">          6351 - EQUIPMENT RENTAL</v>
      </c>
      <c r="C209" s="11"/>
      <c r="D209" s="7">
        <v>1388.16</v>
      </c>
      <c r="E209" s="2"/>
      <c r="F209" s="6">
        <f t="shared" si="72"/>
        <v>6.6721421913788171E-3</v>
      </c>
      <c r="G209" s="2"/>
      <c r="H209" s="7">
        <v>3424.48</v>
      </c>
      <c r="I209" s="2"/>
      <c r="J209" s="6">
        <f t="shared" si="73"/>
        <v>1.297972630337093E-2</v>
      </c>
      <c r="K209" s="2"/>
      <c r="L209" s="7">
        <f t="shared" si="74"/>
        <v>-2036.32</v>
      </c>
      <c r="M209" s="2"/>
      <c r="N209" s="6">
        <f t="shared" si="75"/>
        <v>-0.59463626594402652</v>
      </c>
      <c r="O209" s="11"/>
      <c r="P209" s="7">
        <v>19839.79</v>
      </c>
      <c r="Q209" s="2"/>
      <c r="R209" s="6">
        <f t="shared" si="76"/>
        <v>2.1483706158683473E-3</v>
      </c>
      <c r="S209" s="2"/>
      <c r="T209" s="7">
        <v>40979.39</v>
      </c>
      <c r="U209" s="2"/>
      <c r="V209" s="6">
        <f t="shared" si="77"/>
        <v>3.5664034061306136E-3</v>
      </c>
      <c r="W209" s="2"/>
      <c r="X209" s="7">
        <f t="shared" si="78"/>
        <v>-21139.599999999999</v>
      </c>
      <c r="Y209" s="2"/>
      <c r="Z209" s="6">
        <f t="shared" si="79"/>
        <v>-0.51585931366962756</v>
      </c>
    </row>
    <row r="210" spans="1:26" s="25" customFormat="1" outlineLevel="1" collapsed="1" x14ac:dyDescent="0.35">
      <c r="A210" s="26"/>
      <c r="B210" s="12" t="str">
        <f>CONCATENATE("     ","Freight out/Postage                               ")</f>
        <v xml:space="preserve">     Freight out/Postage                               </v>
      </c>
      <c r="C210" s="12"/>
      <c r="D210" s="1">
        <f>SUM(OSRRefD22_10x_0)</f>
        <v>25658.549999999996</v>
      </c>
      <c r="E210" s="1"/>
      <c r="F210" s="5">
        <f t="shared" si="72"/>
        <v>0.12332691766410421</v>
      </c>
      <c r="G210" s="1"/>
      <c r="H210" s="1">
        <f>SUM(OSRRefH22_10x_0)</f>
        <v>2095.4000000000005</v>
      </c>
      <c r="I210" s="1"/>
      <c r="J210" s="5">
        <f t="shared" si="73"/>
        <v>7.9421455216802123E-3</v>
      </c>
      <c r="K210" s="1"/>
      <c r="L210" s="1">
        <f t="shared" si="74"/>
        <v>23563.149999999994</v>
      </c>
      <c r="M210" s="1"/>
      <c r="N210" s="5">
        <f t="shared" si="75"/>
        <v>11.245179917915427</v>
      </c>
      <c r="O210" s="12"/>
      <c r="P210" s="1">
        <f>SUM(OSRRefP22_10x_0)</f>
        <v>41650.919999999991</v>
      </c>
      <c r="Q210" s="1"/>
      <c r="R210" s="5">
        <f t="shared" si="76"/>
        <v>4.5102096671327287E-3</v>
      </c>
      <c r="S210" s="1"/>
      <c r="T210" s="1">
        <f>SUM(OSRRefT22_10x_0)</f>
        <v>-793.7100000000064</v>
      </c>
      <c r="U210" s="1"/>
      <c r="V210" s="5">
        <f t="shared" si="77"/>
        <v>-6.9075943967930026E-5</v>
      </c>
      <c r="W210" s="1"/>
      <c r="X210" s="1">
        <f t="shared" si="78"/>
        <v>42444.63</v>
      </c>
      <c r="Y210" s="1"/>
      <c r="Z210" s="5">
        <f t="shared" si="79"/>
        <v>-53.476244472161945</v>
      </c>
    </row>
    <row r="211" spans="1:26" s="24" customFormat="1" hidden="1" outlineLevel="2" x14ac:dyDescent="0.35">
      <c r="A211" s="27"/>
      <c r="B211" s="11" t="str">
        <f>CONCATENATE("          ", "6305", " - ", "FREIGHT OUT")</f>
        <v xml:space="preserve">          6305 - FREIGHT OUT</v>
      </c>
      <c r="C211" s="11"/>
      <c r="D211" s="7">
        <v>32756.979999999996</v>
      </c>
      <c r="E211" s="2"/>
      <c r="F211" s="6">
        <f t="shared" si="72"/>
        <v>0.1574452716690814</v>
      </c>
      <c r="G211" s="2"/>
      <c r="H211" s="7">
        <v>9312.7800000000007</v>
      </c>
      <c r="I211" s="2"/>
      <c r="J211" s="6">
        <f t="shared" si="73"/>
        <v>3.5298011821796808E-2</v>
      </c>
      <c r="K211" s="2"/>
      <c r="L211" s="7">
        <f t="shared" si="74"/>
        <v>23444.199999999997</v>
      </c>
      <c r="M211" s="2"/>
      <c r="N211" s="6">
        <f t="shared" si="75"/>
        <v>2.5174222949538159</v>
      </c>
      <c r="O211" s="11"/>
      <c r="P211" s="7">
        <v>102668.17</v>
      </c>
      <c r="Q211" s="2"/>
      <c r="R211" s="6">
        <f t="shared" si="76"/>
        <v>1.1117520881671438E-2</v>
      </c>
      <c r="S211" s="2"/>
      <c r="T211" s="7">
        <v>80459.679999999993</v>
      </c>
      <c r="U211" s="2"/>
      <c r="V211" s="6">
        <f t="shared" si="77"/>
        <v>7.0023413430063061E-3</v>
      </c>
      <c r="W211" s="2"/>
      <c r="X211" s="7">
        <f t="shared" si="78"/>
        <v>22208.490000000005</v>
      </c>
      <c r="Y211" s="2"/>
      <c r="Z211" s="6">
        <f t="shared" si="79"/>
        <v>0.2760201134282414</v>
      </c>
    </row>
    <row r="212" spans="1:26" s="24" customFormat="1" hidden="1" outlineLevel="2" x14ac:dyDescent="0.35">
      <c r="A212" s="27"/>
      <c r="B212" s="11" t="str">
        <f>CONCATENATE("          ", "6307", " - ", "POSTAGE")</f>
        <v xml:space="preserve">          6307 - POSTAGE</v>
      </c>
      <c r="C212" s="11"/>
      <c r="D212" s="7">
        <v>-7098.43</v>
      </c>
      <c r="E212" s="2"/>
      <c r="F212" s="6">
        <f t="shared" si="72"/>
        <v>-3.4118354004977189E-2</v>
      </c>
      <c r="G212" s="2"/>
      <c r="H212" s="7">
        <v>-7217.38</v>
      </c>
      <c r="I212" s="2"/>
      <c r="J212" s="6">
        <f t="shared" si="73"/>
        <v>-2.7355866300116594E-2</v>
      </c>
      <c r="K212" s="2"/>
      <c r="L212" s="7">
        <f t="shared" si="74"/>
        <v>118.94999999999982</v>
      </c>
      <c r="M212" s="2"/>
      <c r="N212" s="6">
        <f t="shared" si="75"/>
        <v>-1.6481049910078146E-2</v>
      </c>
      <c r="O212" s="11"/>
      <c r="P212" s="7">
        <v>-61017.250000000007</v>
      </c>
      <c r="Q212" s="2"/>
      <c r="R212" s="6">
        <f t="shared" si="76"/>
        <v>-6.6073112145387082E-3</v>
      </c>
      <c r="S212" s="2"/>
      <c r="T212" s="7">
        <v>-81253.39</v>
      </c>
      <c r="U212" s="2"/>
      <c r="V212" s="6">
        <f t="shared" si="77"/>
        <v>-7.071417286974236E-3</v>
      </c>
      <c r="W212" s="2"/>
      <c r="X212" s="7">
        <f t="shared" si="78"/>
        <v>20236.139999999992</v>
      </c>
      <c r="Y212" s="2"/>
      <c r="Z212" s="6">
        <f t="shared" si="79"/>
        <v>-0.24904979349169298</v>
      </c>
    </row>
    <row r="213" spans="1:26" s="25" customFormat="1" outlineLevel="1" collapsed="1" x14ac:dyDescent="0.35">
      <c r="A213" s="26"/>
      <c r="B213" s="12" t="str">
        <f>CONCATENATE("     ","General                                           ")</f>
        <v xml:space="preserve">     General                                           </v>
      </c>
      <c r="C213" s="12"/>
      <c r="D213" s="1">
        <f>SUM(OSRRefD22_11x_0)</f>
        <v>-1613.24</v>
      </c>
      <c r="E213" s="1"/>
      <c r="F213" s="5">
        <f t="shared" ref="F213:F251" si="80">IF(D$12=0,0,D213/D$12)</f>
        <v>-7.7539812909318533E-3</v>
      </c>
      <c r="G213" s="1"/>
      <c r="H213" s="1">
        <f>SUM(OSRRefH22_11x_0)</f>
        <v>-285.75</v>
      </c>
      <c r="I213" s="1"/>
      <c r="J213" s="5">
        <f t="shared" ref="J213:J251" si="81">IF(H$12=0,0,H213/H$12)</f>
        <v>-1.0830715294550539E-3</v>
      </c>
      <c r="K213" s="1"/>
      <c r="L213" s="1">
        <f t="shared" ref="L213:L251" si="82">+D213-H213</f>
        <v>-1327.49</v>
      </c>
      <c r="M213" s="1"/>
      <c r="N213" s="5">
        <f t="shared" ref="N213:N251" si="83">IF(H213=0,0,L213/H213)</f>
        <v>4.6456342957130357</v>
      </c>
      <c r="O213" s="12"/>
      <c r="P213" s="1">
        <f>SUM(OSRRefP22_11x_0)</f>
        <v>-3183.87</v>
      </c>
      <c r="Q213" s="1"/>
      <c r="R213" s="5">
        <f t="shared" ref="R213:R251" si="84">IF(P$12=0,0,P213/P$12)</f>
        <v>-3.4476840494505006E-4</v>
      </c>
      <c r="S213" s="1"/>
      <c r="T213" s="1">
        <f>SUM(OSRRefT22_11x_0)</f>
        <v>24831.41</v>
      </c>
      <c r="U213" s="1"/>
      <c r="V213" s="5">
        <f t="shared" ref="V213:V251" si="85">IF(T$12=0,0,T213/T$12)</f>
        <v>2.1610576732114797E-3</v>
      </c>
      <c r="W213" s="1"/>
      <c r="X213" s="1">
        <f t="shared" ref="X213:X251" si="86">+P213-T213</f>
        <v>-28015.279999999999</v>
      </c>
      <c r="Y213" s="1"/>
      <c r="Z213" s="5">
        <f t="shared" ref="Z213:Z251" si="87">IF(T213=0,0,X213/T213)</f>
        <v>-1.1282194607555511</v>
      </c>
    </row>
    <row r="214" spans="1:26" s="24" customFormat="1" hidden="1" outlineLevel="2" x14ac:dyDescent="0.35">
      <c r="A214" s="27"/>
      <c r="B214" s="11" t="str">
        <f>CONCATENATE("          ", "6279", " - ", "GENERAL EXPENSE")</f>
        <v xml:space="preserve">          6279 - GENERAL EXPENSE</v>
      </c>
      <c r="C214" s="11"/>
      <c r="D214" s="7">
        <v>-1613.24</v>
      </c>
      <c r="E214" s="2"/>
      <c r="F214" s="6">
        <f t="shared" si="80"/>
        <v>-7.7539812909318533E-3</v>
      </c>
      <c r="G214" s="2"/>
      <c r="H214" s="7">
        <v>-285.75</v>
      </c>
      <c r="I214" s="2"/>
      <c r="J214" s="6">
        <f t="shared" si="81"/>
        <v>-1.0830715294550539E-3</v>
      </c>
      <c r="K214" s="2"/>
      <c r="L214" s="7">
        <f t="shared" si="82"/>
        <v>-1327.49</v>
      </c>
      <c r="M214" s="2"/>
      <c r="N214" s="6">
        <f t="shared" si="83"/>
        <v>4.6456342957130357</v>
      </c>
      <c r="O214" s="11"/>
      <c r="P214" s="7">
        <v>-3183.87</v>
      </c>
      <c r="Q214" s="2"/>
      <c r="R214" s="6">
        <f t="shared" si="84"/>
        <v>-3.4476840494505006E-4</v>
      </c>
      <c r="S214" s="2"/>
      <c r="T214" s="7">
        <v>24831.41</v>
      </c>
      <c r="U214" s="2"/>
      <c r="V214" s="6">
        <f t="shared" si="85"/>
        <v>2.1610576732114797E-3</v>
      </c>
      <c r="W214" s="2"/>
      <c r="X214" s="7">
        <f t="shared" si="86"/>
        <v>-28015.279999999999</v>
      </c>
      <c r="Y214" s="2"/>
      <c r="Z214" s="6">
        <f t="shared" si="87"/>
        <v>-1.1282194607555511</v>
      </c>
    </row>
    <row r="215" spans="1:26" s="25" customFormat="1" outlineLevel="1" collapsed="1" x14ac:dyDescent="0.35">
      <c r="A215" s="26"/>
      <c r="B215" s="12" t="str">
        <f>CONCATENATE("     ","Insurance                                         ")</f>
        <v xml:space="preserve">     Insurance                                         </v>
      </c>
      <c r="C215" s="12"/>
      <c r="D215" s="1">
        <f>SUM(OSRRefD22_12x_0)</f>
        <v>4044.74</v>
      </c>
      <c r="E215" s="1"/>
      <c r="F215" s="5">
        <f t="shared" si="80"/>
        <v>1.9440900477724146E-2</v>
      </c>
      <c r="G215" s="1"/>
      <c r="H215" s="1">
        <f>SUM(OSRRefH22_12x_0)</f>
        <v>3809.97</v>
      </c>
      <c r="I215" s="1"/>
      <c r="J215" s="5">
        <f t="shared" si="81"/>
        <v>1.4440840017770329E-2</v>
      </c>
      <c r="K215" s="1"/>
      <c r="L215" s="1">
        <f t="shared" si="82"/>
        <v>234.76999999999998</v>
      </c>
      <c r="M215" s="1"/>
      <c r="N215" s="5">
        <f t="shared" si="83"/>
        <v>6.1619907768302638E-2</v>
      </c>
      <c r="O215" s="12"/>
      <c r="P215" s="1">
        <f>SUM(OSRRefP22_12x_0)</f>
        <v>48536.88</v>
      </c>
      <c r="Q215" s="1"/>
      <c r="R215" s="5">
        <f t="shared" si="84"/>
        <v>5.2558624248506694E-3</v>
      </c>
      <c r="S215" s="1"/>
      <c r="T215" s="1">
        <f>SUM(OSRRefT22_12x_0)</f>
        <v>38930.870000000003</v>
      </c>
      <c r="U215" s="1"/>
      <c r="V215" s="5">
        <f t="shared" si="85"/>
        <v>3.3881223554481444E-3</v>
      </c>
      <c r="W215" s="1"/>
      <c r="X215" s="1">
        <f t="shared" si="86"/>
        <v>9606.0099999999948</v>
      </c>
      <c r="Y215" s="1"/>
      <c r="Z215" s="5">
        <f t="shared" si="87"/>
        <v>0.24674532061574772</v>
      </c>
    </row>
    <row r="216" spans="1:26" s="24" customFormat="1" hidden="1" outlineLevel="2" x14ac:dyDescent="0.35">
      <c r="A216" s="27"/>
      <c r="B216" s="11" t="str">
        <f>CONCATENATE("          ", "6314", " - ", "LIABILITY INSURANCE")</f>
        <v xml:space="preserve">          6314 - LIABILITY INSURANCE</v>
      </c>
      <c r="C216" s="11"/>
      <c r="D216" s="7">
        <v>4044.74</v>
      </c>
      <c r="E216" s="2"/>
      <c r="F216" s="6">
        <f t="shared" si="80"/>
        <v>1.9440900477724146E-2</v>
      </c>
      <c r="G216" s="2"/>
      <c r="H216" s="7">
        <v>3809.97</v>
      </c>
      <c r="I216" s="2"/>
      <c r="J216" s="6">
        <f t="shared" si="81"/>
        <v>1.4440840017770329E-2</v>
      </c>
      <c r="K216" s="2"/>
      <c r="L216" s="7">
        <f t="shared" si="82"/>
        <v>234.76999999999998</v>
      </c>
      <c r="M216" s="2"/>
      <c r="N216" s="6">
        <f t="shared" si="83"/>
        <v>6.1619907768302638E-2</v>
      </c>
      <c r="O216" s="11"/>
      <c r="P216" s="7">
        <v>48536.88</v>
      </c>
      <c r="Q216" s="2"/>
      <c r="R216" s="6">
        <f t="shared" si="84"/>
        <v>5.2558624248506694E-3</v>
      </c>
      <c r="S216" s="2"/>
      <c r="T216" s="7">
        <v>38930.870000000003</v>
      </c>
      <c r="U216" s="2"/>
      <c r="V216" s="6">
        <f t="shared" si="85"/>
        <v>3.3881223554481444E-3</v>
      </c>
      <c r="W216" s="2"/>
      <c r="X216" s="7">
        <f t="shared" si="86"/>
        <v>9606.0099999999948</v>
      </c>
      <c r="Y216" s="2"/>
      <c r="Z216" s="6">
        <f t="shared" si="87"/>
        <v>0.24674532061574772</v>
      </c>
    </row>
    <row r="217" spans="1:26" s="25" customFormat="1" outlineLevel="1" collapsed="1" x14ac:dyDescent="0.35">
      <c r="A217" s="26"/>
      <c r="B217" s="12" t="str">
        <f>CONCATENATE("     ","Inventory Adjustment                              ")</f>
        <v xml:space="preserve">     Inventory Adjustment                              </v>
      </c>
      <c r="C217" s="12"/>
      <c r="D217" s="1">
        <f>SUM(OSRRefD22_13x_0)</f>
        <v>-10114</v>
      </c>
      <c r="E217" s="1"/>
      <c r="F217" s="5">
        <f t="shared" si="80"/>
        <v>-4.8612585093653002E-2</v>
      </c>
      <c r="G217" s="1"/>
      <c r="H217" s="1">
        <f>SUM(OSRRefH22_13x_0)</f>
        <v>-80651</v>
      </c>
      <c r="I217" s="1"/>
      <c r="J217" s="5">
        <f t="shared" si="81"/>
        <v>-0.30568959552783748</v>
      </c>
      <c r="K217" s="1"/>
      <c r="L217" s="1">
        <f t="shared" si="82"/>
        <v>70537</v>
      </c>
      <c r="M217" s="1"/>
      <c r="N217" s="5">
        <f t="shared" si="83"/>
        <v>-0.87459547928729964</v>
      </c>
      <c r="O217" s="12"/>
      <c r="P217" s="1">
        <f>SUM(OSRRefP22_13x_0)</f>
        <v>43236.000000000007</v>
      </c>
      <c r="Q217" s="1"/>
      <c r="R217" s="5">
        <f t="shared" si="84"/>
        <v>4.6818515693807178E-3</v>
      </c>
      <c r="S217" s="1"/>
      <c r="T217" s="1">
        <f>SUM(OSRRefT22_13x_0)</f>
        <v>16099</v>
      </c>
      <c r="U217" s="1"/>
      <c r="V217" s="5">
        <f t="shared" si="85"/>
        <v>1.4010830428490212E-3</v>
      </c>
      <c r="W217" s="1"/>
      <c r="X217" s="1">
        <f t="shared" si="86"/>
        <v>27137.000000000007</v>
      </c>
      <c r="Y217" s="1"/>
      <c r="Z217" s="5">
        <f t="shared" si="87"/>
        <v>1.6856326479905588</v>
      </c>
    </row>
    <row r="218" spans="1:26" s="24" customFormat="1" hidden="1" outlineLevel="2" x14ac:dyDescent="0.35">
      <c r="A218" s="27"/>
      <c r="B218" s="11" t="str">
        <f>CONCATENATE("          ", "6408", " - ", "INVENTORY ADJUSTMENT")</f>
        <v xml:space="preserve">          6408 - INVENTORY ADJUSTMENT</v>
      </c>
      <c r="C218" s="11"/>
      <c r="D218" s="7">
        <v>-53350</v>
      </c>
      <c r="E218" s="2"/>
      <c r="F218" s="6">
        <f t="shared" si="80"/>
        <v>-0.25642489764152537</v>
      </c>
      <c r="G218" s="2"/>
      <c r="H218" s="7">
        <v>-96750</v>
      </c>
      <c r="I218" s="2"/>
      <c r="J218" s="6">
        <f t="shared" si="81"/>
        <v>-0.36670925800446708</v>
      </c>
      <c r="K218" s="2"/>
      <c r="L218" s="7">
        <f t="shared" si="82"/>
        <v>43400</v>
      </c>
      <c r="M218" s="2"/>
      <c r="N218" s="6">
        <f t="shared" si="83"/>
        <v>-0.44857881136950906</v>
      </c>
      <c r="O218" s="11"/>
      <c r="P218" s="7">
        <v>0</v>
      </c>
      <c r="Q218" s="2"/>
      <c r="R218" s="6">
        <f t="shared" si="84"/>
        <v>0</v>
      </c>
      <c r="S218" s="2"/>
      <c r="T218" s="7">
        <v>0</v>
      </c>
      <c r="U218" s="2"/>
      <c r="V218" s="6">
        <f t="shared" si="85"/>
        <v>0</v>
      </c>
      <c r="W218" s="2"/>
      <c r="X218" s="7">
        <f t="shared" si="86"/>
        <v>0</v>
      </c>
      <c r="Y218" s="2"/>
      <c r="Z218" s="6">
        <f t="shared" si="87"/>
        <v>0</v>
      </c>
    </row>
    <row r="219" spans="1:26" s="24" customFormat="1" hidden="1" outlineLevel="2" x14ac:dyDescent="0.35">
      <c r="A219" s="27"/>
      <c r="B219" s="11" t="str">
        <f>CONCATENATE("          ", "7700", " - ", "INV. SHRINKAGE @ RETAIL-CONTRA")</f>
        <v xml:space="preserve">          7700 - INV. SHRINKAGE @ RETAIL-CONTRA</v>
      </c>
      <c r="C219" s="11"/>
      <c r="D219" s="7">
        <v>-99781</v>
      </c>
      <c r="E219" s="2"/>
      <c r="F219" s="6">
        <f t="shared" si="80"/>
        <v>-0.47959386525902609</v>
      </c>
      <c r="G219" s="2"/>
      <c r="H219" s="7">
        <v>166740</v>
      </c>
      <c r="I219" s="2"/>
      <c r="J219" s="6">
        <f t="shared" si="81"/>
        <v>0.63199071503529547</v>
      </c>
      <c r="K219" s="2"/>
      <c r="L219" s="7">
        <f t="shared" si="82"/>
        <v>-266521</v>
      </c>
      <c r="M219" s="2"/>
      <c r="N219" s="6">
        <f t="shared" si="83"/>
        <v>-1.5984226940146335</v>
      </c>
      <c r="O219" s="11"/>
      <c r="P219" s="7">
        <v>-99781</v>
      </c>
      <c r="Q219" s="2"/>
      <c r="R219" s="6">
        <f t="shared" si="84"/>
        <v>-1.0804880919705277E-2</v>
      </c>
      <c r="S219" s="2"/>
      <c r="T219" s="7">
        <v>166740</v>
      </c>
      <c r="U219" s="2"/>
      <c r="V219" s="6">
        <f t="shared" si="85"/>
        <v>1.4511248311363798E-2</v>
      </c>
      <c r="W219" s="2"/>
      <c r="X219" s="7">
        <f t="shared" si="86"/>
        <v>-266521</v>
      </c>
      <c r="Y219" s="2"/>
      <c r="Z219" s="6">
        <f t="shared" si="87"/>
        <v>-1.5984226940146335</v>
      </c>
    </row>
    <row r="220" spans="1:26" s="24" customFormat="1" hidden="1" outlineLevel="2" x14ac:dyDescent="0.35">
      <c r="A220" s="27"/>
      <c r="B220" s="11" t="str">
        <f>CONCATENATE("          ", "7701", " - ", "INV. SHRINKAGE-NEW TEXT")</f>
        <v xml:space="preserve">          7701 - INV. SHRINKAGE-NEW TEXT</v>
      </c>
      <c r="C220" s="11"/>
      <c r="D220" s="7">
        <v>-4346</v>
      </c>
      <c r="E220" s="2"/>
      <c r="F220" s="6">
        <f t="shared" si="80"/>
        <v>-2.0888896066543004E-2</v>
      </c>
      <c r="G220" s="2"/>
      <c r="H220" s="7">
        <v>-79917</v>
      </c>
      <c r="I220" s="2"/>
      <c r="J220" s="6">
        <f t="shared" si="81"/>
        <v>-0.30290753252654257</v>
      </c>
      <c r="K220" s="2"/>
      <c r="L220" s="7">
        <f t="shared" si="82"/>
        <v>75571</v>
      </c>
      <c r="M220" s="2"/>
      <c r="N220" s="6">
        <f t="shared" si="83"/>
        <v>-0.94561857927599879</v>
      </c>
      <c r="O220" s="11"/>
      <c r="P220" s="7">
        <v>-4346</v>
      </c>
      <c r="Q220" s="2"/>
      <c r="R220" s="6">
        <f t="shared" si="84"/>
        <v>-4.7061076233991574E-4</v>
      </c>
      <c r="S220" s="2"/>
      <c r="T220" s="7">
        <v>-79917</v>
      </c>
      <c r="U220" s="2"/>
      <c r="V220" s="6">
        <f t="shared" si="85"/>
        <v>-6.955112338366683E-3</v>
      </c>
      <c r="W220" s="2"/>
      <c r="X220" s="7">
        <f t="shared" si="86"/>
        <v>75571</v>
      </c>
      <c r="Y220" s="2"/>
      <c r="Z220" s="6">
        <f t="shared" si="87"/>
        <v>-0.94561857927599879</v>
      </c>
    </row>
    <row r="221" spans="1:26" s="24" customFormat="1" hidden="1" outlineLevel="2" x14ac:dyDescent="0.35">
      <c r="A221" s="27"/>
      <c r="B221" s="11" t="str">
        <f>CONCATENATE("          ", "7702", " - ", "INV. SHRINKAGE-USED TEXT")</f>
        <v xml:space="preserve">          7702 - INV. SHRINKAGE-USED TEXT</v>
      </c>
      <c r="C221" s="11"/>
      <c r="D221" s="7">
        <v>-29494</v>
      </c>
      <c r="E221" s="2"/>
      <c r="F221" s="6">
        <f t="shared" si="80"/>
        <v>-0.14176187312163355</v>
      </c>
      <c r="G221" s="2"/>
      <c r="H221" s="7">
        <v>-5215</v>
      </c>
      <c r="I221" s="2"/>
      <c r="J221" s="6">
        <f t="shared" si="81"/>
        <v>-1.9766292304840265E-2</v>
      </c>
      <c r="K221" s="2"/>
      <c r="L221" s="7">
        <f t="shared" si="82"/>
        <v>-24279</v>
      </c>
      <c r="M221" s="2"/>
      <c r="N221" s="6">
        <f t="shared" si="83"/>
        <v>4.6556088207094914</v>
      </c>
      <c r="O221" s="11"/>
      <c r="P221" s="7">
        <v>-29494</v>
      </c>
      <c r="Q221" s="2"/>
      <c r="R221" s="6">
        <f t="shared" si="84"/>
        <v>-3.1937859697315865E-3</v>
      </c>
      <c r="S221" s="2"/>
      <c r="T221" s="7">
        <v>-5215</v>
      </c>
      <c r="U221" s="2"/>
      <c r="V221" s="6">
        <f t="shared" si="85"/>
        <v>-4.5385726246708772E-4</v>
      </c>
      <c r="W221" s="2"/>
      <c r="X221" s="7">
        <f t="shared" si="86"/>
        <v>-24279</v>
      </c>
      <c r="Y221" s="2"/>
      <c r="Z221" s="6">
        <f t="shared" si="87"/>
        <v>4.6556088207094914</v>
      </c>
    </row>
    <row r="222" spans="1:26" s="24" customFormat="1" hidden="1" outlineLevel="2" x14ac:dyDescent="0.35">
      <c r="A222" s="27"/>
      <c r="B222" s="11" t="str">
        <f>CONCATENATE("          ", "7703", " - ", "INV. SHRINKAGE-RENTAL TEXT")</f>
        <v xml:space="preserve">          7703 - INV. SHRINKAGE-RENTAL TEXT</v>
      </c>
      <c r="C222" s="11"/>
      <c r="D222" s="7">
        <v>526</v>
      </c>
      <c r="E222" s="2"/>
      <c r="F222" s="6">
        <f t="shared" si="80"/>
        <v>2.5282004903363136E-3</v>
      </c>
      <c r="G222" s="2"/>
      <c r="H222" s="7">
        <v>30858</v>
      </c>
      <c r="I222" s="2"/>
      <c r="J222" s="6">
        <f t="shared" si="81"/>
        <v>0.11696035435144025</v>
      </c>
      <c r="K222" s="2"/>
      <c r="L222" s="7">
        <f t="shared" si="82"/>
        <v>-30332</v>
      </c>
      <c r="M222" s="2"/>
      <c r="N222" s="6">
        <f t="shared" si="83"/>
        <v>-0.98295417719878153</v>
      </c>
      <c r="O222" s="11"/>
      <c r="P222" s="7">
        <v>526</v>
      </c>
      <c r="Q222" s="2"/>
      <c r="R222" s="6">
        <f t="shared" si="84"/>
        <v>5.695841256115869E-5</v>
      </c>
      <c r="S222" s="2"/>
      <c r="T222" s="7">
        <v>30858</v>
      </c>
      <c r="U222" s="2"/>
      <c r="V222" s="6">
        <f t="shared" si="85"/>
        <v>2.6855469616892413E-3</v>
      </c>
      <c r="W222" s="2"/>
      <c r="X222" s="7">
        <f t="shared" si="86"/>
        <v>-30332</v>
      </c>
      <c r="Y222" s="2"/>
      <c r="Z222" s="6">
        <f t="shared" si="87"/>
        <v>-0.98295417719878153</v>
      </c>
    </row>
    <row r="223" spans="1:26" s="24" customFormat="1" hidden="1" outlineLevel="2" x14ac:dyDescent="0.35">
      <c r="A223" s="27"/>
      <c r="B223" s="11" t="str">
        <f>CONCATENATE("          ", "7704", " - ", "INV. SHRINKAGE-DIGITAL TEXT")</f>
        <v xml:space="preserve">          7704 - INV. SHRINKAGE-DIGITAL TEXT</v>
      </c>
      <c r="C223" s="11"/>
      <c r="D223" s="7">
        <v>816</v>
      </c>
      <c r="E223" s="2"/>
      <c r="F223" s="6">
        <f t="shared" si="80"/>
        <v>3.9220752853886542E-3</v>
      </c>
      <c r="G223" s="2"/>
      <c r="H223" s="7">
        <v>-37301</v>
      </c>
      <c r="I223" s="2"/>
      <c r="J223" s="6">
        <f t="shared" si="81"/>
        <v>-0.14138110628242509</v>
      </c>
      <c r="K223" s="2"/>
      <c r="L223" s="7">
        <f t="shared" si="82"/>
        <v>38117</v>
      </c>
      <c r="M223" s="2"/>
      <c r="N223" s="6">
        <f t="shared" si="83"/>
        <v>-1.0218760891128924</v>
      </c>
      <c r="O223" s="11"/>
      <c r="P223" s="7">
        <v>816</v>
      </c>
      <c r="Q223" s="2"/>
      <c r="R223" s="6">
        <f t="shared" si="84"/>
        <v>8.8361339638603594E-5</v>
      </c>
      <c r="S223" s="2"/>
      <c r="T223" s="7">
        <v>-37301</v>
      </c>
      <c r="U223" s="2"/>
      <c r="V223" s="6">
        <f t="shared" si="85"/>
        <v>-3.2462760780987226E-3</v>
      </c>
      <c r="W223" s="2"/>
      <c r="X223" s="7">
        <f t="shared" si="86"/>
        <v>38117</v>
      </c>
      <c r="Y223" s="2"/>
      <c r="Z223" s="6">
        <f t="shared" si="87"/>
        <v>-1.0218760891128924</v>
      </c>
    </row>
    <row r="224" spans="1:26" s="24" customFormat="1" hidden="1" outlineLevel="2" x14ac:dyDescent="0.35">
      <c r="A224" s="27"/>
      <c r="B224" s="11" t="str">
        <f>CONCATENATE("          ", "7711", " - ", "INV. SHRINKAGE-NO VALUE TEXT")</f>
        <v xml:space="preserve">          7711 - INV. SHRINKAGE-NO VALUE TEXT</v>
      </c>
      <c r="C224" s="11"/>
      <c r="D224" s="7">
        <v>-1126</v>
      </c>
      <c r="E224" s="2"/>
      <c r="F224" s="6">
        <f t="shared" si="80"/>
        <v>-5.412079376651501E-3</v>
      </c>
      <c r="G224" s="2"/>
      <c r="H224" s="7">
        <v>-2516</v>
      </c>
      <c r="I224" s="2"/>
      <c r="J224" s="6">
        <f t="shared" si="81"/>
        <v>-9.5363358464004046E-3</v>
      </c>
      <c r="K224" s="2"/>
      <c r="L224" s="7">
        <f t="shared" si="82"/>
        <v>1390</v>
      </c>
      <c r="M224" s="2"/>
      <c r="N224" s="6">
        <f t="shared" si="83"/>
        <v>-0.55246422893481717</v>
      </c>
      <c r="O224" s="11"/>
      <c r="P224" s="7">
        <v>-1126</v>
      </c>
      <c r="Q224" s="2"/>
      <c r="R224" s="6">
        <f t="shared" si="84"/>
        <v>-1.2192998582483781E-4</v>
      </c>
      <c r="S224" s="2"/>
      <c r="T224" s="7">
        <v>-2516</v>
      </c>
      <c r="U224" s="2"/>
      <c r="V224" s="6">
        <f t="shared" si="85"/>
        <v>-2.1896545970607722E-4</v>
      </c>
      <c r="W224" s="2"/>
      <c r="X224" s="7">
        <f t="shared" si="86"/>
        <v>1390</v>
      </c>
      <c r="Y224" s="2"/>
      <c r="Z224" s="6">
        <f t="shared" si="87"/>
        <v>-0.55246422893481717</v>
      </c>
    </row>
    <row r="225" spans="1:26" s="24" customFormat="1" hidden="1" outlineLevel="2" x14ac:dyDescent="0.35">
      <c r="A225" s="27"/>
      <c r="B225" s="11" t="str">
        <f>CONCATENATE("          ", "7713", " - ", "INV. SHRINKAGE-TRADE BOOKS")</f>
        <v xml:space="preserve">          7713 - INV. SHRINKAGE-TRADE BOOKS</v>
      </c>
      <c r="C225" s="11"/>
      <c r="D225" s="7">
        <v>-385</v>
      </c>
      <c r="E225" s="2"/>
      <c r="F225" s="6">
        <f t="shared" si="80"/>
        <v>-1.8504889520522449E-3</v>
      </c>
      <c r="G225" s="2"/>
      <c r="H225" s="7">
        <v>749</v>
      </c>
      <c r="I225" s="2"/>
      <c r="J225" s="6">
        <f t="shared" si="81"/>
        <v>2.8389171498226962E-3</v>
      </c>
      <c r="K225" s="2"/>
      <c r="L225" s="7">
        <f t="shared" si="82"/>
        <v>-1134</v>
      </c>
      <c r="M225" s="2"/>
      <c r="N225" s="6">
        <f t="shared" si="83"/>
        <v>-1.514018691588785</v>
      </c>
      <c r="O225" s="11"/>
      <c r="P225" s="7">
        <v>-385</v>
      </c>
      <c r="Q225" s="2"/>
      <c r="R225" s="6">
        <f t="shared" si="84"/>
        <v>-4.16900928441941E-5</v>
      </c>
      <c r="S225" s="2"/>
      <c r="T225" s="7">
        <v>749</v>
      </c>
      <c r="U225" s="2"/>
      <c r="V225" s="6">
        <f t="shared" si="85"/>
        <v>6.5184868569098512E-5</v>
      </c>
      <c r="W225" s="2"/>
      <c r="X225" s="7">
        <f t="shared" si="86"/>
        <v>-1134</v>
      </c>
      <c r="Y225" s="2"/>
      <c r="Z225" s="6">
        <f t="shared" si="87"/>
        <v>-1.514018691588785</v>
      </c>
    </row>
    <row r="226" spans="1:26" s="24" customFormat="1" hidden="1" outlineLevel="2" x14ac:dyDescent="0.35">
      <c r="A226" s="27"/>
      <c r="B226" s="11" t="str">
        <f>CONCATENATE("          ", "7714", " - ", "INV. SHRINKAGE-REMAINDERS")</f>
        <v xml:space="preserve">          7714 - INV. SHRINKAGE-REMAINDERS</v>
      </c>
      <c r="C226" s="11"/>
      <c r="D226" s="7">
        <v>204</v>
      </c>
      <c r="E226" s="2"/>
      <c r="F226" s="6">
        <f t="shared" si="80"/>
        <v>9.8051882134716356E-4</v>
      </c>
      <c r="G226" s="2"/>
      <c r="H226" s="7">
        <v>-23</v>
      </c>
      <c r="I226" s="2"/>
      <c r="J226" s="6">
        <f t="shared" si="81"/>
        <v>-8.7176361075997342E-5</v>
      </c>
      <c r="K226" s="2"/>
      <c r="L226" s="7">
        <f t="shared" si="82"/>
        <v>227</v>
      </c>
      <c r="M226" s="2"/>
      <c r="N226" s="6">
        <f t="shared" si="83"/>
        <v>-9.8695652173913047</v>
      </c>
      <c r="O226" s="11"/>
      <c r="P226" s="7">
        <v>204</v>
      </c>
      <c r="Q226" s="2"/>
      <c r="R226" s="6">
        <f t="shared" si="84"/>
        <v>2.2090334909650899E-5</v>
      </c>
      <c r="S226" s="2"/>
      <c r="T226" s="7">
        <v>-23</v>
      </c>
      <c r="U226" s="2"/>
      <c r="V226" s="6">
        <f t="shared" si="85"/>
        <v>-2.0016715314943466E-6</v>
      </c>
      <c r="W226" s="2"/>
      <c r="X226" s="7">
        <f t="shared" si="86"/>
        <v>227</v>
      </c>
      <c r="Y226" s="2"/>
      <c r="Z226" s="6">
        <f t="shared" si="87"/>
        <v>-9.8695652173913047</v>
      </c>
    </row>
    <row r="227" spans="1:26" s="24" customFormat="1" hidden="1" outlineLevel="2" x14ac:dyDescent="0.35">
      <c r="A227" s="27"/>
      <c r="B227" s="11" t="str">
        <f>CONCATENATE("          ", "7717", " - ", "INV. SHRINKAGE-DORM/HOUSEWARES")</f>
        <v xml:space="preserve">          7717 - INV. SHRINKAGE-DORM/HOUSEWARES</v>
      </c>
      <c r="C227" s="11"/>
      <c r="D227" s="7">
        <v>-254</v>
      </c>
      <c r="E227" s="2"/>
      <c r="F227" s="6">
        <f t="shared" si="80"/>
        <v>-1.2208420618734291E-3</v>
      </c>
      <c r="G227" s="2"/>
      <c r="H227" s="7">
        <v>-22</v>
      </c>
      <c r="I227" s="2"/>
      <c r="J227" s="6">
        <f t="shared" si="81"/>
        <v>-8.3386084507475715E-5</v>
      </c>
      <c r="K227" s="2"/>
      <c r="L227" s="7">
        <f t="shared" si="82"/>
        <v>-232</v>
      </c>
      <c r="M227" s="2"/>
      <c r="N227" s="6">
        <f t="shared" si="83"/>
        <v>10.545454545454545</v>
      </c>
      <c r="O227" s="11"/>
      <c r="P227" s="7">
        <v>-254</v>
      </c>
      <c r="Q227" s="2"/>
      <c r="R227" s="6">
        <f t="shared" si="84"/>
        <v>-2.7504632681624159E-5</v>
      </c>
      <c r="S227" s="2"/>
      <c r="T227" s="7">
        <v>-22</v>
      </c>
      <c r="U227" s="2"/>
      <c r="V227" s="6">
        <f t="shared" si="85"/>
        <v>-1.9146423344728535E-6</v>
      </c>
      <c r="W227" s="2"/>
      <c r="X227" s="7">
        <f t="shared" si="86"/>
        <v>-232</v>
      </c>
      <c r="Y227" s="2"/>
      <c r="Z227" s="6">
        <f t="shared" si="87"/>
        <v>10.545454545454545</v>
      </c>
    </row>
    <row r="228" spans="1:26" s="24" customFormat="1" hidden="1" outlineLevel="2" x14ac:dyDescent="0.35">
      <c r="A228" s="27"/>
      <c r="B228" s="11" t="str">
        <f>CONCATENATE("          ", "7718", " - ", "INV. SHRINKAGE-STUDY GUIDES")</f>
        <v xml:space="preserve">          7718 - INV. SHRINKAGE-STUDY GUIDES</v>
      </c>
      <c r="C228" s="11"/>
      <c r="D228" s="7">
        <v>458</v>
      </c>
      <c r="E228" s="2"/>
      <c r="F228" s="6">
        <f t="shared" si="80"/>
        <v>2.2013608832205924E-3</v>
      </c>
      <c r="G228" s="2"/>
      <c r="H228" s="7">
        <v>-1534</v>
      </c>
      <c r="I228" s="2"/>
      <c r="J228" s="6">
        <f t="shared" si="81"/>
        <v>-5.8142842561121708E-3</v>
      </c>
      <c r="K228" s="2"/>
      <c r="L228" s="7">
        <f t="shared" si="82"/>
        <v>1992</v>
      </c>
      <c r="M228" s="2"/>
      <c r="N228" s="6">
        <f t="shared" si="83"/>
        <v>-1.2985658409387224</v>
      </c>
      <c r="O228" s="11"/>
      <c r="P228" s="7">
        <v>458</v>
      </c>
      <c r="Q228" s="2"/>
      <c r="R228" s="6">
        <f t="shared" si="84"/>
        <v>4.9594967591275061E-5</v>
      </c>
      <c r="S228" s="2"/>
      <c r="T228" s="7">
        <v>-1534</v>
      </c>
      <c r="U228" s="2"/>
      <c r="V228" s="6">
        <f t="shared" si="85"/>
        <v>-1.3350278823097078E-4</v>
      </c>
      <c r="W228" s="2"/>
      <c r="X228" s="7">
        <f t="shared" si="86"/>
        <v>1992</v>
      </c>
      <c r="Y228" s="2"/>
      <c r="Z228" s="6">
        <f t="shared" si="87"/>
        <v>-1.2985658409387224</v>
      </c>
    </row>
    <row r="229" spans="1:26" s="24" customFormat="1" hidden="1" outlineLevel="2" x14ac:dyDescent="0.35">
      <c r="A229" s="27"/>
      <c r="B229" s="11" t="str">
        <f>CONCATENATE("          ", "7719", " - ", "INV. SHRINKAGE-BOOK RELATED")</f>
        <v xml:space="preserve">          7719 - INV. SHRINKAGE-BOOK RELATED</v>
      </c>
      <c r="C229" s="11"/>
      <c r="D229" s="7">
        <v>-43</v>
      </c>
      <c r="E229" s="2"/>
      <c r="F229" s="6">
        <f t="shared" si="80"/>
        <v>-2.0667798685258839E-4</v>
      </c>
      <c r="G229" s="2"/>
      <c r="H229" s="7">
        <v>-43</v>
      </c>
      <c r="I229" s="2"/>
      <c r="J229" s="6">
        <f t="shared" si="81"/>
        <v>-1.629818924464298E-4</v>
      </c>
      <c r="K229" s="2"/>
      <c r="L229" s="7">
        <f t="shared" si="82"/>
        <v>0</v>
      </c>
      <c r="M229" s="2"/>
      <c r="N229" s="6">
        <f t="shared" si="83"/>
        <v>0</v>
      </c>
      <c r="O229" s="11"/>
      <c r="P229" s="7">
        <v>-43</v>
      </c>
      <c r="Q229" s="2"/>
      <c r="R229" s="6">
        <f t="shared" si="84"/>
        <v>-4.6562960838970037E-6</v>
      </c>
      <c r="S229" s="2"/>
      <c r="T229" s="7">
        <v>-43</v>
      </c>
      <c r="U229" s="2"/>
      <c r="V229" s="6">
        <f t="shared" si="85"/>
        <v>-3.7422554719242134E-6</v>
      </c>
      <c r="W229" s="2"/>
      <c r="X229" s="7">
        <f t="shared" si="86"/>
        <v>0</v>
      </c>
      <c r="Y229" s="2"/>
      <c r="Z229" s="6">
        <f t="shared" si="87"/>
        <v>0</v>
      </c>
    </row>
    <row r="230" spans="1:26" s="24" customFormat="1" hidden="1" outlineLevel="2" x14ac:dyDescent="0.35">
      <c r="A230" s="27"/>
      <c r="B230" s="11" t="str">
        <f>CONCATENATE("          ", "7725", " - ", "INV. SHRINKAGE-TEST FORMS")</f>
        <v xml:space="preserve">          7725 - INV. SHRINKAGE-TEST FORMS</v>
      </c>
      <c r="C230" s="11"/>
      <c r="D230" s="7">
        <v>3987</v>
      </c>
      <c r="E230" s="2"/>
      <c r="F230" s="6">
        <f t="shared" si="80"/>
        <v>1.9163375199564417E-2</v>
      </c>
      <c r="G230" s="2"/>
      <c r="H230" s="7">
        <v>95</v>
      </c>
      <c r="I230" s="2"/>
      <c r="J230" s="6">
        <f t="shared" si="81"/>
        <v>3.6007627400955422E-4</v>
      </c>
      <c r="K230" s="2"/>
      <c r="L230" s="7">
        <f t="shared" si="82"/>
        <v>3892</v>
      </c>
      <c r="M230" s="2"/>
      <c r="N230" s="6">
        <f t="shared" si="83"/>
        <v>40.968421052631577</v>
      </c>
      <c r="O230" s="11"/>
      <c r="P230" s="7">
        <v>3987</v>
      </c>
      <c r="Q230" s="2"/>
      <c r="R230" s="6">
        <f t="shared" si="84"/>
        <v>4.3173610433714776E-4</v>
      </c>
      <c r="S230" s="2"/>
      <c r="T230" s="7">
        <v>95</v>
      </c>
      <c r="U230" s="2"/>
      <c r="V230" s="6">
        <f t="shared" si="85"/>
        <v>8.2677737170418673E-6</v>
      </c>
      <c r="W230" s="2"/>
      <c r="X230" s="7">
        <f t="shared" si="86"/>
        <v>3892</v>
      </c>
      <c r="Y230" s="2"/>
      <c r="Z230" s="6">
        <f t="shared" si="87"/>
        <v>40.968421052631577</v>
      </c>
    </row>
    <row r="231" spans="1:26" s="24" customFormat="1" hidden="1" outlineLevel="2" x14ac:dyDescent="0.35">
      <c r="A231" s="27"/>
      <c r="B231" s="11" t="str">
        <f>CONCATENATE("          ", "7726", " - ", "INV. SHRINKAGE-WRITING INSTRUM")</f>
        <v xml:space="preserve">          7726 - INV. SHRINKAGE-WRITING INSTRUM</v>
      </c>
      <c r="C231" s="11"/>
      <c r="D231" s="7">
        <v>9153</v>
      </c>
      <c r="E231" s="2"/>
      <c r="F231" s="6">
        <f t="shared" si="80"/>
        <v>4.3993572410738174E-2</v>
      </c>
      <c r="G231" s="2"/>
      <c r="H231" s="7">
        <v>1467</v>
      </c>
      <c r="I231" s="2"/>
      <c r="J231" s="6">
        <f t="shared" si="81"/>
        <v>5.5603357260212219E-3</v>
      </c>
      <c r="K231" s="2"/>
      <c r="L231" s="7">
        <f t="shared" si="82"/>
        <v>7686</v>
      </c>
      <c r="M231" s="2"/>
      <c r="N231" s="6">
        <f t="shared" si="83"/>
        <v>5.2392638036809815</v>
      </c>
      <c r="O231" s="11"/>
      <c r="P231" s="7">
        <v>9153</v>
      </c>
      <c r="Q231" s="2"/>
      <c r="R231" s="6">
        <f t="shared" si="84"/>
        <v>9.9114135013742498E-4</v>
      </c>
      <c r="S231" s="2"/>
      <c r="T231" s="7">
        <v>1467</v>
      </c>
      <c r="U231" s="2"/>
      <c r="V231" s="6">
        <f t="shared" si="85"/>
        <v>1.2767183203053073E-4</v>
      </c>
      <c r="W231" s="2"/>
      <c r="X231" s="7">
        <f t="shared" si="86"/>
        <v>7686</v>
      </c>
      <c r="Y231" s="2"/>
      <c r="Z231" s="6">
        <f t="shared" si="87"/>
        <v>5.2392638036809815</v>
      </c>
    </row>
    <row r="232" spans="1:26" s="24" customFormat="1" hidden="1" outlineLevel="2" x14ac:dyDescent="0.35">
      <c r="A232" s="27"/>
      <c r="B232" s="11" t="str">
        <f>CONCATENATE("          ", "7727", " - ", "INV. SHRINKAGE-SCHOOL SUPPLIES")</f>
        <v xml:space="preserve">          7727 - INV. SHRINKAGE-SCHOOL SUPPLIES</v>
      </c>
      <c r="C232" s="11"/>
      <c r="D232" s="7">
        <v>9822</v>
      </c>
      <c r="E232" s="2"/>
      <c r="F232" s="6">
        <f t="shared" si="80"/>
        <v>4.7209097368979609E-2</v>
      </c>
      <c r="G232" s="2"/>
      <c r="H232" s="7">
        <v>1404</v>
      </c>
      <c r="I232" s="2"/>
      <c r="J232" s="6">
        <f t="shared" si="81"/>
        <v>5.3215483022043594E-3</v>
      </c>
      <c r="K232" s="2"/>
      <c r="L232" s="7">
        <f t="shared" si="82"/>
        <v>8418</v>
      </c>
      <c r="M232" s="2"/>
      <c r="N232" s="6">
        <f t="shared" si="83"/>
        <v>5.9957264957264957</v>
      </c>
      <c r="O232" s="11"/>
      <c r="P232" s="7">
        <v>9822</v>
      </c>
      <c r="Q232" s="2"/>
      <c r="R232" s="6">
        <f t="shared" si="84"/>
        <v>1.0635846543264273E-3</v>
      </c>
      <c r="S232" s="2"/>
      <c r="T232" s="7">
        <v>1404</v>
      </c>
      <c r="U232" s="2"/>
      <c r="V232" s="6">
        <f t="shared" si="85"/>
        <v>1.2218899261817664E-4</v>
      </c>
      <c r="W232" s="2"/>
      <c r="X232" s="7">
        <f t="shared" si="86"/>
        <v>8418</v>
      </c>
      <c r="Y232" s="2"/>
      <c r="Z232" s="6">
        <f t="shared" si="87"/>
        <v>5.9957264957264957</v>
      </c>
    </row>
    <row r="233" spans="1:26" s="24" customFormat="1" hidden="1" outlineLevel="2" x14ac:dyDescent="0.35">
      <c r="A233" s="27"/>
      <c r="B233" s="11" t="str">
        <f>CONCATENATE("          ", "7728", " - ", "INV. SHRINKAGE-ART/TECH")</f>
        <v xml:space="preserve">          7728 - INV. SHRINKAGE-ART/TECH</v>
      </c>
      <c r="C233" s="11"/>
      <c r="D233" s="7">
        <v>8990</v>
      </c>
      <c r="E233" s="2"/>
      <c r="F233" s="6">
        <f t="shared" si="80"/>
        <v>4.3210118646622553E-2</v>
      </c>
      <c r="G233" s="2"/>
      <c r="H233" s="7">
        <v>4009</v>
      </c>
      <c r="I233" s="2"/>
      <c r="J233" s="6">
        <f t="shared" si="81"/>
        <v>1.5195218763203188E-2</v>
      </c>
      <c r="K233" s="2"/>
      <c r="L233" s="7">
        <f t="shared" si="82"/>
        <v>4981</v>
      </c>
      <c r="M233" s="2"/>
      <c r="N233" s="6">
        <f t="shared" si="83"/>
        <v>1.242454477425792</v>
      </c>
      <c r="O233" s="11"/>
      <c r="P233" s="7">
        <v>8990</v>
      </c>
      <c r="Q233" s="2"/>
      <c r="R233" s="6">
        <f t="shared" si="84"/>
        <v>9.7349073940079215E-4</v>
      </c>
      <c r="S233" s="2"/>
      <c r="T233" s="7">
        <v>4009</v>
      </c>
      <c r="U233" s="2"/>
      <c r="V233" s="6">
        <f t="shared" si="85"/>
        <v>3.4890005085916678E-4</v>
      </c>
      <c r="W233" s="2"/>
      <c r="X233" s="7">
        <f t="shared" si="86"/>
        <v>4981</v>
      </c>
      <c r="Y233" s="2"/>
      <c r="Z233" s="6">
        <f t="shared" si="87"/>
        <v>1.242454477425792</v>
      </c>
    </row>
    <row r="234" spans="1:26" s="24" customFormat="1" hidden="1" outlineLevel="2" x14ac:dyDescent="0.35">
      <c r="A234" s="27"/>
      <c r="B234" s="11" t="str">
        <f>CONCATENATE("          ", "7731", " - ", "INV. SHRINKAGE-FOOD")</f>
        <v xml:space="preserve">          7731 - INV. SHRINKAGE-FOOD</v>
      </c>
      <c r="C234" s="11"/>
      <c r="D234" s="7">
        <v>6964</v>
      </c>
      <c r="E234" s="2"/>
      <c r="F234" s="6">
        <f t="shared" si="80"/>
        <v>3.3472220940498267E-2</v>
      </c>
      <c r="G234" s="2"/>
      <c r="H234" s="7">
        <v>-237</v>
      </c>
      <c r="I234" s="2"/>
      <c r="J234" s="6">
        <f t="shared" si="81"/>
        <v>-8.9829554673962473E-4</v>
      </c>
      <c r="K234" s="2"/>
      <c r="L234" s="7">
        <f t="shared" si="82"/>
        <v>7201</v>
      </c>
      <c r="M234" s="2"/>
      <c r="N234" s="6">
        <f t="shared" si="83"/>
        <v>-30.383966244725737</v>
      </c>
      <c r="O234" s="11"/>
      <c r="P234" s="7">
        <v>6964</v>
      </c>
      <c r="Q234" s="2"/>
      <c r="R234" s="6">
        <f t="shared" si="84"/>
        <v>7.5410339368043558E-4</v>
      </c>
      <c r="S234" s="2"/>
      <c r="T234" s="7">
        <v>-237</v>
      </c>
      <c r="U234" s="2"/>
      <c r="V234" s="6">
        <f t="shared" si="85"/>
        <v>-2.0625919694093919E-5</v>
      </c>
      <c r="W234" s="2"/>
      <c r="X234" s="7">
        <f t="shared" si="86"/>
        <v>7201</v>
      </c>
      <c r="Y234" s="2"/>
      <c r="Z234" s="6">
        <f t="shared" si="87"/>
        <v>-30.383966244725737</v>
      </c>
    </row>
    <row r="235" spans="1:26" s="24" customFormat="1" hidden="1" outlineLevel="2" x14ac:dyDescent="0.35">
      <c r="A235" s="27"/>
      <c r="B235" s="11" t="str">
        <f>CONCATENATE("          ", "7732", " - ", "INV. SHRINKAGE-JUICE")</f>
        <v xml:space="preserve">          7732 - INV. SHRINKAGE-JUICE</v>
      </c>
      <c r="C235" s="11"/>
      <c r="D235" s="7">
        <v>-1942</v>
      </c>
      <c r="E235" s="2"/>
      <c r="F235" s="6">
        <f t="shared" si="80"/>
        <v>-9.3341546620401544E-3</v>
      </c>
      <c r="G235" s="2"/>
      <c r="H235" s="7">
        <v>-181</v>
      </c>
      <c r="I235" s="2"/>
      <c r="J235" s="6">
        <f t="shared" si="81"/>
        <v>-6.8604005890241383E-4</v>
      </c>
      <c r="K235" s="2"/>
      <c r="L235" s="7">
        <f t="shared" si="82"/>
        <v>-1761</v>
      </c>
      <c r="M235" s="2"/>
      <c r="N235" s="6">
        <f t="shared" si="83"/>
        <v>9.7292817679558006</v>
      </c>
      <c r="O235" s="11"/>
      <c r="P235" s="7">
        <v>-1942</v>
      </c>
      <c r="Q235" s="2"/>
      <c r="R235" s="6">
        <f t="shared" si="84"/>
        <v>-2.1029132546344142E-4</v>
      </c>
      <c r="S235" s="2"/>
      <c r="T235" s="7">
        <v>-181</v>
      </c>
      <c r="U235" s="2"/>
      <c r="V235" s="6">
        <f t="shared" si="85"/>
        <v>-1.5752284660890292E-5</v>
      </c>
      <c r="W235" s="2"/>
      <c r="X235" s="7">
        <f t="shared" si="86"/>
        <v>-1761</v>
      </c>
      <c r="Y235" s="2"/>
      <c r="Z235" s="6">
        <f t="shared" si="87"/>
        <v>9.7292817679558006</v>
      </c>
    </row>
    <row r="236" spans="1:26" s="24" customFormat="1" hidden="1" outlineLevel="2" x14ac:dyDescent="0.35">
      <c r="A236" s="27"/>
      <c r="B236" s="11" t="str">
        <f>CONCATENATE("          ", "7733", " - ", "INV. SHRINKAGE-CANDY")</f>
        <v xml:space="preserve">          7733 - INV. SHRINKAGE-CANDY</v>
      </c>
      <c r="C236" s="11"/>
      <c r="D236" s="7">
        <v>2710</v>
      </c>
      <c r="E236" s="2"/>
      <c r="F236" s="6">
        <f t="shared" si="80"/>
        <v>1.3025519636523594E-2</v>
      </c>
      <c r="G236" s="2"/>
      <c r="H236" s="7">
        <v>-289</v>
      </c>
      <c r="I236" s="2"/>
      <c r="J236" s="6">
        <f t="shared" si="81"/>
        <v>-1.0953899283027491E-3</v>
      </c>
      <c r="K236" s="2"/>
      <c r="L236" s="7">
        <f t="shared" si="82"/>
        <v>2999</v>
      </c>
      <c r="M236" s="2"/>
      <c r="N236" s="6">
        <f t="shared" si="83"/>
        <v>-10.377162629757786</v>
      </c>
      <c r="O236" s="11"/>
      <c r="P236" s="7">
        <v>2710</v>
      </c>
      <c r="Q236" s="2"/>
      <c r="R236" s="6">
        <f t="shared" si="84"/>
        <v>2.9345493924095071E-4</v>
      </c>
      <c r="S236" s="2"/>
      <c r="T236" s="7">
        <v>-289</v>
      </c>
      <c r="U236" s="2"/>
      <c r="V236" s="6">
        <f t="shared" si="85"/>
        <v>-2.5151437939211574E-5</v>
      </c>
      <c r="W236" s="2"/>
      <c r="X236" s="7">
        <f t="shared" si="86"/>
        <v>2999</v>
      </c>
      <c r="Y236" s="2"/>
      <c r="Z236" s="6">
        <f t="shared" si="87"/>
        <v>-10.377162629757786</v>
      </c>
    </row>
    <row r="237" spans="1:26" s="24" customFormat="1" hidden="1" outlineLevel="2" x14ac:dyDescent="0.35">
      <c r="A237" s="27"/>
      <c r="B237" s="11" t="str">
        <f>CONCATENATE("          ", "7734", " - ", "INV. SHRINKAGE-SODA")</f>
        <v xml:space="preserve">          7734 - INV. SHRINKAGE-SODA</v>
      </c>
      <c r="C237" s="11"/>
      <c r="D237" s="7">
        <v>1253</v>
      </c>
      <c r="E237" s="2"/>
      <c r="F237" s="6">
        <f t="shared" si="80"/>
        <v>6.022500407588215E-3</v>
      </c>
      <c r="G237" s="2"/>
      <c r="H237" s="7">
        <v>478</v>
      </c>
      <c r="I237" s="2"/>
      <c r="J237" s="6">
        <f t="shared" si="81"/>
        <v>1.8117521997533361E-3</v>
      </c>
      <c r="K237" s="2"/>
      <c r="L237" s="7">
        <f t="shared" si="82"/>
        <v>775</v>
      </c>
      <c r="M237" s="2"/>
      <c r="N237" s="6">
        <f t="shared" si="83"/>
        <v>1.6213389121338913</v>
      </c>
      <c r="O237" s="11"/>
      <c r="P237" s="7">
        <v>1253</v>
      </c>
      <c r="Q237" s="2"/>
      <c r="R237" s="6">
        <f t="shared" si="84"/>
        <v>1.356823021656499E-4</v>
      </c>
      <c r="S237" s="2"/>
      <c r="T237" s="7">
        <v>478</v>
      </c>
      <c r="U237" s="2"/>
      <c r="V237" s="6">
        <f t="shared" si="85"/>
        <v>4.1599956176273812E-5</v>
      </c>
      <c r="W237" s="2"/>
      <c r="X237" s="7">
        <f t="shared" si="86"/>
        <v>775</v>
      </c>
      <c r="Y237" s="2"/>
      <c r="Z237" s="6">
        <f t="shared" si="87"/>
        <v>1.6213389121338913</v>
      </c>
    </row>
    <row r="238" spans="1:26" s="24" customFormat="1" hidden="1" outlineLevel="2" x14ac:dyDescent="0.35">
      <c r="A238" s="27"/>
      <c r="B238" s="11" t="str">
        <f>CONCATENATE("          ", "7735", " - ", "INV. SHRINKAGE-HEALTH/BEAUTY")</f>
        <v xml:space="preserve">          7735 - INV. SHRINKAGE-HEALTH/BEAUTY</v>
      </c>
      <c r="C238" s="11"/>
      <c r="D238" s="7">
        <v>369</v>
      </c>
      <c r="E238" s="2"/>
      <c r="F238" s="6">
        <f t="shared" si="80"/>
        <v>1.77358551508384E-3</v>
      </c>
      <c r="G238" s="2"/>
      <c r="H238" s="7">
        <v>-288</v>
      </c>
      <c r="I238" s="2"/>
      <c r="J238" s="6">
        <f t="shared" si="81"/>
        <v>-1.0915996517342275E-3</v>
      </c>
      <c r="K238" s="2"/>
      <c r="L238" s="7">
        <f t="shared" si="82"/>
        <v>657</v>
      </c>
      <c r="M238" s="2"/>
      <c r="N238" s="6">
        <f t="shared" si="83"/>
        <v>-2.28125</v>
      </c>
      <c r="O238" s="11"/>
      <c r="P238" s="7">
        <v>369</v>
      </c>
      <c r="Q238" s="2"/>
      <c r="R238" s="6">
        <f t="shared" si="84"/>
        <v>3.9957517557162658E-5</v>
      </c>
      <c r="S238" s="2"/>
      <c r="T238" s="7">
        <v>-288</v>
      </c>
      <c r="U238" s="2"/>
      <c r="V238" s="6">
        <f t="shared" si="85"/>
        <v>-2.5064408742190081E-5</v>
      </c>
      <c r="W238" s="2"/>
      <c r="X238" s="7">
        <f t="shared" si="86"/>
        <v>657</v>
      </c>
      <c r="Y238" s="2"/>
      <c r="Z238" s="6">
        <f t="shared" si="87"/>
        <v>-2.28125</v>
      </c>
    </row>
    <row r="239" spans="1:26" s="24" customFormat="1" hidden="1" outlineLevel="2" x14ac:dyDescent="0.35">
      <c r="A239" s="27"/>
      <c r="B239" s="11" t="str">
        <f>CONCATENATE("          ", "7737", " - ", "INV. SHRINKAGE-WATER")</f>
        <v xml:space="preserve">          7737 - INV. SHRINKAGE-WATER</v>
      </c>
      <c r="C239" s="11"/>
      <c r="D239" s="7">
        <v>763</v>
      </c>
      <c r="E239" s="2"/>
      <c r="F239" s="6">
        <f t="shared" si="80"/>
        <v>3.6673326504308127E-3</v>
      </c>
      <c r="G239" s="2"/>
      <c r="H239" s="7">
        <v>-128</v>
      </c>
      <c r="I239" s="2"/>
      <c r="J239" s="6">
        <f t="shared" si="81"/>
        <v>-4.8515540077076784E-4</v>
      </c>
      <c r="K239" s="2"/>
      <c r="L239" s="7">
        <f t="shared" si="82"/>
        <v>891</v>
      </c>
      <c r="M239" s="2"/>
      <c r="N239" s="6">
        <f t="shared" si="83"/>
        <v>-6.9609375</v>
      </c>
      <c r="O239" s="11"/>
      <c r="P239" s="7">
        <v>763</v>
      </c>
      <c r="Q239" s="2"/>
      <c r="R239" s="6">
        <f t="shared" si="84"/>
        <v>8.2622184000311945E-5</v>
      </c>
      <c r="S239" s="2"/>
      <c r="T239" s="7">
        <v>-128</v>
      </c>
      <c r="U239" s="2"/>
      <c r="V239" s="6">
        <f t="shared" si="85"/>
        <v>-1.1139737218751147E-5</v>
      </c>
      <c r="W239" s="2"/>
      <c r="X239" s="7">
        <f t="shared" si="86"/>
        <v>891</v>
      </c>
      <c r="Y239" s="2"/>
      <c r="Z239" s="6">
        <f t="shared" si="87"/>
        <v>-6.9609375</v>
      </c>
    </row>
    <row r="240" spans="1:26" s="24" customFormat="1" hidden="1" outlineLevel="2" x14ac:dyDescent="0.35">
      <c r="A240" s="27"/>
      <c r="B240" s="11" t="str">
        <f>CONCATENATE("          ", "7740", " - ", "INV. SHRINKAGE-LOGO CLOTHING")</f>
        <v xml:space="preserve">          7740 - INV. SHRINKAGE-LOGO CLOTHING</v>
      </c>
      <c r="C240" s="11"/>
      <c r="D240" s="7">
        <v>62007.000000000007</v>
      </c>
      <c r="E240" s="2"/>
      <c r="F240" s="6">
        <f t="shared" si="80"/>
        <v>0.29803446350624302</v>
      </c>
      <c r="G240" s="2"/>
      <c r="H240" s="7">
        <v>-33861</v>
      </c>
      <c r="I240" s="2"/>
      <c r="J240" s="6">
        <f t="shared" si="81"/>
        <v>-0.1283425548867107</v>
      </c>
      <c r="K240" s="2"/>
      <c r="L240" s="7">
        <f t="shared" si="82"/>
        <v>95868</v>
      </c>
      <c r="M240" s="2"/>
      <c r="N240" s="6">
        <f t="shared" si="83"/>
        <v>-2.8312217595463807</v>
      </c>
      <c r="O240" s="11"/>
      <c r="P240" s="7">
        <v>62007.000000000007</v>
      </c>
      <c r="Q240" s="2"/>
      <c r="R240" s="6">
        <f t="shared" si="84"/>
        <v>6.7144872389349195E-3</v>
      </c>
      <c r="S240" s="2"/>
      <c r="T240" s="7">
        <v>-33861</v>
      </c>
      <c r="U240" s="2"/>
      <c r="V240" s="6">
        <f t="shared" si="85"/>
        <v>-2.9468956403447856E-3</v>
      </c>
      <c r="W240" s="2"/>
      <c r="X240" s="7">
        <f t="shared" si="86"/>
        <v>95868</v>
      </c>
      <c r="Y240" s="2"/>
      <c r="Z240" s="6">
        <f t="shared" si="87"/>
        <v>-2.8312217595463807</v>
      </c>
    </row>
    <row r="241" spans="1:26" s="24" customFormat="1" hidden="1" outlineLevel="2" x14ac:dyDescent="0.35">
      <c r="A241" s="27"/>
      <c r="B241" s="11" t="str">
        <f>CONCATENATE("          ", "7741", " - ", "INV. SHRINKAGE-LOGO GIFTS")</f>
        <v xml:space="preserve">          7741 - INV. SHRINKAGE-LOGO GIFTS</v>
      </c>
      <c r="C241" s="11"/>
      <c r="D241" s="7">
        <v>30707</v>
      </c>
      <c r="E241" s="2"/>
      <c r="F241" s="6">
        <f t="shared" si="80"/>
        <v>0.14759211493680074</v>
      </c>
      <c r="G241" s="2"/>
      <c r="H241" s="7">
        <v>-30911</v>
      </c>
      <c r="I241" s="2"/>
      <c r="J241" s="6">
        <f t="shared" si="81"/>
        <v>-0.1171612390095719</v>
      </c>
      <c r="K241" s="2"/>
      <c r="L241" s="7">
        <f t="shared" si="82"/>
        <v>61618</v>
      </c>
      <c r="M241" s="2"/>
      <c r="N241" s="6">
        <f t="shared" si="83"/>
        <v>-1.9934004076218821</v>
      </c>
      <c r="O241" s="11"/>
      <c r="P241" s="7">
        <v>30707</v>
      </c>
      <c r="Q241" s="2"/>
      <c r="R241" s="6">
        <f t="shared" si="84"/>
        <v>3.3251368336796577E-3</v>
      </c>
      <c r="S241" s="2"/>
      <c r="T241" s="7">
        <v>-30911</v>
      </c>
      <c r="U241" s="2"/>
      <c r="V241" s="6">
        <f t="shared" si="85"/>
        <v>-2.6901595091313804E-3</v>
      </c>
      <c r="W241" s="2"/>
      <c r="X241" s="7">
        <f t="shared" si="86"/>
        <v>61618</v>
      </c>
      <c r="Y241" s="2"/>
      <c r="Z241" s="6">
        <f t="shared" si="87"/>
        <v>-1.9934004076218821</v>
      </c>
    </row>
    <row r="242" spans="1:26" s="24" customFormat="1" hidden="1" outlineLevel="2" x14ac:dyDescent="0.35">
      <c r="A242" s="27"/>
      <c r="B242" s="11" t="str">
        <f>CONCATENATE("          ", "7742", " - ", "INV. SHRINKAGE-EVERYDAY GIFTS")</f>
        <v xml:space="preserve">          7742 - INV. SHRINKAGE-EVERYDAY GIFTS</v>
      </c>
      <c r="C242" s="11"/>
      <c r="D242" s="7">
        <v>26197</v>
      </c>
      <c r="E242" s="2"/>
      <c r="F242" s="6">
        <f t="shared" si="80"/>
        <v>0.12591495864133159</v>
      </c>
      <c r="G242" s="2"/>
      <c r="H242" s="7">
        <v>10301</v>
      </c>
      <c r="I242" s="2"/>
      <c r="J242" s="6">
        <f t="shared" si="81"/>
        <v>3.9043638932341244E-2</v>
      </c>
      <c r="K242" s="2"/>
      <c r="L242" s="7">
        <f t="shared" si="82"/>
        <v>15896</v>
      </c>
      <c r="M242" s="2"/>
      <c r="N242" s="6">
        <f t="shared" si="83"/>
        <v>1.5431511503737501</v>
      </c>
      <c r="O242" s="11"/>
      <c r="P242" s="7">
        <v>26197</v>
      </c>
      <c r="Q242" s="2"/>
      <c r="R242" s="6">
        <f t="shared" si="84"/>
        <v>2.8367671746476696E-3</v>
      </c>
      <c r="S242" s="2"/>
      <c r="T242" s="7">
        <v>10301</v>
      </c>
      <c r="U242" s="2"/>
      <c r="V242" s="6">
        <f t="shared" si="85"/>
        <v>8.9648775851840278E-4</v>
      </c>
      <c r="W242" s="2"/>
      <c r="X242" s="7">
        <f t="shared" si="86"/>
        <v>15896</v>
      </c>
      <c r="Y242" s="2"/>
      <c r="Z242" s="6">
        <f t="shared" si="87"/>
        <v>1.5431511503737501</v>
      </c>
    </row>
    <row r="243" spans="1:26" s="24" customFormat="1" hidden="1" outlineLevel="2" x14ac:dyDescent="0.35">
      <c r="A243" s="27"/>
      <c r="B243" s="11" t="str">
        <f>CONCATENATE("          ", "7743", " - ", "INV. SHRINKAGE-CARDS")</f>
        <v xml:space="preserve">          7743 - INV. SHRINKAGE-CARDS</v>
      </c>
      <c r="C243" s="11"/>
      <c r="D243" s="7">
        <v>-12818</v>
      </c>
      <c r="E243" s="2"/>
      <c r="F243" s="6">
        <f t="shared" si="80"/>
        <v>-6.160926594131344E-2</v>
      </c>
      <c r="G243" s="2"/>
      <c r="H243" s="7">
        <v>-1135</v>
      </c>
      <c r="I243" s="2"/>
      <c r="J243" s="6">
        <f t="shared" si="81"/>
        <v>-4.3019639052720429E-3</v>
      </c>
      <c r="K243" s="2"/>
      <c r="L243" s="7">
        <f t="shared" si="82"/>
        <v>-11683</v>
      </c>
      <c r="M243" s="2"/>
      <c r="N243" s="6">
        <f t="shared" si="83"/>
        <v>10.293392070484581</v>
      </c>
      <c r="O243" s="11"/>
      <c r="P243" s="7">
        <v>-12818</v>
      </c>
      <c r="Q243" s="2"/>
      <c r="R243" s="6">
        <f t="shared" si="84"/>
        <v>-1.3880093768230649E-3</v>
      </c>
      <c r="S243" s="2"/>
      <c r="T243" s="7">
        <v>-1135</v>
      </c>
      <c r="U243" s="2"/>
      <c r="V243" s="6">
        <f t="shared" si="85"/>
        <v>-9.8778138619394929E-5</v>
      </c>
      <c r="W243" s="2"/>
      <c r="X243" s="7">
        <f t="shared" si="86"/>
        <v>-11683</v>
      </c>
      <c r="Y243" s="2"/>
      <c r="Z243" s="6">
        <f t="shared" si="87"/>
        <v>10.293392070484581</v>
      </c>
    </row>
    <row r="244" spans="1:26" s="24" customFormat="1" hidden="1" outlineLevel="2" x14ac:dyDescent="0.35">
      <c r="A244" s="27"/>
      <c r="B244" s="11" t="str">
        <f>CONCATENATE("          ", "7744", " - ", "INV. SHRINKAGE-ACCESSORIES")</f>
        <v xml:space="preserve">          7744 - INV. SHRINKAGE-ACCESSORIES</v>
      </c>
      <c r="C244" s="11"/>
      <c r="D244" s="7">
        <v>-16780</v>
      </c>
      <c r="E244" s="2"/>
      <c r="F244" s="6">
        <f t="shared" si="80"/>
        <v>-8.0652479520614731E-2</v>
      </c>
      <c r="G244" s="2"/>
      <c r="H244" s="7">
        <v>-141</v>
      </c>
      <c r="I244" s="2"/>
      <c r="J244" s="6">
        <f t="shared" si="81"/>
        <v>-5.3442899616154896E-4</v>
      </c>
      <c r="K244" s="2"/>
      <c r="L244" s="7">
        <f t="shared" si="82"/>
        <v>-16639</v>
      </c>
      <c r="M244" s="2"/>
      <c r="N244" s="6">
        <f t="shared" si="83"/>
        <v>118.00709219858156</v>
      </c>
      <c r="O244" s="11"/>
      <c r="P244" s="7">
        <v>-16780</v>
      </c>
      <c r="Q244" s="2"/>
      <c r="R244" s="6">
        <f t="shared" si="84"/>
        <v>-1.8170383322742259E-3</v>
      </c>
      <c r="S244" s="2"/>
      <c r="T244" s="7">
        <v>-141</v>
      </c>
      <c r="U244" s="2"/>
      <c r="V244" s="6">
        <f t="shared" si="85"/>
        <v>-1.227111678003056E-5</v>
      </c>
      <c r="W244" s="2"/>
      <c r="X244" s="7">
        <f t="shared" si="86"/>
        <v>-16639</v>
      </c>
      <c r="Y244" s="2"/>
      <c r="Z244" s="6">
        <f t="shared" si="87"/>
        <v>118.00709219858156</v>
      </c>
    </row>
    <row r="245" spans="1:26" s="24" customFormat="1" hidden="1" outlineLevel="2" x14ac:dyDescent="0.35">
      <c r="A245" s="27"/>
      <c r="B245" s="11" t="str">
        <f>CONCATENATE("          ", "7745", " - ", "INV. SHRINKAGE-SPECIAL ORDERS")</f>
        <v xml:space="preserve">          7745 - INV. SHRINKAGE-SPECIAL ORDERS</v>
      </c>
      <c r="C245" s="11"/>
      <c r="D245" s="7">
        <v>44531</v>
      </c>
      <c r="E245" s="2"/>
      <c r="F245" s="6">
        <f t="shared" si="80"/>
        <v>0.21403668447750265</v>
      </c>
      <c r="G245" s="2"/>
      <c r="H245" s="7">
        <v>-740</v>
      </c>
      <c r="I245" s="2"/>
      <c r="J245" s="6">
        <f t="shared" si="81"/>
        <v>-2.8048046607060013E-3</v>
      </c>
      <c r="K245" s="2"/>
      <c r="L245" s="7">
        <f t="shared" si="82"/>
        <v>45271</v>
      </c>
      <c r="M245" s="2"/>
      <c r="N245" s="6">
        <f t="shared" si="83"/>
        <v>-61.17702702702703</v>
      </c>
      <c r="O245" s="11"/>
      <c r="P245" s="7">
        <v>44531</v>
      </c>
      <c r="Q245" s="2"/>
      <c r="R245" s="6">
        <f t="shared" si="84"/>
        <v>4.8220818816748249E-3</v>
      </c>
      <c r="S245" s="2"/>
      <c r="T245" s="7">
        <v>-740</v>
      </c>
      <c r="U245" s="2"/>
      <c r="V245" s="6">
        <f t="shared" si="85"/>
        <v>-6.4401605795905067E-5</v>
      </c>
      <c r="W245" s="2"/>
      <c r="X245" s="7">
        <f t="shared" si="86"/>
        <v>45271</v>
      </c>
      <c r="Y245" s="2"/>
      <c r="Z245" s="6">
        <f t="shared" si="87"/>
        <v>-61.17702702702703</v>
      </c>
    </row>
    <row r="246" spans="1:26" s="24" customFormat="1" hidden="1" outlineLevel="2" x14ac:dyDescent="0.35">
      <c r="A246" s="27"/>
      <c r="B246" s="11" t="str">
        <f>CONCATENATE("          ", "7781", " - ", "INV. SHRINKAGE-ELECTRONICS")</f>
        <v xml:space="preserve">          7781 - INV. SHRINKAGE-ELECTRONICS</v>
      </c>
      <c r="C246" s="11"/>
      <c r="D246" s="7">
        <v>-28</v>
      </c>
      <c r="E246" s="2"/>
      <c r="F246" s="6">
        <f t="shared" si="80"/>
        <v>-1.3458101469470871E-4</v>
      </c>
      <c r="G246" s="2"/>
      <c r="H246" s="7">
        <v>98</v>
      </c>
      <c r="I246" s="2"/>
      <c r="J246" s="6">
        <f t="shared" si="81"/>
        <v>3.7144710371511913E-4</v>
      </c>
      <c r="K246" s="2"/>
      <c r="L246" s="7">
        <f t="shared" si="82"/>
        <v>-126</v>
      </c>
      <c r="M246" s="2"/>
      <c r="N246" s="6">
        <f t="shared" si="83"/>
        <v>-1.2857142857142858</v>
      </c>
      <c r="O246" s="11"/>
      <c r="P246" s="7">
        <v>-28</v>
      </c>
      <c r="Q246" s="2"/>
      <c r="R246" s="6">
        <f t="shared" si="84"/>
        <v>-3.0320067523050253E-6</v>
      </c>
      <c r="S246" s="2"/>
      <c r="T246" s="7">
        <v>98</v>
      </c>
      <c r="U246" s="2"/>
      <c r="V246" s="6">
        <f t="shared" si="85"/>
        <v>8.5288613081063463E-6</v>
      </c>
      <c r="W246" s="2"/>
      <c r="X246" s="7">
        <f t="shared" si="86"/>
        <v>-126</v>
      </c>
      <c r="Y246" s="2"/>
      <c r="Z246" s="6">
        <f t="shared" si="87"/>
        <v>-1.2857142857142858</v>
      </c>
    </row>
    <row r="247" spans="1:26" s="24" customFormat="1" hidden="1" outlineLevel="2" x14ac:dyDescent="0.35">
      <c r="A247" s="27"/>
      <c r="B247" s="11" t="str">
        <f>CONCATENATE("          ", "7782", " - ", "INV. SHRINKAGE-COMPUTER HARDWA")</f>
        <v xml:space="preserve">          7782 - INV. SHRINKAGE-COMPUTER HARDWA</v>
      </c>
      <c r="C247" s="11"/>
      <c r="D247" s="7">
        <v>69</v>
      </c>
      <c r="E247" s="2"/>
      <c r="F247" s="6">
        <f t="shared" si="80"/>
        <v>3.3164607192624648E-4</v>
      </c>
      <c r="G247" s="2"/>
      <c r="H247" s="7">
        <v>-1237</v>
      </c>
      <c r="I247" s="2"/>
      <c r="J247" s="6">
        <f t="shared" si="81"/>
        <v>-4.6885721152612487E-3</v>
      </c>
      <c r="K247" s="2"/>
      <c r="L247" s="7">
        <f t="shared" si="82"/>
        <v>1306</v>
      </c>
      <c r="M247" s="2"/>
      <c r="N247" s="6">
        <f t="shared" si="83"/>
        <v>-1.0557801131770412</v>
      </c>
      <c r="O247" s="11"/>
      <c r="P247" s="7">
        <v>69</v>
      </c>
      <c r="Q247" s="2"/>
      <c r="R247" s="6">
        <f t="shared" si="84"/>
        <v>7.4717309253230984E-6</v>
      </c>
      <c r="S247" s="2"/>
      <c r="T247" s="7">
        <v>-1237</v>
      </c>
      <c r="U247" s="2"/>
      <c r="V247" s="6">
        <f t="shared" si="85"/>
        <v>-1.0765511671558725E-4</v>
      </c>
      <c r="W247" s="2"/>
      <c r="X247" s="7">
        <f t="shared" si="86"/>
        <v>1306</v>
      </c>
      <c r="Y247" s="2"/>
      <c r="Z247" s="6">
        <f t="shared" si="87"/>
        <v>-1.0557801131770412</v>
      </c>
    </row>
    <row r="248" spans="1:26" s="24" customFormat="1" hidden="1" outlineLevel="2" x14ac:dyDescent="0.35">
      <c r="A248" s="27"/>
      <c r="B248" s="11" t="str">
        <f>CONCATENATE("          ", "7783", " - ", "INV. SHRINKAGE-COMPUTER EQUIPM")</f>
        <v xml:space="preserve">          7783 - INV. SHRINKAGE-COMPUTER EQUIPM</v>
      </c>
      <c r="C248" s="11"/>
      <c r="D248" s="7">
        <v>266</v>
      </c>
      <c r="E248" s="2"/>
      <c r="F248" s="6">
        <f t="shared" si="80"/>
        <v>1.2785196395997329E-3</v>
      </c>
      <c r="G248" s="2"/>
      <c r="H248" s="7">
        <v>-74</v>
      </c>
      <c r="I248" s="2"/>
      <c r="J248" s="6">
        <f t="shared" si="81"/>
        <v>-2.8048046607060013E-4</v>
      </c>
      <c r="K248" s="2"/>
      <c r="L248" s="7">
        <f t="shared" si="82"/>
        <v>340</v>
      </c>
      <c r="M248" s="2"/>
      <c r="N248" s="6">
        <f t="shared" si="83"/>
        <v>-4.5945945945945947</v>
      </c>
      <c r="O248" s="11"/>
      <c r="P248" s="7">
        <v>266</v>
      </c>
      <c r="Q248" s="2"/>
      <c r="R248" s="6">
        <f t="shared" si="84"/>
        <v>2.8804064146897742E-5</v>
      </c>
      <c r="S248" s="2"/>
      <c r="T248" s="7">
        <v>-74</v>
      </c>
      <c r="U248" s="2"/>
      <c r="V248" s="6">
        <f t="shared" si="85"/>
        <v>-6.4401605795905065E-6</v>
      </c>
      <c r="W248" s="2"/>
      <c r="X248" s="7">
        <f t="shared" si="86"/>
        <v>340</v>
      </c>
      <c r="Y248" s="2"/>
      <c r="Z248" s="6">
        <f t="shared" si="87"/>
        <v>-4.5945945945945947</v>
      </c>
    </row>
    <row r="249" spans="1:26" s="24" customFormat="1" hidden="1" outlineLevel="2" x14ac:dyDescent="0.35">
      <c r="A249" s="27"/>
      <c r="B249" s="11" t="str">
        <f>CONCATENATE("          ", "7786", " - ", "INV. SHRINKAGE-COMPUTER SUPPLI")</f>
        <v xml:space="preserve">          7786 - INV. SHRINKAGE-COMPUTER SUPPLI</v>
      </c>
      <c r="C249" s="11"/>
      <c r="D249" s="7">
        <v>38</v>
      </c>
      <c r="E249" s="2"/>
      <c r="F249" s="6">
        <f t="shared" si="80"/>
        <v>1.8264566279996183E-4</v>
      </c>
      <c r="G249" s="2"/>
      <c r="H249" s="7">
        <v>-236</v>
      </c>
      <c r="I249" s="2"/>
      <c r="J249" s="6">
        <f t="shared" si="81"/>
        <v>-8.9450527017110313E-4</v>
      </c>
      <c r="K249" s="2"/>
      <c r="L249" s="7">
        <f t="shared" si="82"/>
        <v>274</v>
      </c>
      <c r="M249" s="2"/>
      <c r="N249" s="6">
        <f t="shared" si="83"/>
        <v>-1.1610169491525424</v>
      </c>
      <c r="O249" s="11"/>
      <c r="P249" s="7">
        <v>38</v>
      </c>
      <c r="Q249" s="2"/>
      <c r="R249" s="6">
        <f t="shared" si="84"/>
        <v>4.1148663066996777E-6</v>
      </c>
      <c r="S249" s="2"/>
      <c r="T249" s="7">
        <v>-236</v>
      </c>
      <c r="U249" s="2"/>
      <c r="V249" s="6">
        <f t="shared" si="85"/>
        <v>-2.0538890497072425E-5</v>
      </c>
      <c r="W249" s="2"/>
      <c r="X249" s="7">
        <f t="shared" si="86"/>
        <v>274</v>
      </c>
      <c r="Y249" s="2"/>
      <c r="Z249" s="6">
        <f t="shared" si="87"/>
        <v>-1.1610169491525424</v>
      </c>
    </row>
    <row r="250" spans="1:26" s="24" customFormat="1" hidden="1" outlineLevel="2" x14ac:dyDescent="0.35">
      <c r="A250" s="27"/>
      <c r="B250" s="11" t="str">
        <f>CONCATENATE("          ", "7792", " - ", "INV. SHRINKAGE-GRAD MERCH")</f>
        <v xml:space="preserve">          7792 - INV. SHRINKAGE-GRAD MERCH</v>
      </c>
      <c r="C250" s="11"/>
      <c r="D250" s="7">
        <v>535</v>
      </c>
      <c r="E250" s="2"/>
      <c r="F250" s="6">
        <f t="shared" si="80"/>
        <v>2.5714586736310416E-3</v>
      </c>
      <c r="G250" s="2"/>
      <c r="H250" s="7">
        <v>-3925</v>
      </c>
      <c r="I250" s="2"/>
      <c r="J250" s="6">
        <f t="shared" si="81"/>
        <v>-1.4876835531447372E-2</v>
      </c>
      <c r="K250" s="2"/>
      <c r="L250" s="7">
        <f t="shared" si="82"/>
        <v>4460</v>
      </c>
      <c r="M250" s="2"/>
      <c r="N250" s="6">
        <f t="shared" si="83"/>
        <v>-1.1363057324840764</v>
      </c>
      <c r="O250" s="11"/>
      <c r="P250" s="7">
        <v>535</v>
      </c>
      <c r="Q250" s="2"/>
      <c r="R250" s="6">
        <f t="shared" si="84"/>
        <v>5.7932986160113883E-5</v>
      </c>
      <c r="S250" s="2"/>
      <c r="T250" s="7">
        <v>-3925</v>
      </c>
      <c r="U250" s="2"/>
      <c r="V250" s="6">
        <f t="shared" si="85"/>
        <v>-3.4158959830936131E-4</v>
      </c>
      <c r="W250" s="2"/>
      <c r="X250" s="7">
        <f t="shared" si="86"/>
        <v>4460</v>
      </c>
      <c r="Y250" s="2"/>
      <c r="Z250" s="6">
        <f t="shared" si="87"/>
        <v>-1.1363057324840764</v>
      </c>
    </row>
    <row r="251" spans="1:26" s="24" customFormat="1" hidden="1" outlineLevel="2" x14ac:dyDescent="0.35">
      <c r="A251" s="27"/>
      <c r="B251" s="11" t="str">
        <f>CONCATENATE("          ", "7795", " - ", "INV. SHRINKAGE-CUSTOMER SERVIC")</f>
        <v xml:space="preserve">          7795 - INV. SHRINKAGE-CUSTOMER SERVIC</v>
      </c>
      <c r="C251" s="11"/>
      <c r="D251" s="7">
        <v>-132</v>
      </c>
      <c r="E251" s="2"/>
      <c r="F251" s="6">
        <f t="shared" si="80"/>
        <v>-6.3445335498934108E-4</v>
      </c>
      <c r="G251" s="2"/>
      <c r="H251" s="7">
        <v>-146</v>
      </c>
      <c r="I251" s="2"/>
      <c r="J251" s="6">
        <f t="shared" si="81"/>
        <v>-5.5338037900415707E-4</v>
      </c>
      <c r="K251" s="2"/>
      <c r="L251" s="7">
        <f t="shared" si="82"/>
        <v>14</v>
      </c>
      <c r="M251" s="2"/>
      <c r="N251" s="6">
        <f t="shared" si="83"/>
        <v>-9.5890410958904104E-2</v>
      </c>
      <c r="O251" s="11"/>
      <c r="P251" s="7">
        <v>-132</v>
      </c>
      <c r="Q251" s="2"/>
      <c r="R251" s="6">
        <f t="shared" si="84"/>
        <v>-1.4293746118009405E-5</v>
      </c>
      <c r="S251" s="2"/>
      <c r="T251" s="7">
        <v>-146</v>
      </c>
      <c r="U251" s="2"/>
      <c r="V251" s="6">
        <f t="shared" si="85"/>
        <v>-1.2706262765138026E-5</v>
      </c>
      <c r="W251" s="2"/>
      <c r="X251" s="7">
        <f t="shared" si="86"/>
        <v>14</v>
      </c>
      <c r="Y251" s="2"/>
      <c r="Z251" s="6">
        <f t="shared" si="87"/>
        <v>-9.5890410958904104E-2</v>
      </c>
    </row>
    <row r="252" spans="1:26" s="25" customFormat="1" outlineLevel="1" collapsed="1" x14ac:dyDescent="0.35">
      <c r="A252" s="26"/>
      <c r="B252" s="12" t="str">
        <f>CONCATENATE("     ","Professional Services                             ")</f>
        <v xml:space="preserve">     Professional Services                             </v>
      </c>
      <c r="C252" s="12"/>
      <c r="D252" s="1">
        <f>SUM(OSRRefD22_14x_0)</f>
        <v>8441.9599999999991</v>
      </c>
      <c r="E252" s="1"/>
      <c r="F252" s="5">
        <f t="shared" ref="F252:F260" si="88">IF(D$12=0,0,D252/D$12)</f>
        <v>4.0575983671862256E-2</v>
      </c>
      <c r="G252" s="1"/>
      <c r="H252" s="1">
        <f>SUM(OSRRefH22_14x_0)</f>
        <v>0</v>
      </c>
      <c r="I252" s="1"/>
      <c r="J252" s="5">
        <f t="shared" ref="J252:J260" si="89">IF(H$12=0,0,H252/H$12)</f>
        <v>0</v>
      </c>
      <c r="K252" s="1"/>
      <c r="L252" s="1">
        <f t="shared" ref="L252:L260" si="90">+D252-H252</f>
        <v>8441.9599999999991</v>
      </c>
      <c r="M252" s="1"/>
      <c r="N252" s="5">
        <f t="shared" ref="N252:N260" si="91">IF(H252=0,0,L252/H252)</f>
        <v>0</v>
      </c>
      <c r="O252" s="12"/>
      <c r="P252" s="1">
        <f>SUM(OSRRefP22_14x_0)</f>
        <v>17571.52</v>
      </c>
      <c r="Q252" s="1"/>
      <c r="R252" s="5">
        <f t="shared" ref="R252:R260" si="92">IF(P$12=0,0,P252/P$12)</f>
        <v>1.9027488317236716E-3</v>
      </c>
      <c r="S252" s="1"/>
      <c r="T252" s="1">
        <f>SUM(OSRRefT22_14x_0)</f>
        <v>8276.43</v>
      </c>
      <c r="U252" s="1"/>
      <c r="V252" s="5">
        <f t="shared" ref="V252:V260" si="93">IF(T$12=0,0,T252/T$12)</f>
        <v>7.2029105710459803E-4</v>
      </c>
      <c r="W252" s="1"/>
      <c r="X252" s="1">
        <f t="shared" ref="X252:X260" si="94">+P252-T252</f>
        <v>9295.09</v>
      </c>
      <c r="Y252" s="1"/>
      <c r="Z252" s="5">
        <f t="shared" ref="Z252:Z260" si="95">IF(T252=0,0,X252/T252)</f>
        <v>1.1230796369932448</v>
      </c>
    </row>
    <row r="253" spans="1:26" s="24" customFormat="1" hidden="1" outlineLevel="2" x14ac:dyDescent="0.35">
      <c r="A253" s="27"/>
      <c r="B253" s="11" t="str">
        <f>CONCATENATE("          ", "6336", " - ", "PROFESSIONAL SERVICES")</f>
        <v xml:space="preserve">          6336 - PROFESSIONAL SERVICES</v>
      </c>
      <c r="C253" s="11"/>
      <c r="D253" s="7">
        <v>8441.9599999999991</v>
      </c>
      <c r="E253" s="2"/>
      <c r="F253" s="6">
        <f t="shared" si="88"/>
        <v>4.0575983671862256E-2</v>
      </c>
      <c r="G253" s="2"/>
      <c r="H253" s="7"/>
      <c r="I253" s="2"/>
      <c r="J253" s="6">
        <f t="shared" si="89"/>
        <v>0</v>
      </c>
      <c r="K253" s="2"/>
      <c r="L253" s="7">
        <f t="shared" si="90"/>
        <v>8441.9599999999991</v>
      </c>
      <c r="M253" s="2"/>
      <c r="N253" s="6">
        <f t="shared" si="91"/>
        <v>0</v>
      </c>
      <c r="O253" s="11"/>
      <c r="P253" s="7">
        <v>17571.52</v>
      </c>
      <c r="Q253" s="2"/>
      <c r="R253" s="6">
        <f t="shared" si="92"/>
        <v>1.9027488317236716E-3</v>
      </c>
      <c r="S253" s="2"/>
      <c r="T253" s="7">
        <v>8276.43</v>
      </c>
      <c r="U253" s="2"/>
      <c r="V253" s="6">
        <f t="shared" si="93"/>
        <v>7.2029105710459803E-4</v>
      </c>
      <c r="W253" s="2"/>
      <c r="X253" s="7">
        <f t="shared" si="94"/>
        <v>9295.09</v>
      </c>
      <c r="Y253" s="2"/>
      <c r="Z253" s="6">
        <f t="shared" si="95"/>
        <v>1.1230796369932448</v>
      </c>
    </row>
    <row r="254" spans="1:26" s="25" customFormat="1" outlineLevel="1" collapsed="1" x14ac:dyDescent="0.35">
      <c r="A254" s="26"/>
      <c r="B254" s="12" t="str">
        <f>CONCATENATE("     ","Rent                                              ")</f>
        <v xml:space="preserve">     Rent                                              </v>
      </c>
      <c r="C254" s="12"/>
      <c r="D254" s="1">
        <f>SUM(OSRRefD22_15x_0)</f>
        <v>6100</v>
      </c>
      <c r="E254" s="1"/>
      <c r="F254" s="5">
        <f t="shared" si="88"/>
        <v>2.9319435344204399E-2</v>
      </c>
      <c r="G254" s="1"/>
      <c r="H254" s="1">
        <f>SUM(OSRRefH22_15x_0)</f>
        <v>6100</v>
      </c>
      <c r="I254" s="1"/>
      <c r="J254" s="5">
        <f t="shared" si="89"/>
        <v>2.3120687067981902E-2</v>
      </c>
      <c r="K254" s="1"/>
      <c r="L254" s="1">
        <f t="shared" si="90"/>
        <v>0</v>
      </c>
      <c r="M254" s="1"/>
      <c r="N254" s="5">
        <f t="shared" si="91"/>
        <v>0</v>
      </c>
      <c r="O254" s="12"/>
      <c r="P254" s="1">
        <f>SUM(OSRRefP22_15x_0)</f>
        <v>74800</v>
      </c>
      <c r="Q254" s="1"/>
      <c r="R254" s="5">
        <f t="shared" si="92"/>
        <v>8.0997894668719973E-3</v>
      </c>
      <c r="S254" s="1"/>
      <c r="T254" s="1">
        <f>SUM(OSRRefT22_15x_0)</f>
        <v>74101.08</v>
      </c>
      <c r="U254" s="1"/>
      <c r="V254" s="5">
        <f t="shared" si="93"/>
        <v>6.4489574908254393E-3</v>
      </c>
      <c r="W254" s="1"/>
      <c r="X254" s="1">
        <f t="shared" si="94"/>
        <v>698.91999999999825</v>
      </c>
      <c r="Y254" s="1"/>
      <c r="Z254" s="5">
        <f t="shared" si="95"/>
        <v>9.4319812882619012E-3</v>
      </c>
    </row>
    <row r="255" spans="1:26" s="24" customFormat="1" hidden="1" outlineLevel="2" x14ac:dyDescent="0.35">
      <c r="A255" s="27"/>
      <c r="B255" s="11" t="str">
        <f>CONCATENATE("          ", "6273", " - ", "RENT")</f>
        <v xml:space="preserve">          6273 - RENT</v>
      </c>
      <c r="C255" s="11"/>
      <c r="D255" s="7">
        <v>6100</v>
      </c>
      <c r="E255" s="2"/>
      <c r="F255" s="6">
        <f t="shared" si="88"/>
        <v>2.9319435344204399E-2</v>
      </c>
      <c r="G255" s="2"/>
      <c r="H255" s="7">
        <v>6100</v>
      </c>
      <c r="I255" s="2"/>
      <c r="J255" s="6">
        <f t="shared" si="89"/>
        <v>2.3120687067981902E-2</v>
      </c>
      <c r="K255" s="2"/>
      <c r="L255" s="7">
        <f t="shared" si="90"/>
        <v>0</v>
      </c>
      <c r="M255" s="2"/>
      <c r="N255" s="6">
        <f t="shared" si="91"/>
        <v>0</v>
      </c>
      <c r="O255" s="11"/>
      <c r="P255" s="7">
        <v>74800</v>
      </c>
      <c r="Q255" s="2"/>
      <c r="R255" s="6">
        <f t="shared" si="92"/>
        <v>8.0997894668719973E-3</v>
      </c>
      <c r="S255" s="2"/>
      <c r="T255" s="7">
        <v>74101.08</v>
      </c>
      <c r="U255" s="2"/>
      <c r="V255" s="6">
        <f t="shared" si="93"/>
        <v>6.4489574908254393E-3</v>
      </c>
      <c r="W255" s="2"/>
      <c r="X255" s="7">
        <f t="shared" si="94"/>
        <v>698.91999999999825</v>
      </c>
      <c r="Y255" s="2"/>
      <c r="Z255" s="6">
        <f t="shared" si="95"/>
        <v>9.4319812882619012E-3</v>
      </c>
    </row>
    <row r="256" spans="1:26" s="25" customFormat="1" outlineLevel="1" collapsed="1" x14ac:dyDescent="0.35">
      <c r="A256" s="26"/>
      <c r="B256" s="12" t="str">
        <f>CONCATENATE("     ","Repair and Maintenance                            ")</f>
        <v xml:space="preserve">     Repair and Maintenance                            </v>
      </c>
      <c r="C256" s="12"/>
      <c r="D256" s="1">
        <f>SUM(OSRRefD22_16x_0)</f>
        <v>26294.07</v>
      </c>
      <c r="E256" s="1"/>
      <c r="F256" s="5">
        <f t="shared" si="88"/>
        <v>0.12638152218048929</v>
      </c>
      <c r="G256" s="1"/>
      <c r="H256" s="1">
        <f>SUM(OSRRefH22_16x_0)</f>
        <v>49308.759999999995</v>
      </c>
      <c r="I256" s="1"/>
      <c r="J256" s="5">
        <f t="shared" si="89"/>
        <v>0.18689383765085626</v>
      </c>
      <c r="K256" s="1"/>
      <c r="L256" s="1">
        <f t="shared" si="90"/>
        <v>-23014.689999999995</v>
      </c>
      <c r="M256" s="1"/>
      <c r="N256" s="5">
        <f t="shared" si="91"/>
        <v>-0.46674647669095709</v>
      </c>
      <c r="O256" s="12"/>
      <c r="P256" s="1">
        <f>SUM(OSRRefP22_16x_0)</f>
        <v>159933.65999999997</v>
      </c>
      <c r="Q256" s="1"/>
      <c r="R256" s="5">
        <f t="shared" si="92"/>
        <v>1.7318569180030576E-2</v>
      </c>
      <c r="S256" s="1"/>
      <c r="T256" s="1">
        <f>SUM(OSRRefT22_16x_0)</f>
        <v>226330.48</v>
      </c>
      <c r="U256" s="1"/>
      <c r="V256" s="5">
        <f t="shared" si="93"/>
        <v>1.9697359935889155E-2</v>
      </c>
      <c r="W256" s="1"/>
      <c r="X256" s="1">
        <f t="shared" si="94"/>
        <v>-66396.820000000036</v>
      </c>
      <c r="Y256" s="1"/>
      <c r="Z256" s="5">
        <f t="shared" si="95"/>
        <v>-0.29336225505287683</v>
      </c>
    </row>
    <row r="257" spans="1:26" s="24" customFormat="1" hidden="1" outlineLevel="2" x14ac:dyDescent="0.35">
      <c r="A257" s="27"/>
      <c r="B257" s="11" t="str">
        <f>CONCATENATE("          ", "6371", " - ", "COMPUTER SOFTWARE MAINTENANCE")</f>
        <v xml:space="preserve">          6371 - COMPUTER SOFTWARE MAINTENANCE</v>
      </c>
      <c r="C257" s="11"/>
      <c r="D257" s="7">
        <v>12181.05</v>
      </c>
      <c r="E257" s="2"/>
      <c r="F257" s="6">
        <f t="shared" si="88"/>
        <v>5.854778818024934E-2</v>
      </c>
      <c r="G257" s="2"/>
      <c r="H257" s="7">
        <v>42745</v>
      </c>
      <c r="I257" s="2"/>
      <c r="J257" s="6">
        <f t="shared" si="89"/>
        <v>0.16201537192145679</v>
      </c>
      <c r="K257" s="2"/>
      <c r="L257" s="7">
        <f t="shared" si="90"/>
        <v>-30563.95</v>
      </c>
      <c r="M257" s="2"/>
      <c r="N257" s="6">
        <f t="shared" si="91"/>
        <v>-0.71502982805006432</v>
      </c>
      <c r="O257" s="11"/>
      <c r="P257" s="7">
        <v>28598.550000000003</v>
      </c>
      <c r="Q257" s="2"/>
      <c r="R257" s="6">
        <f t="shared" si="92"/>
        <v>3.0968213109333178E-3</v>
      </c>
      <c r="S257" s="2"/>
      <c r="T257" s="7">
        <v>101136.83</v>
      </c>
      <c r="U257" s="2"/>
      <c r="V257" s="6">
        <f t="shared" si="93"/>
        <v>8.8018571041992774E-3</v>
      </c>
      <c r="W257" s="2"/>
      <c r="X257" s="7">
        <f t="shared" si="94"/>
        <v>-72538.28</v>
      </c>
      <c r="Y257" s="2"/>
      <c r="Z257" s="6">
        <f t="shared" si="95"/>
        <v>-0.71722912414794882</v>
      </c>
    </row>
    <row r="258" spans="1:26" s="24" customFormat="1" hidden="1" outlineLevel="2" x14ac:dyDescent="0.35">
      <c r="A258" s="27"/>
      <c r="B258" s="11" t="str">
        <f>CONCATENATE("          ", "6372", " - ", "COMPUTER HARDWARE MAINTENANCE")</f>
        <v xml:space="preserve">          6372 - COMPUTER HARDWARE MAINTENANCE</v>
      </c>
      <c r="C258" s="11"/>
      <c r="D258" s="7">
        <v>-2</v>
      </c>
      <c r="E258" s="2"/>
      <c r="F258" s="6">
        <f t="shared" si="88"/>
        <v>-9.6129296210506234E-6</v>
      </c>
      <c r="G258" s="2"/>
      <c r="H258" s="7"/>
      <c r="I258" s="2"/>
      <c r="J258" s="6">
        <f t="shared" si="89"/>
        <v>0</v>
      </c>
      <c r="K258" s="2"/>
      <c r="L258" s="7">
        <f t="shared" si="90"/>
        <v>-2</v>
      </c>
      <c r="M258" s="2"/>
      <c r="N258" s="6">
        <f t="shared" si="91"/>
        <v>0</v>
      </c>
      <c r="O258" s="11"/>
      <c r="P258" s="7">
        <v>50.32</v>
      </c>
      <c r="Q258" s="2"/>
      <c r="R258" s="6">
        <f t="shared" si="92"/>
        <v>5.4489492777138891E-6</v>
      </c>
      <c r="S258" s="2"/>
      <c r="T258" s="7">
        <v>51.79</v>
      </c>
      <c r="U258" s="2"/>
      <c r="V258" s="6">
        <f t="shared" si="93"/>
        <v>4.5072421137431397E-6</v>
      </c>
      <c r="W258" s="2"/>
      <c r="X258" s="7">
        <f t="shared" si="94"/>
        <v>-1.4699999999999989</v>
      </c>
      <c r="Y258" s="2"/>
      <c r="Z258" s="6">
        <f t="shared" si="95"/>
        <v>-2.8383857887623071E-2</v>
      </c>
    </row>
    <row r="259" spans="1:26" s="24" customFormat="1" hidden="1" outlineLevel="2" x14ac:dyDescent="0.35">
      <c r="A259" s="27"/>
      <c r="B259" s="11" t="str">
        <f>CONCATENATE("          ", "6373", " - ", "MAINTENANCE CONTRACTS")</f>
        <v xml:space="preserve">          6373 - MAINTENANCE CONTRACTS</v>
      </c>
      <c r="C259" s="11"/>
      <c r="D259" s="7">
        <v>12461.73</v>
      </c>
      <c r="E259" s="2"/>
      <c r="F259" s="6">
        <f t="shared" si="88"/>
        <v>5.9896866723267585E-2</v>
      </c>
      <c r="G259" s="2"/>
      <c r="H259" s="7">
        <v>2936.7</v>
      </c>
      <c r="I259" s="2"/>
      <c r="J259" s="6">
        <f t="shared" si="89"/>
        <v>1.1130905198777451E-2</v>
      </c>
      <c r="K259" s="2"/>
      <c r="L259" s="7">
        <f t="shared" si="90"/>
        <v>9525.0299999999988</v>
      </c>
      <c r="M259" s="2"/>
      <c r="N259" s="6">
        <f t="shared" si="91"/>
        <v>3.2434467259168454</v>
      </c>
      <c r="O259" s="11"/>
      <c r="P259" s="7">
        <v>91135.78</v>
      </c>
      <c r="Q259" s="2"/>
      <c r="R259" s="6">
        <f t="shared" si="92"/>
        <v>9.8687250120209034E-3</v>
      </c>
      <c r="S259" s="2"/>
      <c r="T259" s="7">
        <v>92704.290000000008</v>
      </c>
      <c r="U259" s="2"/>
      <c r="V259" s="6">
        <f t="shared" si="93"/>
        <v>8.067979919147655E-3</v>
      </c>
      <c r="W259" s="2"/>
      <c r="X259" s="7">
        <f t="shared" si="94"/>
        <v>-1568.5100000000093</v>
      </c>
      <c r="Y259" s="2"/>
      <c r="Z259" s="6">
        <f t="shared" si="95"/>
        <v>-1.691949746877959E-2</v>
      </c>
    </row>
    <row r="260" spans="1:26" s="24" customFormat="1" hidden="1" outlineLevel="2" x14ac:dyDescent="0.35">
      <c r="A260" s="27"/>
      <c r="B260" s="11" t="str">
        <f>CONCATENATE("          ", "6375", " - ", "OUTSIDE REPAIRS &amp; MAINTENANCE")</f>
        <v xml:space="preserve">          6375 - OUTSIDE REPAIRS &amp; MAINTENANCE</v>
      </c>
      <c r="C260" s="11"/>
      <c r="D260" s="7">
        <v>1653.29</v>
      </c>
      <c r="E260" s="2"/>
      <c r="F260" s="6">
        <f t="shared" si="88"/>
        <v>7.9464802065933923E-3</v>
      </c>
      <c r="G260" s="2"/>
      <c r="H260" s="7">
        <v>3627.06</v>
      </c>
      <c r="I260" s="2"/>
      <c r="J260" s="6">
        <f t="shared" si="89"/>
        <v>1.374756053062204E-2</v>
      </c>
      <c r="K260" s="2"/>
      <c r="L260" s="7">
        <f t="shared" si="90"/>
        <v>-1973.77</v>
      </c>
      <c r="M260" s="2"/>
      <c r="N260" s="6">
        <f t="shared" si="91"/>
        <v>-0.54417903205350893</v>
      </c>
      <c r="O260" s="11"/>
      <c r="P260" s="7">
        <v>40149.009999999995</v>
      </c>
      <c r="Q260" s="2"/>
      <c r="R260" s="6">
        <f t="shared" si="92"/>
        <v>4.3475739077986422E-3</v>
      </c>
      <c r="S260" s="2"/>
      <c r="T260" s="7">
        <v>32437.57</v>
      </c>
      <c r="U260" s="2"/>
      <c r="V260" s="6">
        <f t="shared" si="93"/>
        <v>2.8230156704284813E-3</v>
      </c>
      <c r="W260" s="2"/>
      <c r="X260" s="7">
        <f t="shared" si="94"/>
        <v>7711.4399999999951</v>
      </c>
      <c r="Y260" s="2"/>
      <c r="Z260" s="6">
        <f t="shared" si="95"/>
        <v>0.23773174131107833</v>
      </c>
    </row>
    <row r="261" spans="1:26" s="25" customFormat="1" outlineLevel="1" collapsed="1" x14ac:dyDescent="0.35">
      <c r="A261" s="26"/>
      <c r="B261" s="12" t="str">
        <f>CONCATENATE("     ","Royalty &amp; Commissions                             ")</f>
        <v xml:space="preserve">     Royalty &amp; Commissions                             </v>
      </c>
      <c r="C261" s="12"/>
      <c r="D261" s="1">
        <f>SUM(OSRRefD22_17x_0)</f>
        <v>0</v>
      </c>
      <c r="E261" s="1"/>
      <c r="F261" s="5">
        <f t="shared" ref="F261:F264" si="96">IF(D$12=0,0,D261/D$12)</f>
        <v>0</v>
      </c>
      <c r="G261" s="1"/>
      <c r="H261" s="1">
        <f>SUM(OSRRefH22_17x_0)</f>
        <v>4521.01</v>
      </c>
      <c r="I261" s="1"/>
      <c r="J261" s="5">
        <f t="shared" ref="J261:J264" si="97">IF(H$12=0,0,H261/H$12)</f>
        <v>1.7135878269051948E-2</v>
      </c>
      <c r="K261" s="1"/>
      <c r="L261" s="1">
        <f t="shared" ref="L261:L264" si="98">+D261-H261</f>
        <v>-4521.01</v>
      </c>
      <c r="M261" s="1"/>
      <c r="N261" s="5">
        <f t="shared" ref="N261:N264" si="99">IF(H261=0,0,L261/H261)</f>
        <v>-1</v>
      </c>
      <c r="O261" s="12"/>
      <c r="P261" s="1">
        <f>SUM(OSRRefP22_17x_0)</f>
        <v>123449.40000000001</v>
      </c>
      <c r="Q261" s="1"/>
      <c r="R261" s="5">
        <f t="shared" ref="R261:R264" si="100">IF(P$12=0,0,P261/P$12)</f>
        <v>1.3367836227428716E-2</v>
      </c>
      <c r="S261" s="1"/>
      <c r="T261" s="1">
        <f>SUM(OSRRefT22_17x_0)</f>
        <v>172647.16</v>
      </c>
      <c r="U261" s="1"/>
      <c r="V261" s="5">
        <f t="shared" ref="V261:V264" si="101">IF(T$12=0,0,T261/T$12)</f>
        <v>1.5025343702841283E-2</v>
      </c>
      <c r="W261" s="1"/>
      <c r="X261" s="1">
        <f t="shared" ref="X261:X264" si="102">+P261-T261</f>
        <v>-49197.759999999995</v>
      </c>
      <c r="Y261" s="1"/>
      <c r="Z261" s="5">
        <f t="shared" ref="Z261:Z264" si="103">IF(T261=0,0,X261/T261)</f>
        <v>-0.28496130489490817</v>
      </c>
    </row>
    <row r="262" spans="1:26" s="24" customFormat="1" hidden="1" outlineLevel="2" x14ac:dyDescent="0.35">
      <c r="A262" s="27"/>
      <c r="B262" s="11" t="str">
        <f>CONCATENATE("          ", "6253", " - ", "ROYALTY DUE ATHLETICS-LRG")</f>
        <v xml:space="preserve">          6253 - ROYALTY DUE ATHLETICS-LRG</v>
      </c>
      <c r="C262" s="11"/>
      <c r="D262" s="7"/>
      <c r="E262" s="2"/>
      <c r="F262" s="6">
        <f t="shared" si="96"/>
        <v>0</v>
      </c>
      <c r="G262" s="2"/>
      <c r="H262" s="7"/>
      <c r="I262" s="2"/>
      <c r="J262" s="6">
        <f t="shared" si="97"/>
        <v>0</v>
      </c>
      <c r="K262" s="2"/>
      <c r="L262" s="7">
        <f t="shared" si="98"/>
        <v>0</v>
      </c>
      <c r="M262" s="2"/>
      <c r="N262" s="6">
        <f t="shared" si="99"/>
        <v>0</v>
      </c>
      <c r="O262" s="11"/>
      <c r="P262" s="7">
        <v>32870.44</v>
      </c>
      <c r="Q262" s="2"/>
      <c r="R262" s="6">
        <f t="shared" si="100"/>
        <v>3.5594070011156147E-3</v>
      </c>
      <c r="S262" s="2"/>
      <c r="T262" s="7">
        <v>41365.990000000005</v>
      </c>
      <c r="U262" s="2"/>
      <c r="V262" s="6">
        <f t="shared" si="101"/>
        <v>3.6000488936991236E-3</v>
      </c>
      <c r="W262" s="2"/>
      <c r="X262" s="7">
        <f t="shared" si="102"/>
        <v>-8495.5500000000029</v>
      </c>
      <c r="Y262" s="2"/>
      <c r="Z262" s="6">
        <f t="shared" si="103"/>
        <v>-0.20537523700025073</v>
      </c>
    </row>
    <row r="263" spans="1:26" s="24" customFormat="1" hidden="1" outlineLevel="2" x14ac:dyDescent="0.35">
      <c r="A263" s="27"/>
      <c r="B263" s="11" t="str">
        <f>CONCATENATE("          ", "6254", " - ", "ROYALTY &amp; COMMISSIONS")</f>
        <v xml:space="preserve">          6254 - ROYALTY &amp; COMMISSIONS</v>
      </c>
      <c r="C263" s="11"/>
      <c r="D263" s="7"/>
      <c r="E263" s="2"/>
      <c r="F263" s="6">
        <f t="shared" si="96"/>
        <v>0</v>
      </c>
      <c r="G263" s="2"/>
      <c r="H263" s="7"/>
      <c r="I263" s="2"/>
      <c r="J263" s="6">
        <f t="shared" si="97"/>
        <v>0</v>
      </c>
      <c r="K263" s="2"/>
      <c r="L263" s="7">
        <f t="shared" si="98"/>
        <v>0</v>
      </c>
      <c r="M263" s="2"/>
      <c r="N263" s="6">
        <f t="shared" si="99"/>
        <v>0</v>
      </c>
      <c r="O263" s="11"/>
      <c r="P263" s="7">
        <v>7971.22</v>
      </c>
      <c r="Q263" s="2"/>
      <c r="R263" s="6">
        <f t="shared" si="100"/>
        <v>8.6317117371817378E-4</v>
      </c>
      <c r="S263" s="2"/>
      <c r="T263" s="7">
        <v>16509.43</v>
      </c>
      <c r="U263" s="2"/>
      <c r="V263" s="6">
        <f t="shared" si="101"/>
        <v>1.4368024361825528E-3</v>
      </c>
      <c r="W263" s="2"/>
      <c r="X263" s="7">
        <f t="shared" si="102"/>
        <v>-8538.2099999999991</v>
      </c>
      <c r="Y263" s="2"/>
      <c r="Z263" s="6">
        <f t="shared" si="103"/>
        <v>-0.51717170126406542</v>
      </c>
    </row>
    <row r="264" spans="1:26" s="24" customFormat="1" hidden="1" outlineLevel="2" x14ac:dyDescent="0.35">
      <c r="A264" s="27"/>
      <c r="B264" s="11" t="str">
        <f>CONCATENATE("          ", "6259", " - ", "ROYALTY &amp; COMMISSIONS")</f>
        <v xml:space="preserve">          6259 - ROYALTY &amp; COMMISSIONS</v>
      </c>
      <c r="C264" s="11"/>
      <c r="D264" s="7"/>
      <c r="E264" s="2"/>
      <c r="F264" s="6">
        <f t="shared" si="96"/>
        <v>0</v>
      </c>
      <c r="G264" s="2"/>
      <c r="H264" s="7">
        <v>4521.01</v>
      </c>
      <c r="I264" s="2"/>
      <c r="J264" s="6">
        <f t="shared" si="97"/>
        <v>1.7135878269051948E-2</v>
      </c>
      <c r="K264" s="2"/>
      <c r="L264" s="7">
        <f t="shared" si="98"/>
        <v>-4521.01</v>
      </c>
      <c r="M264" s="2"/>
      <c r="N264" s="6">
        <f t="shared" si="99"/>
        <v>-1</v>
      </c>
      <c r="O264" s="11"/>
      <c r="P264" s="7">
        <v>82607.740000000005</v>
      </c>
      <c r="Q264" s="2"/>
      <c r="R264" s="6">
        <f t="shared" si="100"/>
        <v>8.9452580525949277E-3</v>
      </c>
      <c r="S264" s="2"/>
      <c r="T264" s="7">
        <v>114771.74</v>
      </c>
      <c r="U264" s="2"/>
      <c r="V264" s="6">
        <f t="shared" si="101"/>
        <v>9.9884923729596075E-3</v>
      </c>
      <c r="W264" s="2"/>
      <c r="X264" s="7">
        <f t="shared" si="102"/>
        <v>-32164</v>
      </c>
      <c r="Y264" s="2"/>
      <c r="Z264" s="6">
        <f t="shared" si="103"/>
        <v>-0.28024320272568837</v>
      </c>
    </row>
    <row r="265" spans="1:26" s="25" customFormat="1" outlineLevel="1" collapsed="1" x14ac:dyDescent="0.35">
      <c r="A265" s="26"/>
      <c r="B265" s="12" t="str">
        <f>CONCATENATE("     ","Services                                          ")</f>
        <v xml:space="preserve">     Services                                          </v>
      </c>
      <c r="C265" s="12"/>
      <c r="D265" s="1">
        <f>SUM(OSRRefD22_18x_0)</f>
        <v>8372.83</v>
      </c>
      <c r="E265" s="1"/>
      <c r="F265" s="5">
        <f t="shared" ref="F265:F269" si="104">IF(D$12=0,0,D265/D$12)</f>
        <v>4.0243712759510643E-2</v>
      </c>
      <c r="G265" s="1"/>
      <c r="H265" s="1">
        <f>SUM(OSRRefH22_18x_0)</f>
        <v>4601.22</v>
      </c>
      <c r="I265" s="1"/>
      <c r="J265" s="5">
        <f t="shared" ref="J265:J269" si="105">IF(H$12=0,0,H265/H$12)</f>
        <v>1.7439896352613067E-2</v>
      </c>
      <c r="K265" s="1"/>
      <c r="L265" s="1">
        <f t="shared" ref="L265:L269" si="106">+D265-H265</f>
        <v>3771.6099999999997</v>
      </c>
      <c r="M265" s="1"/>
      <c r="N265" s="5">
        <f t="shared" ref="N265:N269" si="107">IF(H265=0,0,L265/H265)</f>
        <v>0.81969781927401852</v>
      </c>
      <c r="O265" s="12"/>
      <c r="P265" s="1">
        <f>SUM(OSRRefP22_18x_0)</f>
        <v>59006.079999999994</v>
      </c>
      <c r="Q265" s="1"/>
      <c r="R265" s="5">
        <f t="shared" ref="R265:R269" si="108">IF(P$12=0,0,P265/P$12)</f>
        <v>6.3895297495375177E-3</v>
      </c>
      <c r="S265" s="1"/>
      <c r="T265" s="1">
        <f>SUM(OSRRefT22_18x_0)</f>
        <v>53809.22</v>
      </c>
      <c r="U265" s="1"/>
      <c r="V265" s="5">
        <f t="shared" ref="V265:V269" si="109">IF(T$12=0,0,T265/T$12)</f>
        <v>4.6829732089528793E-3</v>
      </c>
      <c r="W265" s="1"/>
      <c r="X265" s="1">
        <f t="shared" ref="X265:X269" si="110">+P265-T265</f>
        <v>5196.8599999999933</v>
      </c>
      <c r="Y265" s="1"/>
      <c r="Z265" s="5">
        <f t="shared" ref="Z265:Z269" si="111">IF(T265=0,0,X265/T265)</f>
        <v>9.6579359448064728E-2</v>
      </c>
    </row>
    <row r="266" spans="1:26" s="24" customFormat="1" hidden="1" outlineLevel="2" x14ac:dyDescent="0.35">
      <c r="A266" s="27"/>
      <c r="B266" s="11" t="str">
        <f>CONCATENATE("          ", "6282", " - ", "JANITORIAL/EXTERMINATOR EXPENS")</f>
        <v xml:space="preserve">          6282 - JANITORIAL/EXTERMINATOR EXPENS</v>
      </c>
      <c r="C266" s="11"/>
      <c r="D266" s="7">
        <v>816.86</v>
      </c>
      <c r="E266" s="2"/>
      <c r="F266" s="6">
        <f t="shared" si="104"/>
        <v>3.926208845125706E-3</v>
      </c>
      <c r="G266" s="2"/>
      <c r="H266" s="7">
        <v>252</v>
      </c>
      <c r="I266" s="2"/>
      <c r="J266" s="6">
        <f t="shared" si="105"/>
        <v>9.5514969526744916E-4</v>
      </c>
      <c r="K266" s="2"/>
      <c r="L266" s="7">
        <f t="shared" si="106"/>
        <v>564.86</v>
      </c>
      <c r="M266" s="2"/>
      <c r="N266" s="6">
        <f t="shared" si="107"/>
        <v>2.2415079365079364</v>
      </c>
      <c r="O266" s="11"/>
      <c r="P266" s="7">
        <v>3502.88</v>
      </c>
      <c r="Q266" s="2"/>
      <c r="R266" s="6">
        <f t="shared" si="108"/>
        <v>3.7931270758979386E-4</v>
      </c>
      <c r="S266" s="2"/>
      <c r="T266" s="7">
        <v>2869.29</v>
      </c>
      <c r="U266" s="2"/>
      <c r="V266" s="6">
        <f t="shared" si="109"/>
        <v>2.4971200472180061E-4</v>
      </c>
      <c r="W266" s="2"/>
      <c r="X266" s="7">
        <f t="shared" si="110"/>
        <v>633.59000000000015</v>
      </c>
      <c r="Y266" s="2"/>
      <c r="Z266" s="6">
        <f t="shared" si="111"/>
        <v>0.2208176935757627</v>
      </c>
    </row>
    <row r="267" spans="1:26" s="24" customFormat="1" hidden="1" outlineLevel="2" x14ac:dyDescent="0.35">
      <c r="A267" s="27"/>
      <c r="B267" s="11" t="str">
        <f>CONCATENATE("          ", "6283", " - ", "PLANT SERVICE")</f>
        <v xml:space="preserve">          6283 - PLANT SERVICE</v>
      </c>
      <c r="C267" s="11"/>
      <c r="D267" s="7"/>
      <c r="E267" s="2"/>
      <c r="F267" s="6">
        <f t="shared" si="104"/>
        <v>0</v>
      </c>
      <c r="G267" s="2"/>
      <c r="H267" s="7">
        <v>180.66</v>
      </c>
      <c r="I267" s="2"/>
      <c r="J267" s="6">
        <f t="shared" si="105"/>
        <v>6.8475136486911652E-4</v>
      </c>
      <c r="K267" s="2"/>
      <c r="L267" s="7">
        <f t="shared" si="106"/>
        <v>-180.66</v>
      </c>
      <c r="M267" s="2"/>
      <c r="N267" s="6">
        <f t="shared" si="107"/>
        <v>-1</v>
      </c>
      <c r="O267" s="11"/>
      <c r="P267" s="7">
        <v>541.98</v>
      </c>
      <c r="Q267" s="2"/>
      <c r="R267" s="6">
        <f t="shared" si="108"/>
        <v>5.868882212908135E-5</v>
      </c>
      <c r="S267" s="2"/>
      <c r="T267" s="7">
        <v>2206.16</v>
      </c>
      <c r="U267" s="2"/>
      <c r="V267" s="6">
        <f t="shared" si="109"/>
        <v>1.9200033330093772E-4</v>
      </c>
      <c r="W267" s="2"/>
      <c r="X267" s="7">
        <f t="shared" si="110"/>
        <v>-1664.1799999999998</v>
      </c>
      <c r="Y267" s="2"/>
      <c r="Z267" s="6">
        <f t="shared" si="111"/>
        <v>-0.75433332124596586</v>
      </c>
    </row>
    <row r="268" spans="1:26" s="24" customFormat="1" hidden="1" outlineLevel="2" x14ac:dyDescent="0.35">
      <c r="A268" s="27"/>
      <c r="B268" s="11" t="str">
        <f>CONCATENATE("          ", "6284", " - ", "TRASH REMOVAL EXPENSE")</f>
        <v xml:space="preserve">          6284 - TRASH REMOVAL EXPENSE</v>
      </c>
      <c r="C268" s="11"/>
      <c r="D268" s="7">
        <v>134.82</v>
      </c>
      <c r="E268" s="2"/>
      <c r="F268" s="6">
        <f t="shared" si="104"/>
        <v>6.4800758575502243E-4</v>
      </c>
      <c r="G268" s="2"/>
      <c r="H268" s="7">
        <v>121.46</v>
      </c>
      <c r="I268" s="2"/>
      <c r="J268" s="6">
        <f t="shared" si="105"/>
        <v>4.6036699201263635E-4</v>
      </c>
      <c r="K268" s="2"/>
      <c r="L268" s="7">
        <f t="shared" si="106"/>
        <v>13.36</v>
      </c>
      <c r="M268" s="2"/>
      <c r="N268" s="6">
        <f t="shared" si="107"/>
        <v>0.10999506010209123</v>
      </c>
      <c r="O268" s="11"/>
      <c r="P268" s="7">
        <v>1617.84</v>
      </c>
      <c r="Q268" s="2"/>
      <c r="R268" s="6">
        <f t="shared" si="108"/>
        <v>1.7518935014818437E-4</v>
      </c>
      <c r="S268" s="2"/>
      <c r="T268" s="7">
        <v>1457.52</v>
      </c>
      <c r="U268" s="2"/>
      <c r="V268" s="6">
        <f t="shared" si="109"/>
        <v>1.2684679524276697E-4</v>
      </c>
      <c r="W268" s="2"/>
      <c r="X268" s="7">
        <f t="shared" si="110"/>
        <v>160.31999999999994</v>
      </c>
      <c r="Y268" s="2"/>
      <c r="Z268" s="6">
        <f t="shared" si="111"/>
        <v>0.10999506010209117</v>
      </c>
    </row>
    <row r="269" spans="1:26" s="24" customFormat="1" hidden="1" outlineLevel="2" x14ac:dyDescent="0.35">
      <c r="A269" s="27"/>
      <c r="B269" s="11" t="str">
        <f>CONCATENATE("          ", "6285", " - ", "JANITORIAL SERVICES")</f>
        <v xml:space="preserve">          6285 - JANITORIAL SERVICES</v>
      </c>
      <c r="C269" s="11"/>
      <c r="D269" s="7">
        <v>7421.15</v>
      </c>
      <c r="E269" s="2"/>
      <c r="F269" s="6">
        <f t="shared" si="104"/>
        <v>3.566949632862991E-2</v>
      </c>
      <c r="G269" s="2"/>
      <c r="H269" s="7">
        <v>4047.1</v>
      </c>
      <c r="I269" s="2"/>
      <c r="J269" s="6">
        <f t="shared" si="105"/>
        <v>1.5339628300463861E-2</v>
      </c>
      <c r="K269" s="2"/>
      <c r="L269" s="7">
        <f t="shared" si="106"/>
        <v>3374.0499999999997</v>
      </c>
      <c r="M269" s="2"/>
      <c r="N269" s="6">
        <f t="shared" si="107"/>
        <v>0.83369573274690512</v>
      </c>
      <c r="O269" s="11"/>
      <c r="P269" s="7">
        <v>53343.38</v>
      </c>
      <c r="Q269" s="2"/>
      <c r="R269" s="6">
        <f t="shared" si="108"/>
        <v>5.7763388696704587E-3</v>
      </c>
      <c r="S269" s="2"/>
      <c r="T269" s="7">
        <v>47276.25</v>
      </c>
      <c r="U269" s="2"/>
      <c r="V269" s="6">
        <f t="shared" si="109"/>
        <v>4.1144140756873742E-3</v>
      </c>
      <c r="W269" s="2"/>
      <c r="X269" s="7">
        <f t="shared" si="110"/>
        <v>6067.1299999999974</v>
      </c>
      <c r="Y269" s="2"/>
      <c r="Z269" s="6">
        <f t="shared" si="111"/>
        <v>0.12833357129636969</v>
      </c>
    </row>
    <row r="270" spans="1:26" s="25" customFormat="1" outlineLevel="1" collapsed="1" x14ac:dyDescent="0.35">
      <c r="A270" s="26"/>
      <c r="B270" s="12" t="str">
        <f>CONCATENATE("     ","Subscriptions &amp; Dues                              ")</f>
        <v xml:space="preserve">     Subscriptions &amp; Dues                              </v>
      </c>
      <c r="C270" s="12"/>
      <c r="D270" s="1">
        <f>SUM(OSRRefD22_19x_0)</f>
        <v>1101.25</v>
      </c>
      <c r="E270" s="1"/>
      <c r="F270" s="5">
        <f t="shared" ref="F270:F272" si="112">IF(D$12=0,0,D270/D$12)</f>
        <v>5.2931193725909995E-3</v>
      </c>
      <c r="G270" s="1"/>
      <c r="H270" s="1">
        <f>SUM(OSRRefH22_19x_0)</f>
        <v>7948.04</v>
      </c>
      <c r="I270" s="1"/>
      <c r="J270" s="5">
        <f t="shared" ref="J270:J272" si="113">IF(H$12=0,0,H270/H$12)</f>
        <v>3.0125269777672603E-2</v>
      </c>
      <c r="K270" s="1"/>
      <c r="L270" s="1">
        <f t="shared" ref="L270:L272" si="114">+D270-H270</f>
        <v>-6846.79</v>
      </c>
      <c r="M270" s="1"/>
      <c r="N270" s="5">
        <f t="shared" ref="N270:N272" si="115">IF(H270=0,0,L270/H270)</f>
        <v>-0.86144382766065597</v>
      </c>
      <c r="O270" s="12"/>
      <c r="P270" s="1">
        <f>SUM(OSRRefP22_19x_0)</f>
        <v>8460.1</v>
      </c>
      <c r="Q270" s="1"/>
      <c r="R270" s="5">
        <f t="shared" ref="R270:R272" si="116">IF(P$12=0,0,P270/P$12)</f>
        <v>9.1611001161341957E-4</v>
      </c>
      <c r="S270" s="1"/>
      <c r="T270" s="1">
        <f>SUM(OSRRefT22_19x_0)</f>
        <v>23545.86</v>
      </c>
      <c r="U270" s="1"/>
      <c r="V270" s="5">
        <f t="shared" ref="V270:V272" si="117">IF(T$12=0,0,T270/T$12)</f>
        <v>2.0491772889804989E-3</v>
      </c>
      <c r="W270" s="1"/>
      <c r="X270" s="1">
        <f t="shared" ref="X270:X272" si="118">+P270-T270</f>
        <v>-15085.76</v>
      </c>
      <c r="Y270" s="1"/>
      <c r="Z270" s="5">
        <f t="shared" ref="Z270:Z272" si="119">IF(T270=0,0,X270/T270)</f>
        <v>-0.64069692081750251</v>
      </c>
    </row>
    <row r="271" spans="1:26" s="24" customFormat="1" hidden="1" outlineLevel="2" x14ac:dyDescent="0.35">
      <c r="A271" s="27"/>
      <c r="B271" s="11" t="str">
        <f>CONCATENATE("          ", "6258", " - ", "MEMBERSHIP DUES")</f>
        <v xml:space="preserve">          6258 - MEMBERSHIP DUES</v>
      </c>
      <c r="C271" s="11"/>
      <c r="D271" s="7">
        <v>1101.25</v>
      </c>
      <c r="E271" s="2"/>
      <c r="F271" s="6">
        <f t="shared" si="112"/>
        <v>5.2931193725909995E-3</v>
      </c>
      <c r="G271" s="2"/>
      <c r="H271" s="7">
        <v>7656.08</v>
      </c>
      <c r="I271" s="2"/>
      <c r="J271" s="6">
        <f t="shared" si="113"/>
        <v>2.9018660630727031E-2</v>
      </c>
      <c r="K271" s="2"/>
      <c r="L271" s="7">
        <f t="shared" si="114"/>
        <v>-6554.83</v>
      </c>
      <c r="M271" s="2"/>
      <c r="N271" s="6">
        <f t="shared" si="115"/>
        <v>-0.85616007147260742</v>
      </c>
      <c r="O271" s="11"/>
      <c r="P271" s="7">
        <v>5667.66</v>
      </c>
      <c r="Q271" s="2"/>
      <c r="R271" s="6">
        <f t="shared" si="116"/>
        <v>6.1372797820603928E-4</v>
      </c>
      <c r="S271" s="2"/>
      <c r="T271" s="7">
        <v>13963.68</v>
      </c>
      <c r="U271" s="2"/>
      <c r="V271" s="6">
        <f t="shared" si="117"/>
        <v>1.2152478578650861E-3</v>
      </c>
      <c r="W271" s="2"/>
      <c r="X271" s="7">
        <f t="shared" si="118"/>
        <v>-8296.02</v>
      </c>
      <c r="Y271" s="2"/>
      <c r="Z271" s="6">
        <f t="shared" si="119"/>
        <v>-0.59411415901825304</v>
      </c>
    </row>
    <row r="272" spans="1:26" s="24" customFormat="1" hidden="1" outlineLevel="2" x14ac:dyDescent="0.35">
      <c r="A272" s="27"/>
      <c r="B272" s="11" t="str">
        <f>CONCATENATE("          ", "6275", " - ", "SUBSCRIPTIONS")</f>
        <v xml:space="preserve">          6275 - SUBSCRIPTIONS</v>
      </c>
      <c r="C272" s="11"/>
      <c r="D272" s="7"/>
      <c r="E272" s="2"/>
      <c r="F272" s="6">
        <f t="shared" si="112"/>
        <v>0</v>
      </c>
      <c r="G272" s="2"/>
      <c r="H272" s="7">
        <v>291.95999999999998</v>
      </c>
      <c r="I272" s="2"/>
      <c r="J272" s="6">
        <f t="shared" si="113"/>
        <v>1.106609146945573E-3</v>
      </c>
      <c r="K272" s="2"/>
      <c r="L272" s="7">
        <f t="shared" si="114"/>
        <v>-291.95999999999998</v>
      </c>
      <c r="M272" s="2"/>
      <c r="N272" s="6">
        <f t="shared" si="115"/>
        <v>-1</v>
      </c>
      <c r="O272" s="11"/>
      <c r="P272" s="7">
        <v>2792.44</v>
      </c>
      <c r="Q272" s="2"/>
      <c r="R272" s="6">
        <f t="shared" si="116"/>
        <v>3.0238203340738018E-4</v>
      </c>
      <c r="S272" s="2"/>
      <c r="T272" s="7">
        <v>9582.18</v>
      </c>
      <c r="U272" s="2"/>
      <c r="V272" s="6">
        <f t="shared" si="117"/>
        <v>8.3392943111541297E-4</v>
      </c>
      <c r="W272" s="2"/>
      <c r="X272" s="7">
        <f t="shared" si="118"/>
        <v>-6789.74</v>
      </c>
      <c r="Y272" s="2"/>
      <c r="Z272" s="6">
        <f t="shared" si="119"/>
        <v>-0.70857988474439004</v>
      </c>
    </row>
    <row r="273" spans="1:26" s="25" customFormat="1" outlineLevel="1" collapsed="1" x14ac:dyDescent="0.35">
      <c r="A273" s="26"/>
      <c r="B273" s="12" t="str">
        <f>CONCATENATE("     ","Supplies                                          ")</f>
        <v xml:space="preserve">     Supplies                                          </v>
      </c>
      <c r="C273" s="12"/>
      <c r="D273" s="1">
        <f>SUM(OSRRefD22_20x_0)</f>
        <v>15976.59</v>
      </c>
      <c r="E273" s="1"/>
      <c r="F273" s="5">
        <f t="shared" ref="F273:F281" si="120">IF(D$12=0,0,D273/D$12)</f>
        <v>7.6790917627190591E-2</v>
      </c>
      <c r="G273" s="1"/>
      <c r="H273" s="1">
        <f>SUM(OSRRefH22_20x_0)</f>
        <v>6163.32</v>
      </c>
      <c r="I273" s="1"/>
      <c r="J273" s="5">
        <f t="shared" ref="J273:J281" si="121">IF(H$12=0,0,H273/H$12)</f>
        <v>2.3360687380300692E-2</v>
      </c>
      <c r="K273" s="1"/>
      <c r="L273" s="1">
        <f t="shared" ref="L273:L281" si="122">+D273-H273</f>
        <v>9813.27</v>
      </c>
      <c r="M273" s="1"/>
      <c r="N273" s="5">
        <f t="shared" ref="N273:N281" si="123">IF(H273=0,0,L273/H273)</f>
        <v>1.5922051751328832</v>
      </c>
      <c r="O273" s="12"/>
      <c r="P273" s="1">
        <f>SUM(OSRRefP22_20x_0)</f>
        <v>109079.15000000001</v>
      </c>
      <c r="Q273" s="1"/>
      <c r="R273" s="5">
        <f t="shared" ref="R273:R281" si="124">IF(P$12=0,0,P273/P$12)</f>
        <v>1.1811739976274742E-2</v>
      </c>
      <c r="S273" s="1"/>
      <c r="T273" s="1">
        <f>SUM(OSRRefT22_20x_0)</f>
        <v>163713.96</v>
      </c>
      <c r="U273" s="1"/>
      <c r="V273" s="5">
        <f t="shared" ref="V273:V281" si="125">IF(T$12=0,0,T273/T$12)</f>
        <v>1.4247894480008879E-2</v>
      </c>
      <c r="W273" s="1"/>
      <c r="X273" s="1">
        <f t="shared" ref="X273:X281" si="126">+P273-T273</f>
        <v>-54634.809999999983</v>
      </c>
      <c r="Y273" s="1"/>
      <c r="Z273" s="5">
        <f t="shared" ref="Z273:Z281" si="127">IF(T273=0,0,X273/T273)</f>
        <v>-0.33372114387801738</v>
      </c>
    </row>
    <row r="274" spans="1:26" s="24" customFormat="1" hidden="1" outlineLevel="2" x14ac:dyDescent="0.35">
      <c r="A274" s="27"/>
      <c r="B274" s="11" t="str">
        <f>CONCATENATE("          ", "6234", " - ", "EXPENDABLE SUPPLIES &amp; EQUIPMEN")</f>
        <v xml:space="preserve">          6234 - EXPENDABLE SUPPLIES &amp; EQUIPMEN</v>
      </c>
      <c r="C274" s="11"/>
      <c r="D274" s="7">
        <v>4356.1000000000004</v>
      </c>
      <c r="E274" s="2"/>
      <c r="F274" s="6">
        <f t="shared" si="120"/>
        <v>2.0937441361129312E-2</v>
      </c>
      <c r="G274" s="2"/>
      <c r="H274" s="7">
        <v>193.68</v>
      </c>
      <c r="I274" s="2"/>
      <c r="J274" s="6">
        <f t="shared" si="121"/>
        <v>7.3410076579126808E-4</v>
      </c>
      <c r="K274" s="2"/>
      <c r="L274" s="7">
        <f t="shared" si="122"/>
        <v>4162.42</v>
      </c>
      <c r="M274" s="2"/>
      <c r="N274" s="6">
        <f t="shared" si="123"/>
        <v>21.491222635274678</v>
      </c>
      <c r="O274" s="11"/>
      <c r="P274" s="7">
        <v>8498.66</v>
      </c>
      <c r="Q274" s="2"/>
      <c r="R274" s="6">
        <f t="shared" si="124"/>
        <v>9.2028551805516524E-4</v>
      </c>
      <c r="S274" s="2"/>
      <c r="T274" s="7">
        <v>3875.11</v>
      </c>
      <c r="U274" s="2"/>
      <c r="V274" s="6">
        <f t="shared" si="125"/>
        <v>3.3724771166995901E-4</v>
      </c>
      <c r="W274" s="2"/>
      <c r="X274" s="7">
        <f t="shared" si="126"/>
        <v>4623.5499999999993</v>
      </c>
      <c r="Y274" s="2"/>
      <c r="Z274" s="6">
        <f t="shared" si="127"/>
        <v>1.1931403237585512</v>
      </c>
    </row>
    <row r="275" spans="1:26" s="24" customFormat="1" hidden="1" outlineLevel="2" x14ac:dyDescent="0.35">
      <c r="A275" s="27"/>
      <c r="B275" s="11" t="str">
        <f>CONCATENATE("          ", "6235", " - ", "COVID-19 EXPENSES")</f>
        <v xml:space="preserve">          6235 - COVID-19 EXPENSES</v>
      </c>
      <c r="C275" s="11"/>
      <c r="D275" s="7">
        <v>3511.67</v>
      </c>
      <c r="E275" s="2"/>
      <c r="F275" s="6">
        <f t="shared" si="120"/>
        <v>1.6878718281177419E-2</v>
      </c>
      <c r="G275" s="2"/>
      <c r="H275" s="7"/>
      <c r="I275" s="2"/>
      <c r="J275" s="6">
        <f t="shared" si="121"/>
        <v>0</v>
      </c>
      <c r="K275" s="2"/>
      <c r="L275" s="7">
        <f t="shared" si="122"/>
        <v>3511.67</v>
      </c>
      <c r="M275" s="2"/>
      <c r="N275" s="6">
        <f t="shared" si="123"/>
        <v>0</v>
      </c>
      <c r="O275" s="11"/>
      <c r="P275" s="7">
        <v>5061.67</v>
      </c>
      <c r="Q275" s="2"/>
      <c r="R275" s="6">
        <f t="shared" si="124"/>
        <v>5.481077720692778E-4</v>
      </c>
      <c r="S275" s="2"/>
      <c r="T275" s="7"/>
      <c r="U275" s="2"/>
      <c r="V275" s="6">
        <f t="shared" si="125"/>
        <v>0</v>
      </c>
      <c r="W275" s="2"/>
      <c r="X275" s="7">
        <f t="shared" si="126"/>
        <v>5061.67</v>
      </c>
      <c r="Y275" s="2"/>
      <c r="Z275" s="6">
        <f t="shared" si="127"/>
        <v>0</v>
      </c>
    </row>
    <row r="276" spans="1:26" s="24" customFormat="1" hidden="1" outlineLevel="2" x14ac:dyDescent="0.35">
      <c r="A276" s="27"/>
      <c r="B276" s="11" t="str">
        <f>CONCATENATE("          ", "6237", " - ", "JANITORIAL SUPPLIES")</f>
        <v xml:space="preserve">          6237 - JANITORIAL SUPPLIES</v>
      </c>
      <c r="C276" s="11"/>
      <c r="D276" s="7">
        <v>1763.02</v>
      </c>
      <c r="E276" s="2"/>
      <c r="F276" s="6">
        <f t="shared" si="120"/>
        <v>8.4738935902523346E-3</v>
      </c>
      <c r="G276" s="2"/>
      <c r="H276" s="7">
        <v>1461.1</v>
      </c>
      <c r="I276" s="2"/>
      <c r="J276" s="6">
        <f t="shared" si="121"/>
        <v>5.5379730942669439E-3</v>
      </c>
      <c r="K276" s="2"/>
      <c r="L276" s="7">
        <f t="shared" si="122"/>
        <v>301.92000000000007</v>
      </c>
      <c r="M276" s="2"/>
      <c r="N276" s="6">
        <f t="shared" si="123"/>
        <v>0.20663883375538983</v>
      </c>
      <c r="O276" s="11"/>
      <c r="P276" s="7">
        <v>7068.06</v>
      </c>
      <c r="Q276" s="2"/>
      <c r="R276" s="6">
        <f t="shared" si="124"/>
        <v>7.6537163020346639E-4</v>
      </c>
      <c r="S276" s="2"/>
      <c r="T276" s="7">
        <v>7745.99</v>
      </c>
      <c r="U276" s="2"/>
      <c r="V276" s="6">
        <f t="shared" si="125"/>
        <v>6.7412728983651715E-4</v>
      </c>
      <c r="W276" s="2"/>
      <c r="X276" s="7">
        <f t="shared" si="126"/>
        <v>-677.92999999999938</v>
      </c>
      <c r="Y276" s="2"/>
      <c r="Z276" s="6">
        <f t="shared" si="127"/>
        <v>-8.7520123315418613E-2</v>
      </c>
    </row>
    <row r="277" spans="1:26" s="24" customFormat="1" hidden="1" outlineLevel="2" x14ac:dyDescent="0.35">
      <c r="A277" s="27"/>
      <c r="B277" s="11" t="str">
        <f>CONCATENATE("          ", "6241", " - ", "OFFICE EXPENSE")</f>
        <v xml:space="preserve">          6241 - OFFICE EXPENSE</v>
      </c>
      <c r="C277" s="11"/>
      <c r="D277" s="7">
        <v>652.34</v>
      </c>
      <c r="E277" s="2"/>
      <c r="F277" s="6">
        <f t="shared" si="120"/>
        <v>3.1354492544980817E-3</v>
      </c>
      <c r="G277" s="2"/>
      <c r="H277" s="7">
        <v>2130.56</v>
      </c>
      <c r="I277" s="2"/>
      <c r="J277" s="6">
        <f t="shared" si="121"/>
        <v>8.0754116458294292E-3</v>
      </c>
      <c r="K277" s="2"/>
      <c r="L277" s="7">
        <f t="shared" si="122"/>
        <v>-1478.2199999999998</v>
      </c>
      <c r="M277" s="2"/>
      <c r="N277" s="6">
        <f t="shared" si="123"/>
        <v>-0.69381758786422343</v>
      </c>
      <c r="O277" s="11"/>
      <c r="P277" s="7">
        <v>25032.89</v>
      </c>
      <c r="Q277" s="2"/>
      <c r="R277" s="6">
        <f t="shared" si="124"/>
        <v>2.710710411061034E-3</v>
      </c>
      <c r="S277" s="2"/>
      <c r="T277" s="7">
        <v>36020.639999999999</v>
      </c>
      <c r="U277" s="2"/>
      <c r="V277" s="6">
        <f t="shared" si="125"/>
        <v>3.1348473754002834E-3</v>
      </c>
      <c r="W277" s="2"/>
      <c r="X277" s="7">
        <f t="shared" si="126"/>
        <v>-10987.75</v>
      </c>
      <c r="Y277" s="2"/>
      <c r="Z277" s="6">
        <f t="shared" si="127"/>
        <v>-0.30504038795535005</v>
      </c>
    </row>
    <row r="278" spans="1:26" s="24" customFormat="1" hidden="1" outlineLevel="2" x14ac:dyDescent="0.35">
      <c r="A278" s="27"/>
      <c r="B278" s="11" t="str">
        <f>CONCATENATE("          ", "6243", " - ", "PAPER SUPPLIES")</f>
        <v xml:space="preserve">          6243 - PAPER SUPPLIES</v>
      </c>
      <c r="C278" s="11"/>
      <c r="D278" s="7">
        <v>508.47</v>
      </c>
      <c r="E278" s="2"/>
      <c r="F278" s="6">
        <f t="shared" si="120"/>
        <v>2.4439431622078054E-3</v>
      </c>
      <c r="G278" s="2"/>
      <c r="H278" s="7">
        <v>1356.73</v>
      </c>
      <c r="I278" s="2"/>
      <c r="J278" s="6">
        <f t="shared" si="121"/>
        <v>5.1423819288103426E-3</v>
      </c>
      <c r="K278" s="2"/>
      <c r="L278" s="7">
        <f t="shared" si="122"/>
        <v>-848.26</v>
      </c>
      <c r="M278" s="2"/>
      <c r="N278" s="6">
        <f t="shared" si="123"/>
        <v>-0.62522388389731187</v>
      </c>
      <c r="O278" s="11"/>
      <c r="P278" s="7">
        <v>18447.68</v>
      </c>
      <c r="Q278" s="2"/>
      <c r="R278" s="6">
        <f t="shared" si="124"/>
        <v>1.9976246544415135E-3</v>
      </c>
      <c r="S278" s="2"/>
      <c r="T278" s="7">
        <v>35477.599999999999</v>
      </c>
      <c r="U278" s="2"/>
      <c r="V278" s="6">
        <f t="shared" si="125"/>
        <v>3.0875870402497316E-3</v>
      </c>
      <c r="W278" s="2"/>
      <c r="X278" s="7">
        <f t="shared" si="126"/>
        <v>-17029.919999999998</v>
      </c>
      <c r="Y278" s="2"/>
      <c r="Z278" s="6">
        <f t="shared" si="127"/>
        <v>-0.48001894152930297</v>
      </c>
    </row>
    <row r="279" spans="1:26" s="24" customFormat="1" hidden="1" outlineLevel="2" x14ac:dyDescent="0.35">
      <c r="A279" s="27"/>
      <c r="B279" s="11" t="str">
        <f>CONCATENATE("          ", "6245", " - ", "PRINTING")</f>
        <v xml:space="preserve">          6245 - PRINTING</v>
      </c>
      <c r="C279" s="11"/>
      <c r="D279" s="7">
        <v>158.76</v>
      </c>
      <c r="E279" s="2"/>
      <c r="F279" s="6">
        <f t="shared" si="120"/>
        <v>7.6307435331899839E-4</v>
      </c>
      <c r="G279" s="2"/>
      <c r="H279" s="7">
        <v>119.96</v>
      </c>
      <c r="I279" s="2"/>
      <c r="J279" s="6">
        <f t="shared" si="121"/>
        <v>4.5468157715985395E-4</v>
      </c>
      <c r="K279" s="2"/>
      <c r="L279" s="7">
        <f t="shared" si="122"/>
        <v>38.799999999999997</v>
      </c>
      <c r="M279" s="2"/>
      <c r="N279" s="6">
        <f t="shared" si="123"/>
        <v>0.32344114704901633</v>
      </c>
      <c r="O279" s="11"/>
      <c r="P279" s="7">
        <v>10786.36</v>
      </c>
      <c r="Q279" s="2"/>
      <c r="R279" s="6">
        <f t="shared" si="124"/>
        <v>1.1680112983140298E-3</v>
      </c>
      <c r="S279" s="2"/>
      <c r="T279" s="7">
        <v>14940.310000000001</v>
      </c>
      <c r="U279" s="2"/>
      <c r="V279" s="6">
        <f t="shared" si="125"/>
        <v>1.3002431825521871E-3</v>
      </c>
      <c r="W279" s="2"/>
      <c r="X279" s="7">
        <f t="shared" si="126"/>
        <v>-4153.9500000000007</v>
      </c>
      <c r="Y279" s="2"/>
      <c r="Z279" s="6">
        <f t="shared" si="127"/>
        <v>-0.27803639951245995</v>
      </c>
    </row>
    <row r="280" spans="1:26" s="24" customFormat="1" hidden="1" outlineLevel="2" x14ac:dyDescent="0.35">
      <c r="A280" s="27"/>
      <c r="B280" s="11" t="str">
        <f>CONCATENATE("          ", "6247", " - ", "STORE SUPPLIES")</f>
        <v xml:space="preserve">          6247 - STORE SUPPLIES</v>
      </c>
      <c r="C280" s="11"/>
      <c r="D280" s="7">
        <v>5026.2299999999996</v>
      </c>
      <c r="E280" s="2"/>
      <c r="F280" s="6">
        <f t="shared" si="120"/>
        <v>2.4158397624606635E-2</v>
      </c>
      <c r="G280" s="2"/>
      <c r="H280" s="7">
        <v>901.29</v>
      </c>
      <c r="I280" s="2"/>
      <c r="J280" s="6">
        <f t="shared" si="121"/>
        <v>3.4161383684428539E-3</v>
      </c>
      <c r="K280" s="2"/>
      <c r="L280" s="7">
        <f t="shared" si="122"/>
        <v>4124.9399999999996</v>
      </c>
      <c r="M280" s="2"/>
      <c r="N280" s="6">
        <f t="shared" si="123"/>
        <v>4.5767067203674729</v>
      </c>
      <c r="O280" s="11"/>
      <c r="P280" s="7">
        <v>34139.919999999998</v>
      </c>
      <c r="Q280" s="2"/>
      <c r="R280" s="6">
        <f t="shared" si="124"/>
        <v>3.6968738558269066E-3</v>
      </c>
      <c r="S280" s="2"/>
      <c r="T280" s="7">
        <v>63677.53</v>
      </c>
      <c r="U280" s="2"/>
      <c r="V280" s="6">
        <f t="shared" si="125"/>
        <v>5.5418043042120523E-3</v>
      </c>
      <c r="W280" s="2"/>
      <c r="X280" s="7">
        <f t="shared" si="126"/>
        <v>-29537.61</v>
      </c>
      <c r="Y280" s="2"/>
      <c r="Z280" s="6">
        <f t="shared" si="127"/>
        <v>-0.46386237028980243</v>
      </c>
    </row>
    <row r="281" spans="1:26" s="24" customFormat="1" hidden="1" outlineLevel="2" x14ac:dyDescent="0.35">
      <c r="A281" s="27"/>
      <c r="B281" s="11" t="str">
        <f>CONCATENATE("          ", "6248", " - ", "UNIFORMS")</f>
        <v xml:space="preserve">          6248 - UNIFORMS</v>
      </c>
      <c r="C281" s="11"/>
      <c r="D281" s="7"/>
      <c r="E281" s="2"/>
      <c r="F281" s="6">
        <f t="shared" si="120"/>
        <v>0</v>
      </c>
      <c r="G281" s="2"/>
      <c r="H281" s="7"/>
      <c r="I281" s="2"/>
      <c r="J281" s="6">
        <f t="shared" si="121"/>
        <v>0</v>
      </c>
      <c r="K281" s="2"/>
      <c r="L281" s="7">
        <f t="shared" si="122"/>
        <v>0</v>
      </c>
      <c r="M281" s="2"/>
      <c r="N281" s="6">
        <f t="shared" si="123"/>
        <v>0</v>
      </c>
      <c r="O281" s="11"/>
      <c r="P281" s="7">
        <v>43.91</v>
      </c>
      <c r="Q281" s="2"/>
      <c r="R281" s="6">
        <f t="shared" si="124"/>
        <v>4.7548363033469166E-6</v>
      </c>
      <c r="S281" s="2"/>
      <c r="T281" s="7">
        <v>1976.78</v>
      </c>
      <c r="U281" s="2"/>
      <c r="V281" s="6">
        <f t="shared" si="125"/>
        <v>1.7203757608814758E-4</v>
      </c>
      <c r="W281" s="2"/>
      <c r="X281" s="7">
        <f t="shared" si="126"/>
        <v>-1932.87</v>
      </c>
      <c r="Y281" s="2"/>
      <c r="Z281" s="6">
        <f t="shared" si="127"/>
        <v>-0.97778710832768434</v>
      </c>
    </row>
    <row r="282" spans="1:26" s="25" customFormat="1" outlineLevel="1" collapsed="1" x14ac:dyDescent="0.35">
      <c r="A282" s="26"/>
      <c r="B282" s="12" t="str">
        <f>CONCATENATE("     ","Telephone/Data Lines                              ")</f>
        <v xml:space="preserve">     Telephone/Data Lines                              </v>
      </c>
      <c r="C282" s="12"/>
      <c r="D282" s="1">
        <f>SUM(OSRRefD22_21x_0)</f>
        <v>678.84</v>
      </c>
      <c r="E282" s="1"/>
      <c r="F282" s="5">
        <f t="shared" ref="F282:F284" si="128">IF(D$12=0,0,D282/D$12)</f>
        <v>3.2628205719770027E-3</v>
      </c>
      <c r="G282" s="1"/>
      <c r="H282" s="1">
        <f>SUM(OSRRefH22_21x_0)</f>
        <v>2921.26</v>
      </c>
      <c r="I282" s="1"/>
      <c r="J282" s="5">
        <f t="shared" ref="J282:J284" si="129">IF(H$12=0,0,H282/H$12)</f>
        <v>1.1072383328559478E-2</v>
      </c>
      <c r="K282" s="1"/>
      <c r="L282" s="1">
        <f t="shared" ref="L282:L284" si="130">+D282-H282</f>
        <v>-2242.42</v>
      </c>
      <c r="M282" s="1"/>
      <c r="N282" s="5">
        <f t="shared" ref="N282:N284" si="131">IF(H282=0,0,L282/H282)</f>
        <v>-0.7676208211525164</v>
      </c>
      <c r="O282" s="12"/>
      <c r="P282" s="1">
        <f>SUM(OSRRefP22_21x_0)</f>
        <v>28535.31</v>
      </c>
      <c r="Q282" s="1"/>
      <c r="R282" s="5">
        <f t="shared" ref="R282:R284" si="132">IF(P$12=0,0,P282/P$12)</f>
        <v>3.0899733071113257E-3</v>
      </c>
      <c r="S282" s="1"/>
      <c r="T282" s="1">
        <f>SUM(OSRRefT22_21x_0)</f>
        <v>33448.080000000002</v>
      </c>
      <c r="U282" s="1"/>
      <c r="V282" s="5">
        <f t="shared" ref="V282:V284" si="133">IF(T$12=0,0,T282/T$12)</f>
        <v>2.910959544310671E-3</v>
      </c>
      <c r="W282" s="1"/>
      <c r="X282" s="1">
        <f t="shared" ref="X282:X284" si="134">+P282-T282</f>
        <v>-4912.7700000000004</v>
      </c>
      <c r="Y282" s="1"/>
      <c r="Z282" s="5">
        <f t="shared" ref="Z282:Z284" si="135">IF(T282=0,0,X282/T282)</f>
        <v>-0.14687748893210015</v>
      </c>
    </row>
    <row r="283" spans="1:26" s="24" customFormat="1" hidden="1" outlineLevel="2" x14ac:dyDescent="0.35">
      <c r="A283" s="27"/>
      <c r="B283" s="11" t="str">
        <f>CONCATENATE("          ", "6303", " - ", "DATA PHONE LINES")</f>
        <v xml:space="preserve">          6303 - DATA PHONE LINES</v>
      </c>
      <c r="C283" s="11"/>
      <c r="D283" s="7"/>
      <c r="E283" s="2"/>
      <c r="F283" s="6">
        <f t="shared" si="128"/>
        <v>0</v>
      </c>
      <c r="G283" s="2"/>
      <c r="H283" s="7">
        <v>295</v>
      </c>
      <c r="I283" s="2"/>
      <c r="J283" s="6">
        <f t="shared" si="129"/>
        <v>1.1181315877138789E-3</v>
      </c>
      <c r="K283" s="2"/>
      <c r="L283" s="7">
        <f t="shared" si="130"/>
        <v>-295</v>
      </c>
      <c r="M283" s="2"/>
      <c r="N283" s="6">
        <f t="shared" si="131"/>
        <v>-1</v>
      </c>
      <c r="O283" s="11"/>
      <c r="P283" s="7">
        <v>2950</v>
      </c>
      <c r="Q283" s="2"/>
      <c r="R283" s="6">
        <f t="shared" si="132"/>
        <v>3.1944356854642233E-4</v>
      </c>
      <c r="S283" s="2"/>
      <c r="T283" s="7">
        <v>3540</v>
      </c>
      <c r="U283" s="2"/>
      <c r="V283" s="6">
        <f t="shared" si="133"/>
        <v>3.0808335745608639E-4</v>
      </c>
      <c r="W283" s="2"/>
      <c r="X283" s="7">
        <f t="shared" si="134"/>
        <v>-590</v>
      </c>
      <c r="Y283" s="2"/>
      <c r="Z283" s="6">
        <f t="shared" si="135"/>
        <v>-0.16666666666666666</v>
      </c>
    </row>
    <row r="284" spans="1:26" s="24" customFormat="1" hidden="1" outlineLevel="2" x14ac:dyDescent="0.35">
      <c r="A284" s="27"/>
      <c r="B284" s="11" t="str">
        <f>CONCATENATE("          ", "6309", " - ", "TELEPHONE")</f>
        <v xml:space="preserve">          6309 - TELEPHONE</v>
      </c>
      <c r="C284" s="11"/>
      <c r="D284" s="7">
        <v>678.84</v>
      </c>
      <c r="E284" s="2"/>
      <c r="F284" s="6">
        <f t="shared" si="128"/>
        <v>3.2628205719770027E-3</v>
      </c>
      <c r="G284" s="2"/>
      <c r="H284" s="7">
        <v>2626.26</v>
      </c>
      <c r="I284" s="2"/>
      <c r="J284" s="6">
        <f t="shared" si="129"/>
        <v>9.9542517408455992E-3</v>
      </c>
      <c r="K284" s="2"/>
      <c r="L284" s="7">
        <f t="shared" si="130"/>
        <v>-1947.42</v>
      </c>
      <c r="M284" s="2"/>
      <c r="N284" s="6">
        <f t="shared" si="131"/>
        <v>-0.7415183569029723</v>
      </c>
      <c r="O284" s="11"/>
      <c r="P284" s="7">
        <v>25585.31</v>
      </c>
      <c r="Q284" s="2"/>
      <c r="R284" s="6">
        <f t="shared" si="132"/>
        <v>2.7705297385649036E-3</v>
      </c>
      <c r="S284" s="2"/>
      <c r="T284" s="7">
        <v>29908.080000000002</v>
      </c>
      <c r="U284" s="2"/>
      <c r="V284" s="6">
        <f t="shared" si="133"/>
        <v>2.6028761868545844E-3</v>
      </c>
      <c r="W284" s="2"/>
      <c r="X284" s="7">
        <f t="shared" si="134"/>
        <v>-4322.7700000000004</v>
      </c>
      <c r="Y284" s="2"/>
      <c r="Z284" s="6">
        <f t="shared" si="135"/>
        <v>-0.14453518915289781</v>
      </c>
    </row>
    <row r="285" spans="1:26" s="25" customFormat="1" outlineLevel="1" collapsed="1" x14ac:dyDescent="0.35">
      <c r="A285" s="26"/>
      <c r="B285" s="12" t="str">
        <f>CONCATENATE("     ","Training                                          ")</f>
        <v xml:space="preserve">     Training                                          </v>
      </c>
      <c r="C285" s="12"/>
      <c r="D285" s="1">
        <f>SUM(OSRRefD22_22x_0)</f>
        <v>0</v>
      </c>
      <c r="E285" s="1"/>
      <c r="F285" s="5">
        <f t="shared" ref="F285:F290" si="136">IF(D$12=0,0,D285/D$12)</f>
        <v>0</v>
      </c>
      <c r="G285" s="1"/>
      <c r="H285" s="1">
        <f>SUM(OSRRefH22_22x_0)</f>
        <v>375</v>
      </c>
      <c r="I285" s="1"/>
      <c r="J285" s="5">
        <f t="shared" ref="J285:J290" si="137">IF(H$12=0,0,H285/H$12)</f>
        <v>1.4213537131956089E-3</v>
      </c>
      <c r="K285" s="1"/>
      <c r="L285" s="1">
        <f t="shared" ref="L285:L290" si="138">+D285-H285</f>
        <v>-375</v>
      </c>
      <c r="M285" s="1"/>
      <c r="N285" s="5">
        <f t="shared" ref="N285:N290" si="139">IF(H285=0,0,L285/H285)</f>
        <v>-1</v>
      </c>
      <c r="O285" s="12"/>
      <c r="P285" s="1">
        <f>SUM(OSRRefP22_22x_0)</f>
        <v>23857.01</v>
      </c>
      <c r="Q285" s="1"/>
      <c r="R285" s="5">
        <f t="shared" ref="R285:R290" si="140">IF(P$12=0,0,P285/P$12)</f>
        <v>2.5833791217788754E-3</v>
      </c>
      <c r="S285" s="1"/>
      <c r="T285" s="1">
        <f>SUM(OSRRefT22_22x_0)</f>
        <v>21147.69</v>
      </c>
      <c r="U285" s="1"/>
      <c r="V285" s="5">
        <f t="shared" ref="V285:V290" si="141">IF(T$12=0,0,T285/T$12)</f>
        <v>1.8404664795594642E-3</v>
      </c>
      <c r="W285" s="1"/>
      <c r="X285" s="1">
        <f t="shared" ref="X285:X290" si="142">+P285-T285</f>
        <v>2709.3199999999997</v>
      </c>
      <c r="Y285" s="1"/>
      <c r="Z285" s="5">
        <f t="shared" ref="Z285:Z290" si="143">IF(T285=0,0,X285/T285)</f>
        <v>0.1281142290245412</v>
      </c>
    </row>
    <row r="286" spans="1:26" s="24" customFormat="1" hidden="1" outlineLevel="2" x14ac:dyDescent="0.35">
      <c r="A286" s="27"/>
      <c r="B286" s="11" t="str">
        <f>CONCATENATE("          ", "6376", " - ", "TRAINING")</f>
        <v xml:space="preserve">          6376 - TRAINING</v>
      </c>
      <c r="C286" s="11"/>
      <c r="D286" s="7"/>
      <c r="E286" s="2"/>
      <c r="F286" s="6">
        <f t="shared" si="136"/>
        <v>0</v>
      </c>
      <c r="G286" s="2"/>
      <c r="H286" s="7">
        <v>375</v>
      </c>
      <c r="I286" s="2"/>
      <c r="J286" s="6">
        <f t="shared" si="137"/>
        <v>1.4213537131956089E-3</v>
      </c>
      <c r="K286" s="2"/>
      <c r="L286" s="7">
        <f t="shared" si="138"/>
        <v>-375</v>
      </c>
      <c r="M286" s="2"/>
      <c r="N286" s="6">
        <f t="shared" si="139"/>
        <v>-1</v>
      </c>
      <c r="O286" s="11"/>
      <c r="P286" s="7">
        <v>23857.01</v>
      </c>
      <c r="Q286" s="2"/>
      <c r="R286" s="6">
        <f t="shared" si="140"/>
        <v>2.5833791217788754E-3</v>
      </c>
      <c r="S286" s="2"/>
      <c r="T286" s="7">
        <v>21147.69</v>
      </c>
      <c r="U286" s="2"/>
      <c r="V286" s="6">
        <f t="shared" si="141"/>
        <v>1.8404664795594642E-3</v>
      </c>
      <c r="W286" s="2"/>
      <c r="X286" s="7">
        <f t="shared" si="142"/>
        <v>2709.3199999999997</v>
      </c>
      <c r="Y286" s="2"/>
      <c r="Z286" s="6">
        <f t="shared" si="143"/>
        <v>0.1281142290245412</v>
      </c>
    </row>
    <row r="287" spans="1:26" s="25" customFormat="1" outlineLevel="1" collapsed="1" x14ac:dyDescent="0.35">
      <c r="A287" s="26"/>
      <c r="B287" s="12" t="str">
        <f>CONCATENATE("     ","Travel                                            ")</f>
        <v xml:space="preserve">     Travel                                            </v>
      </c>
      <c r="C287" s="12"/>
      <c r="D287" s="1">
        <f>SUM(OSRRefD22_23x_0)</f>
        <v>0</v>
      </c>
      <c r="E287" s="1"/>
      <c r="F287" s="5">
        <f t="shared" si="136"/>
        <v>0</v>
      </c>
      <c r="G287" s="1"/>
      <c r="H287" s="1">
        <f>SUM(OSRRefH22_23x_0)</f>
        <v>491.27</v>
      </c>
      <c r="I287" s="1"/>
      <c r="J287" s="5">
        <f t="shared" si="137"/>
        <v>1.8620491698176178E-3</v>
      </c>
      <c r="K287" s="1"/>
      <c r="L287" s="1">
        <f t="shared" si="138"/>
        <v>-491.27</v>
      </c>
      <c r="M287" s="1"/>
      <c r="N287" s="5">
        <f t="shared" si="139"/>
        <v>-1</v>
      </c>
      <c r="O287" s="12"/>
      <c r="P287" s="1">
        <f>SUM(OSRRefP22_23x_0)</f>
        <v>1317.79</v>
      </c>
      <c r="Q287" s="1"/>
      <c r="R287" s="5">
        <f t="shared" si="140"/>
        <v>1.4269814921857285E-4</v>
      </c>
      <c r="S287" s="1"/>
      <c r="T287" s="1">
        <f>SUM(OSRRefT22_23x_0)</f>
        <v>4176.3599999999997</v>
      </c>
      <c r="U287" s="1"/>
      <c r="V287" s="5">
        <f t="shared" si="141"/>
        <v>3.6346525727268389E-4</v>
      </c>
      <c r="W287" s="1"/>
      <c r="X287" s="1">
        <f t="shared" si="142"/>
        <v>-2858.5699999999997</v>
      </c>
      <c r="Y287" s="1"/>
      <c r="Z287" s="5">
        <f t="shared" si="143"/>
        <v>-0.68446446187589194</v>
      </c>
    </row>
    <row r="288" spans="1:26" s="24" customFormat="1" hidden="1" outlineLevel="2" x14ac:dyDescent="0.35">
      <c r="A288" s="27"/>
      <c r="B288" s="11" t="str">
        <f>CONCATENATE("          ", "6292", " - ", "TRAVEL/CONFERENCE")</f>
        <v xml:space="preserve">          6292 - TRAVEL/CONFERENCE</v>
      </c>
      <c r="C288" s="11"/>
      <c r="D288" s="7"/>
      <c r="E288" s="2"/>
      <c r="F288" s="6">
        <f t="shared" si="136"/>
        <v>0</v>
      </c>
      <c r="G288" s="2"/>
      <c r="H288" s="7">
        <v>326.18</v>
      </c>
      <c r="I288" s="2"/>
      <c r="J288" s="6">
        <f t="shared" si="137"/>
        <v>1.2363124111203832E-3</v>
      </c>
      <c r="K288" s="2"/>
      <c r="L288" s="7">
        <f t="shared" si="138"/>
        <v>-326.18</v>
      </c>
      <c r="M288" s="2"/>
      <c r="N288" s="6">
        <f t="shared" si="139"/>
        <v>-1</v>
      </c>
      <c r="O288" s="11"/>
      <c r="P288" s="7">
        <v>504.66</v>
      </c>
      <c r="Q288" s="2"/>
      <c r="R288" s="6">
        <f t="shared" si="140"/>
        <v>5.4647590272080509E-5</v>
      </c>
      <c r="S288" s="2"/>
      <c r="T288" s="7">
        <v>2787.64</v>
      </c>
      <c r="U288" s="2"/>
      <c r="V288" s="6">
        <f t="shared" si="141"/>
        <v>2.4260607078499565E-4</v>
      </c>
      <c r="W288" s="2"/>
      <c r="X288" s="7">
        <f t="shared" si="142"/>
        <v>-2282.98</v>
      </c>
      <c r="Y288" s="2"/>
      <c r="Z288" s="6">
        <f t="shared" si="143"/>
        <v>-0.81896514614512639</v>
      </c>
    </row>
    <row r="289" spans="1:26" s="24" customFormat="1" hidden="1" outlineLevel="2" x14ac:dyDescent="0.35">
      <c r="A289" s="27"/>
      <c r="B289" s="11" t="str">
        <f>CONCATENATE("          ", "6294", " - ", "TRAVEL OPERATIONAL")</f>
        <v xml:space="preserve">          6294 - TRAVEL OPERATIONAL</v>
      </c>
      <c r="C289" s="11"/>
      <c r="D289" s="7"/>
      <c r="E289" s="2"/>
      <c r="F289" s="6">
        <f t="shared" si="136"/>
        <v>0</v>
      </c>
      <c r="G289" s="2"/>
      <c r="H289" s="7">
        <v>141.72999999999999</v>
      </c>
      <c r="I289" s="2"/>
      <c r="J289" s="6">
        <f t="shared" si="137"/>
        <v>5.3719589805656962E-4</v>
      </c>
      <c r="K289" s="2"/>
      <c r="L289" s="7">
        <f t="shared" si="138"/>
        <v>-141.72999999999999</v>
      </c>
      <c r="M289" s="2"/>
      <c r="N289" s="6">
        <f t="shared" si="139"/>
        <v>-1</v>
      </c>
      <c r="O289" s="11"/>
      <c r="P289" s="7">
        <v>361.61</v>
      </c>
      <c r="Q289" s="2"/>
      <c r="R289" s="6">
        <f t="shared" si="140"/>
        <v>3.9157284346465012E-5</v>
      </c>
      <c r="S289" s="2"/>
      <c r="T289" s="7">
        <v>721.13</v>
      </c>
      <c r="U289" s="2"/>
      <c r="V289" s="6">
        <f t="shared" si="141"/>
        <v>6.2759364848109488E-5</v>
      </c>
      <c r="W289" s="2"/>
      <c r="X289" s="7">
        <f t="shared" si="142"/>
        <v>-359.52</v>
      </c>
      <c r="Y289" s="2"/>
      <c r="Z289" s="6">
        <f t="shared" si="143"/>
        <v>-0.49855088541594439</v>
      </c>
    </row>
    <row r="290" spans="1:26" s="24" customFormat="1" hidden="1" outlineLevel="2" x14ac:dyDescent="0.35">
      <c r="A290" s="27"/>
      <c r="B290" s="11" t="str">
        <f>CONCATENATE("          ", "6298", " - ", "VEHICLE MILEAGE")</f>
        <v xml:space="preserve">          6298 - VEHICLE MILEAGE</v>
      </c>
      <c r="C290" s="11"/>
      <c r="D290" s="7"/>
      <c r="E290" s="2"/>
      <c r="F290" s="6">
        <f t="shared" si="136"/>
        <v>0</v>
      </c>
      <c r="G290" s="2"/>
      <c r="H290" s="7">
        <v>23.36</v>
      </c>
      <c r="I290" s="2"/>
      <c r="J290" s="6">
        <f t="shared" si="137"/>
        <v>8.8540860640665128E-5</v>
      </c>
      <c r="K290" s="2"/>
      <c r="L290" s="7">
        <f t="shared" si="138"/>
        <v>-23.36</v>
      </c>
      <c r="M290" s="2"/>
      <c r="N290" s="6">
        <f t="shared" si="139"/>
        <v>-1</v>
      </c>
      <c r="O290" s="11"/>
      <c r="P290" s="7">
        <v>451.52</v>
      </c>
      <c r="Q290" s="2"/>
      <c r="R290" s="6">
        <f t="shared" si="140"/>
        <v>4.8893274600027322E-5</v>
      </c>
      <c r="S290" s="2"/>
      <c r="T290" s="7">
        <v>667.59</v>
      </c>
      <c r="U290" s="2"/>
      <c r="V290" s="6">
        <f t="shared" si="141"/>
        <v>5.8099821639578735E-5</v>
      </c>
      <c r="W290" s="2"/>
      <c r="X290" s="7">
        <f t="shared" si="142"/>
        <v>-216.07000000000005</v>
      </c>
      <c r="Y290" s="2"/>
      <c r="Z290" s="6">
        <f t="shared" si="143"/>
        <v>-0.32365673542144135</v>
      </c>
    </row>
    <row r="291" spans="1:26" s="25" customFormat="1" outlineLevel="1" collapsed="1" x14ac:dyDescent="0.35">
      <c r="A291" s="26"/>
      <c r="B291" s="12" t="str">
        <f>CONCATENATE("     ","Utilities                                         ")</f>
        <v xml:space="preserve">     Utilities                                         </v>
      </c>
      <c r="C291" s="12"/>
      <c r="D291" s="1">
        <f>SUM(OSRRefD22_24x_0)</f>
        <v>6161.8</v>
      </c>
      <c r="E291" s="1"/>
      <c r="F291" s="5">
        <f t="shared" ref="F291:F292" si="144">IF(D$12=0,0,D291/D$12)</f>
        <v>2.9616474869494865E-2</v>
      </c>
      <c r="G291" s="1"/>
      <c r="H291" s="1">
        <f>SUM(OSRRefH22_24x_0)</f>
        <v>5625.24</v>
      </c>
      <c r="I291" s="1"/>
      <c r="J291" s="5">
        <f t="shared" ref="J291:J292" si="145">IF(H$12=0,0,H291/H$12)</f>
        <v>2.1321215364310576E-2</v>
      </c>
      <c r="K291" s="1"/>
      <c r="L291" s="1">
        <f t="shared" ref="L291:L292" si="146">+D291-H291</f>
        <v>536.5600000000004</v>
      </c>
      <c r="M291" s="1"/>
      <c r="N291" s="5">
        <f t="shared" ref="N291:N292" si="147">IF(H291=0,0,L291/H291)</f>
        <v>9.5384374711123515E-2</v>
      </c>
      <c r="O291" s="12"/>
      <c r="P291" s="1">
        <f>SUM(OSRRefP22_24x_0)</f>
        <v>71526.58</v>
      </c>
      <c r="Q291" s="1"/>
      <c r="R291" s="5">
        <f t="shared" ref="R291:R292" si="148">IF(P$12=0,0,P291/P$12)</f>
        <v>7.7453240546173424E-3</v>
      </c>
      <c r="S291" s="1"/>
      <c r="T291" s="1">
        <f>SUM(OSRRefT22_24x_0)</f>
        <v>57715.56</v>
      </c>
      <c r="U291" s="1"/>
      <c r="V291" s="5">
        <f t="shared" ref="V291:V292" si="149">IF(T$12=0,0,T291/T$12)</f>
        <v>5.0229388424458191E-3</v>
      </c>
      <c r="W291" s="1"/>
      <c r="X291" s="1">
        <f t="shared" ref="X291:X292" si="150">+P291-T291</f>
        <v>13811.020000000004</v>
      </c>
      <c r="Y291" s="1"/>
      <c r="Z291" s="5">
        <f t="shared" ref="Z291:Z292" si="151">IF(T291=0,0,X291/T291)</f>
        <v>0.23929456805062629</v>
      </c>
    </row>
    <row r="292" spans="1:26" s="24" customFormat="1" hidden="1" outlineLevel="2" x14ac:dyDescent="0.35">
      <c r="A292" s="27"/>
      <c r="B292" s="11" t="str">
        <f>CONCATENATE("          ", "6274", " - ", "UTILITIES")</f>
        <v xml:space="preserve">          6274 - UTILITIES</v>
      </c>
      <c r="C292" s="11"/>
      <c r="D292" s="7">
        <v>6161.8</v>
      </c>
      <c r="E292" s="2"/>
      <c r="F292" s="6">
        <f t="shared" si="144"/>
        <v>2.9616474869494865E-2</v>
      </c>
      <c r="G292" s="2"/>
      <c r="H292" s="7">
        <v>5625.24</v>
      </c>
      <c r="I292" s="2"/>
      <c r="J292" s="6">
        <f t="shared" si="145"/>
        <v>2.1321215364310576E-2</v>
      </c>
      <c r="K292" s="2"/>
      <c r="L292" s="7">
        <f t="shared" si="146"/>
        <v>536.5600000000004</v>
      </c>
      <c r="M292" s="2"/>
      <c r="N292" s="6">
        <f t="shared" si="147"/>
        <v>9.5384374711123515E-2</v>
      </c>
      <c r="O292" s="11"/>
      <c r="P292" s="7">
        <v>71526.58</v>
      </c>
      <c r="Q292" s="2"/>
      <c r="R292" s="6">
        <f t="shared" si="148"/>
        <v>7.7453240546173424E-3</v>
      </c>
      <c r="S292" s="2"/>
      <c r="T292" s="7">
        <v>57715.56</v>
      </c>
      <c r="U292" s="2"/>
      <c r="V292" s="6">
        <f t="shared" si="149"/>
        <v>5.0229388424458191E-3</v>
      </c>
      <c r="W292" s="2"/>
      <c r="X292" s="7">
        <f t="shared" si="150"/>
        <v>13811.020000000004</v>
      </c>
      <c r="Y292" s="2"/>
      <c r="Z292" s="6">
        <f t="shared" si="151"/>
        <v>0.23929456805062629</v>
      </c>
    </row>
    <row r="293" spans="1:26" s="56" customFormat="1" x14ac:dyDescent="0.35">
      <c r="A293" s="37"/>
      <c r="B293" s="37"/>
      <c r="C293" s="37"/>
      <c r="D293" s="1"/>
      <c r="E293" s="1"/>
      <c r="F293" s="5"/>
      <c r="G293" s="1"/>
      <c r="H293" s="1"/>
      <c r="I293" s="1"/>
      <c r="J293" s="5"/>
      <c r="K293" s="1"/>
      <c r="L293" s="1"/>
      <c r="M293" s="1"/>
      <c r="N293" s="5"/>
      <c r="O293" s="37"/>
      <c r="P293" s="1"/>
      <c r="Q293" s="1"/>
      <c r="R293" s="5"/>
      <c r="S293" s="1"/>
      <c r="T293" s="1"/>
      <c r="U293" s="1"/>
      <c r="V293" s="5"/>
      <c r="W293" s="1"/>
      <c r="X293" s="1"/>
      <c r="Y293" s="1"/>
      <c r="Z293" s="5"/>
    </row>
    <row r="294" spans="1:26" s="23" customFormat="1" collapsed="1" x14ac:dyDescent="0.35">
      <c r="A294" s="10"/>
      <c r="B294" s="29" t="s">
        <v>0</v>
      </c>
      <c r="C294" s="10"/>
      <c r="D294" s="4">
        <f>SUM(OSRRefD25x_0)</f>
        <v>38229.74</v>
      </c>
      <c r="E294" s="4"/>
      <c r="F294" s="13">
        <f t="shared" ref="F294:F303" si="152">IF(D$12=0,0,D294/D$12)</f>
        <v>0.1837499000255319</v>
      </c>
      <c r="G294" s="4"/>
      <c r="H294" s="4">
        <f>SUM(OSRRefH25x_0)</f>
        <v>144302.86000000002</v>
      </c>
      <c r="I294" s="4"/>
      <c r="J294" s="13">
        <f t="shared" ref="J294:J303" si="153">IF(H$12=0,0,H294/H$12)</f>
        <v>0.54694774902865628</v>
      </c>
      <c r="K294" s="4"/>
      <c r="L294" s="4">
        <f t="shared" ref="L294:L303" si="154">+D294-H294</f>
        <v>-106073.12000000002</v>
      </c>
      <c r="M294" s="4"/>
      <c r="N294" s="13">
        <f t="shared" ref="N294:N303" si="155">IF(H294=0,0,L294/H294)</f>
        <v>-0.73507288767526857</v>
      </c>
      <c r="O294" s="10"/>
      <c r="P294" s="4">
        <f>SUM(OSRRefP25x_0)</f>
        <v>1207334.8899999999</v>
      </c>
      <c r="Q294" s="4"/>
      <c r="R294" s="13">
        <f t="shared" ref="R294:R303" si="156">IF(P$12=0,0,P294/P$12)</f>
        <v>0.1307374120990516</v>
      </c>
      <c r="S294" s="4"/>
      <c r="T294" s="4">
        <f>SUM(OSRRefT25x_0)</f>
        <v>1346921.7200000002</v>
      </c>
      <c r="U294" s="4"/>
      <c r="V294" s="13">
        <f t="shared" ref="V294:V303" si="157">IF(T$12=0,0,T294/T$12)</f>
        <v>0.11722151574240869</v>
      </c>
      <c r="W294" s="4"/>
      <c r="X294" s="4">
        <f t="shared" ref="X294:X303" si="158">+P294-T294</f>
        <v>-139586.83000000031</v>
      </c>
      <c r="Y294" s="4"/>
      <c r="Z294" s="13">
        <f t="shared" ref="Z294:Z303" si="159">IF(T294=0,0,X294/T294)</f>
        <v>-0.10363395877230362</v>
      </c>
    </row>
    <row r="295" spans="1:26" s="24" customFormat="1" hidden="1" outlineLevel="1" x14ac:dyDescent="0.35">
      <c r="A295" s="44"/>
      <c r="B295" s="11" t="str">
        <f>CONCATENATE("          ", "4098", " - ", "TAXABLE SALES-GRAD RENTALS")</f>
        <v xml:space="preserve">          4098 - TAXABLE SALES-GRAD RENTALS</v>
      </c>
      <c r="C295" s="11"/>
      <c r="D295" s="2">
        <f t="shared" ref="D295:D297" si="160">0</f>
        <v>0</v>
      </c>
      <c r="E295" s="2"/>
      <c r="F295" s="19">
        <f t="shared" si="152"/>
        <v>0</v>
      </c>
      <c r="G295" s="2"/>
      <c r="H295" s="2">
        <f>--8835</f>
        <v>8835</v>
      </c>
      <c r="I295" s="2"/>
      <c r="J295" s="19">
        <f t="shared" si="153"/>
        <v>3.3487093482888544E-2</v>
      </c>
      <c r="K295" s="2"/>
      <c r="L295" s="2">
        <f t="shared" si="154"/>
        <v>-8835</v>
      </c>
      <c r="M295" s="2"/>
      <c r="N295" s="19">
        <f t="shared" si="155"/>
        <v>-1</v>
      </c>
      <c r="O295" s="11"/>
      <c r="P295" s="2">
        <f>--1946.85</f>
        <v>1946.85</v>
      </c>
      <c r="Q295" s="2"/>
      <c r="R295" s="19">
        <f t="shared" si="156"/>
        <v>2.1081651234732281E-4</v>
      </c>
      <c r="S295" s="2"/>
      <c r="T295" s="2">
        <f>--86267.28</f>
        <v>86267.28</v>
      </c>
      <c r="U295" s="2"/>
      <c r="V295" s="19">
        <f t="shared" si="157"/>
        <v>7.507772107628331E-3</v>
      </c>
      <c r="W295" s="2"/>
      <c r="X295" s="2">
        <f t="shared" si="158"/>
        <v>-84320.43</v>
      </c>
      <c r="Y295" s="2"/>
      <c r="Z295" s="19">
        <f t="shared" si="159"/>
        <v>-0.9774323474670813</v>
      </c>
    </row>
    <row r="296" spans="1:26" s="24" customFormat="1" hidden="1" outlineLevel="1" x14ac:dyDescent="0.35">
      <c r="A296" s="44"/>
      <c r="B296" s="11" t="str">
        <f>CONCATENATE("          ", "4197", " - ", "NON-TAXABLE SALES-RETURNED CHE")</f>
        <v xml:space="preserve">          4197 - NON-TAXABLE SALES-RETURNED CHE</v>
      </c>
      <c r="C296" s="11"/>
      <c r="D296" s="2">
        <f t="shared" si="160"/>
        <v>0</v>
      </c>
      <c r="E296" s="2"/>
      <c r="F296" s="19">
        <f t="shared" si="152"/>
        <v>0</v>
      </c>
      <c r="G296" s="2"/>
      <c r="H296" s="2">
        <f>0</f>
        <v>0</v>
      </c>
      <c r="I296" s="2"/>
      <c r="J296" s="19">
        <f t="shared" si="153"/>
        <v>0</v>
      </c>
      <c r="K296" s="2"/>
      <c r="L296" s="2">
        <f t="shared" si="154"/>
        <v>0</v>
      </c>
      <c r="M296" s="2"/>
      <c r="N296" s="19">
        <f t="shared" si="155"/>
        <v>0</v>
      </c>
      <c r="O296" s="11"/>
      <c r="P296" s="2">
        <f>--30</f>
        <v>30</v>
      </c>
      <c r="Q296" s="2"/>
      <c r="R296" s="19">
        <f t="shared" si="156"/>
        <v>3.248578663183956E-6</v>
      </c>
      <c r="S296" s="2"/>
      <c r="T296" s="2">
        <f>--335</f>
        <v>335</v>
      </c>
      <c r="U296" s="2"/>
      <c r="V296" s="19">
        <f t="shared" si="157"/>
        <v>2.9154781002200265E-5</v>
      </c>
      <c r="W296" s="2"/>
      <c r="X296" s="2">
        <f t="shared" si="158"/>
        <v>-305</v>
      </c>
      <c r="Y296" s="2"/>
      <c r="Z296" s="19">
        <f t="shared" si="159"/>
        <v>-0.91044776119402981</v>
      </c>
    </row>
    <row r="297" spans="1:26" s="24" customFormat="1" hidden="1" outlineLevel="1" x14ac:dyDescent="0.35">
      <c r="A297" s="44"/>
      <c r="B297" s="11" t="str">
        <f>CONCATENATE("          ", "4198", " - ", "NON-TAXABLE SALES-GRAD RENTALS")</f>
        <v xml:space="preserve">          4198 - NON-TAXABLE SALES-GRAD RENTALS</v>
      </c>
      <c r="C297" s="11"/>
      <c r="D297" s="2">
        <f t="shared" si="160"/>
        <v>0</v>
      </c>
      <c r="E297" s="2"/>
      <c r="F297" s="19">
        <f t="shared" si="152"/>
        <v>0</v>
      </c>
      <c r="G297" s="2"/>
      <c r="H297" s="2">
        <f>--63293.56</f>
        <v>63293.56</v>
      </c>
      <c r="I297" s="2"/>
      <c r="J297" s="19">
        <f t="shared" si="153"/>
        <v>0.23990009740631749</v>
      </c>
      <c r="K297" s="2"/>
      <c r="L297" s="2">
        <f t="shared" si="154"/>
        <v>-63293.56</v>
      </c>
      <c r="M297" s="2"/>
      <c r="N297" s="19">
        <f t="shared" si="155"/>
        <v>-1</v>
      </c>
      <c r="O297" s="11"/>
      <c r="P297" s="2">
        <f>--163.76</f>
        <v>163.76</v>
      </c>
      <c r="Q297" s="2"/>
      <c r="R297" s="19">
        <f t="shared" si="156"/>
        <v>1.7732908062766818E-5</v>
      </c>
      <c r="S297" s="2"/>
      <c r="T297" s="2">
        <f>--449104.41</f>
        <v>449104.41</v>
      </c>
      <c r="U297" s="2"/>
      <c r="V297" s="19">
        <f t="shared" si="157"/>
        <v>3.9085196181111517E-2</v>
      </c>
      <c r="W297" s="2"/>
      <c r="X297" s="2">
        <f t="shared" si="158"/>
        <v>-448940.64999999997</v>
      </c>
      <c r="Y297" s="2"/>
      <c r="Z297" s="19">
        <f t="shared" si="159"/>
        <v>-0.99963536318870705</v>
      </c>
    </row>
    <row r="298" spans="1:26" s="24" customFormat="1" hidden="1" outlineLevel="1" x14ac:dyDescent="0.35">
      <c r="A298" s="44"/>
      <c r="B298" s="11" t="str">
        <f>CONCATENATE("          ", "9150", " - ", "MISC. INCOME")</f>
        <v xml:space="preserve">          9150 - MISC. INCOME</v>
      </c>
      <c r="C298" s="11"/>
      <c r="D298" s="2">
        <f>--56165.1</f>
        <v>56165.1</v>
      </c>
      <c r="E298" s="2"/>
      <c r="F298" s="19">
        <f t="shared" si="152"/>
        <v>0.26995557672963516</v>
      </c>
      <c r="G298" s="2"/>
      <c r="H298" s="2">
        <f>--69583.6</f>
        <v>69583.600000000006</v>
      </c>
      <c r="I298" s="2"/>
      <c r="J298" s="19">
        <f t="shared" si="153"/>
        <v>0.26374108863338125</v>
      </c>
      <c r="K298" s="2"/>
      <c r="L298" s="2">
        <f t="shared" si="154"/>
        <v>-13418.500000000007</v>
      </c>
      <c r="M298" s="2"/>
      <c r="N298" s="19">
        <f t="shared" si="155"/>
        <v>-0.19283997953540785</v>
      </c>
      <c r="O298" s="11"/>
      <c r="P298" s="2">
        <f>--532203.21</f>
        <v>532203.21</v>
      </c>
      <c r="Q298" s="2"/>
      <c r="R298" s="19">
        <f t="shared" si="156"/>
        <v>5.7630133082800336E-2</v>
      </c>
      <c r="S298" s="2"/>
      <c r="T298" s="2">
        <f>--688375.68</f>
        <v>688375.68</v>
      </c>
      <c r="U298" s="2"/>
      <c r="V298" s="19">
        <f t="shared" si="157"/>
        <v>5.9908782679524451E-2</v>
      </c>
      <c r="W298" s="2"/>
      <c r="X298" s="2">
        <f t="shared" si="158"/>
        <v>-156172.47000000009</v>
      </c>
      <c r="Y298" s="2"/>
      <c r="Z298" s="19">
        <f t="shared" si="159"/>
        <v>-0.22687098707496475</v>
      </c>
    </row>
    <row r="299" spans="1:26" s="24" customFormat="1" hidden="1" outlineLevel="1" x14ac:dyDescent="0.35">
      <c r="A299" s="44"/>
      <c r="B299" s="11" t="str">
        <f>CONCATENATE("          ", "9151", " - ", "MISC. INCOME")</f>
        <v xml:space="preserve">          9151 - MISC. INCOME</v>
      </c>
      <c r="C299" s="11"/>
      <c r="D299" s="2">
        <f>-18698.07</f>
        <v>-18698.07</v>
      </c>
      <c r="E299" s="2"/>
      <c r="F299" s="19">
        <f t="shared" si="152"/>
        <v>-8.9871615479739014E-2</v>
      </c>
      <c r="G299" s="2"/>
      <c r="H299" s="2">
        <f>0</f>
        <v>0</v>
      </c>
      <c r="I299" s="2"/>
      <c r="J299" s="19">
        <f t="shared" si="153"/>
        <v>0</v>
      </c>
      <c r="K299" s="2"/>
      <c r="L299" s="2">
        <f t="shared" si="154"/>
        <v>-18698.07</v>
      </c>
      <c r="M299" s="2"/>
      <c r="N299" s="19">
        <f t="shared" si="155"/>
        <v>0</v>
      </c>
      <c r="O299" s="11"/>
      <c r="P299" s="2">
        <f>--150694.63</f>
        <v>150694.63</v>
      </c>
      <c r="Q299" s="2"/>
      <c r="R299" s="19">
        <f t="shared" si="156"/>
        <v>1.6318111989146695E-2</v>
      </c>
      <c r="S299" s="2"/>
      <c r="T299" s="2">
        <f>--498.26</f>
        <v>498.26</v>
      </c>
      <c r="U299" s="2"/>
      <c r="V299" s="19">
        <f t="shared" si="157"/>
        <v>4.3363167707929268E-5</v>
      </c>
      <c r="W299" s="2"/>
      <c r="X299" s="2">
        <f t="shared" si="158"/>
        <v>150196.37</v>
      </c>
      <c r="Y299" s="2"/>
      <c r="Z299" s="19">
        <f t="shared" si="159"/>
        <v>301.44175731545778</v>
      </c>
    </row>
    <row r="300" spans="1:26" s="24" customFormat="1" hidden="1" outlineLevel="1" x14ac:dyDescent="0.35">
      <c r="A300" s="44"/>
      <c r="B300" s="11" t="str">
        <f>CONCATENATE("          ", "9152", " - ", "MISC. INCOME")</f>
        <v xml:space="preserve">          9152 - MISC. INCOME</v>
      </c>
      <c r="C300" s="11"/>
      <c r="D300" s="2">
        <f>--762.71</f>
        <v>762.71</v>
      </c>
      <c r="E300" s="2"/>
      <c r="F300" s="19">
        <f t="shared" si="152"/>
        <v>3.6659387756357606E-3</v>
      </c>
      <c r="G300" s="2"/>
      <c r="H300" s="2">
        <f>--2590.7</f>
        <v>2590.6999999999998</v>
      </c>
      <c r="I300" s="2"/>
      <c r="J300" s="19">
        <f t="shared" si="153"/>
        <v>9.8194695060689688E-3</v>
      </c>
      <c r="K300" s="2"/>
      <c r="L300" s="2">
        <f t="shared" si="154"/>
        <v>-1827.9899999999998</v>
      </c>
      <c r="M300" s="2"/>
      <c r="N300" s="19">
        <f t="shared" si="155"/>
        <v>-0.70559694291118225</v>
      </c>
      <c r="O300" s="11"/>
      <c r="P300" s="2">
        <f>--10637.6</f>
        <v>10637.6</v>
      </c>
      <c r="Q300" s="2"/>
      <c r="R300" s="19">
        <f t="shared" si="156"/>
        <v>1.1519026795828551E-3</v>
      </c>
      <c r="S300" s="2"/>
      <c r="T300" s="2">
        <f>--13830.34</f>
        <v>13830.34</v>
      </c>
      <c r="U300" s="2"/>
      <c r="V300" s="19">
        <f t="shared" si="157"/>
        <v>1.20364338473424E-3</v>
      </c>
      <c r="W300" s="2"/>
      <c r="X300" s="2">
        <f t="shared" si="158"/>
        <v>-3192.74</v>
      </c>
      <c r="Y300" s="2"/>
      <c r="Z300" s="19">
        <f t="shared" si="159"/>
        <v>-0.23085043462416685</v>
      </c>
    </row>
    <row r="301" spans="1:26" s="24" customFormat="1" hidden="1" outlineLevel="1" x14ac:dyDescent="0.35">
      <c r="A301" s="44"/>
      <c r="B301" s="11" t="str">
        <f>CONCATENATE("          ", "9153", " - ", "MISC. INCOME")</f>
        <v xml:space="preserve">          9153 - MISC. INCOME</v>
      </c>
      <c r="C301" s="11"/>
      <c r="D301" s="2">
        <f t="shared" ref="D301:D303" si="161">0</f>
        <v>0</v>
      </c>
      <c r="E301" s="2"/>
      <c r="F301" s="19">
        <f t="shared" si="152"/>
        <v>0</v>
      </c>
      <c r="G301" s="2"/>
      <c r="H301" s="2">
        <f t="shared" ref="H301:H303" si="162">0</f>
        <v>0</v>
      </c>
      <c r="I301" s="2"/>
      <c r="J301" s="19">
        <f t="shared" si="153"/>
        <v>0</v>
      </c>
      <c r="K301" s="2"/>
      <c r="L301" s="2">
        <f t="shared" si="154"/>
        <v>0</v>
      </c>
      <c r="M301" s="2"/>
      <c r="N301" s="19">
        <f t="shared" si="155"/>
        <v>0</v>
      </c>
      <c r="O301" s="11"/>
      <c r="P301" s="2">
        <f>--450</f>
        <v>450</v>
      </c>
      <c r="Q301" s="2"/>
      <c r="R301" s="19">
        <f t="shared" si="156"/>
        <v>4.8728679947759336E-5</v>
      </c>
      <c r="S301" s="2"/>
      <c r="T301" s="2">
        <f>--180</f>
        <v>180</v>
      </c>
      <c r="U301" s="2"/>
      <c r="V301" s="19">
        <f t="shared" si="157"/>
        <v>1.5665255463868799E-5</v>
      </c>
      <c r="W301" s="2"/>
      <c r="X301" s="2">
        <f t="shared" si="158"/>
        <v>270</v>
      </c>
      <c r="Y301" s="2"/>
      <c r="Z301" s="19">
        <f t="shared" si="159"/>
        <v>1.5</v>
      </c>
    </row>
    <row r="302" spans="1:26" s="24" customFormat="1" hidden="1" outlineLevel="1" x14ac:dyDescent="0.35">
      <c r="A302" s="44"/>
      <c r="B302" s="11" t="str">
        <f>CONCATENATE("          ", "9160", " - ", "MISC. INCOME")</f>
        <v xml:space="preserve">          9160 - MISC. INCOME</v>
      </c>
      <c r="C302" s="11"/>
      <c r="D302" s="2">
        <f t="shared" si="161"/>
        <v>0</v>
      </c>
      <c r="E302" s="2"/>
      <c r="F302" s="19">
        <f t="shared" si="152"/>
        <v>0</v>
      </c>
      <c r="G302" s="2"/>
      <c r="H302" s="2">
        <f t="shared" si="162"/>
        <v>0</v>
      </c>
      <c r="I302" s="2"/>
      <c r="J302" s="19">
        <f t="shared" si="153"/>
        <v>0</v>
      </c>
      <c r="K302" s="2"/>
      <c r="L302" s="2">
        <f t="shared" si="154"/>
        <v>0</v>
      </c>
      <c r="M302" s="2"/>
      <c r="N302" s="19">
        <f t="shared" si="155"/>
        <v>0</v>
      </c>
      <c r="O302" s="11"/>
      <c r="P302" s="2">
        <f>--22475</f>
        <v>22475</v>
      </c>
      <c r="Q302" s="2"/>
      <c r="R302" s="19">
        <f t="shared" si="156"/>
        <v>2.4337268485019803E-3</v>
      </c>
      <c r="S302" s="2"/>
      <c r="T302" s="2">
        <f>--40000</f>
        <v>40000</v>
      </c>
      <c r="U302" s="2"/>
      <c r="V302" s="19">
        <f t="shared" si="157"/>
        <v>3.4811678808597331E-3</v>
      </c>
      <c r="W302" s="2"/>
      <c r="X302" s="2">
        <f t="shared" si="158"/>
        <v>-17525</v>
      </c>
      <c r="Y302" s="2"/>
      <c r="Z302" s="19">
        <f t="shared" si="159"/>
        <v>-0.43812499999999999</v>
      </c>
    </row>
    <row r="303" spans="1:26" s="24" customFormat="1" hidden="1" outlineLevel="1" x14ac:dyDescent="0.35">
      <c r="A303" s="44"/>
      <c r="B303" s="11" t="str">
        <f>CONCATENATE("          ", "9163", " - ", "MISC. INCOME")</f>
        <v xml:space="preserve">          9163 - MISC. INCOME</v>
      </c>
      <c r="C303" s="11"/>
      <c r="D303" s="2">
        <f t="shared" si="161"/>
        <v>0</v>
      </c>
      <c r="E303" s="2"/>
      <c r="F303" s="19">
        <f t="shared" si="152"/>
        <v>0</v>
      </c>
      <c r="G303" s="2"/>
      <c r="H303" s="2">
        <f t="shared" si="162"/>
        <v>0</v>
      </c>
      <c r="I303" s="2"/>
      <c r="J303" s="19">
        <f t="shared" si="153"/>
        <v>0</v>
      </c>
      <c r="K303" s="2"/>
      <c r="L303" s="2">
        <f t="shared" si="154"/>
        <v>0</v>
      </c>
      <c r="M303" s="2"/>
      <c r="N303" s="19">
        <f t="shared" si="155"/>
        <v>0</v>
      </c>
      <c r="O303" s="11"/>
      <c r="P303" s="2">
        <f>--488733.84</f>
        <v>488733.84</v>
      </c>
      <c r="Q303" s="2"/>
      <c r="R303" s="19">
        <f t="shared" si="156"/>
        <v>5.2923010819998714E-2</v>
      </c>
      <c r="S303" s="2"/>
      <c r="T303" s="2">
        <f>--68330.75</f>
        <v>68330.75</v>
      </c>
      <c r="U303" s="2"/>
      <c r="V303" s="19">
        <f t="shared" si="157"/>
        <v>5.9467703043764057E-3</v>
      </c>
      <c r="W303" s="2"/>
      <c r="X303" s="2">
        <f t="shared" si="158"/>
        <v>420403.09</v>
      </c>
      <c r="Y303" s="2"/>
      <c r="Z303" s="19">
        <f t="shared" si="159"/>
        <v>6.152472934952419</v>
      </c>
    </row>
    <row r="304" spans="1:26" x14ac:dyDescent="0.35">
      <c r="A304" s="9"/>
      <c r="B304" s="10"/>
      <c r="C304" s="10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O304" s="10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s="23" customFormat="1" x14ac:dyDescent="0.35">
      <c r="A305" s="10"/>
      <c r="B305" s="28" t="s">
        <v>3</v>
      </c>
      <c r="C305" s="28"/>
      <c r="D305" s="22">
        <f>+D170-D172+D294</f>
        <v>-311480.66999999993</v>
      </c>
      <c r="E305" s="14"/>
      <c r="F305" s="21">
        <f>IF(D$12=0,0,D305/D$12)</f>
        <v>-1.4971208795138466</v>
      </c>
      <c r="G305" s="14"/>
      <c r="H305" s="22">
        <f>+H170-H172+H294</f>
        <v>-81511.719999999885</v>
      </c>
      <c r="I305" s="14"/>
      <c r="J305" s="21">
        <f>IF(H$12=0,0,H305/H$12)</f>
        <v>-0.30895196237589495</v>
      </c>
      <c r="K305" s="15"/>
      <c r="L305" s="22">
        <f>+D305-H305</f>
        <v>-229968.95000000004</v>
      </c>
      <c r="M305" s="15"/>
      <c r="N305" s="21">
        <f>IF(H305=0,0,L305/H305)</f>
        <v>2.821299194766107</v>
      </c>
      <c r="O305" s="29"/>
      <c r="P305" s="22">
        <f>+P170-P172+P294</f>
        <v>740770.51000000141</v>
      </c>
      <c r="Q305" s="14"/>
      <c r="R305" s="21">
        <f>IF(P$12=0,0,P305/P$12)</f>
        <v>8.0215042436730055E-2</v>
      </c>
      <c r="S305" s="14"/>
      <c r="T305" s="22">
        <f>+T170-T172+T294</f>
        <v>1583189.7999999919</v>
      </c>
      <c r="U305" s="14"/>
      <c r="V305" s="21">
        <f>IF(T$12=0,0,T305/T$12)</f>
        <v>0.13778373702661792</v>
      </c>
      <c r="W305" s="15"/>
      <c r="X305" s="22">
        <f>+P305-T305</f>
        <v>-842419.28999999049</v>
      </c>
      <c r="Y305" s="15"/>
      <c r="Z305" s="21">
        <f>IF(T305=0,0,X305/T305)</f>
        <v>-0.53210252491520271</v>
      </c>
    </row>
    <row r="306" spans="1:26" x14ac:dyDescent="0.35">
      <c r="A306" s="9"/>
      <c r="B306" s="10"/>
      <c r="C306" s="9"/>
      <c r="D306" s="3"/>
      <c r="E306" s="3"/>
      <c r="F306" s="8"/>
      <c r="G306" s="3"/>
      <c r="H306" s="3"/>
      <c r="I306" s="3"/>
      <c r="J306" s="8"/>
      <c r="K306" s="3"/>
      <c r="L306" s="3"/>
      <c r="M306" s="3"/>
      <c r="N306" s="8"/>
      <c r="P306" s="3"/>
      <c r="Q306" s="3"/>
      <c r="R306" s="8"/>
      <c r="S306" s="3"/>
      <c r="T306" s="3"/>
      <c r="U306" s="3"/>
      <c r="V306" s="8"/>
      <c r="W306" s="3"/>
      <c r="X306" s="3"/>
      <c r="Y306" s="3"/>
      <c r="Z306" s="8"/>
    </row>
    <row r="307" spans="1:26" s="23" customFormat="1" x14ac:dyDescent="0.35">
      <c r="A307" s="51"/>
      <c r="B307" s="10" t="s">
        <v>13</v>
      </c>
      <c r="C307" s="10"/>
      <c r="D307" s="4">
        <v>329554.25</v>
      </c>
      <c r="E307" s="4"/>
      <c r="F307" s="13">
        <f>IF(D$12=0,0,D307/D$12)</f>
        <v>1.5839909057840611</v>
      </c>
      <c r="G307" s="4"/>
      <c r="H307" s="4">
        <v>-348724.20999999996</v>
      </c>
      <c r="I307" s="4"/>
      <c r="J307" s="13">
        <f>IF(H$12=0,0,H307/H$12)</f>
        <v>-1.321761202039214</v>
      </c>
      <c r="K307" s="4"/>
      <c r="L307" s="4">
        <f>+D307-H307</f>
        <v>678278.46</v>
      </c>
      <c r="M307" s="4"/>
      <c r="N307" s="13">
        <f>IF(H307=0,0,L307/H307)</f>
        <v>-1.9450283076130563</v>
      </c>
      <c r="O307" s="10"/>
      <c r="P307" s="4">
        <v>1398507.74</v>
      </c>
      <c r="Q307" s="4"/>
      <c r="R307" s="13">
        <f>IF(P$12=0,0,P307/P$12)</f>
        <v>0.15143874681538719</v>
      </c>
      <c r="S307" s="4"/>
      <c r="T307" s="4">
        <v>819002.05</v>
      </c>
      <c r="U307" s="4"/>
      <c r="V307" s="13">
        <f>IF(T$12=0,0,T307/T$12)</f>
        <v>7.1277090770456936E-2</v>
      </c>
      <c r="W307" s="4"/>
      <c r="X307" s="4">
        <f>+P307-T307</f>
        <v>579505.68999999994</v>
      </c>
      <c r="Y307" s="4"/>
      <c r="Z307" s="13">
        <f>IF(T307=0,0,X307/T307)</f>
        <v>0.70757538396881903</v>
      </c>
    </row>
    <row r="308" spans="1:26" x14ac:dyDescent="0.35">
      <c r="A308" s="9"/>
      <c r="B308" s="10"/>
      <c r="C308" s="10"/>
      <c r="D308" s="3"/>
      <c r="E308" s="3"/>
      <c r="F308" s="8"/>
      <c r="G308" s="3"/>
      <c r="H308" s="3"/>
      <c r="I308" s="3"/>
      <c r="J308" s="8"/>
      <c r="K308" s="3"/>
      <c r="L308" s="3"/>
      <c r="M308" s="3"/>
      <c r="N308" s="8"/>
      <c r="O308" s="10"/>
      <c r="P308" s="3"/>
      <c r="Q308" s="3"/>
      <c r="R308" s="8"/>
      <c r="S308" s="3"/>
      <c r="T308" s="3"/>
      <c r="U308" s="3"/>
      <c r="V308" s="8"/>
      <c r="W308" s="3"/>
      <c r="X308" s="3"/>
      <c r="Y308" s="3"/>
      <c r="Z308" s="8"/>
    </row>
    <row r="309" spans="1:26" s="23" customFormat="1" ht="15" thickBot="1" x14ac:dyDescent="0.4">
      <c r="A309" s="10"/>
      <c r="B309" s="28" t="s">
        <v>4</v>
      </c>
      <c r="C309" s="28"/>
      <c r="D309" s="34">
        <f>+D305-D307</f>
        <v>-641034.91999999993</v>
      </c>
      <c r="E309" s="14"/>
      <c r="F309" s="32">
        <f>IF(D$12=0,0,D309/D$12)</f>
        <v>-3.081111785297908</v>
      </c>
      <c r="G309" s="14"/>
      <c r="H309" s="34">
        <f>+H305-H307</f>
        <v>267212.49000000011</v>
      </c>
      <c r="I309" s="14"/>
      <c r="J309" s="32">
        <f>IF(H$12=0,0,H309/H$12)</f>
        <v>1.012809239663319</v>
      </c>
      <c r="K309" s="15"/>
      <c r="L309" s="34">
        <f>D309-H309</f>
        <v>-908247.41</v>
      </c>
      <c r="M309" s="15"/>
      <c r="N309" s="32">
        <f>IF(H309=0,0,L309/H309)</f>
        <v>-3.3989706469184866</v>
      </c>
      <c r="O309" s="29"/>
      <c r="P309" s="34">
        <f>+P305-P307</f>
        <v>-657737.22999999858</v>
      </c>
      <c r="Q309" s="14"/>
      <c r="R309" s="32">
        <f>IF(P$12=0,0,P309/P$12)</f>
        <v>-7.1223704378657118E-2</v>
      </c>
      <c r="S309" s="14"/>
      <c r="T309" s="34">
        <f>+T305-T307</f>
        <v>764187.74999999185</v>
      </c>
      <c r="U309" s="14"/>
      <c r="V309" s="32">
        <f>IF(T$12=0,0,T309/T$12)</f>
        <v>6.6506646256160984E-2</v>
      </c>
      <c r="W309" s="15"/>
      <c r="X309" s="34">
        <f>P309-T309</f>
        <v>-1421924.9799999904</v>
      </c>
      <c r="Y309" s="15"/>
      <c r="Z309" s="32">
        <f>IF(T309=0,0,X309/T309)</f>
        <v>-1.8607010907987018</v>
      </c>
    </row>
    <row r="310" spans="1:26" ht="15" thickTop="1" x14ac:dyDescent="0.35">
      <c r="A310" s="9"/>
      <c r="B310" s="9"/>
      <c r="C310" s="9"/>
      <c r="D310" s="3"/>
      <c r="E310" s="3"/>
      <c r="F310" s="8"/>
      <c r="G310" s="3"/>
      <c r="H310" s="3"/>
      <c r="I310" s="3"/>
      <c r="J310" s="8"/>
      <c r="K310" s="3"/>
      <c r="L310" s="3"/>
      <c r="M310" s="3"/>
      <c r="N310" s="8"/>
      <c r="P310" s="3"/>
      <c r="Q310" s="3"/>
      <c r="R310" s="8"/>
      <c r="S310" s="3"/>
      <c r="T310" s="3"/>
      <c r="U310" s="3"/>
      <c r="V310" s="8"/>
      <c r="W310" s="3"/>
      <c r="X310" s="3"/>
      <c r="Y310" s="3"/>
      <c r="Z310" s="8"/>
    </row>
    <row r="311" spans="1:26" x14ac:dyDescent="0.35">
      <c r="A311" s="9"/>
      <c r="B311" s="9"/>
      <c r="C311" s="9"/>
      <c r="D311" s="3"/>
      <c r="E311" s="3"/>
      <c r="F311" s="8"/>
      <c r="G311" s="3"/>
      <c r="H311" s="3"/>
      <c r="I311" s="3"/>
      <c r="J311" s="8"/>
      <c r="K311" s="3"/>
      <c r="L311" s="3"/>
      <c r="M311" s="3"/>
      <c r="N311" s="8"/>
      <c r="P311" s="3"/>
      <c r="Q311" s="3"/>
      <c r="R311" s="8"/>
      <c r="S311" s="3"/>
      <c r="T311" s="3"/>
      <c r="U311" s="3"/>
      <c r="V311" s="8"/>
      <c r="W311" s="3"/>
      <c r="X311" s="3"/>
      <c r="Y311" s="3"/>
      <c r="Z311" s="8"/>
    </row>
    <row r="312" spans="1:26" s="23" customFormat="1" ht="15" thickBot="1" x14ac:dyDescent="0.4">
      <c r="A312" s="10"/>
      <c r="B312" s="28" t="s">
        <v>5</v>
      </c>
      <c r="C312" s="28"/>
      <c r="D312" s="35">
        <f>SUM(D309:D311)</f>
        <v>-641034.91999999993</v>
      </c>
      <c r="E312" s="14"/>
      <c r="F312" s="33">
        <f>IF(D$12=0,0,D312/D$12)</f>
        <v>-3.081111785297908</v>
      </c>
      <c r="G312" s="14"/>
      <c r="H312" s="35">
        <f>SUM(H309:H311)</f>
        <v>267212.49000000011</v>
      </c>
      <c r="I312" s="14"/>
      <c r="J312" s="33">
        <f>IF(H$12=0,0,H312/H$12)</f>
        <v>1.012809239663319</v>
      </c>
      <c r="K312" s="15"/>
      <c r="L312" s="35">
        <f>+D312-H312</f>
        <v>-908247.41</v>
      </c>
      <c r="M312" s="15"/>
      <c r="N312" s="33">
        <f>IF(H312=0,0,L312/H312)</f>
        <v>-3.3989706469184866</v>
      </c>
      <c r="O312" s="29"/>
      <c r="P312" s="35">
        <f>SUM(P309:P311)</f>
        <v>-657737.22999999858</v>
      </c>
      <c r="Q312" s="14"/>
      <c r="R312" s="33">
        <f>IF(P$12=0,0,P312/P$12)</f>
        <v>-7.1223704378657118E-2</v>
      </c>
      <c r="S312" s="14"/>
      <c r="T312" s="35">
        <f>SUM(T309:T311)</f>
        <v>764187.74999999185</v>
      </c>
      <c r="U312" s="14"/>
      <c r="V312" s="33">
        <f>IF(T$12=0,0,T312/T$12)</f>
        <v>6.6506646256160984E-2</v>
      </c>
      <c r="W312" s="15"/>
      <c r="X312" s="35">
        <f>+P312-T312</f>
        <v>-1421924.9799999904</v>
      </c>
      <c r="Y312" s="15"/>
      <c r="Z312" s="33">
        <f>IF(T312=0,0,X312/T312)</f>
        <v>-1.8607010907987018</v>
      </c>
    </row>
    <row r="313" spans="1:26" ht="15" thickTop="1" x14ac:dyDescent="0.35">
      <c r="A313" s="9"/>
      <c r="C313" s="9"/>
      <c r="D313" s="17"/>
      <c r="E313" s="17"/>
      <c r="G313" s="17"/>
      <c r="H313" s="17"/>
      <c r="I313" s="17"/>
      <c r="J313" s="42"/>
      <c r="K313" s="17"/>
      <c r="L313" s="17"/>
      <c r="M313" s="17"/>
      <c r="P313" s="17"/>
      <c r="Q313" s="17"/>
      <c r="R313" s="42"/>
      <c r="S313" s="17"/>
      <c r="T313" s="17"/>
      <c r="U313" s="17"/>
      <c r="V313" s="42"/>
      <c r="W313" s="17"/>
      <c r="X313" s="17"/>
    </row>
    <row r="314" spans="1:26" x14ac:dyDescent="0.35">
      <c r="A314" s="9"/>
      <c r="B314" s="52">
        <v>44043.522259872683</v>
      </c>
      <c r="D314" s="17"/>
      <c r="E314" s="17"/>
      <c r="G314" s="17"/>
      <c r="H314" s="17"/>
      <c r="I314" s="17"/>
      <c r="J314" s="42"/>
      <c r="K314" s="17"/>
      <c r="L314" s="17"/>
      <c r="M314" s="17"/>
      <c r="P314" s="17"/>
      <c r="Q314" s="17"/>
      <c r="R314" s="42"/>
      <c r="S314" s="17"/>
      <c r="T314" s="17"/>
      <c r="U314" s="17"/>
      <c r="V314" s="42"/>
      <c r="W314" s="17"/>
      <c r="X314" s="17"/>
    </row>
    <row r="315" spans="1:26" x14ac:dyDescent="0.35">
      <c r="A315" s="9"/>
      <c r="B315" s="61" t="s">
        <v>313</v>
      </c>
      <c r="D315" s="17"/>
      <c r="E315" s="17"/>
      <c r="G315" s="17"/>
      <c r="H315" s="17"/>
      <c r="I315" s="17"/>
      <c r="J315" s="42"/>
      <c r="K315" s="17"/>
      <c r="L315" s="17"/>
      <c r="M315" s="17"/>
      <c r="P315" s="17"/>
      <c r="Q315" s="17"/>
      <c r="R315" s="42"/>
      <c r="S315" s="17"/>
      <c r="T315" s="17"/>
      <c r="U315" s="17"/>
      <c r="V315" s="42"/>
      <c r="W315" s="17"/>
      <c r="X315" s="17"/>
    </row>
    <row r="316" spans="1:26" x14ac:dyDescent="0.35">
      <c r="A316" s="9"/>
      <c r="B316" s="54"/>
      <c r="D316" s="17"/>
      <c r="E316" s="17"/>
      <c r="G316" s="17"/>
      <c r="H316" s="17"/>
      <c r="I316" s="17"/>
      <c r="J316" s="42"/>
      <c r="K316" s="17"/>
      <c r="L316" s="17"/>
      <c r="M316" s="17"/>
      <c r="P316" s="17"/>
      <c r="Q316" s="17"/>
      <c r="R316" s="42"/>
      <c r="S316" s="17"/>
      <c r="T316" s="17"/>
      <c r="U316" s="17"/>
      <c r="V316" s="42"/>
      <c r="W316" s="17"/>
      <c r="X316" s="17"/>
    </row>
    <row r="317" spans="1:26" x14ac:dyDescent="0.35">
      <c r="D317" s="17"/>
      <c r="E317" s="17"/>
      <c r="G317" s="17"/>
      <c r="H317" s="17"/>
      <c r="I317" s="17"/>
      <c r="J317" s="42"/>
      <c r="K317" s="17"/>
      <c r="L317" s="17"/>
      <c r="M317" s="17"/>
      <c r="P317" s="17"/>
      <c r="Q317" s="17"/>
      <c r="R317" s="42"/>
      <c r="S317" s="17"/>
      <c r="T317" s="17"/>
      <c r="U317" s="17"/>
      <c r="V317" s="42"/>
      <c r="W317" s="17"/>
      <c r="X317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4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311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655664.05999999982</v>
      </c>
      <c r="E12" s="4"/>
      <c r="F12" s="13"/>
      <c r="G12" s="4"/>
      <c r="H12" s="4">
        <f>SUM(OSRRefH13x_0)</f>
        <v>388933.94</v>
      </c>
      <c r="I12" s="4"/>
      <c r="J12" s="13"/>
      <c r="K12" s="4"/>
      <c r="L12" s="4">
        <f t="shared" ref="L12:L133" si="0">+D12-H12</f>
        <v>266730.11999999982</v>
      </c>
      <c r="M12" s="4"/>
      <c r="N12" s="13">
        <f t="shared" ref="N12:N133" si="1">IF(H12=0,0,L12/H12)</f>
        <v>0.68579800466886442</v>
      </c>
      <c r="O12" s="10"/>
      <c r="P12" s="4">
        <f>SUM(OSRRefP13x_0)</f>
        <v>12119898.290000001</v>
      </c>
      <c r="Q12" s="4"/>
      <c r="R12" s="13"/>
      <c r="S12" s="4"/>
      <c r="T12" s="4">
        <f>SUM(OSRRefT13x_0)</f>
        <v>14431862.139999991</v>
      </c>
      <c r="U12" s="4"/>
      <c r="V12" s="13"/>
      <c r="W12" s="4"/>
      <c r="X12" s="4">
        <f t="shared" ref="X12:X133" si="2">+P12-T12</f>
        <v>-2311963.8499999903</v>
      </c>
      <c r="Y12" s="4"/>
      <c r="Z12" s="13">
        <f t="shared" ref="Z12:Z133" si="3">IF(T12=0,0,X12/T12)</f>
        <v>-0.16019858196899264</v>
      </c>
    </row>
    <row r="13" spans="1:26" s="24" customFormat="1" hidden="1" outlineLevel="1" x14ac:dyDescent="0.3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3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--15904.07</f>
        <v>15904.07</v>
      </c>
      <c r="E14" s="2"/>
      <c r="F14" s="19"/>
      <c r="G14" s="2"/>
      <c r="H14" s="2">
        <f>--23249.99</f>
        <v>23249.99</v>
      </c>
      <c r="I14" s="2"/>
      <c r="J14" s="19"/>
      <c r="K14" s="2"/>
      <c r="L14" s="2">
        <f t="shared" si="0"/>
        <v>-7345.9200000000019</v>
      </c>
      <c r="M14" s="2"/>
      <c r="N14" s="19">
        <f t="shared" si="1"/>
        <v>-0.31595368428115461</v>
      </c>
      <c r="O14" s="11"/>
      <c r="P14" s="2">
        <f>--2451163.71</f>
        <v>2451163.71</v>
      </c>
      <c r="Q14" s="2"/>
      <c r="R14" s="19"/>
      <c r="S14" s="2"/>
      <c r="T14" s="2">
        <f>--3126487.75</f>
        <v>3126487.75</v>
      </c>
      <c r="U14" s="2"/>
      <c r="V14" s="19"/>
      <c r="W14" s="2"/>
      <c r="X14" s="2">
        <f t="shared" si="2"/>
        <v>-675324.04</v>
      </c>
      <c r="Y14" s="2"/>
      <c r="Z14" s="19">
        <f t="shared" si="3"/>
        <v>-0.21600085911099445</v>
      </c>
    </row>
    <row r="15" spans="1:26" s="24" customFormat="1" hidden="1" outlineLevel="1" x14ac:dyDescent="0.3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--15376.45</f>
        <v>15376.45</v>
      </c>
      <c r="E15" s="2"/>
      <c r="F15" s="19"/>
      <c r="G15" s="2"/>
      <c r="H15" s="2">
        <f>--10246.08</f>
        <v>10246.08</v>
      </c>
      <c r="I15" s="2"/>
      <c r="J15" s="19"/>
      <c r="K15" s="2"/>
      <c r="L15" s="2">
        <f t="shared" si="0"/>
        <v>5130.3700000000008</v>
      </c>
      <c r="M15" s="2"/>
      <c r="N15" s="19">
        <f t="shared" si="1"/>
        <v>0.50071539554639444</v>
      </c>
      <c r="O15" s="11"/>
      <c r="P15" s="2">
        <f>--1271803.19</f>
        <v>1271803.19</v>
      </c>
      <c r="Q15" s="2"/>
      <c r="R15" s="19"/>
      <c r="S15" s="2"/>
      <c r="T15" s="2">
        <f>--1404207.63</f>
        <v>1404207.63</v>
      </c>
      <c r="U15" s="2"/>
      <c r="V15" s="19"/>
      <c r="W15" s="2"/>
      <c r="X15" s="2">
        <f t="shared" si="2"/>
        <v>-132404.43999999994</v>
      </c>
      <c r="Y15" s="2"/>
      <c r="Z15" s="19">
        <f t="shared" si="3"/>
        <v>-9.4291212475465583E-2</v>
      </c>
    </row>
    <row r="16" spans="1:26" s="24" customFormat="1" hidden="1" outlineLevel="1" x14ac:dyDescent="0.3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--895</f>
        <v>895</v>
      </c>
      <c r="E16" s="2"/>
      <c r="F16" s="19"/>
      <c r="G16" s="2"/>
      <c r="H16" s="2">
        <f>--167.99</f>
        <v>167.99</v>
      </c>
      <c r="I16" s="2"/>
      <c r="J16" s="19"/>
      <c r="K16" s="2"/>
      <c r="L16" s="2">
        <f t="shared" si="0"/>
        <v>727.01</v>
      </c>
      <c r="M16" s="2"/>
      <c r="N16" s="19">
        <f t="shared" si="1"/>
        <v>4.3276980772665032</v>
      </c>
      <c r="O16" s="11"/>
      <c r="P16" s="2">
        <f>--34659.88</f>
        <v>34659.879999999997</v>
      </c>
      <c r="Q16" s="2"/>
      <c r="R16" s="19"/>
      <c r="S16" s="2"/>
      <c r="T16" s="2">
        <f>--15422.64</f>
        <v>15422.64</v>
      </c>
      <c r="U16" s="2"/>
      <c r="V16" s="19"/>
      <c r="W16" s="2"/>
      <c r="X16" s="2">
        <f t="shared" si="2"/>
        <v>19237.239999999998</v>
      </c>
      <c r="Y16" s="2"/>
      <c r="Z16" s="19">
        <f t="shared" si="3"/>
        <v>1.2473376801896432</v>
      </c>
    </row>
    <row r="17" spans="1:26" s="24" customFormat="1" hidden="1" outlineLevel="1" x14ac:dyDescent="0.3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--70418.64</f>
        <v>70418.64</v>
      </c>
      <c r="U17" s="2"/>
      <c r="V17" s="19"/>
      <c r="W17" s="2"/>
      <c r="X17" s="2">
        <f t="shared" si="2"/>
        <v>-28223.339999999997</v>
      </c>
      <c r="Y17" s="2"/>
      <c r="Z17" s="19">
        <f t="shared" si="3"/>
        <v>-0.40079359669542036</v>
      </c>
    </row>
    <row r="18" spans="1:26" s="24" customFormat="1" hidden="1" outlineLevel="1" x14ac:dyDescent="0.3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--3.88</f>
        <v>3.88</v>
      </c>
      <c r="I18" s="2"/>
      <c r="J18" s="19"/>
      <c r="K18" s="2"/>
      <c r="L18" s="2">
        <f t="shared" si="0"/>
        <v>-3.88</v>
      </c>
      <c r="M18" s="2"/>
      <c r="N18" s="19">
        <f t="shared" si="1"/>
        <v>-1</v>
      </c>
      <c r="O18" s="11"/>
      <c r="P18" s="2">
        <f>--1052.48</f>
        <v>1052.48</v>
      </c>
      <c r="Q18" s="2"/>
      <c r="R18" s="19"/>
      <c r="S18" s="2"/>
      <c r="T18" s="2">
        <f>--9.71</f>
        <v>9.7100000000000009</v>
      </c>
      <c r="U18" s="2"/>
      <c r="V18" s="19"/>
      <c r="W18" s="2"/>
      <c r="X18" s="2">
        <f t="shared" si="2"/>
        <v>1042.77</v>
      </c>
      <c r="Y18" s="2"/>
      <c r="Z18" s="19">
        <f t="shared" si="3"/>
        <v>107.39134912461378</v>
      </c>
    </row>
    <row r="19" spans="1:26" s="24" customFormat="1" hidden="1" outlineLevel="1" x14ac:dyDescent="0.3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--64.99</f>
        <v>64.989999999999995</v>
      </c>
      <c r="E19" s="2"/>
      <c r="F19" s="19"/>
      <c r="G19" s="2"/>
      <c r="H19" s="2">
        <f>--748.56</f>
        <v>748.56</v>
      </c>
      <c r="I19" s="2"/>
      <c r="J19" s="19"/>
      <c r="K19" s="2"/>
      <c r="L19" s="2">
        <f t="shared" si="0"/>
        <v>-683.56999999999994</v>
      </c>
      <c r="M19" s="2"/>
      <c r="N19" s="19">
        <f t="shared" si="1"/>
        <v>-0.91317997221331626</v>
      </c>
      <c r="O19" s="11"/>
      <c r="P19" s="2">
        <f>--2778.35</f>
        <v>2778.35</v>
      </c>
      <c r="Q19" s="2"/>
      <c r="R19" s="19"/>
      <c r="S19" s="2"/>
      <c r="T19" s="2">
        <f>--7572.79</f>
        <v>7572.79</v>
      </c>
      <c r="U19" s="2"/>
      <c r="V19" s="19"/>
      <c r="W19" s="2"/>
      <c r="X19" s="2">
        <f t="shared" si="2"/>
        <v>-4794.4400000000005</v>
      </c>
      <c r="Y19" s="2"/>
      <c r="Z19" s="19">
        <f t="shared" si="3"/>
        <v>-0.63311408344876863</v>
      </c>
    </row>
    <row r="20" spans="1:26" s="24" customFormat="1" hidden="1" outlineLevel="1" x14ac:dyDescent="0.3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--13.9</f>
        <v>13.9</v>
      </c>
      <c r="E20" s="2"/>
      <c r="F20" s="19"/>
      <c r="G20" s="2"/>
      <c r="H20" s="2">
        <f>--93.58</f>
        <v>93.58</v>
      </c>
      <c r="I20" s="2"/>
      <c r="J20" s="19"/>
      <c r="K20" s="2"/>
      <c r="L20" s="2">
        <f t="shared" si="0"/>
        <v>-79.679999999999993</v>
      </c>
      <c r="M20" s="2"/>
      <c r="N20" s="19">
        <f t="shared" si="1"/>
        <v>-0.85146398803163059</v>
      </c>
      <c r="O20" s="11"/>
      <c r="P20" s="2">
        <f>--1233.88</f>
        <v>1233.8800000000001</v>
      </c>
      <c r="Q20" s="2"/>
      <c r="R20" s="19"/>
      <c r="S20" s="2"/>
      <c r="T20" s="2">
        <f>--2221.33</f>
        <v>2221.33</v>
      </c>
      <c r="U20" s="2"/>
      <c r="V20" s="19"/>
      <c r="W20" s="2"/>
      <c r="X20" s="2">
        <f t="shared" si="2"/>
        <v>-987.44999999999982</v>
      </c>
      <c r="Y20" s="2"/>
      <c r="Z20" s="19">
        <f t="shared" si="3"/>
        <v>-0.44453097918814399</v>
      </c>
    </row>
    <row r="21" spans="1:26" s="24" customFormat="1" hidden="1" outlineLevel="1" x14ac:dyDescent="0.3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3" si="5">0</f>
        <v>0</v>
      </c>
      <c r="E21" s="2"/>
      <c r="F21" s="19"/>
      <c r="G21" s="2"/>
      <c r="H21" s="2">
        <f>--293.01</f>
        <v>293.01</v>
      </c>
      <c r="I21" s="2"/>
      <c r="J21" s="19"/>
      <c r="K21" s="2"/>
      <c r="L21" s="2">
        <f t="shared" si="0"/>
        <v>-293.01</v>
      </c>
      <c r="M21" s="2"/>
      <c r="N21" s="19">
        <f t="shared" si="1"/>
        <v>-1</v>
      </c>
      <c r="O21" s="11"/>
      <c r="P21" s="2">
        <f>--347.52</f>
        <v>347.52</v>
      </c>
      <c r="Q21" s="2"/>
      <c r="R21" s="19"/>
      <c r="S21" s="2"/>
      <c r="T21" s="2">
        <f>--1055.55</f>
        <v>1055.55</v>
      </c>
      <c r="U21" s="2"/>
      <c r="V21" s="19"/>
      <c r="W21" s="2"/>
      <c r="X21" s="2">
        <f t="shared" si="2"/>
        <v>-708.03</v>
      </c>
      <c r="Y21" s="2"/>
      <c r="Z21" s="19">
        <f t="shared" si="3"/>
        <v>-0.67076879351996588</v>
      </c>
    </row>
    <row r="22" spans="1:26" s="24" customFormat="1" hidden="1" outlineLevel="1" x14ac:dyDescent="0.3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>
        <f>--141</f>
        <v>141</v>
      </c>
      <c r="I22" s="2"/>
      <c r="J22" s="19"/>
      <c r="K22" s="2"/>
      <c r="L22" s="2">
        <f t="shared" si="0"/>
        <v>-141</v>
      </c>
      <c r="M22" s="2"/>
      <c r="N22" s="19">
        <f t="shared" si="1"/>
        <v>-1</v>
      </c>
      <c r="O22" s="11"/>
      <c r="P22" s="2">
        <f>--4179.3</f>
        <v>4179.3</v>
      </c>
      <c r="Q22" s="2"/>
      <c r="R22" s="19"/>
      <c r="S22" s="2"/>
      <c r="T22" s="2">
        <f>--6524.46</f>
        <v>6524.46</v>
      </c>
      <c r="U22" s="2"/>
      <c r="V22" s="19"/>
      <c r="W22" s="2"/>
      <c r="X22" s="2">
        <f t="shared" si="2"/>
        <v>-2345.16</v>
      </c>
      <c r="Y22" s="2"/>
      <c r="Z22" s="19">
        <f t="shared" si="3"/>
        <v>-0.35944124111420711</v>
      </c>
    </row>
    <row r="23" spans="1:26" s="24" customFormat="1" hidden="1" outlineLevel="1" x14ac:dyDescent="0.3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--81.89</f>
        <v>81.89</v>
      </c>
      <c r="U23" s="2"/>
      <c r="V23" s="19"/>
      <c r="W23" s="2"/>
      <c r="X23" s="2">
        <f t="shared" si="2"/>
        <v>-39.04</v>
      </c>
      <c r="Y23" s="2"/>
      <c r="Z23" s="19">
        <f t="shared" si="3"/>
        <v>-0.47673708633532785</v>
      </c>
    </row>
    <row r="24" spans="1:26" s="24" customFormat="1" hidden="1" outlineLevel="1" x14ac:dyDescent="0.3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--3099.74</f>
        <v>3099.74</v>
      </c>
      <c r="E24" s="2"/>
      <c r="F24" s="19"/>
      <c r="G24" s="2"/>
      <c r="H24" s="2">
        <f>--1050.08</f>
        <v>1050.08</v>
      </c>
      <c r="I24" s="2"/>
      <c r="J24" s="19"/>
      <c r="K24" s="2"/>
      <c r="L24" s="2">
        <f t="shared" si="0"/>
        <v>2049.66</v>
      </c>
      <c r="M24" s="2"/>
      <c r="N24" s="19">
        <f t="shared" si="1"/>
        <v>1.9519084260246837</v>
      </c>
      <c r="O24" s="11"/>
      <c r="P24" s="2">
        <f>--57819.85</f>
        <v>57819.85</v>
      </c>
      <c r="Q24" s="2"/>
      <c r="R24" s="19"/>
      <c r="S24" s="2"/>
      <c r="T24" s="2">
        <f>--61223.1</f>
        <v>61223.1</v>
      </c>
      <c r="U24" s="2"/>
      <c r="V24" s="19"/>
      <c r="W24" s="2"/>
      <c r="X24" s="2">
        <f t="shared" si="2"/>
        <v>-3403.25</v>
      </c>
      <c r="Y24" s="2"/>
      <c r="Z24" s="19">
        <f t="shared" si="3"/>
        <v>-5.5587678506968774E-2</v>
      </c>
    </row>
    <row r="25" spans="1:26" s="24" customFormat="1" hidden="1" outlineLevel="1" x14ac:dyDescent="0.3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--2531.99</f>
        <v>2531.9899999999998</v>
      </c>
      <c r="E25" s="2"/>
      <c r="F25" s="19"/>
      <c r="G25" s="2"/>
      <c r="H25" s="2">
        <f>--3059.93</f>
        <v>3059.93</v>
      </c>
      <c r="I25" s="2"/>
      <c r="J25" s="19"/>
      <c r="K25" s="2"/>
      <c r="L25" s="2">
        <f t="shared" si="0"/>
        <v>-527.94000000000005</v>
      </c>
      <c r="M25" s="2"/>
      <c r="N25" s="19">
        <f t="shared" si="1"/>
        <v>-0.17253335860624266</v>
      </c>
      <c r="O25" s="11"/>
      <c r="P25" s="2">
        <f>--83341.48</f>
        <v>83341.48</v>
      </c>
      <c r="Q25" s="2"/>
      <c r="R25" s="19"/>
      <c r="S25" s="2"/>
      <c r="T25" s="2">
        <f>--84530.93</f>
        <v>84530.93</v>
      </c>
      <c r="U25" s="2"/>
      <c r="V25" s="19"/>
      <c r="W25" s="2"/>
      <c r="X25" s="2">
        <f t="shared" si="2"/>
        <v>-1189.4499999999971</v>
      </c>
      <c r="Y25" s="2"/>
      <c r="Z25" s="19">
        <f t="shared" si="3"/>
        <v>-1.4071180809201994E-2</v>
      </c>
    </row>
    <row r="26" spans="1:26" s="24" customFormat="1" hidden="1" outlineLevel="1" x14ac:dyDescent="0.3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--4073.06</f>
        <v>4073.06</v>
      </c>
      <c r="E26" s="2"/>
      <c r="F26" s="19"/>
      <c r="G26" s="2"/>
      <c r="H26" s="2">
        <f>--17477.08</f>
        <v>17477.080000000002</v>
      </c>
      <c r="I26" s="2"/>
      <c r="J26" s="19"/>
      <c r="K26" s="2"/>
      <c r="L26" s="2">
        <f t="shared" si="0"/>
        <v>-13404.020000000002</v>
      </c>
      <c r="M26" s="2"/>
      <c r="N26" s="19">
        <f t="shared" si="1"/>
        <v>-0.76694848338509647</v>
      </c>
      <c r="O26" s="11"/>
      <c r="P26" s="2">
        <f>--280850.13</f>
        <v>280850.13</v>
      </c>
      <c r="Q26" s="2"/>
      <c r="R26" s="19"/>
      <c r="S26" s="2"/>
      <c r="T26" s="2">
        <f>--308997.93</f>
        <v>308997.93</v>
      </c>
      <c r="U26" s="2"/>
      <c r="V26" s="19"/>
      <c r="W26" s="2"/>
      <c r="X26" s="2">
        <f t="shared" si="2"/>
        <v>-28147.799999999988</v>
      </c>
      <c r="Y26" s="2"/>
      <c r="Z26" s="19">
        <f t="shared" si="3"/>
        <v>-9.1093814123609146E-2</v>
      </c>
    </row>
    <row r="27" spans="1:26" s="24" customFormat="1" hidden="1" outlineLevel="1" x14ac:dyDescent="0.3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--386.59</f>
        <v>386.59</v>
      </c>
      <c r="E27" s="2"/>
      <c r="F27" s="19"/>
      <c r="G27" s="2"/>
      <c r="H27" s="2">
        <f>--1510.21</f>
        <v>1510.21</v>
      </c>
      <c r="I27" s="2"/>
      <c r="J27" s="19"/>
      <c r="K27" s="2"/>
      <c r="L27" s="2">
        <f t="shared" si="0"/>
        <v>-1123.6200000000001</v>
      </c>
      <c r="M27" s="2"/>
      <c r="N27" s="19">
        <f t="shared" si="1"/>
        <v>-0.74401573291131706</v>
      </c>
      <c r="O27" s="11"/>
      <c r="P27" s="2">
        <f>--293577.64</f>
        <v>293577.64</v>
      </c>
      <c r="Q27" s="2"/>
      <c r="R27" s="19"/>
      <c r="S27" s="2"/>
      <c r="T27" s="2">
        <f>--346880.65</f>
        <v>346880.65</v>
      </c>
      <c r="U27" s="2"/>
      <c r="V27" s="19"/>
      <c r="W27" s="2"/>
      <c r="X27" s="2">
        <f t="shared" si="2"/>
        <v>-53303.010000000009</v>
      </c>
      <c r="Y27" s="2"/>
      <c r="Z27" s="19">
        <f t="shared" si="3"/>
        <v>-0.15366383221433655</v>
      </c>
    </row>
    <row r="28" spans="1:26" s="24" customFormat="1" hidden="1" outlineLevel="1" x14ac:dyDescent="0.3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6">0</f>
        <v>0</v>
      </c>
      <c r="E28" s="2"/>
      <c r="F28" s="19"/>
      <c r="G28" s="2"/>
      <c r="H28" s="2">
        <f>--140.23</f>
        <v>140.22999999999999</v>
      </c>
      <c r="I28" s="2"/>
      <c r="J28" s="19"/>
      <c r="K28" s="2"/>
      <c r="L28" s="2">
        <f t="shared" si="0"/>
        <v>-140.22999999999999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--834.06</f>
        <v>834.06</v>
      </c>
      <c r="U28" s="2"/>
      <c r="V28" s="19"/>
      <c r="W28" s="2"/>
      <c r="X28" s="2">
        <f t="shared" si="2"/>
        <v>-347.71999999999997</v>
      </c>
      <c r="Y28" s="2"/>
      <c r="Z28" s="19">
        <f t="shared" si="3"/>
        <v>-0.4169004627964415</v>
      </c>
    </row>
    <row r="29" spans="1:26" s="24" customFormat="1" hidden="1" outlineLevel="1" x14ac:dyDescent="0.3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6"/>
        <v>0</v>
      </c>
      <c r="E29" s="2"/>
      <c r="F29" s="19"/>
      <c r="G29" s="2"/>
      <c r="H29" s="2">
        <f>--0.34</f>
        <v>0.34</v>
      </c>
      <c r="I29" s="2"/>
      <c r="J29" s="19"/>
      <c r="K29" s="2"/>
      <c r="L29" s="2">
        <f t="shared" si="0"/>
        <v>-0.34</v>
      </c>
      <c r="M29" s="2"/>
      <c r="N29" s="19">
        <f t="shared" si="1"/>
        <v>-1</v>
      </c>
      <c r="O29" s="11"/>
      <c r="P29" s="2">
        <f>--1905.06</f>
        <v>1905.06</v>
      </c>
      <c r="Q29" s="2"/>
      <c r="R29" s="19"/>
      <c r="S29" s="2"/>
      <c r="T29" s="2">
        <f>--498.84</f>
        <v>498.84</v>
      </c>
      <c r="U29" s="2"/>
      <c r="V29" s="19"/>
      <c r="W29" s="2"/>
      <c r="X29" s="2">
        <f t="shared" si="2"/>
        <v>1406.22</v>
      </c>
      <c r="Y29" s="2"/>
      <c r="Z29" s="19">
        <f t="shared" si="3"/>
        <v>2.8189800336781334</v>
      </c>
    </row>
    <row r="30" spans="1:26" s="24" customFormat="1" hidden="1" outlineLevel="1" x14ac:dyDescent="0.3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--0.3</f>
        <v>0.3</v>
      </c>
      <c r="I30" s="2"/>
      <c r="J30" s="19"/>
      <c r="K30" s="2"/>
      <c r="L30" s="2">
        <f t="shared" si="0"/>
        <v>-0.3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--264.15</f>
        <v>264.14999999999998</v>
      </c>
      <c r="U30" s="2"/>
      <c r="V30" s="19"/>
      <c r="W30" s="2"/>
      <c r="X30" s="2">
        <f t="shared" si="2"/>
        <v>-58.619999999999976</v>
      </c>
      <c r="Y30" s="2"/>
      <c r="Z30" s="19">
        <f t="shared" si="3"/>
        <v>-0.22191936399772849</v>
      </c>
    </row>
    <row r="31" spans="1:26" s="24" customFormat="1" hidden="1" outlineLevel="1" x14ac:dyDescent="0.3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--422.25</f>
        <v>422.25</v>
      </c>
      <c r="I31" s="2"/>
      <c r="J31" s="19"/>
      <c r="K31" s="2"/>
      <c r="L31" s="2">
        <f t="shared" si="0"/>
        <v>-422.25</v>
      </c>
      <c r="M31" s="2"/>
      <c r="N31" s="19">
        <f t="shared" si="1"/>
        <v>-1</v>
      </c>
      <c r="O31" s="11"/>
      <c r="P31" s="2">
        <f>--7803.51</f>
        <v>7803.51</v>
      </c>
      <c r="Q31" s="2"/>
      <c r="R31" s="19"/>
      <c r="S31" s="2"/>
      <c r="T31" s="2">
        <f>--9299.56</f>
        <v>9299.56</v>
      </c>
      <c r="U31" s="2"/>
      <c r="V31" s="19"/>
      <c r="W31" s="2"/>
      <c r="X31" s="2">
        <f t="shared" si="2"/>
        <v>-1496.0499999999993</v>
      </c>
      <c r="Y31" s="2"/>
      <c r="Z31" s="19">
        <f t="shared" si="3"/>
        <v>-0.16087320260313384</v>
      </c>
    </row>
    <row r="32" spans="1:26" s="24" customFormat="1" hidden="1" outlineLevel="1" x14ac:dyDescent="0.3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--5.47</f>
        <v>5.47</v>
      </c>
      <c r="I32" s="2"/>
      <c r="J32" s="19"/>
      <c r="K32" s="2"/>
      <c r="L32" s="2">
        <f t="shared" si="0"/>
        <v>-5.47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--2675.56</f>
        <v>2675.56</v>
      </c>
      <c r="U32" s="2"/>
      <c r="V32" s="19"/>
      <c r="W32" s="2"/>
      <c r="X32" s="2">
        <f t="shared" si="2"/>
        <v>-693.72</v>
      </c>
      <c r="Y32" s="2"/>
      <c r="Z32" s="19">
        <f t="shared" si="3"/>
        <v>-0.25928030019883691</v>
      </c>
    </row>
    <row r="33" spans="1:26" s="24" customFormat="1" hidden="1" outlineLevel="1" x14ac:dyDescent="0.3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--11.04</f>
        <v>11.04</v>
      </c>
      <c r="I33" s="2"/>
      <c r="J33" s="19"/>
      <c r="K33" s="2"/>
      <c r="L33" s="2">
        <f t="shared" si="0"/>
        <v>-11.04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--881.19</f>
        <v>881.19</v>
      </c>
      <c r="U33" s="2"/>
      <c r="V33" s="19"/>
      <c r="W33" s="2"/>
      <c r="X33" s="2">
        <f t="shared" si="2"/>
        <v>-367.68000000000006</v>
      </c>
      <c r="Y33" s="2"/>
      <c r="Z33" s="19">
        <f t="shared" si="3"/>
        <v>-0.41725394069383454</v>
      </c>
    </row>
    <row r="34" spans="1:26" s="24" customFormat="1" hidden="1" outlineLevel="1" x14ac:dyDescent="0.3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--46364.3</f>
        <v>46364.3</v>
      </c>
      <c r="E34" s="2"/>
      <c r="F34" s="19"/>
      <c r="G34" s="2"/>
      <c r="H34" s="2">
        <f>--124399.79</f>
        <v>124399.79</v>
      </c>
      <c r="I34" s="2"/>
      <c r="J34" s="19"/>
      <c r="K34" s="2"/>
      <c r="L34" s="2">
        <f t="shared" si="0"/>
        <v>-78035.489999999991</v>
      </c>
      <c r="M34" s="2"/>
      <c r="N34" s="19">
        <f t="shared" si="1"/>
        <v>-0.6272959946315021</v>
      </c>
      <c r="O34" s="11"/>
      <c r="P34" s="2">
        <f>--1941274.42</f>
        <v>1941274.42</v>
      </c>
      <c r="Q34" s="2"/>
      <c r="R34" s="19"/>
      <c r="S34" s="2"/>
      <c r="T34" s="2">
        <f>--2503852.42</f>
        <v>2503852.42</v>
      </c>
      <c r="U34" s="2"/>
      <c r="V34" s="19"/>
      <c r="W34" s="2"/>
      <c r="X34" s="2">
        <f t="shared" si="2"/>
        <v>-562578</v>
      </c>
      <c r="Y34" s="2"/>
      <c r="Z34" s="19">
        <f t="shared" si="3"/>
        <v>-0.22468496765476298</v>
      </c>
    </row>
    <row r="35" spans="1:26" s="24" customFormat="1" hidden="1" outlineLevel="1" x14ac:dyDescent="0.3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--29904.23</f>
        <v>29904.23</v>
      </c>
      <c r="E35" s="2"/>
      <c r="F35" s="19"/>
      <c r="G35" s="2"/>
      <c r="H35" s="2">
        <f>--30632.03</f>
        <v>30632.03</v>
      </c>
      <c r="I35" s="2"/>
      <c r="J35" s="19"/>
      <c r="K35" s="2"/>
      <c r="L35" s="2">
        <f t="shared" si="0"/>
        <v>-727.79999999999927</v>
      </c>
      <c r="M35" s="2"/>
      <c r="N35" s="19">
        <f t="shared" si="1"/>
        <v>-2.3759443954579545E-2</v>
      </c>
      <c r="O35" s="11"/>
      <c r="P35" s="2">
        <f>--556536.79</f>
        <v>556536.79</v>
      </c>
      <c r="Q35" s="2"/>
      <c r="R35" s="19"/>
      <c r="S35" s="2"/>
      <c r="T35" s="2">
        <f>--859767.82</f>
        <v>859767.82</v>
      </c>
      <c r="U35" s="2"/>
      <c r="V35" s="19"/>
      <c r="W35" s="2"/>
      <c r="X35" s="2">
        <f t="shared" si="2"/>
        <v>-303231.02999999991</v>
      </c>
      <c r="Y35" s="2"/>
      <c r="Z35" s="19">
        <f t="shared" si="3"/>
        <v>-0.35268943887664922</v>
      </c>
    </row>
    <row r="36" spans="1:26" s="24" customFormat="1" hidden="1" outlineLevel="1" x14ac:dyDescent="0.3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--2836.85</f>
        <v>2836.85</v>
      </c>
      <c r="E36" s="2"/>
      <c r="F36" s="19"/>
      <c r="G36" s="2"/>
      <c r="H36" s="2">
        <f>--9489.04</f>
        <v>9489.0400000000009</v>
      </c>
      <c r="I36" s="2"/>
      <c r="J36" s="19"/>
      <c r="K36" s="2"/>
      <c r="L36" s="2">
        <f t="shared" si="0"/>
        <v>-6652.1900000000005</v>
      </c>
      <c r="M36" s="2"/>
      <c r="N36" s="19">
        <f t="shared" si="1"/>
        <v>-0.70103930429210959</v>
      </c>
      <c r="O36" s="11"/>
      <c r="P36" s="2">
        <f>--285558.05</f>
        <v>285558.05</v>
      </c>
      <c r="Q36" s="2"/>
      <c r="R36" s="19"/>
      <c r="S36" s="2"/>
      <c r="T36" s="2">
        <f>--334175.22</f>
        <v>334175.21999999997</v>
      </c>
      <c r="U36" s="2"/>
      <c r="V36" s="19"/>
      <c r="W36" s="2"/>
      <c r="X36" s="2">
        <f t="shared" si="2"/>
        <v>-48617.169999999984</v>
      </c>
      <c r="Y36" s="2"/>
      <c r="Z36" s="19">
        <f t="shared" si="3"/>
        <v>-0.14548406671206796</v>
      </c>
    </row>
    <row r="37" spans="1:26" s="24" customFormat="1" hidden="1" outlineLevel="1" x14ac:dyDescent="0.3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--54.96</f>
        <v>54.96</v>
      </c>
      <c r="E37" s="2"/>
      <c r="F37" s="19"/>
      <c r="G37" s="2"/>
      <c r="H37" s="2">
        <f>--75.61</f>
        <v>75.61</v>
      </c>
      <c r="I37" s="2"/>
      <c r="J37" s="19"/>
      <c r="K37" s="2"/>
      <c r="L37" s="2">
        <f t="shared" si="0"/>
        <v>-20.65</v>
      </c>
      <c r="M37" s="2"/>
      <c r="N37" s="19">
        <f t="shared" si="1"/>
        <v>-0.27311202221928316</v>
      </c>
      <c r="O37" s="11"/>
      <c r="P37" s="2">
        <f>--77324.14</f>
        <v>77324.14</v>
      </c>
      <c r="Q37" s="2"/>
      <c r="R37" s="19"/>
      <c r="S37" s="2"/>
      <c r="T37" s="2">
        <f>--4859.22</f>
        <v>4859.22</v>
      </c>
      <c r="U37" s="2"/>
      <c r="V37" s="19"/>
      <c r="W37" s="2"/>
      <c r="X37" s="2">
        <f t="shared" si="2"/>
        <v>72464.92</v>
      </c>
      <c r="Y37" s="2"/>
      <c r="Z37" s="19">
        <f t="shared" si="3"/>
        <v>14.912870789962174</v>
      </c>
    </row>
    <row r="38" spans="1:26" s="24" customFormat="1" hidden="1" outlineLevel="1" x14ac:dyDescent="0.3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--2524.8</f>
        <v>2524.8000000000002</v>
      </c>
      <c r="E38" s="2"/>
      <c r="F38" s="19"/>
      <c r="G38" s="2"/>
      <c r="H38" s="2">
        <f>--2130.34</f>
        <v>2130.34</v>
      </c>
      <c r="I38" s="2"/>
      <c r="J38" s="19"/>
      <c r="K38" s="2"/>
      <c r="L38" s="2">
        <f t="shared" si="0"/>
        <v>394.46000000000004</v>
      </c>
      <c r="M38" s="2"/>
      <c r="N38" s="19">
        <f t="shared" si="1"/>
        <v>0.18516293173859572</v>
      </c>
      <c r="O38" s="11"/>
      <c r="P38" s="2">
        <f>--73780.56</f>
        <v>73780.56</v>
      </c>
      <c r="Q38" s="2"/>
      <c r="R38" s="19"/>
      <c r="S38" s="2"/>
      <c r="T38" s="2">
        <f>--87817.61</f>
        <v>87817.61</v>
      </c>
      <c r="U38" s="2"/>
      <c r="V38" s="19"/>
      <c r="W38" s="2"/>
      <c r="X38" s="2">
        <f t="shared" si="2"/>
        <v>-14037.050000000003</v>
      </c>
      <c r="Y38" s="2"/>
      <c r="Z38" s="19">
        <f t="shared" si="3"/>
        <v>-0.15984322506613427</v>
      </c>
    </row>
    <row r="39" spans="1:26" s="24" customFormat="1" hidden="1" outlineLevel="1" x14ac:dyDescent="0.3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--26263.53</f>
        <v>26263.53</v>
      </c>
      <c r="E39" s="2"/>
      <c r="F39" s="19"/>
      <c r="G39" s="2"/>
      <c r="H39" s="2">
        <f>--25755.32</f>
        <v>25755.32</v>
      </c>
      <c r="I39" s="2"/>
      <c r="J39" s="19"/>
      <c r="K39" s="2"/>
      <c r="L39" s="2">
        <f t="shared" si="0"/>
        <v>508.20999999999913</v>
      </c>
      <c r="M39" s="2"/>
      <c r="N39" s="19">
        <f t="shared" si="1"/>
        <v>1.97322339617601E-2</v>
      </c>
      <c r="O39" s="11"/>
      <c r="P39" s="2">
        <f>--123103.09</f>
        <v>123103.09</v>
      </c>
      <c r="Q39" s="2"/>
      <c r="R39" s="19"/>
      <c r="S39" s="2"/>
      <c r="T39" s="2">
        <f>--219240.28</f>
        <v>219240.28</v>
      </c>
      <c r="U39" s="2"/>
      <c r="V39" s="19"/>
      <c r="W39" s="2"/>
      <c r="X39" s="2">
        <f t="shared" si="2"/>
        <v>-96137.19</v>
      </c>
      <c r="Y39" s="2"/>
      <c r="Z39" s="19">
        <f t="shared" si="3"/>
        <v>-0.43850149251770709</v>
      </c>
    </row>
    <row r="40" spans="1:26" s="24" customFormat="1" hidden="1" outlineLevel="1" x14ac:dyDescent="0.3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--245.97</f>
        <v>245.97</v>
      </c>
      <c r="I40" s="2"/>
      <c r="J40" s="19"/>
      <c r="K40" s="2"/>
      <c r="L40" s="2">
        <f t="shared" si="0"/>
        <v>-245.97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--5818.6</f>
        <v>5818.6</v>
      </c>
      <c r="U40" s="2"/>
      <c r="V40" s="19"/>
      <c r="W40" s="2"/>
      <c r="X40" s="2">
        <f t="shared" si="2"/>
        <v>-3142.4600000000005</v>
      </c>
      <c r="Y40" s="2"/>
      <c r="Z40" s="19">
        <f t="shared" si="3"/>
        <v>-0.5400714948613069</v>
      </c>
    </row>
    <row r="41" spans="1:26" s="24" customFormat="1" hidden="1" outlineLevel="1" x14ac:dyDescent="0.3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--1708.99</f>
        <v>1708.99</v>
      </c>
      <c r="E41" s="2"/>
      <c r="F41" s="19"/>
      <c r="G41" s="2"/>
      <c r="H41" s="2">
        <f>--4268.96</f>
        <v>4268.96</v>
      </c>
      <c r="I41" s="2"/>
      <c r="J41" s="19"/>
      <c r="K41" s="2"/>
      <c r="L41" s="2">
        <f t="shared" si="0"/>
        <v>-2559.9700000000003</v>
      </c>
      <c r="M41" s="2"/>
      <c r="N41" s="19">
        <f t="shared" si="1"/>
        <v>-0.59967064577789442</v>
      </c>
      <c r="O41" s="11"/>
      <c r="P41" s="2">
        <f>--318043.95</f>
        <v>318043.95</v>
      </c>
      <c r="Q41" s="2"/>
      <c r="R41" s="19"/>
      <c r="S41" s="2"/>
      <c r="T41" s="2">
        <f>--239783.4</f>
        <v>239783.4</v>
      </c>
      <c r="U41" s="2"/>
      <c r="V41" s="19"/>
      <c r="W41" s="2"/>
      <c r="X41" s="2">
        <f t="shared" si="2"/>
        <v>78260.550000000017</v>
      </c>
      <c r="Y41" s="2"/>
      <c r="Z41" s="19">
        <f t="shared" si="3"/>
        <v>0.32638018311526162</v>
      </c>
    </row>
    <row r="42" spans="1:26" s="24" customFormat="1" hidden="1" outlineLevel="1" x14ac:dyDescent="0.3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--391247.66</f>
        <v>391247.66</v>
      </c>
      <c r="E42" s="2"/>
      <c r="F42" s="19"/>
      <c r="G42" s="2"/>
      <c r="H42" s="2">
        <f>--124313.48</f>
        <v>124313.48</v>
      </c>
      <c r="I42" s="2"/>
      <c r="J42" s="19"/>
      <c r="K42" s="2"/>
      <c r="L42" s="2">
        <f t="shared" si="0"/>
        <v>266934.18</v>
      </c>
      <c r="M42" s="2"/>
      <c r="N42" s="19">
        <f t="shared" si="1"/>
        <v>2.1472665715737342</v>
      </c>
      <c r="O42" s="11"/>
      <c r="P42" s="2">
        <f>--2373850.38</f>
        <v>2373850.38</v>
      </c>
      <c r="Q42" s="2"/>
      <c r="R42" s="19"/>
      <c r="S42" s="2"/>
      <c r="T42" s="2">
        <f>--2287323.33</f>
        <v>2287323.33</v>
      </c>
      <c r="U42" s="2"/>
      <c r="V42" s="19"/>
      <c r="W42" s="2"/>
      <c r="X42" s="2">
        <f t="shared" si="2"/>
        <v>86527.049999999814</v>
      </c>
      <c r="Y42" s="2"/>
      <c r="Z42" s="19">
        <f t="shared" si="3"/>
        <v>3.7828954422460162E-2</v>
      </c>
    </row>
    <row r="43" spans="1:26" s="24" customFormat="1" hidden="1" outlineLevel="1" x14ac:dyDescent="0.3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--32731.49</f>
        <v>32731.49</v>
      </c>
      <c r="E43" s="2"/>
      <c r="F43" s="19"/>
      <c r="G43" s="2"/>
      <c r="H43" s="2">
        <f>--4327.03</f>
        <v>4327.03</v>
      </c>
      <c r="I43" s="2"/>
      <c r="J43" s="19"/>
      <c r="K43" s="2"/>
      <c r="L43" s="2">
        <f t="shared" si="0"/>
        <v>28404.460000000003</v>
      </c>
      <c r="M43" s="2"/>
      <c r="N43" s="19">
        <f t="shared" si="1"/>
        <v>6.5644240968978735</v>
      </c>
      <c r="O43" s="11"/>
      <c r="P43" s="2">
        <f>--139149.89</f>
        <v>139149.89000000001</v>
      </c>
      <c r="Q43" s="2"/>
      <c r="R43" s="19"/>
      <c r="S43" s="2"/>
      <c r="T43" s="2">
        <f>--138670.92</f>
        <v>138670.92000000001</v>
      </c>
      <c r="U43" s="2"/>
      <c r="V43" s="19"/>
      <c r="W43" s="2"/>
      <c r="X43" s="2">
        <f t="shared" si="2"/>
        <v>478.97000000000116</v>
      </c>
      <c r="Y43" s="2"/>
      <c r="Z43" s="19">
        <f t="shared" si="3"/>
        <v>3.4540046319733158E-3</v>
      </c>
    </row>
    <row r="44" spans="1:26" s="24" customFormat="1" hidden="1" outlineLevel="1" x14ac:dyDescent="0.3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7"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>
        <f>--1563.99</f>
        <v>1563.99</v>
      </c>
      <c r="U44" s="2"/>
      <c r="V44" s="19"/>
      <c r="W44" s="2"/>
      <c r="X44" s="2">
        <f t="shared" si="2"/>
        <v>-1434.99</v>
      </c>
      <c r="Y44" s="2"/>
      <c r="Z44" s="19">
        <f t="shared" si="3"/>
        <v>-0.91751865421134404</v>
      </c>
    </row>
    <row r="45" spans="1:26" s="24" customFormat="1" hidden="1" outlineLevel="1" x14ac:dyDescent="0.3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7"/>
        <v>0</v>
      </c>
      <c r="E45" s="2"/>
      <c r="F45" s="19"/>
      <c r="G45" s="2"/>
      <c r="H45" s="2">
        <f>--69.99</f>
        <v>69.989999999999995</v>
      </c>
      <c r="I45" s="2"/>
      <c r="J45" s="19"/>
      <c r="K45" s="2"/>
      <c r="L45" s="2">
        <f t="shared" si="0"/>
        <v>-69.989999999999995</v>
      </c>
      <c r="M45" s="2"/>
      <c r="N45" s="19">
        <f t="shared" si="1"/>
        <v>-1</v>
      </c>
      <c r="O45" s="11"/>
      <c r="P45" s="2">
        <f>--4587.93</f>
        <v>4587.93</v>
      </c>
      <c r="Q45" s="2"/>
      <c r="R45" s="19"/>
      <c r="S45" s="2"/>
      <c r="T45" s="2">
        <f>--13428.64</f>
        <v>13428.64</v>
      </c>
      <c r="U45" s="2"/>
      <c r="V45" s="19"/>
      <c r="W45" s="2"/>
      <c r="X45" s="2">
        <f t="shared" si="2"/>
        <v>-8840.7099999999991</v>
      </c>
      <c r="Y45" s="2"/>
      <c r="Z45" s="19">
        <f t="shared" si="3"/>
        <v>-0.65834738290698092</v>
      </c>
    </row>
    <row r="46" spans="1:26" s="24" customFormat="1" hidden="1" outlineLevel="1" x14ac:dyDescent="0.3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--114.95</f>
        <v>114.95</v>
      </c>
      <c r="E46" s="2"/>
      <c r="F46" s="19"/>
      <c r="G46" s="2"/>
      <c r="H46" s="2">
        <f>--1965.47</f>
        <v>1965.47</v>
      </c>
      <c r="I46" s="2"/>
      <c r="J46" s="19"/>
      <c r="K46" s="2"/>
      <c r="L46" s="2">
        <f t="shared" si="0"/>
        <v>-1850.52</v>
      </c>
      <c r="M46" s="2"/>
      <c r="N46" s="19">
        <f t="shared" si="1"/>
        <v>-0.94151526098083405</v>
      </c>
      <c r="O46" s="11"/>
      <c r="P46" s="2">
        <f>--49644.41</f>
        <v>49644.41</v>
      </c>
      <c r="Q46" s="2"/>
      <c r="R46" s="19"/>
      <c r="S46" s="2"/>
      <c r="T46" s="2">
        <f>--93696.22</f>
        <v>93696.22</v>
      </c>
      <c r="U46" s="2"/>
      <c r="V46" s="19"/>
      <c r="W46" s="2"/>
      <c r="X46" s="2">
        <f t="shared" si="2"/>
        <v>-44051.81</v>
      </c>
      <c r="Y46" s="2"/>
      <c r="Z46" s="19">
        <f t="shared" si="3"/>
        <v>-0.47015567970618233</v>
      </c>
    </row>
    <row r="47" spans="1:26" s="24" customFormat="1" hidden="1" outlineLevel="1" x14ac:dyDescent="0.3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--356</f>
        <v>356</v>
      </c>
      <c r="E47" s="2"/>
      <c r="F47" s="19"/>
      <c r="G47" s="2"/>
      <c r="H47" s="2">
        <f>--49.99</f>
        <v>49.99</v>
      </c>
      <c r="I47" s="2"/>
      <c r="J47" s="19"/>
      <c r="K47" s="2"/>
      <c r="L47" s="2">
        <f t="shared" si="0"/>
        <v>306.01</v>
      </c>
      <c r="M47" s="2"/>
      <c r="N47" s="19">
        <f t="shared" si="1"/>
        <v>6.1214242848569711</v>
      </c>
      <c r="O47" s="11"/>
      <c r="P47" s="2">
        <f>--3151.75</f>
        <v>3151.75</v>
      </c>
      <c r="Q47" s="2"/>
      <c r="R47" s="19"/>
      <c r="S47" s="2"/>
      <c r="T47" s="2">
        <f>--2170.76</f>
        <v>2170.7600000000002</v>
      </c>
      <c r="U47" s="2"/>
      <c r="V47" s="19"/>
      <c r="W47" s="2"/>
      <c r="X47" s="2">
        <f t="shared" si="2"/>
        <v>980.98999999999978</v>
      </c>
      <c r="Y47" s="2"/>
      <c r="Z47" s="19">
        <f t="shared" si="3"/>
        <v>0.451910851499014</v>
      </c>
    </row>
    <row r="48" spans="1:26" s="24" customFormat="1" hidden="1" outlineLevel="1" x14ac:dyDescent="0.35">
      <c r="A48" s="44"/>
      <c r="B48" s="11" t="str">
        <f>CONCATENATE("          ", "4091", " - ", "TAXABLE SALES-GRAD ANNOUNCEMEN")</f>
        <v xml:space="preserve">          4091 - TAXABLE SALES-GRAD ANNOUNCEMEN</v>
      </c>
      <c r="C48" s="11"/>
      <c r="D48" s="2">
        <f>0</f>
        <v>0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0</f>
        <v>0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0</v>
      </c>
      <c r="Y48" s="2"/>
      <c r="Z48" s="19">
        <f t="shared" si="3"/>
        <v>0</v>
      </c>
    </row>
    <row r="49" spans="1:26" s="24" customFormat="1" hidden="1" outlineLevel="1" x14ac:dyDescent="0.35">
      <c r="A49" s="44"/>
      <c r="B49" s="11" t="str">
        <f>CONCATENATE("          ", "4092", " - ", "TAXABLE SALES-GRAD MERCH")</f>
        <v xml:space="preserve">          4092 - TAXABLE SALES-GRAD MERCH</v>
      </c>
      <c r="C49" s="11"/>
      <c r="D49" s="2">
        <f>--6332.23</f>
        <v>6332.23</v>
      </c>
      <c r="E49" s="2"/>
      <c r="F49" s="19"/>
      <c r="G49" s="2"/>
      <c r="H49" s="2">
        <f>--466.49</f>
        <v>466.49</v>
      </c>
      <c r="I49" s="2"/>
      <c r="J49" s="19"/>
      <c r="K49" s="2"/>
      <c r="L49" s="2">
        <f t="shared" si="0"/>
        <v>5865.74</v>
      </c>
      <c r="M49" s="2"/>
      <c r="N49" s="19">
        <f t="shared" si="1"/>
        <v>12.574203091170228</v>
      </c>
      <c r="O49" s="11"/>
      <c r="P49" s="2">
        <f>--41685.94</f>
        <v>41685.94</v>
      </c>
      <c r="Q49" s="2"/>
      <c r="R49" s="19"/>
      <c r="S49" s="2"/>
      <c r="T49" s="2">
        <f>--223303.91</f>
        <v>223303.91</v>
      </c>
      <c r="U49" s="2"/>
      <c r="V49" s="19"/>
      <c r="W49" s="2"/>
      <c r="X49" s="2">
        <f t="shared" si="2"/>
        <v>-181617.97</v>
      </c>
      <c r="Y49" s="2"/>
      <c r="Z49" s="19">
        <f t="shared" si="3"/>
        <v>-0.81332194317600615</v>
      </c>
    </row>
    <row r="50" spans="1:26" s="24" customFormat="1" hidden="1" outlineLevel="1" x14ac:dyDescent="0.35">
      <c r="A50" s="44"/>
      <c r="B50" s="11" t="str">
        <f>CONCATENATE("          ", "4095", " - ", "TAXABLE SALES-CUSTOMER SERVICE")</f>
        <v xml:space="preserve">          4095 - TAXABLE SALES-CUSTOMER SERVICE</v>
      </c>
      <c r="C50" s="11"/>
      <c r="D50" s="2">
        <f>0</f>
        <v>0</v>
      </c>
      <c r="E50" s="2"/>
      <c r="F50" s="19"/>
      <c r="G50" s="2"/>
      <c r="H50" s="2">
        <f>--17.82</f>
        <v>17.82</v>
      </c>
      <c r="I50" s="2"/>
      <c r="J50" s="19"/>
      <c r="K50" s="2"/>
      <c r="L50" s="2">
        <f t="shared" si="0"/>
        <v>-17.82</v>
      </c>
      <c r="M50" s="2"/>
      <c r="N50" s="19">
        <f t="shared" si="1"/>
        <v>-1</v>
      </c>
      <c r="O50" s="11"/>
      <c r="P50" s="2">
        <f>--309.26</f>
        <v>309.26</v>
      </c>
      <c r="Q50" s="2"/>
      <c r="R50" s="19"/>
      <c r="S50" s="2"/>
      <c r="T50" s="2">
        <f>--2235.12</f>
        <v>2235.12</v>
      </c>
      <c r="U50" s="2"/>
      <c r="V50" s="19"/>
      <c r="W50" s="2"/>
      <c r="X50" s="2">
        <f t="shared" si="2"/>
        <v>-1925.86</v>
      </c>
      <c r="Y50" s="2"/>
      <c r="Z50" s="19">
        <f t="shared" si="3"/>
        <v>-0.86163606428290207</v>
      </c>
    </row>
    <row r="51" spans="1:26" s="24" customFormat="1" hidden="1" outlineLevel="1" x14ac:dyDescent="0.35">
      <c r="A51" s="44"/>
      <c r="B51" s="11" t="str">
        <f>CONCATENATE("          ", "4100", " - ", "NON-TAXABLE SALES")</f>
        <v xml:space="preserve">          4100 - NON-TAXABLE SALES</v>
      </c>
      <c r="C51" s="11"/>
      <c r="D51" s="2">
        <f>-16200.52</f>
        <v>-16200.52</v>
      </c>
      <c r="E51" s="2"/>
      <c r="F51" s="19"/>
      <c r="G51" s="2"/>
      <c r="H51" s="2">
        <f>--2784.85</f>
        <v>2784.85</v>
      </c>
      <c r="I51" s="2"/>
      <c r="J51" s="19"/>
      <c r="K51" s="2"/>
      <c r="L51" s="2">
        <f t="shared" si="0"/>
        <v>-18985.37</v>
      </c>
      <c r="M51" s="2"/>
      <c r="N51" s="19">
        <f t="shared" si="1"/>
        <v>-6.8173761602958862</v>
      </c>
      <c r="O51" s="11"/>
      <c r="P51" s="2">
        <f>--591246.5</f>
        <v>591246.5</v>
      </c>
      <c r="Q51" s="2"/>
      <c r="R51" s="19"/>
      <c r="S51" s="2"/>
      <c r="T51" s="2">
        <f>--792359.45</f>
        <v>792359.45</v>
      </c>
      <c r="U51" s="2"/>
      <c r="V51" s="19"/>
      <c r="W51" s="2"/>
      <c r="X51" s="2">
        <f t="shared" si="2"/>
        <v>-201112.94999999995</v>
      </c>
      <c r="Y51" s="2"/>
      <c r="Z51" s="19">
        <f t="shared" si="3"/>
        <v>-0.25381529809482295</v>
      </c>
    </row>
    <row r="52" spans="1:26" s="24" customFormat="1" hidden="1" outlineLevel="1" x14ac:dyDescent="0.35">
      <c r="A52" s="44"/>
      <c r="B52" s="11" t="str">
        <f>CONCATENATE("          ", "4101", " - ", "NON-TAXABLE SALES-NEW TEXT")</f>
        <v xml:space="preserve">          4101 - NON-TAXABLE SALES-NEW TEXT</v>
      </c>
      <c r="C52" s="11"/>
      <c r="D52" s="2">
        <f>--2671.34</f>
        <v>2671.34</v>
      </c>
      <c r="E52" s="2"/>
      <c r="F52" s="19"/>
      <c r="G52" s="2"/>
      <c r="H52" s="2">
        <f>--1051.16</f>
        <v>1051.1600000000001</v>
      </c>
      <c r="I52" s="2"/>
      <c r="J52" s="19"/>
      <c r="K52" s="2"/>
      <c r="L52" s="2">
        <f t="shared" si="0"/>
        <v>1620.18</v>
      </c>
      <c r="M52" s="2"/>
      <c r="N52" s="19">
        <f t="shared" si="1"/>
        <v>1.5413257734312569</v>
      </c>
      <c r="O52" s="11"/>
      <c r="P52" s="2">
        <f>--153953.68</f>
        <v>153953.68</v>
      </c>
      <c r="Q52" s="2"/>
      <c r="R52" s="19"/>
      <c r="S52" s="2"/>
      <c r="T52" s="2">
        <f>--281995.26</f>
        <v>281995.26</v>
      </c>
      <c r="U52" s="2"/>
      <c r="V52" s="19"/>
      <c r="W52" s="2"/>
      <c r="X52" s="2">
        <f t="shared" si="2"/>
        <v>-128041.58000000002</v>
      </c>
      <c r="Y52" s="2"/>
      <c r="Z52" s="19">
        <f t="shared" si="3"/>
        <v>-0.45405578802991231</v>
      </c>
    </row>
    <row r="53" spans="1:26" s="24" customFormat="1" hidden="1" outlineLevel="1" x14ac:dyDescent="0.35">
      <c r="A53" s="44"/>
      <c r="B53" s="11" t="str">
        <f>CONCATENATE("          ", "4102", " - ", "NON-TAXABLE SALES-USED TEXT")</f>
        <v xml:space="preserve">          4102 - NON-TAXABLE SALES-USED TEXT</v>
      </c>
      <c r="C53" s="11"/>
      <c r="D53" s="2">
        <f>--1718.15</f>
        <v>1718.15</v>
      </c>
      <c r="E53" s="2"/>
      <c r="F53" s="19"/>
      <c r="G53" s="2"/>
      <c r="H53" s="2">
        <f>--2191.44</f>
        <v>2191.44</v>
      </c>
      <c r="I53" s="2"/>
      <c r="J53" s="19"/>
      <c r="K53" s="2"/>
      <c r="L53" s="2">
        <f t="shared" si="0"/>
        <v>-473.28999999999996</v>
      </c>
      <c r="M53" s="2"/>
      <c r="N53" s="19">
        <f t="shared" si="1"/>
        <v>-0.21597214616872923</v>
      </c>
      <c r="O53" s="11"/>
      <c r="P53" s="2">
        <f>--71943.61</f>
        <v>71943.61</v>
      </c>
      <c r="Q53" s="2"/>
      <c r="R53" s="19"/>
      <c r="S53" s="2"/>
      <c r="T53" s="2">
        <f>--98541.39</f>
        <v>98541.39</v>
      </c>
      <c r="U53" s="2"/>
      <c r="V53" s="19"/>
      <c r="W53" s="2"/>
      <c r="X53" s="2">
        <f t="shared" si="2"/>
        <v>-26597.78</v>
      </c>
      <c r="Y53" s="2"/>
      <c r="Z53" s="19">
        <f t="shared" si="3"/>
        <v>-0.26991480432739989</v>
      </c>
    </row>
    <row r="54" spans="1:26" s="24" customFormat="1" hidden="1" outlineLevel="1" x14ac:dyDescent="0.35">
      <c r="A54" s="44"/>
      <c r="B54" s="11" t="str">
        <f>CONCATENATE("          ", "4103", " - ", "NON-TAXABLE SALES-RENTAL TEXT")</f>
        <v xml:space="preserve">          4103 - NON-TAXABLE SALES-RENTAL TEXT</v>
      </c>
      <c r="C54" s="11"/>
      <c r="D54" s="2">
        <f>0</f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--664.97</f>
        <v>664.97</v>
      </c>
      <c r="Q54" s="2"/>
      <c r="R54" s="19"/>
      <c r="S54" s="2"/>
      <c r="T54" s="2">
        <f>--830.85</f>
        <v>830.85</v>
      </c>
      <c r="U54" s="2"/>
      <c r="V54" s="19"/>
      <c r="W54" s="2"/>
      <c r="X54" s="2">
        <f t="shared" si="2"/>
        <v>-165.88</v>
      </c>
      <c r="Y54" s="2"/>
      <c r="Z54" s="19">
        <f t="shared" si="3"/>
        <v>-0.19965095986038392</v>
      </c>
    </row>
    <row r="55" spans="1:26" s="24" customFormat="1" hidden="1" outlineLevel="1" x14ac:dyDescent="0.35">
      <c r="A55" s="44"/>
      <c r="B55" s="11" t="str">
        <f>CONCATENATE("          ", "4104", " - ", "NON-TAXABLE SALES-DIGITAL TEXT")</f>
        <v xml:space="preserve">          4104 - NON-TAXABLE SALES-DIGITAL TEXT</v>
      </c>
      <c r="C55" s="11"/>
      <c r="D55" s="2">
        <f>--1836.93</f>
        <v>1836.93</v>
      </c>
      <c r="E55" s="2"/>
      <c r="F55" s="19"/>
      <c r="G55" s="2"/>
      <c r="H55" s="2">
        <f>--1779.5</f>
        <v>1779.5</v>
      </c>
      <c r="I55" s="2"/>
      <c r="J55" s="19"/>
      <c r="K55" s="2"/>
      <c r="L55" s="2">
        <f t="shared" si="0"/>
        <v>57.430000000000064</v>
      </c>
      <c r="M55" s="2"/>
      <c r="N55" s="19">
        <f t="shared" si="1"/>
        <v>3.2273110424276517E-2</v>
      </c>
      <c r="O55" s="11"/>
      <c r="P55" s="2">
        <f>--533640.31</f>
        <v>533640.31000000006</v>
      </c>
      <c r="Q55" s="2"/>
      <c r="R55" s="19"/>
      <c r="S55" s="2"/>
      <c r="T55" s="2">
        <f>--535221.75</f>
        <v>535221.75</v>
      </c>
      <c r="U55" s="2"/>
      <c r="V55" s="19"/>
      <c r="W55" s="2"/>
      <c r="X55" s="2">
        <f t="shared" si="2"/>
        <v>-1581.4399999999441</v>
      </c>
      <c r="Y55" s="2"/>
      <c r="Z55" s="19">
        <f t="shared" si="3"/>
        <v>-2.9547379193763036E-3</v>
      </c>
    </row>
    <row r="56" spans="1:26" s="24" customFormat="1" hidden="1" outlineLevel="1" x14ac:dyDescent="0.35">
      <c r="A56" s="44"/>
      <c r="B56" s="11" t="str">
        <f>CONCATENATE("          ", "4111", " - ", "NON-TAXABLE SALES-NO VALUE TEX")</f>
        <v xml:space="preserve">          4111 - NON-TAXABLE SALES-NO VALUE TEX</v>
      </c>
      <c r="C56" s="11"/>
      <c r="D56" s="2">
        <f>--679.21</f>
        <v>679.21</v>
      </c>
      <c r="E56" s="2"/>
      <c r="F56" s="19"/>
      <c r="G56" s="2"/>
      <c r="H56" s="2">
        <f>--3194.97</f>
        <v>3194.97</v>
      </c>
      <c r="I56" s="2"/>
      <c r="J56" s="19"/>
      <c r="K56" s="2"/>
      <c r="L56" s="2">
        <f t="shared" si="0"/>
        <v>-2515.7599999999998</v>
      </c>
      <c r="M56" s="2"/>
      <c r="N56" s="19">
        <f t="shared" si="1"/>
        <v>-0.78741271436038518</v>
      </c>
      <c r="O56" s="11"/>
      <c r="P56" s="2">
        <f>--16342.67</f>
        <v>16342.67</v>
      </c>
      <c r="Q56" s="2"/>
      <c r="R56" s="19"/>
      <c r="S56" s="2"/>
      <c r="T56" s="2">
        <f>--25086.75</f>
        <v>25086.75</v>
      </c>
      <c r="U56" s="2"/>
      <c r="V56" s="19"/>
      <c r="W56" s="2"/>
      <c r="X56" s="2">
        <f t="shared" si="2"/>
        <v>-8744.08</v>
      </c>
      <c r="Y56" s="2"/>
      <c r="Z56" s="19">
        <f t="shared" si="3"/>
        <v>-0.34855371859647022</v>
      </c>
    </row>
    <row r="57" spans="1:26" s="24" customFormat="1" hidden="1" outlineLevel="1" x14ac:dyDescent="0.35">
      <c r="A57" s="44"/>
      <c r="B57" s="11" t="str">
        <f>CONCATENATE("          ", "4113", " - ", "NON-TAXABLE SALES-TRADE BOOKS")</f>
        <v xml:space="preserve">          4113 - NON-TAXABLE SALES-TRADE BOOKS</v>
      </c>
      <c r="C57" s="11"/>
      <c r="D57" s="2">
        <f t="shared" ref="D57:D58" si="8">0</f>
        <v>0</v>
      </c>
      <c r="E57" s="2"/>
      <c r="F57" s="19"/>
      <c r="G57" s="2"/>
      <c r="H57" s="2">
        <f>--1600</f>
        <v>1600</v>
      </c>
      <c r="I57" s="2"/>
      <c r="J57" s="19"/>
      <c r="K57" s="2"/>
      <c r="L57" s="2">
        <f t="shared" si="0"/>
        <v>-1600</v>
      </c>
      <c r="M57" s="2"/>
      <c r="N57" s="19">
        <f t="shared" si="1"/>
        <v>-1</v>
      </c>
      <c r="O57" s="11"/>
      <c r="P57" s="2">
        <f>--8266.16</f>
        <v>8266.16</v>
      </c>
      <c r="Q57" s="2"/>
      <c r="R57" s="19"/>
      <c r="S57" s="2"/>
      <c r="T57" s="2">
        <f>--5373</f>
        <v>5373</v>
      </c>
      <c r="U57" s="2"/>
      <c r="V57" s="19"/>
      <c r="W57" s="2"/>
      <c r="X57" s="2">
        <f t="shared" si="2"/>
        <v>2893.16</v>
      </c>
      <c r="Y57" s="2"/>
      <c r="Z57" s="19">
        <f t="shared" si="3"/>
        <v>0.53846268378931694</v>
      </c>
    </row>
    <row r="58" spans="1:26" s="24" customFormat="1" hidden="1" outlineLevel="1" x14ac:dyDescent="0.35">
      <c r="A58" s="44"/>
      <c r="B58" s="11" t="str">
        <f>CONCATENATE("          ", "4114", " - ", "NON-TAXABLE SALES-REMAINDERS")</f>
        <v xml:space="preserve">          4114 - NON-TAXABLE SALES-REMAINDERS</v>
      </c>
      <c r="C58" s="11"/>
      <c r="D58" s="2">
        <f t="shared" si="8"/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--3.19</f>
        <v>3.19</v>
      </c>
      <c r="Q58" s="2"/>
      <c r="R58" s="19"/>
      <c r="S58" s="2"/>
      <c r="T58" s="2">
        <f>0</f>
        <v>0</v>
      </c>
      <c r="U58" s="2"/>
      <c r="V58" s="19"/>
      <c r="W58" s="2"/>
      <c r="X58" s="2">
        <f t="shared" si="2"/>
        <v>3.19</v>
      </c>
      <c r="Y58" s="2"/>
      <c r="Z58" s="19">
        <f t="shared" si="3"/>
        <v>0</v>
      </c>
    </row>
    <row r="59" spans="1:26" s="24" customFormat="1" hidden="1" outlineLevel="1" x14ac:dyDescent="0.35">
      <c r="A59" s="44"/>
      <c r="B59" s="11" t="str">
        <f>CONCATENATE("          ", "4118", " - ", "NON-TAXABLE SALES-STUDY GUIDES")</f>
        <v xml:space="preserve">          4118 - NON-TAXABLE SALES-STUDY GUIDES</v>
      </c>
      <c r="C59" s="11"/>
      <c r="D59" s="2">
        <f>--10.09</f>
        <v>10.09</v>
      </c>
      <c r="E59" s="2"/>
      <c r="F59" s="19"/>
      <c r="G59" s="2"/>
      <c r="H59" s="2">
        <f>--2507</f>
        <v>2507</v>
      </c>
      <c r="I59" s="2"/>
      <c r="J59" s="19"/>
      <c r="K59" s="2"/>
      <c r="L59" s="2">
        <f t="shared" si="0"/>
        <v>-2496.91</v>
      </c>
      <c r="M59" s="2"/>
      <c r="N59" s="19">
        <f t="shared" si="1"/>
        <v>-0.99597526924611079</v>
      </c>
      <c r="O59" s="11"/>
      <c r="P59" s="2">
        <f>--126.03</f>
        <v>126.03</v>
      </c>
      <c r="Q59" s="2"/>
      <c r="R59" s="19"/>
      <c r="S59" s="2"/>
      <c r="T59" s="2">
        <f>--2773.48</f>
        <v>2773.48</v>
      </c>
      <c r="U59" s="2"/>
      <c r="V59" s="19"/>
      <c r="W59" s="2"/>
      <c r="X59" s="2">
        <f t="shared" si="2"/>
        <v>-2647.45</v>
      </c>
      <c r="Y59" s="2"/>
      <c r="Z59" s="19">
        <f t="shared" si="3"/>
        <v>-0.95455889352005419</v>
      </c>
    </row>
    <row r="60" spans="1:26" s="24" customFormat="1" hidden="1" outlineLevel="1" x14ac:dyDescent="0.35">
      <c r="A60" s="44"/>
      <c r="B60" s="11" t="str">
        <f>CONCATENATE("          ", "4125", " - ", "NON-TAXABLE SALES-TEST FORMS")</f>
        <v xml:space="preserve">          4125 - NON-TAXABLE SALES-TEST FORMS</v>
      </c>
      <c r="C60" s="11"/>
      <c r="D60" s="2">
        <f>--185</f>
        <v>185</v>
      </c>
      <c r="E60" s="2"/>
      <c r="F60" s="19"/>
      <c r="G60" s="2"/>
      <c r="H60" s="2">
        <f>--12.94</f>
        <v>12.94</v>
      </c>
      <c r="I60" s="2"/>
      <c r="J60" s="19"/>
      <c r="K60" s="2"/>
      <c r="L60" s="2">
        <f t="shared" si="0"/>
        <v>172.06</v>
      </c>
      <c r="M60" s="2"/>
      <c r="N60" s="19">
        <f t="shared" si="1"/>
        <v>13.2967542503864</v>
      </c>
      <c r="O60" s="11"/>
      <c r="P60" s="2">
        <f>--452.61</f>
        <v>452.61</v>
      </c>
      <c r="Q60" s="2"/>
      <c r="R60" s="19"/>
      <c r="S60" s="2"/>
      <c r="T60" s="2">
        <f>--331.15</f>
        <v>331.15</v>
      </c>
      <c r="U60" s="2"/>
      <c r="V60" s="19"/>
      <c r="W60" s="2"/>
      <c r="X60" s="2">
        <f t="shared" si="2"/>
        <v>121.46000000000004</v>
      </c>
      <c r="Y60" s="2"/>
      <c r="Z60" s="19">
        <f t="shared" si="3"/>
        <v>0.36678242488298368</v>
      </c>
    </row>
    <row r="61" spans="1:26" s="24" customFormat="1" hidden="1" outlineLevel="1" x14ac:dyDescent="0.35">
      <c r="A61" s="44"/>
      <c r="B61" s="11" t="str">
        <f>CONCATENATE("          ", "4126", " - ", "NON-TAXABLE SALES-WRITING INST")</f>
        <v xml:space="preserve">          4126 - NON-TAXABLE SALES-WRITING INST</v>
      </c>
      <c r="C61" s="11"/>
      <c r="D61" s="2">
        <f>--168.02</f>
        <v>168.02</v>
      </c>
      <c r="E61" s="2"/>
      <c r="F61" s="19"/>
      <c r="G61" s="2"/>
      <c r="H61" s="2">
        <f>--160.46</f>
        <v>160.46</v>
      </c>
      <c r="I61" s="2"/>
      <c r="J61" s="19"/>
      <c r="K61" s="2"/>
      <c r="L61" s="2">
        <f t="shared" si="0"/>
        <v>7.5600000000000023</v>
      </c>
      <c r="M61" s="2"/>
      <c r="N61" s="19">
        <f t="shared" si="1"/>
        <v>4.7114545681166659E-2</v>
      </c>
      <c r="O61" s="11"/>
      <c r="P61" s="2">
        <f>--3301.44</f>
        <v>3301.44</v>
      </c>
      <c r="Q61" s="2"/>
      <c r="R61" s="19"/>
      <c r="S61" s="2"/>
      <c r="T61" s="2">
        <f>--4171.98</f>
        <v>4171.9799999999996</v>
      </c>
      <c r="U61" s="2"/>
      <c r="V61" s="19"/>
      <c r="W61" s="2"/>
      <c r="X61" s="2">
        <f t="shared" si="2"/>
        <v>-870.53999999999951</v>
      </c>
      <c r="Y61" s="2"/>
      <c r="Z61" s="19">
        <f t="shared" si="3"/>
        <v>-0.2086635122891288</v>
      </c>
    </row>
    <row r="62" spans="1:26" s="24" customFormat="1" hidden="1" outlineLevel="1" x14ac:dyDescent="0.35">
      <c r="A62" s="44"/>
      <c r="B62" s="11" t="str">
        <f>CONCATENATE("          ", "4127", " - ", "NON-TAXABLE SALES-SCHOOL SUPPL")</f>
        <v xml:space="preserve">          4127 - NON-TAXABLE SALES-SCHOOL SUPPL</v>
      </c>
      <c r="C62" s="11"/>
      <c r="D62" s="2">
        <f>--97.62</f>
        <v>97.62</v>
      </c>
      <c r="E62" s="2"/>
      <c r="F62" s="19"/>
      <c r="G62" s="2"/>
      <c r="H62" s="2">
        <f>--83.39</f>
        <v>83.39</v>
      </c>
      <c r="I62" s="2"/>
      <c r="J62" s="19"/>
      <c r="K62" s="2"/>
      <c r="L62" s="2">
        <f t="shared" si="0"/>
        <v>14.230000000000004</v>
      </c>
      <c r="M62" s="2"/>
      <c r="N62" s="19">
        <f t="shared" si="1"/>
        <v>0.17064396210576813</v>
      </c>
      <c r="O62" s="11"/>
      <c r="P62" s="2">
        <f>--6471.33</f>
        <v>6471.33</v>
      </c>
      <c r="Q62" s="2"/>
      <c r="R62" s="19"/>
      <c r="S62" s="2"/>
      <c r="T62" s="2">
        <f>--12627.65</f>
        <v>12627.65</v>
      </c>
      <c r="U62" s="2"/>
      <c r="V62" s="19"/>
      <c r="W62" s="2"/>
      <c r="X62" s="2">
        <f t="shared" si="2"/>
        <v>-6156.32</v>
      </c>
      <c r="Y62" s="2"/>
      <c r="Z62" s="19">
        <f t="shared" si="3"/>
        <v>-0.48752697453603799</v>
      </c>
    </row>
    <row r="63" spans="1:26" s="24" customFormat="1" hidden="1" outlineLevel="1" x14ac:dyDescent="0.35">
      <c r="A63" s="44"/>
      <c r="B63" s="11" t="str">
        <f>CONCATENATE("          ", "4128", " - ", "NON-TAXABLE SALES-ART/TECH")</f>
        <v xml:space="preserve">          4128 - NON-TAXABLE SALES-ART/TECH</v>
      </c>
      <c r="C63" s="11"/>
      <c r="D63" s="2">
        <f>--0.74</f>
        <v>0.74</v>
      </c>
      <c r="E63" s="2"/>
      <c r="F63" s="19"/>
      <c r="G63" s="2"/>
      <c r="H63" s="2">
        <f>--16.55</f>
        <v>16.55</v>
      </c>
      <c r="I63" s="2"/>
      <c r="J63" s="19"/>
      <c r="K63" s="2"/>
      <c r="L63" s="2">
        <f t="shared" si="0"/>
        <v>-15.81</v>
      </c>
      <c r="M63" s="2"/>
      <c r="N63" s="19">
        <f t="shared" si="1"/>
        <v>-0.9552870090634441</v>
      </c>
      <c r="O63" s="11"/>
      <c r="P63" s="2">
        <f>--731.36</f>
        <v>731.36</v>
      </c>
      <c r="Q63" s="2"/>
      <c r="R63" s="19"/>
      <c r="S63" s="2"/>
      <c r="T63" s="2">
        <f>--894.51</f>
        <v>894.51</v>
      </c>
      <c r="U63" s="2"/>
      <c r="V63" s="19"/>
      <c r="W63" s="2"/>
      <c r="X63" s="2">
        <f t="shared" si="2"/>
        <v>-163.14999999999998</v>
      </c>
      <c r="Y63" s="2"/>
      <c r="Z63" s="19">
        <f t="shared" si="3"/>
        <v>-0.18239035896747938</v>
      </c>
    </row>
    <row r="64" spans="1:26" s="24" customFormat="1" hidden="1" outlineLevel="1" x14ac:dyDescent="0.35">
      <c r="A64" s="44"/>
      <c r="B64" s="11" t="str">
        <f>CONCATENATE("          ", "4131", " - ", "NON-TAXABLE SALES-FOOD")</f>
        <v xml:space="preserve">          4131 - NON-TAXABLE SALES-FOOD</v>
      </c>
      <c r="C64" s="11"/>
      <c r="D64" s="2">
        <f>--64.14</f>
        <v>64.14</v>
      </c>
      <c r="E64" s="2"/>
      <c r="F64" s="19"/>
      <c r="G64" s="2"/>
      <c r="H64" s="2">
        <f>--182.35</f>
        <v>182.35</v>
      </c>
      <c r="I64" s="2"/>
      <c r="J64" s="19"/>
      <c r="K64" s="2"/>
      <c r="L64" s="2">
        <f t="shared" si="0"/>
        <v>-118.21</v>
      </c>
      <c r="M64" s="2"/>
      <c r="N64" s="19">
        <f t="shared" si="1"/>
        <v>-0.64825884288456259</v>
      </c>
      <c r="O64" s="11"/>
      <c r="P64" s="2">
        <f>--57957.84</f>
        <v>57957.84</v>
      </c>
      <c r="Q64" s="2"/>
      <c r="R64" s="19"/>
      <c r="S64" s="2"/>
      <c r="T64" s="2">
        <f>--74222.68</f>
        <v>74222.679999999993</v>
      </c>
      <c r="U64" s="2"/>
      <c r="V64" s="19"/>
      <c r="W64" s="2"/>
      <c r="X64" s="2">
        <f t="shared" si="2"/>
        <v>-16264.839999999997</v>
      </c>
      <c r="Y64" s="2"/>
      <c r="Z64" s="19">
        <f t="shared" si="3"/>
        <v>-0.21913571431266021</v>
      </c>
    </row>
    <row r="65" spans="1:26" s="24" customFormat="1" hidden="1" outlineLevel="1" x14ac:dyDescent="0.35">
      <c r="A65" s="44"/>
      <c r="B65" s="11" t="str">
        <f>CONCATENATE("          ", "4132", " - ", "NON-TAXABLE SALES-JUICE")</f>
        <v xml:space="preserve">          4132 - NON-TAXABLE SALES-JUICE</v>
      </c>
      <c r="C65" s="11"/>
      <c r="D65" s="2">
        <f>0</f>
        <v>0</v>
      </c>
      <c r="E65" s="2"/>
      <c r="F65" s="19"/>
      <c r="G65" s="2"/>
      <c r="H65" s="2">
        <f>--50.31</f>
        <v>50.31</v>
      </c>
      <c r="I65" s="2"/>
      <c r="J65" s="19"/>
      <c r="K65" s="2"/>
      <c r="L65" s="2">
        <f t="shared" si="0"/>
        <v>-50.31</v>
      </c>
      <c r="M65" s="2"/>
      <c r="N65" s="19">
        <f t="shared" si="1"/>
        <v>-1</v>
      </c>
      <c r="O65" s="11"/>
      <c r="P65" s="2">
        <f>--16199.63</f>
        <v>16199.63</v>
      </c>
      <c r="Q65" s="2"/>
      <c r="R65" s="19"/>
      <c r="S65" s="2"/>
      <c r="T65" s="2">
        <f>--18307.55</f>
        <v>18307.55</v>
      </c>
      <c r="U65" s="2"/>
      <c r="V65" s="19"/>
      <c r="W65" s="2"/>
      <c r="X65" s="2">
        <f t="shared" si="2"/>
        <v>-2107.92</v>
      </c>
      <c r="Y65" s="2"/>
      <c r="Z65" s="19">
        <f t="shared" si="3"/>
        <v>-0.11513938238595553</v>
      </c>
    </row>
    <row r="66" spans="1:26" s="24" customFormat="1" hidden="1" outlineLevel="1" x14ac:dyDescent="0.35">
      <c r="A66" s="44"/>
      <c r="B66" s="11" t="str">
        <f>CONCATENATE("          ", "4133", " - ", "NON-TAXABLE SALES-CANDY")</f>
        <v xml:space="preserve">          4133 - NON-TAXABLE SALES-CANDY</v>
      </c>
      <c r="C66" s="11"/>
      <c r="D66" s="2">
        <f>--13.47</f>
        <v>13.47</v>
      </c>
      <c r="E66" s="2"/>
      <c r="F66" s="19"/>
      <c r="G66" s="2"/>
      <c r="H66" s="2">
        <f>--294.41</f>
        <v>294.41000000000003</v>
      </c>
      <c r="I66" s="2"/>
      <c r="J66" s="19"/>
      <c r="K66" s="2"/>
      <c r="L66" s="2">
        <f t="shared" si="0"/>
        <v>-280.94</v>
      </c>
      <c r="M66" s="2"/>
      <c r="N66" s="19">
        <f t="shared" si="1"/>
        <v>-0.95424747800686105</v>
      </c>
      <c r="O66" s="11"/>
      <c r="P66" s="2">
        <f>--18150.2</f>
        <v>18150.2</v>
      </c>
      <c r="Q66" s="2"/>
      <c r="R66" s="19"/>
      <c r="S66" s="2"/>
      <c r="T66" s="2">
        <f>--23768.73</f>
        <v>23768.73</v>
      </c>
      <c r="U66" s="2"/>
      <c r="V66" s="19"/>
      <c r="W66" s="2"/>
      <c r="X66" s="2">
        <f t="shared" si="2"/>
        <v>-5618.5299999999988</v>
      </c>
      <c r="Y66" s="2"/>
      <c r="Z66" s="19">
        <f t="shared" si="3"/>
        <v>-0.236383264903089</v>
      </c>
    </row>
    <row r="67" spans="1:26" s="24" customFormat="1" hidden="1" outlineLevel="1" x14ac:dyDescent="0.35">
      <c r="A67" s="44"/>
      <c r="B67" s="11" t="str">
        <f>CONCATENATE("          ", "4134", " - ", "NON-TAXABLE SALES-SODA")</f>
        <v xml:space="preserve">          4134 - NON-TAXABLE SALES-SODA</v>
      </c>
      <c r="C67" s="11"/>
      <c r="D67" s="2">
        <f t="shared" ref="D67:D69" si="9">0</f>
        <v>0</v>
      </c>
      <c r="E67" s="2"/>
      <c r="F67" s="19"/>
      <c r="G67" s="2"/>
      <c r="H67" s="2">
        <f t="shared" ref="H67:H68" si="10">0</f>
        <v>0</v>
      </c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>--1.89</f>
        <v>1.89</v>
      </c>
      <c r="Q67" s="2"/>
      <c r="R67" s="19"/>
      <c r="S67" s="2"/>
      <c r="T67" s="2">
        <f>--111.36</f>
        <v>111.36</v>
      </c>
      <c r="U67" s="2"/>
      <c r="V67" s="19"/>
      <c r="W67" s="2"/>
      <c r="X67" s="2">
        <f t="shared" si="2"/>
        <v>-109.47</v>
      </c>
      <c r="Y67" s="2"/>
      <c r="Z67" s="19">
        <f t="shared" si="3"/>
        <v>-0.98302801724137934</v>
      </c>
    </row>
    <row r="68" spans="1:26" s="24" customFormat="1" hidden="1" outlineLevel="1" x14ac:dyDescent="0.35">
      <c r="A68" s="44"/>
      <c r="B68" s="11" t="str">
        <f>CONCATENATE("          ", "4135", " - ", "NON-TAXABLE SALES")</f>
        <v xml:space="preserve">          4135 - NON-TAXABLE SALES</v>
      </c>
      <c r="C68" s="11"/>
      <c r="D68" s="2">
        <f t="shared" si="9"/>
        <v>0</v>
      </c>
      <c r="E68" s="2"/>
      <c r="F68" s="19"/>
      <c r="G68" s="2"/>
      <c r="H68" s="2">
        <f t="shared" si="10"/>
        <v>0</v>
      </c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--161.4</f>
        <v>161.4</v>
      </c>
      <c r="Q68" s="2"/>
      <c r="R68" s="19"/>
      <c r="S68" s="2"/>
      <c r="T68" s="2">
        <f>--383.81</f>
        <v>383.81</v>
      </c>
      <c r="U68" s="2"/>
      <c r="V68" s="19"/>
      <c r="W68" s="2"/>
      <c r="X68" s="2">
        <f t="shared" si="2"/>
        <v>-222.41</v>
      </c>
      <c r="Y68" s="2"/>
      <c r="Z68" s="19">
        <f t="shared" si="3"/>
        <v>-0.57947942992626555</v>
      </c>
    </row>
    <row r="69" spans="1:26" s="24" customFormat="1" hidden="1" outlineLevel="1" x14ac:dyDescent="0.35">
      <c r="A69" s="44"/>
      <c r="B69" s="11" t="str">
        <f>CONCATENATE("          ", "4137", " - ", "NON-TAXABLE SALES-WATER")</f>
        <v xml:space="preserve">          4137 - NON-TAXABLE SALES-WATER</v>
      </c>
      <c r="C69" s="11"/>
      <c r="D69" s="2">
        <f t="shared" si="9"/>
        <v>0</v>
      </c>
      <c r="E69" s="2"/>
      <c r="F69" s="19"/>
      <c r="G69" s="2"/>
      <c r="H69" s="2">
        <f>--39.37</f>
        <v>39.369999999999997</v>
      </c>
      <c r="I69" s="2"/>
      <c r="J69" s="19"/>
      <c r="K69" s="2"/>
      <c r="L69" s="2">
        <f t="shared" si="0"/>
        <v>-39.369999999999997</v>
      </c>
      <c r="M69" s="2"/>
      <c r="N69" s="19">
        <f t="shared" si="1"/>
        <v>-1</v>
      </c>
      <c r="O69" s="11"/>
      <c r="P69" s="2">
        <f>--8519.06</f>
        <v>8519.06</v>
      </c>
      <c r="Q69" s="2"/>
      <c r="R69" s="19"/>
      <c r="S69" s="2"/>
      <c r="T69" s="2">
        <f>--10182.76</f>
        <v>10182.76</v>
      </c>
      <c r="U69" s="2"/>
      <c r="V69" s="19"/>
      <c r="W69" s="2"/>
      <c r="X69" s="2">
        <f t="shared" si="2"/>
        <v>-1663.7000000000007</v>
      </c>
      <c r="Y69" s="2"/>
      <c r="Z69" s="19">
        <f t="shared" si="3"/>
        <v>-0.16338399412340079</v>
      </c>
    </row>
    <row r="70" spans="1:26" s="24" customFormat="1" hidden="1" outlineLevel="1" x14ac:dyDescent="0.35">
      <c r="A70" s="44"/>
      <c r="B70" s="11" t="str">
        <f>CONCATENATE("          ", "4140", " - ", "NON-TAXABLE SALES-LOGO CLOTHIN")</f>
        <v xml:space="preserve">          4140 - NON-TAXABLE SALES-LOGO CLOTHIN</v>
      </c>
      <c r="C70" s="11"/>
      <c r="D70" s="2">
        <f>--40740.37</f>
        <v>40740.370000000003</v>
      </c>
      <c r="E70" s="2"/>
      <c r="F70" s="19"/>
      <c r="G70" s="2"/>
      <c r="H70" s="2">
        <f>--6820.39</f>
        <v>6820.39</v>
      </c>
      <c r="I70" s="2"/>
      <c r="J70" s="19"/>
      <c r="K70" s="2"/>
      <c r="L70" s="2">
        <f t="shared" si="0"/>
        <v>33919.980000000003</v>
      </c>
      <c r="M70" s="2"/>
      <c r="N70" s="19">
        <f t="shared" si="1"/>
        <v>4.9733197075240572</v>
      </c>
      <c r="O70" s="11"/>
      <c r="P70" s="2">
        <f>--176221.13</f>
        <v>176221.13</v>
      </c>
      <c r="Q70" s="2"/>
      <c r="R70" s="19"/>
      <c r="S70" s="2"/>
      <c r="T70" s="2">
        <f>--62811.11</f>
        <v>62811.11</v>
      </c>
      <c r="U70" s="2"/>
      <c r="V70" s="19"/>
      <c r="W70" s="2"/>
      <c r="X70" s="2">
        <f t="shared" si="2"/>
        <v>113410.02</v>
      </c>
      <c r="Y70" s="2"/>
      <c r="Z70" s="19">
        <f t="shared" si="3"/>
        <v>1.8055726128705576</v>
      </c>
    </row>
    <row r="71" spans="1:26" s="24" customFormat="1" hidden="1" outlineLevel="1" x14ac:dyDescent="0.35">
      <c r="A71" s="44"/>
      <c r="B71" s="11" t="str">
        <f>CONCATENATE("          ", "4141", " - ", "NON-TAXABLE SALES-LOGO GIFTS")</f>
        <v xml:space="preserve">          4141 - NON-TAXABLE SALES-LOGO GIFTS</v>
      </c>
      <c r="C71" s="11"/>
      <c r="D71" s="2">
        <f>--6641.14</f>
        <v>6641.14</v>
      </c>
      <c r="E71" s="2"/>
      <c r="F71" s="19"/>
      <c r="G71" s="2"/>
      <c r="H71" s="2">
        <f>--392.25</f>
        <v>392.25</v>
      </c>
      <c r="I71" s="2"/>
      <c r="J71" s="19"/>
      <c r="K71" s="2"/>
      <c r="L71" s="2">
        <f t="shared" si="0"/>
        <v>6248.89</v>
      </c>
      <c r="M71" s="2"/>
      <c r="N71" s="19">
        <f t="shared" si="1"/>
        <v>15.930885914595285</v>
      </c>
      <c r="O71" s="11"/>
      <c r="P71" s="2">
        <f>--23601.45</f>
        <v>23601.45</v>
      </c>
      <c r="Q71" s="2"/>
      <c r="R71" s="19"/>
      <c r="S71" s="2"/>
      <c r="T71" s="2">
        <f>--6856.03</f>
        <v>6856.03</v>
      </c>
      <c r="U71" s="2"/>
      <c r="V71" s="19"/>
      <c r="W71" s="2"/>
      <c r="X71" s="2">
        <f t="shared" si="2"/>
        <v>16745.420000000002</v>
      </c>
      <c r="Y71" s="2"/>
      <c r="Z71" s="19">
        <f t="shared" si="3"/>
        <v>2.4424368038062849</v>
      </c>
    </row>
    <row r="72" spans="1:26" s="24" customFormat="1" hidden="1" outlineLevel="1" x14ac:dyDescent="0.35">
      <c r="A72" s="44"/>
      <c r="B72" s="11" t="str">
        <f>CONCATENATE("          ", "4142", " - ", "NON-TAXABLE SALES-EVERYDAY GIF")</f>
        <v xml:space="preserve">          4142 - NON-TAXABLE SALES-EVERYDAY GIF</v>
      </c>
      <c r="C72" s="11"/>
      <c r="D72" s="2">
        <f>--1018.52</f>
        <v>1018.52</v>
      </c>
      <c r="E72" s="2"/>
      <c r="F72" s="19"/>
      <c r="G72" s="2"/>
      <c r="H72" s="2">
        <f>--208.83</f>
        <v>208.83</v>
      </c>
      <c r="I72" s="2"/>
      <c r="J72" s="19"/>
      <c r="K72" s="2"/>
      <c r="L72" s="2">
        <f t="shared" si="0"/>
        <v>809.68999999999994</v>
      </c>
      <c r="M72" s="2"/>
      <c r="N72" s="19">
        <f t="shared" si="1"/>
        <v>3.8772685916774403</v>
      </c>
      <c r="O72" s="11"/>
      <c r="P72" s="2">
        <f>--16350.74</f>
        <v>16350.74</v>
      </c>
      <c r="Q72" s="2"/>
      <c r="R72" s="19"/>
      <c r="S72" s="2"/>
      <c r="T72" s="2">
        <f>--21317.71</f>
        <v>21317.71</v>
      </c>
      <c r="U72" s="2"/>
      <c r="V72" s="19"/>
      <c r="W72" s="2"/>
      <c r="X72" s="2">
        <f t="shared" si="2"/>
        <v>-4966.9699999999993</v>
      </c>
      <c r="Y72" s="2"/>
      <c r="Z72" s="19">
        <f t="shared" si="3"/>
        <v>-0.23299735290516663</v>
      </c>
    </row>
    <row r="73" spans="1:26" s="24" customFormat="1" hidden="1" outlineLevel="1" x14ac:dyDescent="0.35">
      <c r="A73" s="44"/>
      <c r="B73" s="11" t="str">
        <f>CONCATENATE("          ", "4143", " - ", "NON-TAXABLE SALES-CARDS")</f>
        <v xml:space="preserve">          4143 - NON-TAXABLE SALES-CARDS</v>
      </c>
      <c r="C73" s="11"/>
      <c r="D73" s="2">
        <f>0</f>
        <v>0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--19.98</f>
        <v>19.98</v>
      </c>
      <c r="Q73" s="2"/>
      <c r="R73" s="19"/>
      <c r="S73" s="2"/>
      <c r="T73" s="2">
        <f>0</f>
        <v>0</v>
      </c>
      <c r="U73" s="2"/>
      <c r="V73" s="19"/>
      <c r="W73" s="2"/>
      <c r="X73" s="2">
        <f t="shared" si="2"/>
        <v>19.98</v>
      </c>
      <c r="Y73" s="2"/>
      <c r="Z73" s="19">
        <f t="shared" si="3"/>
        <v>0</v>
      </c>
    </row>
    <row r="74" spans="1:26" s="24" customFormat="1" hidden="1" outlineLevel="1" x14ac:dyDescent="0.35">
      <c r="A74" s="44"/>
      <c r="B74" s="11" t="str">
        <f>CONCATENATE("          ", "4144", " - ", "NON-TAXABLE SALES-ACCESSORIES")</f>
        <v xml:space="preserve">          4144 - NON-TAXABLE SALES-ACCESSORIES</v>
      </c>
      <c r="C74" s="11"/>
      <c r="D74" s="2">
        <f>--386.9</f>
        <v>386.9</v>
      </c>
      <c r="E74" s="2"/>
      <c r="F74" s="19"/>
      <c r="G74" s="2"/>
      <c r="H74" s="2">
        <f>--19.95</f>
        <v>19.95</v>
      </c>
      <c r="I74" s="2"/>
      <c r="J74" s="19"/>
      <c r="K74" s="2"/>
      <c r="L74" s="2">
        <f t="shared" si="0"/>
        <v>366.95</v>
      </c>
      <c r="M74" s="2"/>
      <c r="N74" s="19">
        <f t="shared" si="1"/>
        <v>18.393483709273184</v>
      </c>
      <c r="O74" s="11"/>
      <c r="P74" s="2">
        <f>--3710.92</f>
        <v>3710.92</v>
      </c>
      <c r="Q74" s="2"/>
      <c r="R74" s="19"/>
      <c r="S74" s="2"/>
      <c r="T74" s="2">
        <f>--659.84</f>
        <v>659.84</v>
      </c>
      <c r="U74" s="2"/>
      <c r="V74" s="19"/>
      <c r="W74" s="2"/>
      <c r="X74" s="2">
        <f t="shared" si="2"/>
        <v>3051.08</v>
      </c>
      <c r="Y74" s="2"/>
      <c r="Z74" s="19">
        <f t="shared" si="3"/>
        <v>4.6239694471387001</v>
      </c>
    </row>
    <row r="75" spans="1:26" s="24" customFormat="1" hidden="1" outlineLevel="1" x14ac:dyDescent="0.35">
      <c r="A75" s="44"/>
      <c r="B75" s="11" t="str">
        <f>CONCATENATE("          ", "4145", " - ", "NON-TAXABLE SALES-SPECIAL ORDE")</f>
        <v xml:space="preserve">          4145 - NON-TAXABLE SALES-SPECIAL ORDE</v>
      </c>
      <c r="C75" s="11"/>
      <c r="D75" s="2">
        <f>--19379.5</f>
        <v>19379.5</v>
      </c>
      <c r="E75" s="2"/>
      <c r="F75" s="19"/>
      <c r="G75" s="2"/>
      <c r="H75" s="2">
        <f>0</f>
        <v>0</v>
      </c>
      <c r="I75" s="2"/>
      <c r="J75" s="19"/>
      <c r="K75" s="2"/>
      <c r="L75" s="2">
        <f t="shared" si="0"/>
        <v>19379.5</v>
      </c>
      <c r="M75" s="2"/>
      <c r="N75" s="19">
        <f t="shared" si="1"/>
        <v>0</v>
      </c>
      <c r="O75" s="11"/>
      <c r="P75" s="2">
        <f>--27208.18</f>
        <v>27208.18</v>
      </c>
      <c r="Q75" s="2"/>
      <c r="R75" s="19"/>
      <c r="S75" s="2"/>
      <c r="T75" s="2">
        <f>--2382.85</f>
        <v>2382.85</v>
      </c>
      <c r="U75" s="2"/>
      <c r="V75" s="19"/>
      <c r="W75" s="2"/>
      <c r="X75" s="2">
        <f t="shared" si="2"/>
        <v>24825.33</v>
      </c>
      <c r="Y75" s="2"/>
      <c r="Z75" s="19">
        <f t="shared" si="3"/>
        <v>10.418335186856076</v>
      </c>
    </row>
    <row r="76" spans="1:26" s="24" customFormat="1" hidden="1" outlineLevel="1" x14ac:dyDescent="0.35">
      <c r="A76" s="44"/>
      <c r="B76" s="11" t="str">
        <f>CONCATENATE("          ", "4146", " - ", "NON-TAXABLE SALES-COIN OP MACH")</f>
        <v xml:space="preserve">          4146 - NON-TAXABLE SALES-COIN OP MACH</v>
      </c>
      <c r="C76" s="11"/>
      <c r="D76" s="2">
        <f t="shared" ref="D76:D77" si="11">0</f>
        <v>0</v>
      </c>
      <c r="E76" s="2"/>
      <c r="F76" s="19"/>
      <c r="G76" s="2"/>
      <c r="H76" s="2">
        <f>--2296.45</f>
        <v>2296.4499999999998</v>
      </c>
      <c r="I76" s="2"/>
      <c r="J76" s="19"/>
      <c r="K76" s="2"/>
      <c r="L76" s="2">
        <f t="shared" si="0"/>
        <v>-2296.4499999999998</v>
      </c>
      <c r="M76" s="2"/>
      <c r="N76" s="19">
        <f t="shared" si="1"/>
        <v>-1</v>
      </c>
      <c r="O76" s="11"/>
      <c r="P76" s="2">
        <f>--205908.65</f>
        <v>205908.65</v>
      </c>
      <c r="Q76" s="2"/>
      <c r="R76" s="19"/>
      <c r="S76" s="2"/>
      <c r="T76" s="2">
        <f>--288251.29</f>
        <v>288251.28999999998</v>
      </c>
      <c r="U76" s="2"/>
      <c r="V76" s="19"/>
      <c r="W76" s="2"/>
      <c r="X76" s="2">
        <f t="shared" si="2"/>
        <v>-82342.639999999985</v>
      </c>
      <c r="Y76" s="2"/>
      <c r="Z76" s="19">
        <f t="shared" si="3"/>
        <v>-0.28566269382523835</v>
      </c>
    </row>
    <row r="77" spans="1:26" s="24" customFormat="1" hidden="1" outlineLevel="1" x14ac:dyDescent="0.35">
      <c r="A77" s="44"/>
      <c r="B77" s="11" t="str">
        <f>CONCATENATE("          ", "4147", " - ", "NON-TAXABLE SALES-MISC")</f>
        <v xml:space="preserve">          4147 - NON-TAXABLE SALES-MISC</v>
      </c>
      <c r="C77" s="11"/>
      <c r="D77" s="2">
        <f t="shared" si="11"/>
        <v>0</v>
      </c>
      <c r="E77" s="2"/>
      <c r="F77" s="19"/>
      <c r="G77" s="2"/>
      <c r="H77" s="2">
        <f>--31</f>
        <v>31</v>
      </c>
      <c r="I77" s="2"/>
      <c r="J77" s="19"/>
      <c r="K77" s="2"/>
      <c r="L77" s="2">
        <f t="shared" si="0"/>
        <v>-31</v>
      </c>
      <c r="M77" s="2"/>
      <c r="N77" s="19">
        <f t="shared" si="1"/>
        <v>-1</v>
      </c>
      <c r="O77" s="11"/>
      <c r="P77" s="2">
        <f>--3446.37</f>
        <v>3446.37</v>
      </c>
      <c r="Q77" s="2"/>
      <c r="R77" s="19"/>
      <c r="S77" s="2"/>
      <c r="T77" s="2">
        <f>--959.73</f>
        <v>959.73</v>
      </c>
      <c r="U77" s="2"/>
      <c r="V77" s="19"/>
      <c r="W77" s="2"/>
      <c r="X77" s="2">
        <f t="shared" si="2"/>
        <v>2486.64</v>
      </c>
      <c r="Y77" s="2"/>
      <c r="Z77" s="19">
        <f t="shared" si="3"/>
        <v>2.5909787127629644</v>
      </c>
    </row>
    <row r="78" spans="1:26" s="24" customFormat="1" hidden="1" outlineLevel="1" x14ac:dyDescent="0.35">
      <c r="A78" s="44"/>
      <c r="B78" s="11" t="str">
        <f>CONCATENATE("          ", "4181", " - ", "NON-TAXABLE SALES-ELECTRONICS")</f>
        <v xml:space="preserve">          4181 - NON-TAXABLE SALES-ELECTRONICS</v>
      </c>
      <c r="C78" s="11"/>
      <c r="D78" s="2">
        <f>--1267.95</f>
        <v>1267.95</v>
      </c>
      <c r="E78" s="2"/>
      <c r="F78" s="19"/>
      <c r="G78" s="2"/>
      <c r="H78" s="2">
        <f>--225.13</f>
        <v>225.13</v>
      </c>
      <c r="I78" s="2"/>
      <c r="J78" s="19"/>
      <c r="K78" s="2"/>
      <c r="L78" s="2">
        <f t="shared" si="0"/>
        <v>1042.8200000000002</v>
      </c>
      <c r="M78" s="2"/>
      <c r="N78" s="19">
        <f t="shared" si="1"/>
        <v>4.632079243103985</v>
      </c>
      <c r="O78" s="11"/>
      <c r="P78" s="2">
        <f>--3925.74</f>
        <v>3925.74</v>
      </c>
      <c r="Q78" s="2"/>
      <c r="R78" s="19"/>
      <c r="S78" s="2"/>
      <c r="T78" s="2">
        <f>--16357.65</f>
        <v>16357.65</v>
      </c>
      <c r="U78" s="2"/>
      <c r="V78" s="19"/>
      <c r="W78" s="2"/>
      <c r="X78" s="2">
        <f t="shared" si="2"/>
        <v>-12431.91</v>
      </c>
      <c r="Y78" s="2"/>
      <c r="Z78" s="19">
        <f t="shared" si="3"/>
        <v>-0.76000586881367438</v>
      </c>
    </row>
    <row r="79" spans="1:26" s="24" customFormat="1" hidden="1" outlineLevel="1" x14ac:dyDescent="0.35">
      <c r="A79" s="44"/>
      <c r="B79" s="11" t="str">
        <f>CONCATENATE("          ", "4182", " - ", "NON-TAXABLE SALES-COMPUTER HAR")</f>
        <v xml:space="preserve">          4182 - NON-TAXABLE SALES-COMPUTER HAR</v>
      </c>
      <c r="C79" s="11"/>
      <c r="D79" s="2">
        <f>--45022.25</f>
        <v>45022.25</v>
      </c>
      <c r="E79" s="2"/>
      <c r="F79" s="19"/>
      <c r="G79" s="2"/>
      <c r="H79" s="2">
        <f>--3372</f>
        <v>3372</v>
      </c>
      <c r="I79" s="2"/>
      <c r="J79" s="19"/>
      <c r="K79" s="2"/>
      <c r="L79" s="2">
        <f t="shared" si="0"/>
        <v>41650.25</v>
      </c>
      <c r="M79" s="2"/>
      <c r="N79" s="19">
        <f t="shared" si="1"/>
        <v>12.35179418742586</v>
      </c>
      <c r="O79" s="11"/>
      <c r="P79" s="2">
        <f>--221223.79</f>
        <v>221223.79</v>
      </c>
      <c r="Q79" s="2"/>
      <c r="R79" s="19"/>
      <c r="S79" s="2"/>
      <c r="T79" s="2">
        <f>--239193.82</f>
        <v>239193.82</v>
      </c>
      <c r="U79" s="2"/>
      <c r="V79" s="19"/>
      <c r="W79" s="2"/>
      <c r="X79" s="2">
        <f t="shared" si="2"/>
        <v>-17970.03</v>
      </c>
      <c r="Y79" s="2"/>
      <c r="Z79" s="19">
        <f t="shared" si="3"/>
        <v>-7.5127484480995363E-2</v>
      </c>
    </row>
    <row r="80" spans="1:26" s="24" customFormat="1" hidden="1" outlineLevel="1" x14ac:dyDescent="0.35">
      <c r="A80" s="44"/>
      <c r="B80" s="11" t="str">
        <f>CONCATENATE("          ", "4183", " - ", "NON-TAXABLE SALES-COMPUTER EQU")</f>
        <v xml:space="preserve">          4183 - NON-TAXABLE SALES-COMPUTER EQU</v>
      </c>
      <c r="C80" s="11"/>
      <c r="D80" s="2">
        <f>--1394.82</f>
        <v>1394.82</v>
      </c>
      <c r="E80" s="2"/>
      <c r="F80" s="19"/>
      <c r="G80" s="2"/>
      <c r="H80" s="2">
        <f t="shared" ref="H80:H81" si="12">0</f>
        <v>0</v>
      </c>
      <c r="I80" s="2"/>
      <c r="J80" s="19"/>
      <c r="K80" s="2"/>
      <c r="L80" s="2">
        <f t="shared" si="0"/>
        <v>1394.82</v>
      </c>
      <c r="M80" s="2"/>
      <c r="N80" s="19">
        <f t="shared" si="1"/>
        <v>0</v>
      </c>
      <c r="O80" s="11"/>
      <c r="P80" s="2">
        <f>--12822.38</f>
        <v>12822.38</v>
      </c>
      <c r="Q80" s="2"/>
      <c r="R80" s="19"/>
      <c r="S80" s="2"/>
      <c r="T80" s="2">
        <f>--9758.94</f>
        <v>9758.94</v>
      </c>
      <c r="U80" s="2"/>
      <c r="V80" s="19"/>
      <c r="W80" s="2"/>
      <c r="X80" s="2">
        <f t="shared" si="2"/>
        <v>3063.4399999999987</v>
      </c>
      <c r="Y80" s="2"/>
      <c r="Z80" s="19">
        <f t="shared" si="3"/>
        <v>0.31391114198878139</v>
      </c>
    </row>
    <row r="81" spans="1:26" s="24" customFormat="1" hidden="1" outlineLevel="1" x14ac:dyDescent="0.35">
      <c r="A81" s="44"/>
      <c r="B81" s="11" t="str">
        <f>CONCATENATE("          ", "4184", " - ", "NON-TAXABLE SALES-SOFTWARE LIC")</f>
        <v xml:space="preserve">          4184 - NON-TAXABLE SALES-SOFTWARE LIC</v>
      </c>
      <c r="C81" s="11"/>
      <c r="D81" s="2">
        <f>0</f>
        <v>0</v>
      </c>
      <c r="E81" s="2"/>
      <c r="F81" s="19"/>
      <c r="G81" s="2"/>
      <c r="H81" s="2">
        <f t="shared" si="12"/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--2728</f>
        <v>2728</v>
      </c>
      <c r="Q81" s="2"/>
      <c r="R81" s="19"/>
      <c r="S81" s="2"/>
      <c r="T81" s="2">
        <f>--3840</f>
        <v>3840</v>
      </c>
      <c r="U81" s="2"/>
      <c r="V81" s="19"/>
      <c r="W81" s="2"/>
      <c r="X81" s="2">
        <f t="shared" si="2"/>
        <v>-1112</v>
      </c>
      <c r="Y81" s="2"/>
      <c r="Z81" s="19">
        <f t="shared" si="3"/>
        <v>-0.28958333333333336</v>
      </c>
    </row>
    <row r="82" spans="1:26" s="24" customFormat="1" hidden="1" outlineLevel="1" x14ac:dyDescent="0.35">
      <c r="A82" s="44"/>
      <c r="B82" s="11" t="str">
        <f>CONCATENATE("          ", "4185", " - ", "NON-TAXABLE SALES-SOFTWARE")</f>
        <v xml:space="preserve">          4185 - NON-TAXABLE SALES-SOFTWARE</v>
      </c>
      <c r="C82" s="11"/>
      <c r="D82" s="2">
        <f>--5267.75</f>
        <v>5267.75</v>
      </c>
      <c r="E82" s="2"/>
      <c r="F82" s="19"/>
      <c r="G82" s="2"/>
      <c r="H82" s="2">
        <f>--98</f>
        <v>98</v>
      </c>
      <c r="I82" s="2"/>
      <c r="J82" s="19"/>
      <c r="K82" s="2"/>
      <c r="L82" s="2">
        <f t="shared" si="0"/>
        <v>5169.75</v>
      </c>
      <c r="M82" s="2"/>
      <c r="N82" s="19">
        <f t="shared" si="1"/>
        <v>52.752551020408163</v>
      </c>
      <c r="O82" s="11"/>
      <c r="P82" s="2">
        <f>--25792.1</f>
        <v>25792.1</v>
      </c>
      <c r="Q82" s="2"/>
      <c r="R82" s="19"/>
      <c r="S82" s="2"/>
      <c r="T82" s="2">
        <f>--6664.76</f>
        <v>6664.76</v>
      </c>
      <c r="U82" s="2"/>
      <c r="V82" s="19"/>
      <c r="W82" s="2"/>
      <c r="X82" s="2">
        <f t="shared" si="2"/>
        <v>19127.339999999997</v>
      </c>
      <c r="Y82" s="2"/>
      <c r="Z82" s="19">
        <f t="shared" si="3"/>
        <v>2.8699217976341229</v>
      </c>
    </row>
    <row r="83" spans="1:26" s="24" customFormat="1" hidden="1" outlineLevel="1" x14ac:dyDescent="0.35">
      <c r="A83" s="44"/>
      <c r="B83" s="11" t="str">
        <f>CONCATENATE("          ", "4186", " - ", "NON-TAXABLE SALES-COMPUTER SUP")</f>
        <v xml:space="preserve">          4186 - NON-TAXABLE SALES-COMPUTER SUP</v>
      </c>
      <c r="C83" s="11"/>
      <c r="D83" s="2">
        <f>--431.97</f>
        <v>431.97</v>
      </c>
      <c r="E83" s="2"/>
      <c r="F83" s="19"/>
      <c r="G83" s="2"/>
      <c r="H83" s="2">
        <f>--85.95</f>
        <v>85.95</v>
      </c>
      <c r="I83" s="2"/>
      <c r="J83" s="19"/>
      <c r="K83" s="2"/>
      <c r="L83" s="2">
        <f t="shared" si="0"/>
        <v>346.02000000000004</v>
      </c>
      <c r="M83" s="2"/>
      <c r="N83" s="19">
        <f t="shared" si="1"/>
        <v>4.0258289703315882</v>
      </c>
      <c r="O83" s="11"/>
      <c r="P83" s="2">
        <f>--3327.08</f>
        <v>3327.08</v>
      </c>
      <c r="Q83" s="2"/>
      <c r="R83" s="19"/>
      <c r="S83" s="2"/>
      <c r="T83" s="2">
        <f>--6076.62</f>
        <v>6076.62</v>
      </c>
      <c r="U83" s="2"/>
      <c r="V83" s="19"/>
      <c r="W83" s="2"/>
      <c r="X83" s="2">
        <f t="shared" si="2"/>
        <v>-2749.54</v>
      </c>
      <c r="Y83" s="2"/>
      <c r="Z83" s="19">
        <f t="shared" si="3"/>
        <v>-0.45247851601712796</v>
      </c>
    </row>
    <row r="84" spans="1:26" s="24" customFormat="1" hidden="1" outlineLevel="1" x14ac:dyDescent="0.35">
      <c r="A84" s="44"/>
      <c r="B84" s="11" t="str">
        <f>CONCATENATE("          ", "4188", " - ", "NON-TAXABLE SALES-MUSIC")</f>
        <v xml:space="preserve">          4188 - NON-TAXABLE SALES-MUSIC</v>
      </c>
      <c r="C84" s="11"/>
      <c r="D84" s="2">
        <f t="shared" ref="D84:D86" si="13">0</f>
        <v>0</v>
      </c>
      <c r="E84" s="2"/>
      <c r="F84" s="19"/>
      <c r="G84" s="2"/>
      <c r="H84" s="2">
        <f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--343.94</f>
        <v>343.94</v>
      </c>
      <c r="Q84" s="2"/>
      <c r="R84" s="19"/>
      <c r="S84" s="2"/>
      <c r="T84" s="2">
        <f>--199.98</f>
        <v>199.98</v>
      </c>
      <c r="U84" s="2"/>
      <c r="V84" s="19"/>
      <c r="W84" s="2"/>
      <c r="X84" s="2">
        <f t="shared" si="2"/>
        <v>143.96</v>
      </c>
      <c r="Y84" s="2"/>
      <c r="Z84" s="19">
        <f t="shared" si="3"/>
        <v>0.71987198719871992</v>
      </c>
    </row>
    <row r="85" spans="1:26" s="24" customFormat="1" hidden="1" outlineLevel="1" x14ac:dyDescent="0.35">
      <c r="A85" s="44"/>
      <c r="B85" s="11" t="str">
        <f>CONCATENATE("          ", "4192", " - ", "NON-TAXABLE SALES-GRAD MERCH")</f>
        <v xml:space="preserve">          4192 - NON-TAXABLE SALES-GRAD MERCH</v>
      </c>
      <c r="C85" s="11"/>
      <c r="D85" s="2">
        <f t="shared" si="13"/>
        <v>0</v>
      </c>
      <c r="E85" s="2"/>
      <c r="F85" s="19"/>
      <c r="G85" s="2"/>
      <c r="H85" s="2">
        <f>-510</f>
        <v>-510</v>
      </c>
      <c r="I85" s="2"/>
      <c r="J85" s="19"/>
      <c r="K85" s="2"/>
      <c r="L85" s="2">
        <f t="shared" si="0"/>
        <v>510</v>
      </c>
      <c r="M85" s="2"/>
      <c r="N85" s="19">
        <f t="shared" si="1"/>
        <v>-1</v>
      </c>
      <c r="O85" s="11"/>
      <c r="P85" s="2">
        <f>--119.4</f>
        <v>119.4</v>
      </c>
      <c r="Q85" s="2"/>
      <c r="R85" s="19"/>
      <c r="S85" s="2"/>
      <c r="T85" s="2">
        <f>--21.25</f>
        <v>21.25</v>
      </c>
      <c r="U85" s="2"/>
      <c r="V85" s="19"/>
      <c r="W85" s="2"/>
      <c r="X85" s="2">
        <f t="shared" si="2"/>
        <v>98.15</v>
      </c>
      <c r="Y85" s="2"/>
      <c r="Z85" s="19">
        <f t="shared" si="3"/>
        <v>4.618823529411765</v>
      </c>
    </row>
    <row r="86" spans="1:26" s="24" customFormat="1" hidden="1" outlineLevel="1" x14ac:dyDescent="0.35">
      <c r="A86" s="44"/>
      <c r="B86" s="11" t="str">
        <f>CONCATENATE("          ", "4201", " - ", "SALES RETURN TAXABLE-NEW TEXT")</f>
        <v xml:space="preserve">          4201 - SALES RETURN TAXABLE-NEW TEXT</v>
      </c>
      <c r="C86" s="11"/>
      <c r="D86" s="2">
        <f t="shared" si="13"/>
        <v>0</v>
      </c>
      <c r="E86" s="2"/>
      <c r="F86" s="19"/>
      <c r="G86" s="2"/>
      <c r="H86" s="2">
        <f>-1869.01</f>
        <v>-1869.01</v>
      </c>
      <c r="I86" s="2"/>
      <c r="J86" s="19"/>
      <c r="K86" s="2"/>
      <c r="L86" s="2">
        <f t="shared" si="0"/>
        <v>1869.01</v>
      </c>
      <c r="M86" s="2"/>
      <c r="N86" s="19">
        <f t="shared" si="1"/>
        <v>-1</v>
      </c>
      <c r="O86" s="11"/>
      <c r="P86" s="2">
        <f>-121451.61</f>
        <v>-121451.61</v>
      </c>
      <c r="Q86" s="2"/>
      <c r="R86" s="19"/>
      <c r="S86" s="2"/>
      <c r="T86" s="2">
        <f>-180616.86</f>
        <v>-180616.86</v>
      </c>
      <c r="U86" s="2"/>
      <c r="V86" s="19"/>
      <c r="W86" s="2"/>
      <c r="X86" s="2">
        <f t="shared" si="2"/>
        <v>59165.249999999985</v>
      </c>
      <c r="Y86" s="2"/>
      <c r="Z86" s="19">
        <f t="shared" si="3"/>
        <v>-0.32757323984040021</v>
      </c>
    </row>
    <row r="87" spans="1:26" s="24" customFormat="1" hidden="1" outlineLevel="1" x14ac:dyDescent="0.35">
      <c r="A87" s="44"/>
      <c r="B87" s="11" t="str">
        <f>CONCATENATE("          ", "4202", " - ", "SALES RETURN TAXABLE-USED TEXT")</f>
        <v xml:space="preserve">          4202 - SALES RETURN TAXABLE-USED TEXT</v>
      </c>
      <c r="C87" s="11"/>
      <c r="D87" s="2">
        <f>-186.35</f>
        <v>-186.35</v>
      </c>
      <c r="E87" s="2"/>
      <c r="F87" s="19"/>
      <c r="G87" s="2"/>
      <c r="H87" s="2">
        <f>-393.35</f>
        <v>-393.35</v>
      </c>
      <c r="I87" s="2"/>
      <c r="J87" s="19"/>
      <c r="K87" s="2"/>
      <c r="L87" s="2">
        <f t="shared" si="0"/>
        <v>207.00000000000003</v>
      </c>
      <c r="M87" s="2"/>
      <c r="N87" s="19">
        <f t="shared" si="1"/>
        <v>-0.52624888775899326</v>
      </c>
      <c r="O87" s="11"/>
      <c r="P87" s="2">
        <f>-45799.46</f>
        <v>-45799.46</v>
      </c>
      <c r="Q87" s="2"/>
      <c r="R87" s="19"/>
      <c r="S87" s="2"/>
      <c r="T87" s="2">
        <f>-47688.8</f>
        <v>-47688.800000000003</v>
      </c>
      <c r="U87" s="2"/>
      <c r="V87" s="19"/>
      <c r="W87" s="2"/>
      <c r="X87" s="2">
        <f t="shared" si="2"/>
        <v>1889.3400000000038</v>
      </c>
      <c r="Y87" s="2"/>
      <c r="Z87" s="19">
        <f t="shared" si="3"/>
        <v>-3.9618107396285997E-2</v>
      </c>
    </row>
    <row r="88" spans="1:26" s="24" customFormat="1" hidden="1" outlineLevel="1" x14ac:dyDescent="0.35">
      <c r="A88" s="44"/>
      <c r="B88" s="11" t="str">
        <f>CONCATENATE("          ", "4203", " - ", "SALES RETURN TAXABLE-RENTAL TE")</f>
        <v xml:space="preserve">          4203 - SALES RETURN TAXABLE-RENTAL TE</v>
      </c>
      <c r="C88" s="11"/>
      <c r="D88" s="2">
        <f t="shared" ref="D88:D89" si="14">0</f>
        <v>0</v>
      </c>
      <c r="E88" s="2"/>
      <c r="F88" s="19"/>
      <c r="G88" s="2"/>
      <c r="H88" s="2">
        <f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-144.99</f>
        <v>-144.99</v>
      </c>
      <c r="Q88" s="2"/>
      <c r="R88" s="19"/>
      <c r="S88" s="2"/>
      <c r="T88" s="2">
        <f>-1699.5</f>
        <v>-1699.5</v>
      </c>
      <c r="U88" s="2"/>
      <c r="V88" s="19"/>
      <c r="W88" s="2"/>
      <c r="X88" s="2">
        <f t="shared" si="2"/>
        <v>1554.51</v>
      </c>
      <c r="Y88" s="2"/>
      <c r="Z88" s="19">
        <f t="shared" si="3"/>
        <v>-0.9146866725507502</v>
      </c>
    </row>
    <row r="89" spans="1:26" s="24" customFormat="1" hidden="1" outlineLevel="1" x14ac:dyDescent="0.35">
      <c r="A89" s="44"/>
      <c r="B89" s="11" t="str">
        <f>CONCATENATE("          ", "4204", " - ", "SALES RETURN TAXABLE-DIGITAL T")</f>
        <v xml:space="preserve">          4204 - SALES RETURN TAXABLE-DIGITAL T</v>
      </c>
      <c r="C89" s="11"/>
      <c r="D89" s="2">
        <f t="shared" si="14"/>
        <v>0</v>
      </c>
      <c r="E89" s="2"/>
      <c r="F89" s="19"/>
      <c r="G89" s="2"/>
      <c r="H89" s="2">
        <f>-44.1</f>
        <v>-44.1</v>
      </c>
      <c r="I89" s="2"/>
      <c r="J89" s="19"/>
      <c r="K89" s="2"/>
      <c r="L89" s="2">
        <f t="shared" si="0"/>
        <v>44.1</v>
      </c>
      <c r="M89" s="2"/>
      <c r="N89" s="19">
        <f t="shared" si="1"/>
        <v>-1</v>
      </c>
      <c r="O89" s="11"/>
      <c r="P89" s="2">
        <f>-17255.33</f>
        <v>-17255.330000000002</v>
      </c>
      <c r="Q89" s="2"/>
      <c r="R89" s="19"/>
      <c r="S89" s="2"/>
      <c r="T89" s="2">
        <f>-27147</f>
        <v>-27147</v>
      </c>
      <c r="U89" s="2"/>
      <c r="V89" s="19"/>
      <c r="W89" s="2"/>
      <c r="X89" s="2">
        <f t="shared" si="2"/>
        <v>9891.6699999999983</v>
      </c>
      <c r="Y89" s="2"/>
      <c r="Z89" s="19">
        <f t="shared" si="3"/>
        <v>-0.36437433233874822</v>
      </c>
    </row>
    <row r="90" spans="1:26" s="24" customFormat="1" hidden="1" outlineLevel="1" x14ac:dyDescent="0.35">
      <c r="A90" s="44"/>
      <c r="B90" s="11" t="str">
        <f>CONCATENATE("          ", "4213", " - ", "NON-TAXABLE SALES-TRADE BOOKS")</f>
        <v xml:space="preserve">          4213 - NON-TAXABLE SALES-TRADE BOOKS</v>
      </c>
      <c r="C90" s="11"/>
      <c r="D90" s="2">
        <f>-100.7</f>
        <v>-100.7</v>
      </c>
      <c r="E90" s="2"/>
      <c r="F90" s="19"/>
      <c r="G90" s="2"/>
      <c r="H90" s="2">
        <f>-5.95</f>
        <v>-5.95</v>
      </c>
      <c r="I90" s="2"/>
      <c r="J90" s="19"/>
      <c r="K90" s="2"/>
      <c r="L90" s="2">
        <f t="shared" si="0"/>
        <v>-94.75</v>
      </c>
      <c r="M90" s="2"/>
      <c r="N90" s="19">
        <f t="shared" si="1"/>
        <v>15.92436974789916</v>
      </c>
      <c r="O90" s="11"/>
      <c r="P90" s="2">
        <f>-2869.37</f>
        <v>-2869.37</v>
      </c>
      <c r="Q90" s="2"/>
      <c r="R90" s="19"/>
      <c r="S90" s="2"/>
      <c r="T90" s="2">
        <f>-1554.3</f>
        <v>-1554.3</v>
      </c>
      <c r="U90" s="2"/>
      <c r="V90" s="19"/>
      <c r="W90" s="2"/>
      <c r="X90" s="2">
        <f t="shared" si="2"/>
        <v>-1315.07</v>
      </c>
      <c r="Y90" s="2"/>
      <c r="Z90" s="19">
        <f t="shared" si="3"/>
        <v>0.84608505436530912</v>
      </c>
    </row>
    <row r="91" spans="1:26" s="24" customFormat="1" hidden="1" outlineLevel="1" x14ac:dyDescent="0.35">
      <c r="A91" s="44"/>
      <c r="B91" s="11" t="str">
        <f>CONCATENATE("          ", "4214", " - ", "SALES RETURN TAXABLE-REMAINDER")</f>
        <v xml:space="preserve">          4214 - SALES RETURN TAXABLE-REMAINDER</v>
      </c>
      <c r="C91" s="11"/>
      <c r="D91" s="2">
        <f t="shared" ref="D91:D95" si="15">0</f>
        <v>0</v>
      </c>
      <c r="E91" s="2"/>
      <c r="F91" s="19"/>
      <c r="G91" s="2"/>
      <c r="H91" s="2">
        <f t="shared" ref="H91:H93" si="16">0</f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-11.94</f>
        <v>-11.94</v>
      </c>
      <c r="Q91" s="2"/>
      <c r="R91" s="19"/>
      <c r="S91" s="2"/>
      <c r="T91" s="2">
        <f>-19.84</f>
        <v>-19.84</v>
      </c>
      <c r="U91" s="2"/>
      <c r="V91" s="19"/>
      <c r="W91" s="2"/>
      <c r="X91" s="2">
        <f t="shared" si="2"/>
        <v>7.9</v>
      </c>
      <c r="Y91" s="2"/>
      <c r="Z91" s="19">
        <f t="shared" si="3"/>
        <v>-0.39818548387096775</v>
      </c>
    </row>
    <row r="92" spans="1:26" s="24" customFormat="1" hidden="1" outlineLevel="1" x14ac:dyDescent="0.35">
      <c r="A92" s="44"/>
      <c r="B92" s="11" t="str">
        <f>CONCATENATE("          ", "4217", " - ", "NON-TAXABLE SALES-DORM/HOUSEWA")</f>
        <v xml:space="preserve">          4217 - NON-TAXABLE SALES-DORM/HOUSEWA</v>
      </c>
      <c r="C92" s="11"/>
      <c r="D92" s="2">
        <f t="shared" si="15"/>
        <v>0</v>
      </c>
      <c r="E92" s="2"/>
      <c r="F92" s="19"/>
      <c r="G92" s="2"/>
      <c r="H92" s="2">
        <f t="shared" si="16"/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-2.98</f>
        <v>-2.98</v>
      </c>
      <c r="Q92" s="2"/>
      <c r="R92" s="19"/>
      <c r="S92" s="2"/>
      <c r="T92" s="2">
        <f>-2.99</f>
        <v>-2.99</v>
      </c>
      <c r="U92" s="2"/>
      <c r="V92" s="19"/>
      <c r="W92" s="2"/>
      <c r="X92" s="2">
        <f t="shared" si="2"/>
        <v>1.0000000000000231E-2</v>
      </c>
      <c r="Y92" s="2"/>
      <c r="Z92" s="19">
        <f t="shared" si="3"/>
        <v>-3.3444816053512477E-3</v>
      </c>
    </row>
    <row r="93" spans="1:26" s="24" customFormat="1" hidden="1" outlineLevel="1" x14ac:dyDescent="0.35">
      <c r="A93" s="44"/>
      <c r="B93" s="11" t="str">
        <f>CONCATENATE("          ", "4218", " - ", "SALES RETURN TAXABLE-STUDY GUI")</f>
        <v xml:space="preserve">          4218 - SALES RETURN TAXABLE-STUDY GUI</v>
      </c>
      <c r="C93" s="11"/>
      <c r="D93" s="2">
        <f t="shared" si="15"/>
        <v>0</v>
      </c>
      <c r="E93" s="2"/>
      <c r="F93" s="19"/>
      <c r="G93" s="2"/>
      <c r="H93" s="2">
        <f t="shared" si="16"/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-39.25</f>
        <v>-39.25</v>
      </c>
      <c r="Q93" s="2"/>
      <c r="R93" s="19"/>
      <c r="S93" s="2"/>
      <c r="T93" s="2">
        <f>-67.6</f>
        <v>-67.599999999999994</v>
      </c>
      <c r="U93" s="2"/>
      <c r="V93" s="19"/>
      <c r="W93" s="2"/>
      <c r="X93" s="2">
        <f t="shared" si="2"/>
        <v>28.349999999999994</v>
      </c>
      <c r="Y93" s="2"/>
      <c r="Z93" s="19">
        <f t="shared" si="3"/>
        <v>-0.41937869822485202</v>
      </c>
    </row>
    <row r="94" spans="1:26" s="24" customFormat="1" hidden="1" outlineLevel="1" x14ac:dyDescent="0.35">
      <c r="A94" s="44"/>
      <c r="B94" s="11" t="str">
        <f>CONCATENATE("          ", "4225", " - ", "SALES RETURN TAXABLE-TEST FORM")</f>
        <v xml:space="preserve">          4225 - SALES RETURN TAXABLE-TEST FORM</v>
      </c>
      <c r="C94" s="11"/>
      <c r="D94" s="2">
        <f t="shared" si="15"/>
        <v>0</v>
      </c>
      <c r="E94" s="2"/>
      <c r="F94" s="19"/>
      <c r="G94" s="2"/>
      <c r="H94" s="2">
        <f>-3.39</f>
        <v>-3.39</v>
      </c>
      <c r="I94" s="2"/>
      <c r="J94" s="19"/>
      <c r="K94" s="2"/>
      <c r="L94" s="2">
        <f t="shared" si="0"/>
        <v>3.39</v>
      </c>
      <c r="M94" s="2"/>
      <c r="N94" s="19">
        <f t="shared" si="1"/>
        <v>-1</v>
      </c>
      <c r="O94" s="11"/>
      <c r="P94" s="2">
        <f>-205.91</f>
        <v>-205.91</v>
      </c>
      <c r="Q94" s="2"/>
      <c r="R94" s="19"/>
      <c r="S94" s="2"/>
      <c r="T94" s="2">
        <f>-191.21</f>
        <v>-191.21</v>
      </c>
      <c r="U94" s="2"/>
      <c r="V94" s="19"/>
      <c r="W94" s="2"/>
      <c r="X94" s="2">
        <f t="shared" si="2"/>
        <v>-14.699999999999989</v>
      </c>
      <c r="Y94" s="2"/>
      <c r="Z94" s="19">
        <f t="shared" si="3"/>
        <v>7.6878824329271414E-2</v>
      </c>
    </row>
    <row r="95" spans="1:26" s="24" customFormat="1" hidden="1" outlineLevel="1" x14ac:dyDescent="0.35">
      <c r="A95" s="44"/>
      <c r="B95" s="11" t="str">
        <f>CONCATENATE("          ", "4226", " - ", "SALES RETURN TAXABLE-WRITING I")</f>
        <v xml:space="preserve">          4226 - SALES RETURN TAXABLE-WRITING I</v>
      </c>
      <c r="C95" s="11"/>
      <c r="D95" s="2">
        <f t="shared" si="15"/>
        <v>0</v>
      </c>
      <c r="E95" s="2"/>
      <c r="F95" s="19"/>
      <c r="G95" s="2"/>
      <c r="H95" s="2">
        <f>-44.61</f>
        <v>-44.61</v>
      </c>
      <c r="I95" s="2"/>
      <c r="J95" s="19"/>
      <c r="K95" s="2"/>
      <c r="L95" s="2">
        <f t="shared" si="0"/>
        <v>44.61</v>
      </c>
      <c r="M95" s="2"/>
      <c r="N95" s="19">
        <f t="shared" si="1"/>
        <v>-1</v>
      </c>
      <c r="O95" s="11"/>
      <c r="P95" s="2">
        <f>-924.44</f>
        <v>-924.44</v>
      </c>
      <c r="Q95" s="2"/>
      <c r="R95" s="19"/>
      <c r="S95" s="2"/>
      <c r="T95" s="2">
        <f>-766.52</f>
        <v>-766.52</v>
      </c>
      <c r="U95" s="2"/>
      <c r="V95" s="19"/>
      <c r="W95" s="2"/>
      <c r="X95" s="2">
        <f t="shared" si="2"/>
        <v>-157.92000000000007</v>
      </c>
      <c r="Y95" s="2"/>
      <c r="Z95" s="19">
        <f t="shared" si="3"/>
        <v>0.20602202160413308</v>
      </c>
    </row>
    <row r="96" spans="1:26" s="24" customFormat="1" hidden="1" outlineLevel="1" x14ac:dyDescent="0.35">
      <c r="A96" s="44"/>
      <c r="B96" s="11" t="str">
        <f>CONCATENATE("          ", "4227", " - ", "SALES RETURN TAXABLE-SCHOOL SU")</f>
        <v xml:space="preserve">          4227 - SALES RETURN TAXABLE-SCHOOL SU</v>
      </c>
      <c r="C96" s="11"/>
      <c r="D96" s="2">
        <f>-81.87</f>
        <v>-81.87</v>
      </c>
      <c r="E96" s="2"/>
      <c r="F96" s="19"/>
      <c r="G96" s="2"/>
      <c r="H96" s="2">
        <f>-179.06</f>
        <v>-179.06</v>
      </c>
      <c r="I96" s="2"/>
      <c r="J96" s="19"/>
      <c r="K96" s="2"/>
      <c r="L96" s="2">
        <f t="shared" si="0"/>
        <v>97.19</v>
      </c>
      <c r="M96" s="2"/>
      <c r="N96" s="19">
        <f t="shared" si="1"/>
        <v>-0.54277895677426558</v>
      </c>
      <c r="O96" s="11"/>
      <c r="P96" s="2">
        <f>-8728.9</f>
        <v>-8728.9</v>
      </c>
      <c r="Q96" s="2"/>
      <c r="R96" s="19"/>
      <c r="S96" s="2"/>
      <c r="T96" s="2">
        <f>-6986.53</f>
        <v>-6986.53</v>
      </c>
      <c r="U96" s="2"/>
      <c r="V96" s="19"/>
      <c r="W96" s="2"/>
      <c r="X96" s="2">
        <f t="shared" si="2"/>
        <v>-1742.37</v>
      </c>
      <c r="Y96" s="2"/>
      <c r="Z96" s="19">
        <f t="shared" si="3"/>
        <v>0.2493898974168865</v>
      </c>
    </row>
    <row r="97" spans="1:26" s="24" customFormat="1" hidden="1" outlineLevel="1" x14ac:dyDescent="0.35">
      <c r="A97" s="44"/>
      <c r="B97" s="11" t="str">
        <f>CONCATENATE("          ", "4228", " - ", "SALES RETURN TAXABLE-ART/TECH")</f>
        <v xml:space="preserve">          4228 - SALES RETURN TAXABLE-ART/TECH</v>
      </c>
      <c r="C97" s="11"/>
      <c r="D97" s="2">
        <f t="shared" ref="D97:D99" si="17">0</f>
        <v>0</v>
      </c>
      <c r="E97" s="2"/>
      <c r="F97" s="19"/>
      <c r="G97" s="2"/>
      <c r="H97" s="2">
        <f>-17.45</f>
        <v>-17.45</v>
      </c>
      <c r="I97" s="2"/>
      <c r="J97" s="19"/>
      <c r="K97" s="2"/>
      <c r="L97" s="2">
        <f t="shared" si="0"/>
        <v>17.45</v>
      </c>
      <c r="M97" s="2"/>
      <c r="N97" s="19">
        <f t="shared" si="1"/>
        <v>-1</v>
      </c>
      <c r="O97" s="11"/>
      <c r="P97" s="2">
        <f>-4739.1</f>
        <v>-4739.1000000000004</v>
      </c>
      <c r="Q97" s="2"/>
      <c r="R97" s="19"/>
      <c r="S97" s="2"/>
      <c r="T97" s="2">
        <f>-8342.73</f>
        <v>-8342.73</v>
      </c>
      <c r="U97" s="2"/>
      <c r="V97" s="19"/>
      <c r="W97" s="2"/>
      <c r="X97" s="2">
        <f t="shared" si="2"/>
        <v>3603.6299999999992</v>
      </c>
      <c r="Y97" s="2"/>
      <c r="Z97" s="19">
        <f t="shared" si="3"/>
        <v>-0.4319485348321232</v>
      </c>
    </row>
    <row r="98" spans="1:26" s="24" customFormat="1" hidden="1" outlineLevel="1" x14ac:dyDescent="0.35">
      <c r="A98" s="44"/>
      <c r="B98" s="11" t="str">
        <f>CONCATENATE("          ", "4233", " - ", "SALES RETURN TAXABLE-CANDY")</f>
        <v xml:space="preserve">          4233 - SALES RETURN TAXABLE-CANDY</v>
      </c>
      <c r="C98" s="11"/>
      <c r="D98" s="2">
        <f t="shared" si="17"/>
        <v>0</v>
      </c>
      <c r="E98" s="2"/>
      <c r="F98" s="19"/>
      <c r="G98" s="2"/>
      <c r="H98" s="2">
        <f>-139.92</f>
        <v>-139.91999999999999</v>
      </c>
      <c r="I98" s="2"/>
      <c r="J98" s="19"/>
      <c r="K98" s="2"/>
      <c r="L98" s="2">
        <f t="shared" si="0"/>
        <v>139.91999999999999</v>
      </c>
      <c r="M98" s="2"/>
      <c r="N98" s="19">
        <f t="shared" si="1"/>
        <v>-1</v>
      </c>
      <c r="O98" s="11"/>
      <c r="P98" s="2">
        <f>-8.25</f>
        <v>-8.25</v>
      </c>
      <c r="Q98" s="2"/>
      <c r="R98" s="19"/>
      <c r="S98" s="2"/>
      <c r="T98" s="2">
        <f>-143.5</f>
        <v>-143.5</v>
      </c>
      <c r="U98" s="2"/>
      <c r="V98" s="19"/>
      <c r="W98" s="2"/>
      <c r="X98" s="2">
        <f t="shared" si="2"/>
        <v>135.25</v>
      </c>
      <c r="Y98" s="2"/>
      <c r="Z98" s="19">
        <f t="shared" si="3"/>
        <v>-0.94250871080139376</v>
      </c>
    </row>
    <row r="99" spans="1:26" s="24" customFormat="1" hidden="1" outlineLevel="1" x14ac:dyDescent="0.35">
      <c r="A99" s="44"/>
      <c r="B99" s="11" t="str">
        <f>CONCATENATE("          ", "4234", " - ", "SALES RETURN TAXABLE-SODA")</f>
        <v xml:space="preserve">          4234 - SALES RETURN TAXABLE-SODA</v>
      </c>
      <c r="C99" s="11"/>
      <c r="D99" s="2">
        <f t="shared" si="17"/>
        <v>0</v>
      </c>
      <c r="E99" s="2"/>
      <c r="F99" s="19"/>
      <c r="G99" s="2"/>
      <c r="H99" s="2">
        <f>-362.88</f>
        <v>-362.88</v>
      </c>
      <c r="I99" s="2"/>
      <c r="J99" s="19"/>
      <c r="K99" s="2"/>
      <c r="L99" s="2">
        <f t="shared" si="0"/>
        <v>362.88</v>
      </c>
      <c r="M99" s="2"/>
      <c r="N99" s="19">
        <f t="shared" si="1"/>
        <v>-1</v>
      </c>
      <c r="O99" s="11"/>
      <c r="P99" s="2">
        <f>0</f>
        <v>0</v>
      </c>
      <c r="Q99" s="2"/>
      <c r="R99" s="19"/>
      <c r="S99" s="2"/>
      <c r="T99" s="2">
        <f>-368.16</f>
        <v>-368.16</v>
      </c>
      <c r="U99" s="2"/>
      <c r="V99" s="19"/>
      <c r="W99" s="2"/>
      <c r="X99" s="2">
        <f t="shared" si="2"/>
        <v>368.16</v>
      </c>
      <c r="Y99" s="2"/>
      <c r="Z99" s="19">
        <f t="shared" si="3"/>
        <v>-1</v>
      </c>
    </row>
    <row r="100" spans="1:26" s="24" customFormat="1" hidden="1" outlineLevel="1" x14ac:dyDescent="0.35">
      <c r="A100" s="44"/>
      <c r="B100" s="11" t="str">
        <f>CONCATENATE("          ", "4240", " - ", "SALES RETURN TAXABLE-LOGO CLOT")</f>
        <v xml:space="preserve">          4240 - SALES RETURN TAXABLE-LOGO CLOT</v>
      </c>
      <c r="C100" s="11"/>
      <c r="D100" s="2">
        <f>-2702.34</f>
        <v>-2702.34</v>
      </c>
      <c r="E100" s="2"/>
      <c r="F100" s="19"/>
      <c r="G100" s="2"/>
      <c r="H100" s="2">
        <f>-4511.18</f>
        <v>-4511.18</v>
      </c>
      <c r="I100" s="2"/>
      <c r="J100" s="19"/>
      <c r="K100" s="2"/>
      <c r="L100" s="2">
        <f t="shared" si="0"/>
        <v>1808.8400000000001</v>
      </c>
      <c r="M100" s="2"/>
      <c r="N100" s="19">
        <f t="shared" si="1"/>
        <v>-0.40096826107581607</v>
      </c>
      <c r="O100" s="11"/>
      <c r="P100" s="2">
        <f>-80387.11</f>
        <v>-80387.11</v>
      </c>
      <c r="Q100" s="2"/>
      <c r="R100" s="19"/>
      <c r="S100" s="2"/>
      <c r="T100" s="2">
        <f>-98015.21</f>
        <v>-98015.21</v>
      </c>
      <c r="U100" s="2"/>
      <c r="V100" s="19"/>
      <c r="W100" s="2"/>
      <c r="X100" s="2">
        <f t="shared" si="2"/>
        <v>17628.100000000006</v>
      </c>
      <c r="Y100" s="2"/>
      <c r="Z100" s="19">
        <f t="shared" si="3"/>
        <v>-0.17985065787238536</v>
      </c>
    </row>
    <row r="101" spans="1:26" s="24" customFormat="1" hidden="1" outlineLevel="1" x14ac:dyDescent="0.35">
      <c r="A101" s="44"/>
      <c r="B101" s="11" t="str">
        <f>CONCATENATE("          ", "4241", " - ", "SALES RETURN TAXABLE-LOGO GIFT")</f>
        <v xml:space="preserve">          4241 - SALES RETURN TAXABLE-LOGO GIFT</v>
      </c>
      <c r="C101" s="11"/>
      <c r="D101" s="2">
        <f>-525.51</f>
        <v>-525.51</v>
      </c>
      <c r="E101" s="2"/>
      <c r="F101" s="19"/>
      <c r="G101" s="2"/>
      <c r="H101" s="2">
        <f>-930.18</f>
        <v>-930.18</v>
      </c>
      <c r="I101" s="2"/>
      <c r="J101" s="19"/>
      <c r="K101" s="2"/>
      <c r="L101" s="2">
        <f t="shared" si="0"/>
        <v>404.66999999999996</v>
      </c>
      <c r="M101" s="2"/>
      <c r="N101" s="19">
        <f t="shared" si="1"/>
        <v>-0.43504483003289685</v>
      </c>
      <c r="O101" s="11"/>
      <c r="P101" s="2">
        <f>-7990.78</f>
        <v>-7990.78</v>
      </c>
      <c r="Q101" s="2"/>
      <c r="R101" s="19"/>
      <c r="S101" s="2"/>
      <c r="T101" s="2">
        <f>-16238.22</f>
        <v>-16238.22</v>
      </c>
      <c r="U101" s="2"/>
      <c r="V101" s="19"/>
      <c r="W101" s="2"/>
      <c r="X101" s="2">
        <f t="shared" si="2"/>
        <v>8247.4399999999987</v>
      </c>
      <c r="Y101" s="2"/>
      <c r="Z101" s="19">
        <f t="shared" si="3"/>
        <v>-0.50790295980717093</v>
      </c>
    </row>
    <row r="102" spans="1:26" s="24" customFormat="1" hidden="1" outlineLevel="1" x14ac:dyDescent="0.35">
      <c r="A102" s="44"/>
      <c r="B102" s="11" t="str">
        <f>CONCATENATE("          ", "4242", " - ", "SALES RETURN TAXABLE-EVERYDAY")</f>
        <v xml:space="preserve">          4242 - SALES RETURN TAXABLE-EVERYDAY</v>
      </c>
      <c r="C102" s="11"/>
      <c r="D102" s="2">
        <f>-51.44</f>
        <v>-51.44</v>
      </c>
      <c r="E102" s="2"/>
      <c r="F102" s="19"/>
      <c r="G102" s="2"/>
      <c r="H102" s="2">
        <f>-229.78</f>
        <v>-229.78</v>
      </c>
      <c r="I102" s="2"/>
      <c r="J102" s="19"/>
      <c r="K102" s="2"/>
      <c r="L102" s="2">
        <f t="shared" si="0"/>
        <v>178.34</v>
      </c>
      <c r="M102" s="2"/>
      <c r="N102" s="19">
        <f t="shared" si="1"/>
        <v>-0.77613369309774571</v>
      </c>
      <c r="O102" s="11"/>
      <c r="P102" s="2">
        <f>-4232.85</f>
        <v>-4232.8500000000004</v>
      </c>
      <c r="Q102" s="2"/>
      <c r="R102" s="19"/>
      <c r="S102" s="2"/>
      <c r="T102" s="2">
        <f>-5238.15</f>
        <v>-5238.1499999999996</v>
      </c>
      <c r="U102" s="2"/>
      <c r="V102" s="19"/>
      <c r="W102" s="2"/>
      <c r="X102" s="2">
        <f t="shared" si="2"/>
        <v>1005.2999999999993</v>
      </c>
      <c r="Y102" s="2"/>
      <c r="Z102" s="19">
        <f t="shared" si="3"/>
        <v>-0.19191890266601747</v>
      </c>
    </row>
    <row r="103" spans="1:26" s="24" customFormat="1" hidden="1" outlineLevel="1" x14ac:dyDescent="0.35">
      <c r="A103" s="44"/>
      <c r="B103" s="11" t="str">
        <f>CONCATENATE("          ", "4243", " - ", "SALES RETURN TAXABLE-CARDS")</f>
        <v xml:space="preserve">          4243 - SALES RETURN TAXABLE-CARDS</v>
      </c>
      <c r="C103" s="11"/>
      <c r="D103" s="2">
        <f>-19.99</f>
        <v>-19.989999999999998</v>
      </c>
      <c r="E103" s="2"/>
      <c r="F103" s="19"/>
      <c r="G103" s="2"/>
      <c r="H103" s="2">
        <f>0</f>
        <v>0</v>
      </c>
      <c r="I103" s="2"/>
      <c r="J103" s="19"/>
      <c r="K103" s="2"/>
      <c r="L103" s="2">
        <f t="shared" si="0"/>
        <v>-19.989999999999998</v>
      </c>
      <c r="M103" s="2"/>
      <c r="N103" s="19">
        <f t="shared" si="1"/>
        <v>0</v>
      </c>
      <c r="O103" s="11"/>
      <c r="P103" s="2">
        <f>-3026.3</f>
        <v>-3026.3</v>
      </c>
      <c r="Q103" s="2"/>
      <c r="R103" s="19"/>
      <c r="S103" s="2"/>
      <c r="T103" s="2">
        <f>-25.94</f>
        <v>-25.94</v>
      </c>
      <c r="U103" s="2"/>
      <c r="V103" s="19"/>
      <c r="W103" s="2"/>
      <c r="X103" s="2">
        <f t="shared" si="2"/>
        <v>-3000.36</v>
      </c>
      <c r="Y103" s="2"/>
      <c r="Z103" s="19">
        <f t="shared" si="3"/>
        <v>115.66538164996145</v>
      </c>
    </row>
    <row r="104" spans="1:26" s="24" customFormat="1" hidden="1" outlineLevel="1" x14ac:dyDescent="0.35">
      <c r="A104" s="44"/>
      <c r="B104" s="11" t="str">
        <f>CONCATENATE("          ", "4244", " - ", "SALES RETURN TAXABLE-ACCESSORI")</f>
        <v xml:space="preserve">          4244 - SALES RETURN TAXABLE-ACCESSORI</v>
      </c>
      <c r="C104" s="11"/>
      <c r="D104" s="2">
        <f>0</f>
        <v>0</v>
      </c>
      <c r="E104" s="2"/>
      <c r="F104" s="19"/>
      <c r="G104" s="2"/>
      <c r="H104" s="2">
        <f>-9.95</f>
        <v>-9.9499999999999993</v>
      </c>
      <c r="I104" s="2"/>
      <c r="J104" s="19"/>
      <c r="K104" s="2"/>
      <c r="L104" s="2">
        <f t="shared" si="0"/>
        <v>9.9499999999999993</v>
      </c>
      <c r="M104" s="2"/>
      <c r="N104" s="19">
        <f t="shared" si="1"/>
        <v>-1</v>
      </c>
      <c r="O104" s="11"/>
      <c r="P104" s="2">
        <f>-2726.41</f>
        <v>-2726.41</v>
      </c>
      <c r="Q104" s="2"/>
      <c r="R104" s="19"/>
      <c r="S104" s="2"/>
      <c r="T104" s="2">
        <f>-3985.97</f>
        <v>-3985.97</v>
      </c>
      <c r="U104" s="2"/>
      <c r="V104" s="19"/>
      <c r="W104" s="2"/>
      <c r="X104" s="2">
        <f t="shared" si="2"/>
        <v>1259.56</v>
      </c>
      <c r="Y104" s="2"/>
      <c r="Z104" s="19">
        <f t="shared" si="3"/>
        <v>-0.31599836426265127</v>
      </c>
    </row>
    <row r="105" spans="1:26" s="24" customFormat="1" hidden="1" outlineLevel="1" x14ac:dyDescent="0.35">
      <c r="A105" s="44"/>
      <c r="B105" s="11" t="str">
        <f>CONCATENATE("          ", "4245", " - ", "SALES RETURN TAXABLE-SPECIAL O")</f>
        <v xml:space="preserve">          4245 - SALES RETURN TAXABLE-SPECIAL O</v>
      </c>
      <c r="C105" s="11"/>
      <c r="D105" s="2">
        <f>-2187.5</f>
        <v>-2187.5</v>
      </c>
      <c r="E105" s="2"/>
      <c r="F105" s="19"/>
      <c r="G105" s="2"/>
      <c r="H105" s="2">
        <f>-937.5</f>
        <v>-937.5</v>
      </c>
      <c r="I105" s="2"/>
      <c r="J105" s="19"/>
      <c r="K105" s="2"/>
      <c r="L105" s="2">
        <f t="shared" si="0"/>
        <v>-1250</v>
      </c>
      <c r="M105" s="2"/>
      <c r="N105" s="19">
        <f t="shared" si="1"/>
        <v>1.3333333333333333</v>
      </c>
      <c r="O105" s="11"/>
      <c r="P105" s="2">
        <f>-4097.53</f>
        <v>-4097.53</v>
      </c>
      <c r="Q105" s="2"/>
      <c r="R105" s="19"/>
      <c r="S105" s="2"/>
      <c r="T105" s="2">
        <f>-2848.22</f>
        <v>-2848.22</v>
      </c>
      <c r="U105" s="2"/>
      <c r="V105" s="19"/>
      <c r="W105" s="2"/>
      <c r="X105" s="2">
        <f t="shared" si="2"/>
        <v>-1249.31</v>
      </c>
      <c r="Y105" s="2"/>
      <c r="Z105" s="19">
        <f t="shared" si="3"/>
        <v>0.43862833629424697</v>
      </c>
    </row>
    <row r="106" spans="1:26" s="24" customFormat="1" hidden="1" outlineLevel="1" x14ac:dyDescent="0.35">
      <c r="A106" s="44"/>
      <c r="B106" s="11" t="str">
        <f>CONCATENATE("          ", "4281", " - ", "SALES RETURN TAXABLE-ELECTRONI")</f>
        <v xml:space="preserve">          4281 - SALES RETURN TAXABLE-ELECTRONI</v>
      </c>
      <c r="C106" s="11"/>
      <c r="D106" s="2">
        <f>-159</f>
        <v>-159</v>
      </c>
      <c r="E106" s="2"/>
      <c r="F106" s="19"/>
      <c r="G106" s="2"/>
      <c r="H106" s="2">
        <f>-526.99</f>
        <v>-526.99</v>
      </c>
      <c r="I106" s="2"/>
      <c r="J106" s="19"/>
      <c r="K106" s="2"/>
      <c r="L106" s="2">
        <f t="shared" si="0"/>
        <v>367.99</v>
      </c>
      <c r="M106" s="2"/>
      <c r="N106" s="19">
        <f t="shared" si="1"/>
        <v>-0.69828649499990514</v>
      </c>
      <c r="O106" s="11"/>
      <c r="P106" s="2">
        <f>-8154.67</f>
        <v>-8154.67</v>
      </c>
      <c r="Q106" s="2"/>
      <c r="R106" s="19"/>
      <c r="S106" s="2"/>
      <c r="T106" s="2">
        <f>-7994.67</f>
        <v>-7994.67</v>
      </c>
      <c r="U106" s="2"/>
      <c r="V106" s="19"/>
      <c r="W106" s="2"/>
      <c r="X106" s="2">
        <f t="shared" si="2"/>
        <v>-160</v>
      </c>
      <c r="Y106" s="2"/>
      <c r="Z106" s="19">
        <f t="shared" si="3"/>
        <v>2.0013333883700014E-2</v>
      </c>
    </row>
    <row r="107" spans="1:26" s="24" customFormat="1" hidden="1" outlineLevel="1" x14ac:dyDescent="0.35">
      <c r="A107" s="44"/>
      <c r="B107" s="11" t="str">
        <f>CONCATENATE("          ", "4282", " - ", "SALES RETURN TAXABLE-COMPUTER")</f>
        <v xml:space="preserve">          4282 - SALES RETURN TAXABLE-COMPUTER</v>
      </c>
      <c r="C107" s="11"/>
      <c r="D107" s="2">
        <f>-31763.9</f>
        <v>-31763.9</v>
      </c>
      <c r="E107" s="2"/>
      <c r="F107" s="19"/>
      <c r="G107" s="2"/>
      <c r="H107" s="2">
        <f>-12647.15</f>
        <v>-12647.15</v>
      </c>
      <c r="I107" s="2"/>
      <c r="J107" s="19"/>
      <c r="K107" s="2"/>
      <c r="L107" s="2">
        <f t="shared" si="0"/>
        <v>-19116.75</v>
      </c>
      <c r="M107" s="2"/>
      <c r="N107" s="19">
        <f t="shared" si="1"/>
        <v>1.5115460795515197</v>
      </c>
      <c r="O107" s="11"/>
      <c r="P107" s="2">
        <f>-247392.7</f>
        <v>-247392.7</v>
      </c>
      <c r="Q107" s="2"/>
      <c r="R107" s="19"/>
      <c r="S107" s="2"/>
      <c r="T107" s="2">
        <f>-84999.98</f>
        <v>-84999.98</v>
      </c>
      <c r="U107" s="2"/>
      <c r="V107" s="19"/>
      <c r="W107" s="2"/>
      <c r="X107" s="2">
        <f t="shared" si="2"/>
        <v>-162392.72000000003</v>
      </c>
      <c r="Y107" s="2"/>
      <c r="Z107" s="19">
        <f t="shared" si="3"/>
        <v>1.9105030377654211</v>
      </c>
    </row>
    <row r="108" spans="1:26" s="24" customFormat="1" hidden="1" outlineLevel="1" x14ac:dyDescent="0.35">
      <c r="A108" s="44"/>
      <c r="B108" s="11" t="str">
        <f>CONCATENATE("          ", "4283", " - ", "SALES RETURN TAXABLE-COMPUTER")</f>
        <v xml:space="preserve">          4283 - SALES RETURN TAXABLE-COMPUTER</v>
      </c>
      <c r="C108" s="11"/>
      <c r="D108" s="2">
        <f>-9.99</f>
        <v>-9.99</v>
      </c>
      <c r="E108" s="2"/>
      <c r="F108" s="19"/>
      <c r="G108" s="2"/>
      <c r="H108" s="2">
        <f>-417.98</f>
        <v>-417.98</v>
      </c>
      <c r="I108" s="2"/>
      <c r="J108" s="19"/>
      <c r="K108" s="2"/>
      <c r="L108" s="2">
        <f t="shared" si="0"/>
        <v>407.99</v>
      </c>
      <c r="M108" s="2"/>
      <c r="N108" s="19">
        <f t="shared" si="1"/>
        <v>-0.97609933489640655</v>
      </c>
      <c r="O108" s="11"/>
      <c r="P108" s="2">
        <f>-6718.01</f>
        <v>-6718.01</v>
      </c>
      <c r="Q108" s="2"/>
      <c r="R108" s="19"/>
      <c r="S108" s="2"/>
      <c r="T108" s="2">
        <f>-7916.71</f>
        <v>-7916.71</v>
      </c>
      <c r="U108" s="2"/>
      <c r="V108" s="19"/>
      <c r="W108" s="2"/>
      <c r="X108" s="2">
        <f t="shared" si="2"/>
        <v>1198.6999999999998</v>
      </c>
      <c r="Y108" s="2"/>
      <c r="Z108" s="19">
        <f t="shared" si="3"/>
        <v>-0.15141390805018748</v>
      </c>
    </row>
    <row r="109" spans="1:26" s="24" customFormat="1" hidden="1" outlineLevel="1" x14ac:dyDescent="0.35">
      <c r="A109" s="44"/>
      <c r="B109" s="11" t="str">
        <f>CONCATENATE("          ", "4284", " - ", "SALES RETURN TAXABLE-SOFTWARE")</f>
        <v xml:space="preserve">          4284 - SALES RETURN TAXABLE-SOFTWARE</v>
      </c>
      <c r="C109" s="11"/>
      <c r="D109" s="2">
        <f t="shared" ref="D109:D112" si="18">0</f>
        <v>0</v>
      </c>
      <c r="E109" s="2"/>
      <c r="F109" s="19"/>
      <c r="G109" s="2"/>
      <c r="H109" s="2">
        <f t="shared" ref="H109:H110" si="19">0</f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-129</f>
        <v>-129</v>
      </c>
      <c r="Q109" s="2"/>
      <c r="R109" s="19"/>
      <c r="S109" s="2"/>
      <c r="T109" s="2">
        <f>0</f>
        <v>0</v>
      </c>
      <c r="U109" s="2"/>
      <c r="V109" s="19"/>
      <c r="W109" s="2"/>
      <c r="X109" s="2">
        <f t="shared" si="2"/>
        <v>-129</v>
      </c>
      <c r="Y109" s="2"/>
      <c r="Z109" s="19">
        <f t="shared" si="3"/>
        <v>0</v>
      </c>
    </row>
    <row r="110" spans="1:26" s="24" customFormat="1" hidden="1" outlineLevel="1" x14ac:dyDescent="0.35">
      <c r="A110" s="44"/>
      <c r="B110" s="11" t="str">
        <f>CONCATENATE("          ", "4285", " - ", "SALES RETURN TAXABLE-SOFTWARE")</f>
        <v xml:space="preserve">          4285 - SALES RETURN TAXABLE-SOFTWARE</v>
      </c>
      <c r="C110" s="11"/>
      <c r="D110" s="2">
        <f t="shared" si="18"/>
        <v>0</v>
      </c>
      <c r="E110" s="2"/>
      <c r="F110" s="19"/>
      <c r="G110" s="2"/>
      <c r="H110" s="2">
        <f t="shared" si="19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-805.97</f>
        <v>-805.97</v>
      </c>
      <c r="Q110" s="2"/>
      <c r="R110" s="19"/>
      <c r="S110" s="2"/>
      <c r="T110" s="2">
        <f>-725.94</f>
        <v>-725.94</v>
      </c>
      <c r="U110" s="2"/>
      <c r="V110" s="19"/>
      <c r="W110" s="2"/>
      <c r="X110" s="2">
        <f t="shared" si="2"/>
        <v>-80.029999999999973</v>
      </c>
      <c r="Y110" s="2"/>
      <c r="Z110" s="19">
        <f t="shared" si="3"/>
        <v>0.11024327079372946</v>
      </c>
    </row>
    <row r="111" spans="1:26" s="24" customFormat="1" hidden="1" outlineLevel="1" x14ac:dyDescent="0.35">
      <c r="A111" s="44"/>
      <c r="B111" s="11" t="str">
        <f>CONCATENATE("          ", "4286", " - ", "SALES RETURN TAXABLE-COMPUTER")</f>
        <v xml:space="preserve">          4286 - SALES RETURN TAXABLE-COMPUTER</v>
      </c>
      <c r="C111" s="11"/>
      <c r="D111" s="2">
        <f t="shared" si="18"/>
        <v>0</v>
      </c>
      <c r="E111" s="2"/>
      <c r="F111" s="19"/>
      <c r="G111" s="2"/>
      <c r="H111" s="2">
        <f>-49.97</f>
        <v>-49.97</v>
      </c>
      <c r="I111" s="2"/>
      <c r="J111" s="19"/>
      <c r="K111" s="2"/>
      <c r="L111" s="2">
        <f t="shared" si="0"/>
        <v>49.97</v>
      </c>
      <c r="M111" s="2"/>
      <c r="N111" s="19">
        <f t="shared" si="1"/>
        <v>-1</v>
      </c>
      <c r="O111" s="11"/>
      <c r="P111" s="2">
        <f>-3660.86</f>
        <v>-3660.86</v>
      </c>
      <c r="Q111" s="2"/>
      <c r="R111" s="19"/>
      <c r="S111" s="2"/>
      <c r="T111" s="2">
        <f>-5583.83</f>
        <v>-5583.83</v>
      </c>
      <c r="U111" s="2"/>
      <c r="V111" s="19"/>
      <c r="W111" s="2"/>
      <c r="X111" s="2">
        <f t="shared" si="2"/>
        <v>1922.9699999999998</v>
      </c>
      <c r="Y111" s="2"/>
      <c r="Z111" s="19">
        <f t="shared" si="3"/>
        <v>-0.3443819027441738</v>
      </c>
    </row>
    <row r="112" spans="1:26" s="24" customFormat="1" hidden="1" outlineLevel="1" x14ac:dyDescent="0.35">
      <c r="A112" s="44"/>
      <c r="B112" s="11" t="str">
        <f>CONCATENATE("          ", "4288", " - ", "TAXABLE SALES RETURN-MUSIC")</f>
        <v xml:space="preserve">          4288 - TAXABLE SALES RETURN-MUSIC</v>
      </c>
      <c r="C112" s="11"/>
      <c r="D112" s="2">
        <f t="shared" si="18"/>
        <v>0</v>
      </c>
      <c r="E112" s="2"/>
      <c r="F112" s="19"/>
      <c r="G112" s="2"/>
      <c r="H112" s="2">
        <f>0</f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-152.99</f>
        <v>-152.99</v>
      </c>
      <c r="Q112" s="2"/>
      <c r="R112" s="19"/>
      <c r="S112" s="2"/>
      <c r="T112" s="2">
        <f>-64.98</f>
        <v>-64.98</v>
      </c>
      <c r="U112" s="2"/>
      <c r="V112" s="19"/>
      <c r="W112" s="2"/>
      <c r="X112" s="2">
        <f t="shared" si="2"/>
        <v>-88.01</v>
      </c>
      <c r="Y112" s="2"/>
      <c r="Z112" s="19">
        <f t="shared" si="3"/>
        <v>1.3544167436134196</v>
      </c>
    </row>
    <row r="113" spans="1:26" s="24" customFormat="1" hidden="1" outlineLevel="1" x14ac:dyDescent="0.35">
      <c r="A113" s="44"/>
      <c r="B113" s="11" t="str">
        <f>CONCATENATE("          ", "4292", " - ", "SALES RETURN TAXABLE-GRAD MERC")</f>
        <v xml:space="preserve">          4292 - SALES RETURN TAXABLE-GRAD MERC</v>
      </c>
      <c r="C113" s="11"/>
      <c r="D113" s="2">
        <f>-214.68</f>
        <v>-214.68</v>
      </c>
      <c r="E113" s="2"/>
      <c r="F113" s="19"/>
      <c r="G113" s="2"/>
      <c r="H113" s="2">
        <f>-39.95</f>
        <v>-39.950000000000003</v>
      </c>
      <c r="I113" s="2"/>
      <c r="J113" s="19"/>
      <c r="K113" s="2"/>
      <c r="L113" s="2">
        <f t="shared" si="0"/>
        <v>-174.73000000000002</v>
      </c>
      <c r="M113" s="2"/>
      <c r="N113" s="19">
        <f t="shared" si="1"/>
        <v>4.3737171464330418</v>
      </c>
      <c r="O113" s="11"/>
      <c r="P113" s="2">
        <f>-793.52</f>
        <v>-793.52</v>
      </c>
      <c r="Q113" s="2"/>
      <c r="R113" s="19"/>
      <c r="S113" s="2"/>
      <c r="T113" s="2">
        <f>-8552.26</f>
        <v>-8552.26</v>
      </c>
      <c r="U113" s="2"/>
      <c r="V113" s="19"/>
      <c r="W113" s="2"/>
      <c r="X113" s="2">
        <f t="shared" si="2"/>
        <v>7758.74</v>
      </c>
      <c r="Y113" s="2"/>
      <c r="Z113" s="19">
        <f t="shared" si="3"/>
        <v>-0.90721516885595144</v>
      </c>
    </row>
    <row r="114" spans="1:26" s="24" customFormat="1" hidden="1" outlineLevel="1" x14ac:dyDescent="0.35">
      <c r="A114" s="44"/>
      <c r="B114" s="11" t="str">
        <f>CONCATENATE("          ", "4295", " - ", "SALES RETURN TAXABLE-CUSTOMER")</f>
        <v xml:space="preserve">          4295 - SALES RETURN TAXABLE-CUSTOMER</v>
      </c>
      <c r="C114" s="11"/>
      <c r="D114" s="2">
        <f>0</f>
        <v>0</v>
      </c>
      <c r="E114" s="2"/>
      <c r="F114" s="19"/>
      <c r="G114" s="2"/>
      <c r="H114" s="2">
        <f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--0.99</f>
        <v>0.99</v>
      </c>
      <c r="Q114" s="2"/>
      <c r="R114" s="19"/>
      <c r="S114" s="2"/>
      <c r="T114" s="2">
        <f>-126.72</f>
        <v>-126.72</v>
      </c>
      <c r="U114" s="2"/>
      <c r="V114" s="19"/>
      <c r="W114" s="2"/>
      <c r="X114" s="2">
        <f t="shared" si="2"/>
        <v>127.71</v>
      </c>
      <c r="Y114" s="2"/>
      <c r="Z114" s="19">
        <f t="shared" si="3"/>
        <v>-1.0078125</v>
      </c>
    </row>
    <row r="115" spans="1:26" s="24" customFormat="1" hidden="1" outlineLevel="1" x14ac:dyDescent="0.35">
      <c r="A115" s="44"/>
      <c r="B115" s="11" t="str">
        <f>CONCATENATE("          ", "4301", " - ", "SALES RETURN NON TAXABLE-NEW T")</f>
        <v xml:space="preserve">          4301 - SALES RETURN NON TAXABLE-NEW T</v>
      </c>
      <c r="C115" s="11"/>
      <c r="D115" s="2">
        <f>-253.49</f>
        <v>-253.49</v>
      </c>
      <c r="E115" s="2"/>
      <c r="F115" s="19"/>
      <c r="G115" s="2"/>
      <c r="H115" s="2">
        <f>-429.12</f>
        <v>-429.12</v>
      </c>
      <c r="I115" s="2"/>
      <c r="J115" s="19"/>
      <c r="K115" s="2"/>
      <c r="L115" s="2">
        <f t="shared" si="0"/>
        <v>175.63</v>
      </c>
      <c r="M115" s="2"/>
      <c r="N115" s="19">
        <f t="shared" si="1"/>
        <v>-0.40927945563012674</v>
      </c>
      <c r="O115" s="11"/>
      <c r="P115" s="2">
        <f>-21543.36</f>
        <v>-21543.360000000001</v>
      </c>
      <c r="Q115" s="2"/>
      <c r="R115" s="19"/>
      <c r="S115" s="2"/>
      <c r="T115" s="2">
        <f>-51917.32</f>
        <v>-51917.32</v>
      </c>
      <c r="U115" s="2"/>
      <c r="V115" s="19"/>
      <c r="W115" s="2"/>
      <c r="X115" s="2">
        <f t="shared" si="2"/>
        <v>30373.96</v>
      </c>
      <c r="Y115" s="2"/>
      <c r="Z115" s="19">
        <f t="shared" si="3"/>
        <v>-0.58504483667492846</v>
      </c>
    </row>
    <row r="116" spans="1:26" s="24" customFormat="1" hidden="1" outlineLevel="1" x14ac:dyDescent="0.35">
      <c r="A116" s="44"/>
      <c r="B116" s="11" t="str">
        <f>CONCATENATE("          ", "4302", " - ", "SALES RETURN NON TAXABLE-TEXT")</f>
        <v xml:space="preserve">          4302 - SALES RETURN NON TAXABLE-TEXT</v>
      </c>
      <c r="C116" s="11"/>
      <c r="D116" s="2">
        <f>-95.75</f>
        <v>-95.75</v>
      </c>
      <c r="E116" s="2"/>
      <c r="F116" s="19"/>
      <c r="G116" s="2"/>
      <c r="H116" s="2">
        <f>-452.04</f>
        <v>-452.04</v>
      </c>
      <c r="I116" s="2"/>
      <c r="J116" s="19"/>
      <c r="K116" s="2"/>
      <c r="L116" s="2">
        <f t="shared" si="0"/>
        <v>356.29</v>
      </c>
      <c r="M116" s="2"/>
      <c r="N116" s="19">
        <f t="shared" si="1"/>
        <v>-0.78818246172905049</v>
      </c>
      <c r="O116" s="11"/>
      <c r="P116" s="2">
        <f>-1475.62</f>
        <v>-1475.62</v>
      </c>
      <c r="Q116" s="2"/>
      <c r="R116" s="19"/>
      <c r="S116" s="2"/>
      <c r="T116" s="2">
        <f>-6780.29</f>
        <v>-6780.29</v>
      </c>
      <c r="U116" s="2"/>
      <c r="V116" s="19"/>
      <c r="W116" s="2"/>
      <c r="X116" s="2">
        <f t="shared" si="2"/>
        <v>5304.67</v>
      </c>
      <c r="Y116" s="2"/>
      <c r="Z116" s="19">
        <f t="shared" si="3"/>
        <v>-0.78236624097199381</v>
      </c>
    </row>
    <row r="117" spans="1:26" s="24" customFormat="1" hidden="1" outlineLevel="1" x14ac:dyDescent="0.35">
      <c r="A117" s="44"/>
      <c r="B117" s="11" t="str">
        <f>CONCATENATE("          ", "4303", " - ", "SALES RETURN NON-TAXABLE-RENTA")</f>
        <v xml:space="preserve">          4303 - SALES RETURN NON-TAXABLE-RENTA</v>
      </c>
      <c r="C117" s="11"/>
      <c r="D117" s="2">
        <f>0</f>
        <v>0</v>
      </c>
      <c r="E117" s="2"/>
      <c r="F117" s="19"/>
      <c r="G117" s="2"/>
      <c r="H117" s="2">
        <f>0</f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-184.99</f>
        <v>-184.99</v>
      </c>
      <c r="Q117" s="2"/>
      <c r="R117" s="19"/>
      <c r="S117" s="2"/>
      <c r="T117" s="2">
        <f>-509.85</f>
        <v>-509.85</v>
      </c>
      <c r="U117" s="2"/>
      <c r="V117" s="19"/>
      <c r="W117" s="2"/>
      <c r="X117" s="2">
        <f t="shared" si="2"/>
        <v>324.86</v>
      </c>
      <c r="Y117" s="2"/>
      <c r="Z117" s="19">
        <f t="shared" si="3"/>
        <v>-0.63716779444934779</v>
      </c>
    </row>
    <row r="118" spans="1:26" s="24" customFormat="1" hidden="1" outlineLevel="1" x14ac:dyDescent="0.35">
      <c r="A118" s="44"/>
      <c r="B118" s="11" t="str">
        <f>CONCATENATE("          ", "4304", " - ", "SALES RETURN NON TAXABLE-DIGIT")</f>
        <v xml:space="preserve">          4304 - SALES RETURN NON TAXABLE-DIGIT</v>
      </c>
      <c r="C118" s="11"/>
      <c r="D118" s="2">
        <f>-398.87</f>
        <v>-398.87</v>
      </c>
      <c r="E118" s="2"/>
      <c r="F118" s="19"/>
      <c r="G118" s="2"/>
      <c r="H118" s="2">
        <f>-124.01</f>
        <v>-124.01</v>
      </c>
      <c r="I118" s="2"/>
      <c r="J118" s="19"/>
      <c r="K118" s="2"/>
      <c r="L118" s="2">
        <f t="shared" si="0"/>
        <v>-274.86</v>
      </c>
      <c r="M118" s="2"/>
      <c r="N118" s="19">
        <f t="shared" si="1"/>
        <v>2.216434158535602</v>
      </c>
      <c r="O118" s="11"/>
      <c r="P118" s="2">
        <f>-19873.2</f>
        <v>-19873.2</v>
      </c>
      <c r="Q118" s="2"/>
      <c r="R118" s="19"/>
      <c r="S118" s="2"/>
      <c r="T118" s="2">
        <f>-6171.97</f>
        <v>-6171.97</v>
      </c>
      <c r="U118" s="2"/>
      <c r="V118" s="19"/>
      <c r="W118" s="2"/>
      <c r="X118" s="2">
        <f t="shared" si="2"/>
        <v>-13701.23</v>
      </c>
      <c r="Y118" s="2"/>
      <c r="Z118" s="19">
        <f t="shared" si="3"/>
        <v>2.2199119567982346</v>
      </c>
    </row>
    <row r="119" spans="1:26" s="24" customFormat="1" hidden="1" outlineLevel="1" x14ac:dyDescent="0.35">
      <c r="A119" s="44"/>
      <c r="B119" s="11" t="str">
        <f>CONCATENATE("          ", "4311", " - ", "SALES RETURN NON TAXABLE-NO VA")</f>
        <v xml:space="preserve">          4311 - SALES RETURN NON TAXABLE-NO VA</v>
      </c>
      <c r="C119" s="11"/>
      <c r="D119" s="2">
        <f>-70.37</f>
        <v>-70.37</v>
      </c>
      <c r="E119" s="2"/>
      <c r="F119" s="19"/>
      <c r="G119" s="2"/>
      <c r="H119" s="2">
        <f>-289.3</f>
        <v>-289.3</v>
      </c>
      <c r="I119" s="2"/>
      <c r="J119" s="19"/>
      <c r="K119" s="2"/>
      <c r="L119" s="2">
        <f t="shared" si="0"/>
        <v>218.93</v>
      </c>
      <c r="M119" s="2"/>
      <c r="N119" s="19">
        <f t="shared" si="1"/>
        <v>-0.75675769097822332</v>
      </c>
      <c r="O119" s="11"/>
      <c r="P119" s="2">
        <f>-1011.65</f>
        <v>-1011.65</v>
      </c>
      <c r="Q119" s="2"/>
      <c r="R119" s="19"/>
      <c r="S119" s="2"/>
      <c r="T119" s="2">
        <f>-2399.84</f>
        <v>-2399.84</v>
      </c>
      <c r="U119" s="2"/>
      <c r="V119" s="19"/>
      <c r="W119" s="2"/>
      <c r="X119" s="2">
        <f t="shared" si="2"/>
        <v>1388.19</v>
      </c>
      <c r="Y119" s="2"/>
      <c r="Z119" s="19">
        <f t="shared" si="3"/>
        <v>-0.57845106340422692</v>
      </c>
    </row>
    <row r="120" spans="1:26" s="24" customFormat="1" hidden="1" outlineLevel="1" x14ac:dyDescent="0.35">
      <c r="A120" s="44"/>
      <c r="B120" s="11" t="str">
        <f>CONCATENATE("          ", "4313", " - ", "SALES RETURN NON TAXABLE-TRADE")</f>
        <v xml:space="preserve">          4313 - SALES RETURN NON TAXABLE-TRADE</v>
      </c>
      <c r="C120" s="11"/>
      <c r="D120" s="2">
        <f t="shared" ref="D120:D121" si="20">0</f>
        <v>0</v>
      </c>
      <c r="E120" s="2"/>
      <c r="F120" s="19"/>
      <c r="G120" s="2"/>
      <c r="H120" s="2">
        <f>-800</f>
        <v>-800</v>
      </c>
      <c r="I120" s="2"/>
      <c r="J120" s="19"/>
      <c r="K120" s="2"/>
      <c r="L120" s="2">
        <f t="shared" si="0"/>
        <v>800</v>
      </c>
      <c r="M120" s="2"/>
      <c r="N120" s="19">
        <f t="shared" si="1"/>
        <v>-1</v>
      </c>
      <c r="O120" s="11"/>
      <c r="P120" s="2">
        <f>-2481.44</f>
        <v>-2481.44</v>
      </c>
      <c r="Q120" s="2"/>
      <c r="R120" s="19"/>
      <c r="S120" s="2"/>
      <c r="T120" s="2">
        <f>-800</f>
        <v>-800</v>
      </c>
      <c r="U120" s="2"/>
      <c r="V120" s="19"/>
      <c r="W120" s="2"/>
      <c r="X120" s="2">
        <f t="shared" si="2"/>
        <v>-1681.44</v>
      </c>
      <c r="Y120" s="2"/>
      <c r="Z120" s="19">
        <f t="shared" si="3"/>
        <v>2.1017999999999999</v>
      </c>
    </row>
    <row r="121" spans="1:26" s="24" customFormat="1" hidden="1" outlineLevel="1" x14ac:dyDescent="0.35">
      <c r="A121" s="44"/>
      <c r="B121" s="11" t="str">
        <f>CONCATENATE("          ", "4318", " - ", "SALES RETURN NON TAXABLE-STUDY")</f>
        <v xml:space="preserve">          4318 - SALES RETURN NON TAXABLE-STUDY</v>
      </c>
      <c r="C121" s="11"/>
      <c r="D121" s="2">
        <f t="shared" si="20"/>
        <v>0</v>
      </c>
      <c r="E121" s="2"/>
      <c r="F121" s="19"/>
      <c r="G121" s="2"/>
      <c r="H121" s="2">
        <f>-1253.5</f>
        <v>-1253.5</v>
      </c>
      <c r="I121" s="2"/>
      <c r="J121" s="19"/>
      <c r="K121" s="2"/>
      <c r="L121" s="2">
        <f t="shared" si="0"/>
        <v>1253.5</v>
      </c>
      <c r="M121" s="2"/>
      <c r="N121" s="19">
        <f t="shared" si="1"/>
        <v>-1</v>
      </c>
      <c r="O121" s="11"/>
      <c r="P121" s="2">
        <f>0</f>
        <v>0</v>
      </c>
      <c r="Q121" s="2"/>
      <c r="R121" s="19"/>
      <c r="S121" s="2"/>
      <c r="T121" s="2">
        <f>-1258.54</f>
        <v>-1258.54</v>
      </c>
      <c r="U121" s="2"/>
      <c r="V121" s="19"/>
      <c r="W121" s="2"/>
      <c r="X121" s="2">
        <f t="shared" si="2"/>
        <v>1258.54</v>
      </c>
      <c r="Y121" s="2"/>
      <c r="Z121" s="19">
        <f t="shared" si="3"/>
        <v>-1</v>
      </c>
    </row>
    <row r="122" spans="1:26" s="24" customFormat="1" hidden="1" outlineLevel="1" x14ac:dyDescent="0.35">
      <c r="A122" s="44"/>
      <c r="B122" s="11" t="str">
        <f>CONCATENATE("          ", "4326", " - ", "SALES RETURN NON TAXABLE-WRITI")</f>
        <v xml:space="preserve">          4326 - SALES RETURN NON TAXABLE-WRITI</v>
      </c>
      <c r="C122" s="11"/>
      <c r="D122" s="2">
        <f>-2.98</f>
        <v>-2.98</v>
      </c>
      <c r="E122" s="2"/>
      <c r="F122" s="19"/>
      <c r="G122" s="2"/>
      <c r="H122" s="2">
        <f t="shared" ref="H122:H125" si="21">0</f>
        <v>0</v>
      </c>
      <c r="I122" s="2"/>
      <c r="J122" s="19"/>
      <c r="K122" s="2"/>
      <c r="L122" s="2">
        <f t="shared" si="0"/>
        <v>-2.98</v>
      </c>
      <c r="M122" s="2"/>
      <c r="N122" s="19">
        <f t="shared" si="1"/>
        <v>0</v>
      </c>
      <c r="O122" s="11"/>
      <c r="P122" s="2">
        <f>-2.98</f>
        <v>-2.98</v>
      </c>
      <c r="Q122" s="2"/>
      <c r="R122" s="19"/>
      <c r="S122" s="2"/>
      <c r="T122" s="2">
        <f>-28.23</f>
        <v>-28.23</v>
      </c>
      <c r="U122" s="2"/>
      <c r="V122" s="19"/>
      <c r="W122" s="2"/>
      <c r="X122" s="2">
        <f t="shared" si="2"/>
        <v>25.25</v>
      </c>
      <c r="Y122" s="2"/>
      <c r="Z122" s="19">
        <f t="shared" si="3"/>
        <v>-0.8944385405596883</v>
      </c>
    </row>
    <row r="123" spans="1:26" s="24" customFormat="1" hidden="1" outlineLevel="1" x14ac:dyDescent="0.35">
      <c r="A123" s="44"/>
      <c r="B123" s="11" t="str">
        <f>CONCATENATE("          ", "4327", " - ", "SALES RETURN NON TAXABLE-SCHOO")</f>
        <v xml:space="preserve">          4327 - SALES RETURN NON TAXABLE-SCHOO</v>
      </c>
      <c r="C123" s="11"/>
      <c r="D123" s="2">
        <f t="shared" ref="D123:D125" si="22">0</f>
        <v>0</v>
      </c>
      <c r="E123" s="2"/>
      <c r="F123" s="19"/>
      <c r="G123" s="2"/>
      <c r="H123" s="2">
        <f t="shared" si="21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-21.87</f>
        <v>-21.87</v>
      </c>
      <c r="Q123" s="2"/>
      <c r="R123" s="19"/>
      <c r="S123" s="2"/>
      <c r="T123" s="2">
        <f>-4.99</f>
        <v>-4.99</v>
      </c>
      <c r="U123" s="2"/>
      <c r="V123" s="19"/>
      <c r="W123" s="2"/>
      <c r="X123" s="2">
        <f t="shared" si="2"/>
        <v>-16.880000000000003</v>
      </c>
      <c r="Y123" s="2"/>
      <c r="Z123" s="19">
        <f t="shared" si="3"/>
        <v>3.3827655310621245</v>
      </c>
    </row>
    <row r="124" spans="1:26" s="24" customFormat="1" hidden="1" outlineLevel="1" x14ac:dyDescent="0.35">
      <c r="A124" s="44"/>
      <c r="B124" s="11" t="str">
        <f>CONCATENATE("          ", "4331", " - ", "SALES RETURN NON TAXABLE-FOOD")</f>
        <v xml:space="preserve">          4331 - SALES RETURN NON TAXABLE-FOOD</v>
      </c>
      <c r="C124" s="11"/>
      <c r="D124" s="2">
        <f t="shared" si="22"/>
        <v>0</v>
      </c>
      <c r="E124" s="2"/>
      <c r="F124" s="19"/>
      <c r="G124" s="2"/>
      <c r="H124" s="2">
        <f t="shared" si="21"/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-12.57</f>
        <v>-12.57</v>
      </c>
      <c r="Q124" s="2"/>
      <c r="R124" s="19"/>
      <c r="S124" s="2"/>
      <c r="T124" s="2">
        <f t="shared" ref="T124:T125" si="23">0</f>
        <v>0</v>
      </c>
      <c r="U124" s="2"/>
      <c r="V124" s="19"/>
      <c r="W124" s="2"/>
      <c r="X124" s="2">
        <f t="shared" si="2"/>
        <v>-12.57</v>
      </c>
      <c r="Y124" s="2"/>
      <c r="Z124" s="19">
        <f t="shared" si="3"/>
        <v>0</v>
      </c>
    </row>
    <row r="125" spans="1:26" s="24" customFormat="1" hidden="1" outlineLevel="1" x14ac:dyDescent="0.35">
      <c r="A125" s="44"/>
      <c r="B125" s="11" t="str">
        <f>CONCATENATE("          ", "4332", " - ", "SALES RETURN NON TAXABLE-JUICE")</f>
        <v xml:space="preserve">          4332 - SALES RETURN NON TAXABLE-JUICE</v>
      </c>
      <c r="C125" s="11"/>
      <c r="D125" s="2">
        <f t="shared" si="22"/>
        <v>0</v>
      </c>
      <c r="E125" s="2"/>
      <c r="F125" s="19"/>
      <c r="G125" s="2"/>
      <c r="H125" s="2">
        <f t="shared" si="21"/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-2.79</f>
        <v>-2.79</v>
      </c>
      <c r="Q125" s="2"/>
      <c r="R125" s="19"/>
      <c r="S125" s="2"/>
      <c r="T125" s="2">
        <f t="shared" si="23"/>
        <v>0</v>
      </c>
      <c r="U125" s="2"/>
      <c r="V125" s="19"/>
      <c r="W125" s="2"/>
      <c r="X125" s="2">
        <f t="shared" si="2"/>
        <v>-2.79</v>
      </c>
      <c r="Y125" s="2"/>
      <c r="Z125" s="19">
        <f t="shared" si="3"/>
        <v>0</v>
      </c>
    </row>
    <row r="126" spans="1:26" s="24" customFormat="1" hidden="1" outlineLevel="1" x14ac:dyDescent="0.35">
      <c r="A126" s="44"/>
      <c r="B126" s="11" t="str">
        <f>CONCATENATE("          ", "4340", " - ", "SALES RETURN NON TAXABLE-LOGO")</f>
        <v xml:space="preserve">          4340 - SALES RETURN NON TAXABLE-LOGO</v>
      </c>
      <c r="C126" s="11"/>
      <c r="D126" s="2">
        <f>-1045.65</f>
        <v>-1045.6500000000001</v>
      </c>
      <c r="E126" s="2"/>
      <c r="F126" s="19"/>
      <c r="G126" s="2"/>
      <c r="H126" s="2">
        <f>-96.85</f>
        <v>-96.85</v>
      </c>
      <c r="I126" s="2"/>
      <c r="J126" s="19"/>
      <c r="K126" s="2"/>
      <c r="L126" s="2">
        <f t="shared" si="0"/>
        <v>-948.80000000000007</v>
      </c>
      <c r="M126" s="2"/>
      <c r="N126" s="19">
        <f t="shared" si="1"/>
        <v>9.796592669075892</v>
      </c>
      <c r="O126" s="11"/>
      <c r="P126" s="2">
        <f>-2664.48</f>
        <v>-2664.48</v>
      </c>
      <c r="Q126" s="2"/>
      <c r="R126" s="19"/>
      <c r="S126" s="2"/>
      <c r="T126" s="2">
        <f>-1132.72</f>
        <v>-1132.72</v>
      </c>
      <c r="U126" s="2"/>
      <c r="V126" s="19"/>
      <c r="W126" s="2"/>
      <c r="X126" s="2">
        <f t="shared" si="2"/>
        <v>-1531.76</v>
      </c>
      <c r="Y126" s="2"/>
      <c r="Z126" s="19">
        <f t="shared" si="3"/>
        <v>1.3522847658732962</v>
      </c>
    </row>
    <row r="127" spans="1:26" s="24" customFormat="1" hidden="1" outlineLevel="1" x14ac:dyDescent="0.35">
      <c r="A127" s="44"/>
      <c r="B127" s="11" t="str">
        <f>CONCATENATE("          ", "4341", " - ", "SALES RETURN NON TAXABLE-LOGO")</f>
        <v xml:space="preserve">          4341 - SALES RETURN NON TAXABLE-LOGO</v>
      </c>
      <c r="C127" s="11"/>
      <c r="D127" s="2">
        <f>-9.9</f>
        <v>-9.9</v>
      </c>
      <c r="E127" s="2"/>
      <c r="F127" s="19"/>
      <c r="G127" s="2"/>
      <c r="H127" s="2">
        <f>-42.95</f>
        <v>-42.95</v>
      </c>
      <c r="I127" s="2"/>
      <c r="J127" s="19"/>
      <c r="K127" s="2"/>
      <c r="L127" s="2">
        <f t="shared" si="0"/>
        <v>33.050000000000004</v>
      </c>
      <c r="M127" s="2"/>
      <c r="N127" s="19">
        <f t="shared" si="1"/>
        <v>-0.76949941792782306</v>
      </c>
      <c r="O127" s="11"/>
      <c r="P127" s="2">
        <f>-295.35</f>
        <v>-295.35000000000002</v>
      </c>
      <c r="Q127" s="2"/>
      <c r="R127" s="19"/>
      <c r="S127" s="2"/>
      <c r="T127" s="2">
        <f>-335.8</f>
        <v>-335.8</v>
      </c>
      <c r="U127" s="2"/>
      <c r="V127" s="19"/>
      <c r="W127" s="2"/>
      <c r="X127" s="2">
        <f t="shared" si="2"/>
        <v>40.449999999999989</v>
      </c>
      <c r="Y127" s="2"/>
      <c r="Z127" s="19">
        <f t="shared" si="3"/>
        <v>-0.12045860631328167</v>
      </c>
    </row>
    <row r="128" spans="1:26" s="24" customFormat="1" hidden="1" outlineLevel="1" x14ac:dyDescent="0.35">
      <c r="A128" s="44"/>
      <c r="B128" s="11" t="str">
        <f>CONCATENATE("          ", "4342", " - ", "SALES RETURN NON TAXABLE-EVERY")</f>
        <v xml:space="preserve">          4342 - SALES RETURN NON TAXABLE-EVERY</v>
      </c>
      <c r="C128" s="11"/>
      <c r="D128" s="2">
        <f>-36.8</f>
        <v>-36.799999999999997</v>
      </c>
      <c r="E128" s="2"/>
      <c r="F128" s="19"/>
      <c r="G128" s="2"/>
      <c r="H128" s="2">
        <f>-24.95</f>
        <v>-24.95</v>
      </c>
      <c r="I128" s="2"/>
      <c r="J128" s="19"/>
      <c r="K128" s="2"/>
      <c r="L128" s="2">
        <f t="shared" si="0"/>
        <v>-11.849999999999998</v>
      </c>
      <c r="M128" s="2"/>
      <c r="N128" s="19">
        <f t="shared" si="1"/>
        <v>0.47494989979959912</v>
      </c>
      <c r="O128" s="11"/>
      <c r="P128" s="2">
        <f>-186.02</f>
        <v>-186.02</v>
      </c>
      <c r="Q128" s="2"/>
      <c r="R128" s="19"/>
      <c r="S128" s="2"/>
      <c r="T128" s="2">
        <f>-128.55</f>
        <v>-128.55000000000001</v>
      </c>
      <c r="U128" s="2"/>
      <c r="V128" s="19"/>
      <c r="W128" s="2"/>
      <c r="X128" s="2">
        <f t="shared" si="2"/>
        <v>-57.47</v>
      </c>
      <c r="Y128" s="2"/>
      <c r="Z128" s="19">
        <f t="shared" si="3"/>
        <v>0.44706339945546475</v>
      </c>
    </row>
    <row r="129" spans="1:26" s="24" customFormat="1" hidden="1" outlineLevel="1" x14ac:dyDescent="0.35">
      <c r="A129" s="44"/>
      <c r="B129" s="11" t="str">
        <f>CONCATENATE("          ", "4346", " - ", "SALES RETURN NON TAXABLE-COIN-")</f>
        <v xml:space="preserve">          4346 - SALES RETURN NON TAXABLE-COIN-</v>
      </c>
      <c r="C129" s="11"/>
      <c r="D129" s="2">
        <f t="shared" ref="D129:D133" si="24">0</f>
        <v>0</v>
      </c>
      <c r="E129" s="2"/>
      <c r="F129" s="19"/>
      <c r="G129" s="2"/>
      <c r="H129" s="2">
        <f t="shared" ref="H129:H130" si="25">0</f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-8.15</f>
        <v>-8.15</v>
      </c>
      <c r="Q129" s="2"/>
      <c r="R129" s="19"/>
      <c r="S129" s="2"/>
      <c r="T129" s="2">
        <f t="shared" ref="T129:T130" si="26">0</f>
        <v>0</v>
      </c>
      <c r="U129" s="2"/>
      <c r="V129" s="19"/>
      <c r="W129" s="2"/>
      <c r="X129" s="2">
        <f t="shared" si="2"/>
        <v>-8.15</v>
      </c>
      <c r="Y129" s="2"/>
      <c r="Z129" s="19">
        <f t="shared" si="3"/>
        <v>0</v>
      </c>
    </row>
    <row r="130" spans="1:26" s="24" customFormat="1" hidden="1" outlineLevel="1" x14ac:dyDescent="0.35">
      <c r="A130" s="44"/>
      <c r="B130" s="11" t="str">
        <f>CONCATENATE("          ", "4347", " - ", "SALES RETURN NON TAXABLE-MISC")</f>
        <v xml:space="preserve">          4347 - SALES RETURN NON TAXABLE-MISC</v>
      </c>
      <c r="C130" s="11"/>
      <c r="D130" s="2">
        <f t="shared" si="24"/>
        <v>0</v>
      </c>
      <c r="E130" s="2"/>
      <c r="F130" s="19"/>
      <c r="G130" s="2"/>
      <c r="H130" s="2">
        <f t="shared" si="25"/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-84</f>
        <v>-84</v>
      </c>
      <c r="Q130" s="2"/>
      <c r="R130" s="19"/>
      <c r="S130" s="2"/>
      <c r="T130" s="2">
        <f t="shared" si="26"/>
        <v>0</v>
      </c>
      <c r="U130" s="2"/>
      <c r="V130" s="19"/>
      <c r="W130" s="2"/>
      <c r="X130" s="2">
        <f t="shared" si="2"/>
        <v>-84</v>
      </c>
      <c r="Y130" s="2"/>
      <c r="Z130" s="19">
        <f t="shared" si="3"/>
        <v>0</v>
      </c>
    </row>
    <row r="131" spans="1:26" s="24" customFormat="1" hidden="1" outlineLevel="1" x14ac:dyDescent="0.35">
      <c r="A131" s="44"/>
      <c r="B131" s="11" t="str">
        <f>CONCATENATE("          ", "4381", " - ", "SALES RETURN NON TAXABLE-ELECT")</f>
        <v xml:space="preserve">          4381 - SALES RETURN NON TAXABLE-ELECT</v>
      </c>
      <c r="C131" s="11"/>
      <c r="D131" s="2">
        <f t="shared" si="24"/>
        <v>0</v>
      </c>
      <c r="E131" s="2"/>
      <c r="F131" s="19"/>
      <c r="G131" s="2"/>
      <c r="H131" s="2">
        <f>-9.99</f>
        <v>-9.99</v>
      </c>
      <c r="I131" s="2"/>
      <c r="J131" s="19"/>
      <c r="K131" s="2"/>
      <c r="L131" s="2">
        <f t="shared" si="0"/>
        <v>9.99</v>
      </c>
      <c r="M131" s="2"/>
      <c r="N131" s="19">
        <f t="shared" si="1"/>
        <v>-1</v>
      </c>
      <c r="O131" s="11"/>
      <c r="P131" s="2">
        <f>-1279.84</f>
        <v>-1279.8399999999999</v>
      </c>
      <c r="Q131" s="2"/>
      <c r="R131" s="19"/>
      <c r="S131" s="2"/>
      <c r="T131" s="2">
        <f>-257.81</f>
        <v>-257.81</v>
      </c>
      <c r="U131" s="2"/>
      <c r="V131" s="19"/>
      <c r="W131" s="2"/>
      <c r="X131" s="2">
        <f t="shared" si="2"/>
        <v>-1022.03</v>
      </c>
      <c r="Y131" s="2"/>
      <c r="Z131" s="19">
        <f t="shared" si="3"/>
        <v>3.9642760172219851</v>
      </c>
    </row>
    <row r="132" spans="1:26" s="24" customFormat="1" hidden="1" outlineLevel="1" x14ac:dyDescent="0.35">
      <c r="A132" s="44"/>
      <c r="B132" s="11" t="str">
        <f>CONCATENATE("          ", "4383", " - ", "SALES RETURN NON TAXABLE-COMPU")</f>
        <v xml:space="preserve">          4383 - SALES RETURN NON TAXABLE-COMPU</v>
      </c>
      <c r="C132" s="11"/>
      <c r="D132" s="2">
        <f t="shared" si="24"/>
        <v>0</v>
      </c>
      <c r="E132" s="2"/>
      <c r="F132" s="19"/>
      <c r="G132" s="2"/>
      <c r="H132" s="2">
        <f t="shared" ref="H132:H133" si="27">0</f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-49.98</f>
        <v>-49.98</v>
      </c>
      <c r="Q132" s="2"/>
      <c r="R132" s="19"/>
      <c r="S132" s="2"/>
      <c r="T132" s="2">
        <f>-153.92</f>
        <v>-153.91999999999999</v>
      </c>
      <c r="U132" s="2"/>
      <c r="V132" s="19"/>
      <c r="W132" s="2"/>
      <c r="X132" s="2">
        <f t="shared" si="2"/>
        <v>103.94</v>
      </c>
      <c r="Y132" s="2"/>
      <c r="Z132" s="19">
        <f t="shared" si="3"/>
        <v>-0.67528586278586278</v>
      </c>
    </row>
    <row r="133" spans="1:26" s="24" customFormat="1" hidden="1" outlineLevel="1" x14ac:dyDescent="0.35">
      <c r="A133" s="44"/>
      <c r="B133" s="11" t="str">
        <f>CONCATENATE("          ", "4386", " - ", "SALES RETURN NON TAXABLE-COMPU")</f>
        <v xml:space="preserve">          4386 - SALES RETURN NON TAXABLE-COMPU</v>
      </c>
      <c r="C133" s="11"/>
      <c r="D133" s="2">
        <f t="shared" si="24"/>
        <v>0</v>
      </c>
      <c r="E133" s="2"/>
      <c r="F133" s="19"/>
      <c r="G133" s="2"/>
      <c r="H133" s="2">
        <f t="shared" si="27"/>
        <v>0</v>
      </c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>-104.96</f>
        <v>-104.96</v>
      </c>
      <c r="Q133" s="2"/>
      <c r="R133" s="19"/>
      <c r="S133" s="2"/>
      <c r="T133" s="2">
        <f>-209.95</f>
        <v>-209.95</v>
      </c>
      <c r="U133" s="2"/>
      <c r="V133" s="19"/>
      <c r="W133" s="2"/>
      <c r="X133" s="2">
        <f t="shared" si="2"/>
        <v>104.99</v>
      </c>
      <c r="Y133" s="2"/>
      <c r="Z133" s="19">
        <f t="shared" si="3"/>
        <v>-0.50007144558228145</v>
      </c>
    </row>
    <row r="134" spans="1:26" x14ac:dyDescent="0.35">
      <c r="A134" s="9"/>
      <c r="B134" s="10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collapsed="1" x14ac:dyDescent="0.35">
      <c r="A135" s="10"/>
      <c r="B135" s="29" t="s">
        <v>8</v>
      </c>
      <c r="C135" s="10"/>
      <c r="D135" s="4">
        <f>SUM(OSRRefD16x_0)</f>
        <v>589971.81000000006</v>
      </c>
      <c r="E135" s="4"/>
      <c r="F135" s="13">
        <f t="shared" ref="F135:F194" si="28">IF(D$12=0,0,D135/D$12)</f>
        <v>0.89980806634421939</v>
      </c>
      <c r="G135" s="4"/>
      <c r="H135" s="4">
        <f>SUM(OSRRefH16x_0)</f>
        <v>331217.85999999993</v>
      </c>
      <c r="I135" s="4"/>
      <c r="J135" s="13">
        <f t="shared" ref="J135:J194" si="29">IF(H$12=0,0,H135/H$12)</f>
        <v>0.85160441384981711</v>
      </c>
      <c r="K135" s="4"/>
      <c r="L135" s="4">
        <f t="shared" ref="L135:L194" si="30">+D135-H135</f>
        <v>258753.95000000013</v>
      </c>
      <c r="M135" s="4"/>
      <c r="N135" s="13">
        <f t="shared" ref="N135:N194" si="31">IF(H135=0,0,L135/H135)</f>
        <v>0.78121979895649407</v>
      </c>
      <c r="O135" s="10"/>
      <c r="P135" s="4">
        <f>SUM(OSRRefP16x_0)</f>
        <v>7960436.9500000011</v>
      </c>
      <c r="Q135" s="4"/>
      <c r="R135" s="13">
        <f t="shared" ref="R135:R194" si="32">IF(P$12=0,0,P135/P$12)</f>
        <v>0.65680724041785676</v>
      </c>
      <c r="S135" s="4"/>
      <c r="T135" s="4">
        <f>SUM(OSRRefT16x_0)</f>
        <v>9172554.1500000022</v>
      </c>
      <c r="U135" s="4"/>
      <c r="V135" s="13">
        <f t="shared" ref="V135:V194" si="33">IF(T$12=0,0,T135/T$12)</f>
        <v>0.63557661935925391</v>
      </c>
      <c r="W135" s="4"/>
      <c r="X135" s="4">
        <f t="shared" ref="X135:X194" si="34">+P135-T135</f>
        <v>-1212117.2000000011</v>
      </c>
      <c r="Y135" s="4"/>
      <c r="Z135" s="13">
        <f t="shared" ref="Z135:Z194" si="35">IF(T135=0,0,X135/T135)</f>
        <v>-0.13214609368100605</v>
      </c>
    </row>
    <row r="136" spans="1:26" s="24" customFormat="1" hidden="1" outlineLevel="1" x14ac:dyDescent="0.35">
      <c r="A136" s="44"/>
      <c r="B136" s="11" t="str">
        <f>CONCATENATE("          ", "5000", " - ", "PURCHASES @ COST")</f>
        <v xml:space="preserve">          5000 - PURCHASES @ COST</v>
      </c>
      <c r="C136" s="11"/>
      <c r="D136" s="2"/>
      <c r="E136" s="2"/>
      <c r="F136" s="19">
        <f t="shared" si="28"/>
        <v>0</v>
      </c>
      <c r="G136" s="2"/>
      <c r="H136" s="2">
        <v>-1000</v>
      </c>
      <c r="I136" s="2"/>
      <c r="J136" s="19">
        <f t="shared" si="29"/>
        <v>-2.5711307169541441E-3</v>
      </c>
      <c r="K136" s="2"/>
      <c r="L136" s="2">
        <f t="shared" si="30"/>
        <v>1000</v>
      </c>
      <c r="M136" s="2"/>
      <c r="N136" s="19">
        <f t="shared" si="31"/>
        <v>-1</v>
      </c>
      <c r="O136" s="11"/>
      <c r="P136" s="2">
        <v>0</v>
      </c>
      <c r="Q136" s="2"/>
      <c r="R136" s="19">
        <f t="shared" si="32"/>
        <v>0</v>
      </c>
      <c r="S136" s="2"/>
      <c r="T136" s="2">
        <v>20</v>
      </c>
      <c r="U136" s="2"/>
      <c r="V136" s="19">
        <f t="shared" si="33"/>
        <v>1.385822550547175E-6</v>
      </c>
      <c r="W136" s="2"/>
      <c r="X136" s="2">
        <f t="shared" si="34"/>
        <v>-20</v>
      </c>
      <c r="Y136" s="2"/>
      <c r="Z136" s="19">
        <f t="shared" si="35"/>
        <v>-1</v>
      </c>
    </row>
    <row r="137" spans="1:26" s="24" customFormat="1" hidden="1" outlineLevel="1" x14ac:dyDescent="0.35">
      <c r="A137" s="44"/>
      <c r="B137" s="11" t="str">
        <f>CONCATENATE("          ", "5001", " - ", "PURCHASES @ COST-NEW TEXT")</f>
        <v xml:space="preserve">          5001 - PURCHASES @ COST-NEW TEXT</v>
      </c>
      <c r="C137" s="11"/>
      <c r="D137" s="2">
        <v>21388.809999999998</v>
      </c>
      <c r="E137" s="2"/>
      <c r="F137" s="19">
        <f t="shared" si="28"/>
        <v>3.2621598932843755E-2</v>
      </c>
      <c r="G137" s="2"/>
      <c r="H137" s="2">
        <v>35029.230000000003</v>
      </c>
      <c r="I137" s="2"/>
      <c r="J137" s="19">
        <f t="shared" si="29"/>
        <v>9.0064729244251615E-2</v>
      </c>
      <c r="K137" s="2"/>
      <c r="L137" s="2">
        <f t="shared" si="30"/>
        <v>-13640.420000000006</v>
      </c>
      <c r="M137" s="2"/>
      <c r="N137" s="19">
        <f t="shared" si="31"/>
        <v>-0.38940108018360681</v>
      </c>
      <c r="O137" s="11"/>
      <c r="P137" s="2">
        <v>1662669.27</v>
      </c>
      <c r="Q137" s="2"/>
      <c r="R137" s="19">
        <f t="shared" si="32"/>
        <v>0.13718508441377356</v>
      </c>
      <c r="S137" s="2"/>
      <c r="T137" s="2">
        <v>2431202.9900000002</v>
      </c>
      <c r="U137" s="2"/>
      <c r="V137" s="19">
        <f t="shared" si="33"/>
        <v>0.16846079642498593</v>
      </c>
      <c r="W137" s="2"/>
      <c r="X137" s="2">
        <f t="shared" si="34"/>
        <v>-768533.7200000002</v>
      </c>
      <c r="Y137" s="2"/>
      <c r="Z137" s="19">
        <f t="shared" si="35"/>
        <v>-0.31611252666318912</v>
      </c>
    </row>
    <row r="138" spans="1:26" s="24" customFormat="1" hidden="1" outlineLevel="1" x14ac:dyDescent="0.35">
      <c r="A138" s="44"/>
      <c r="B138" s="11" t="str">
        <f>CONCATENATE("          ", "5002", " - ", "PURCHASES @ COST-USED TEXT")</f>
        <v xml:space="preserve">          5002 - PURCHASES @ COST-USED TEXT</v>
      </c>
      <c r="C138" s="11"/>
      <c r="D138" s="2">
        <v>121021.81</v>
      </c>
      <c r="E138" s="2"/>
      <c r="F138" s="19">
        <f t="shared" si="28"/>
        <v>0.1845789900395029</v>
      </c>
      <c r="G138" s="2"/>
      <c r="H138" s="2">
        <v>573715.04</v>
      </c>
      <c r="I138" s="2"/>
      <c r="J138" s="19">
        <f t="shared" si="29"/>
        <v>1.4750963621225754</v>
      </c>
      <c r="K138" s="2"/>
      <c r="L138" s="2">
        <f t="shared" si="30"/>
        <v>-452693.23000000004</v>
      </c>
      <c r="M138" s="2"/>
      <c r="N138" s="19">
        <f t="shared" si="31"/>
        <v>-0.78905588739664212</v>
      </c>
      <c r="O138" s="11"/>
      <c r="P138" s="2">
        <v>731343.19</v>
      </c>
      <c r="Q138" s="2"/>
      <c r="R138" s="19">
        <f t="shared" si="32"/>
        <v>6.034235374759072E-2</v>
      </c>
      <c r="S138" s="2"/>
      <c r="T138" s="2">
        <v>1006777.4099999999</v>
      </c>
      <c r="U138" s="2"/>
      <c r="V138" s="19">
        <f t="shared" si="33"/>
        <v>6.9760741907973947E-2</v>
      </c>
      <c r="W138" s="2"/>
      <c r="X138" s="2">
        <f t="shared" si="34"/>
        <v>-275434.21999999997</v>
      </c>
      <c r="Y138" s="2"/>
      <c r="Z138" s="19">
        <f t="shared" si="35"/>
        <v>-0.27358005579406075</v>
      </c>
    </row>
    <row r="139" spans="1:26" s="24" customFormat="1" hidden="1" outlineLevel="1" x14ac:dyDescent="0.35">
      <c r="A139" s="44"/>
      <c r="B139" s="11" t="str">
        <f>CONCATENATE("          ", "5003", " - ", "PURCHASES @ COST-RENTAL TEXT")</f>
        <v xml:space="preserve">          5003 - PURCHASES @ COST-RENTAL TEXT</v>
      </c>
      <c r="C139" s="11"/>
      <c r="D139" s="2">
        <v>24656.6</v>
      </c>
      <c r="E139" s="2"/>
      <c r="F139" s="19">
        <f t="shared" si="28"/>
        <v>3.760553842161183E-2</v>
      </c>
      <c r="G139" s="2"/>
      <c r="H139" s="2">
        <v>288.39999999999998</v>
      </c>
      <c r="I139" s="2"/>
      <c r="J139" s="19">
        <f t="shared" si="29"/>
        <v>7.4151409876957507E-4</v>
      </c>
      <c r="K139" s="2"/>
      <c r="L139" s="2">
        <f t="shared" si="30"/>
        <v>24368.199999999997</v>
      </c>
      <c r="M139" s="2"/>
      <c r="N139" s="19">
        <f t="shared" si="31"/>
        <v>84.494452149791954</v>
      </c>
      <c r="O139" s="11"/>
      <c r="P139" s="2">
        <v>24578.2</v>
      </c>
      <c r="Q139" s="2"/>
      <c r="R139" s="19">
        <f t="shared" si="32"/>
        <v>2.0279213085706515E-3</v>
      </c>
      <c r="S139" s="2"/>
      <c r="T139" s="2">
        <v>15917.98</v>
      </c>
      <c r="U139" s="2"/>
      <c r="V139" s="19">
        <f t="shared" si="33"/>
        <v>1.1029747821579461E-3</v>
      </c>
      <c r="W139" s="2"/>
      <c r="X139" s="2">
        <f t="shared" si="34"/>
        <v>8660.2200000000012</v>
      </c>
      <c r="Y139" s="2"/>
      <c r="Z139" s="19">
        <f t="shared" si="35"/>
        <v>0.5440527001541654</v>
      </c>
    </row>
    <row r="140" spans="1:26" s="24" customFormat="1" hidden="1" outlineLevel="1" x14ac:dyDescent="0.35">
      <c r="A140" s="44"/>
      <c r="B140" s="11" t="str">
        <f>CONCATENATE("          ", "5004", " - ", "PURCHASES @ COST-DIGITAL TEXT")</f>
        <v xml:space="preserve">          5004 - PURCHASES @ COST-DIGITAL TEXT</v>
      </c>
      <c r="C140" s="11"/>
      <c r="D140" s="2">
        <v>5038.95</v>
      </c>
      <c r="E140" s="2"/>
      <c r="F140" s="19">
        <f t="shared" si="28"/>
        <v>7.6852618702327544E-3</v>
      </c>
      <c r="G140" s="2"/>
      <c r="H140" s="2">
        <v>5564.47</v>
      </c>
      <c r="I140" s="2"/>
      <c r="J140" s="19">
        <f t="shared" si="29"/>
        <v>1.4306979740569825E-2</v>
      </c>
      <c r="K140" s="2"/>
      <c r="L140" s="2">
        <f t="shared" si="30"/>
        <v>-525.52000000000044</v>
      </c>
      <c r="M140" s="2"/>
      <c r="N140" s="19">
        <f t="shared" si="31"/>
        <v>-9.4442058273294743E-2</v>
      </c>
      <c r="O140" s="11"/>
      <c r="P140" s="2">
        <v>451308.6</v>
      </c>
      <c r="Q140" s="2"/>
      <c r="R140" s="19">
        <f t="shared" si="32"/>
        <v>3.7236995657989137E-2</v>
      </c>
      <c r="S140" s="2"/>
      <c r="T140" s="2">
        <v>507143.44999999995</v>
      </c>
      <c r="U140" s="2"/>
      <c r="V140" s="19">
        <f t="shared" si="33"/>
        <v>3.5140541468614686E-2</v>
      </c>
      <c r="W140" s="2"/>
      <c r="X140" s="2">
        <f t="shared" si="34"/>
        <v>-55834.849999999977</v>
      </c>
      <c r="Y140" s="2"/>
      <c r="Z140" s="19">
        <f t="shared" si="35"/>
        <v>-0.11009675861928214</v>
      </c>
    </row>
    <row r="141" spans="1:26" s="24" customFormat="1" hidden="1" outlineLevel="1" x14ac:dyDescent="0.35">
      <c r="A141" s="44"/>
      <c r="B141" s="11" t="str">
        <f>CONCATENATE("          ", "5011", " - ", "PURCHASES @ COST-NO VALUE TEXT")</f>
        <v xml:space="preserve">          5011 - PURCHASES @ COST-NO VALUE TEXT</v>
      </c>
      <c r="C141" s="11"/>
      <c r="D141" s="2">
        <v>99</v>
      </c>
      <c r="E141" s="2"/>
      <c r="F141" s="19">
        <f t="shared" si="28"/>
        <v>1.5099195768027919E-4</v>
      </c>
      <c r="G141" s="2"/>
      <c r="H141" s="2">
        <v>1551</v>
      </c>
      <c r="I141" s="2"/>
      <c r="J141" s="19">
        <f t="shared" si="29"/>
        <v>3.9878237419958776E-3</v>
      </c>
      <c r="K141" s="2"/>
      <c r="L141" s="2">
        <f t="shared" si="30"/>
        <v>-1452</v>
      </c>
      <c r="M141" s="2"/>
      <c r="N141" s="19">
        <f t="shared" si="31"/>
        <v>-0.93617021276595747</v>
      </c>
      <c r="O141" s="11"/>
      <c r="P141" s="2">
        <v>6462</v>
      </c>
      <c r="Q141" s="2"/>
      <c r="R141" s="19">
        <f t="shared" si="32"/>
        <v>5.3317279117199581E-4</v>
      </c>
      <c r="S141" s="2"/>
      <c r="T141" s="2">
        <v>5295</v>
      </c>
      <c r="U141" s="2"/>
      <c r="V141" s="19">
        <f t="shared" si="33"/>
        <v>3.6689652025736461E-4</v>
      </c>
      <c r="W141" s="2"/>
      <c r="X141" s="2">
        <f t="shared" si="34"/>
        <v>1167</v>
      </c>
      <c r="Y141" s="2"/>
      <c r="Z141" s="19">
        <f t="shared" si="35"/>
        <v>0.22039660056657223</v>
      </c>
    </row>
    <row r="142" spans="1:26" s="24" customFormat="1" hidden="1" outlineLevel="1" x14ac:dyDescent="0.35">
      <c r="A142" s="44"/>
      <c r="B142" s="11" t="str">
        <f>CONCATENATE("          ", "5013", " - ", "PURCHASES @ COST-TRADE BOOKS")</f>
        <v xml:space="preserve">          5013 - PURCHASES @ COST-TRADE BOOKS</v>
      </c>
      <c r="C142" s="11"/>
      <c r="D142" s="2">
        <v>-420.76</v>
      </c>
      <c r="E142" s="2"/>
      <c r="F142" s="19">
        <f t="shared" si="28"/>
        <v>-6.4173107185408343E-4</v>
      </c>
      <c r="G142" s="2"/>
      <c r="H142" s="2">
        <v>839.85</v>
      </c>
      <c r="I142" s="2"/>
      <c r="J142" s="19">
        <f t="shared" si="29"/>
        <v>2.1593641326339377E-3</v>
      </c>
      <c r="K142" s="2"/>
      <c r="L142" s="2">
        <f t="shared" si="30"/>
        <v>-1260.6100000000001</v>
      </c>
      <c r="M142" s="2"/>
      <c r="N142" s="19">
        <f t="shared" si="31"/>
        <v>-1.5009942251592547</v>
      </c>
      <c r="O142" s="11"/>
      <c r="P142" s="2">
        <v>2777.09</v>
      </c>
      <c r="Q142" s="2"/>
      <c r="R142" s="19">
        <f t="shared" si="32"/>
        <v>2.2913476116308233E-4</v>
      </c>
      <c r="S142" s="2"/>
      <c r="T142" s="2">
        <v>6715.59</v>
      </c>
      <c r="U142" s="2"/>
      <c r="V142" s="19">
        <f t="shared" si="33"/>
        <v>4.6533080311145518E-4</v>
      </c>
      <c r="W142" s="2"/>
      <c r="X142" s="2">
        <f t="shared" si="34"/>
        <v>-3938.5</v>
      </c>
      <c r="Y142" s="2"/>
      <c r="Z142" s="19">
        <f t="shared" si="35"/>
        <v>-0.586471181236496</v>
      </c>
    </row>
    <row r="143" spans="1:26" s="24" customFormat="1" hidden="1" outlineLevel="1" x14ac:dyDescent="0.35">
      <c r="A143" s="44"/>
      <c r="B143" s="11" t="str">
        <f>CONCATENATE("          ", "5014", " - ", "PURCHASES @ COST-REMAINDERS")</f>
        <v xml:space="preserve">          5014 - PURCHASES @ COST-REMAINDERS</v>
      </c>
      <c r="C143" s="11"/>
      <c r="D143" s="2">
        <v>132</v>
      </c>
      <c r="E143" s="2"/>
      <c r="F143" s="19">
        <f t="shared" si="28"/>
        <v>2.0132261024037224E-4</v>
      </c>
      <c r="G143" s="2"/>
      <c r="H143" s="2">
        <v>62.4</v>
      </c>
      <c r="I143" s="2"/>
      <c r="J143" s="19">
        <f t="shared" si="29"/>
        <v>1.6043855673793857E-4</v>
      </c>
      <c r="K143" s="2"/>
      <c r="L143" s="2">
        <f t="shared" si="30"/>
        <v>69.599999999999994</v>
      </c>
      <c r="M143" s="2"/>
      <c r="N143" s="19">
        <f t="shared" si="31"/>
        <v>1.1153846153846154</v>
      </c>
      <c r="O143" s="11"/>
      <c r="P143" s="2">
        <v>747.07</v>
      </c>
      <c r="Q143" s="2"/>
      <c r="R143" s="19">
        <f t="shared" si="32"/>
        <v>6.163995622111776E-5</v>
      </c>
      <c r="S143" s="2"/>
      <c r="T143" s="2">
        <v>1261.47</v>
      </c>
      <c r="U143" s="2"/>
      <c r="V143" s="19">
        <f t="shared" si="33"/>
        <v>8.7408678641937243E-5</v>
      </c>
      <c r="W143" s="2"/>
      <c r="X143" s="2">
        <f t="shared" si="34"/>
        <v>-514.4</v>
      </c>
      <c r="Y143" s="2"/>
      <c r="Z143" s="19">
        <f t="shared" si="35"/>
        <v>-0.40777822698914756</v>
      </c>
    </row>
    <row r="144" spans="1:26" s="24" customFormat="1" hidden="1" outlineLevel="1" x14ac:dyDescent="0.35">
      <c r="A144" s="44"/>
      <c r="B144" s="11" t="str">
        <f>CONCATENATE("          ", "5017", " - ", "PURCHASES @ COST-DORM/HOUSEWAR")</f>
        <v xml:space="preserve">          5017 - PURCHASES @ COST-DORM/HOUSEWAR</v>
      </c>
      <c r="C144" s="11"/>
      <c r="D144" s="2"/>
      <c r="E144" s="2"/>
      <c r="F144" s="19">
        <f t="shared" si="28"/>
        <v>0</v>
      </c>
      <c r="G144" s="2"/>
      <c r="H144" s="2"/>
      <c r="I144" s="2"/>
      <c r="J144" s="19">
        <f t="shared" si="29"/>
        <v>0</v>
      </c>
      <c r="K144" s="2"/>
      <c r="L144" s="2">
        <f t="shared" si="30"/>
        <v>0</v>
      </c>
      <c r="M144" s="2"/>
      <c r="N144" s="19">
        <f t="shared" si="31"/>
        <v>0</v>
      </c>
      <c r="O144" s="11"/>
      <c r="P144" s="2">
        <v>14.46</v>
      </c>
      <c r="Q144" s="2"/>
      <c r="R144" s="19">
        <f t="shared" si="32"/>
        <v>1.1930793191499628E-6</v>
      </c>
      <c r="S144" s="2"/>
      <c r="T144" s="2">
        <v>239.9</v>
      </c>
      <c r="U144" s="2"/>
      <c r="V144" s="19">
        <f t="shared" si="33"/>
        <v>1.6622941493813366E-5</v>
      </c>
      <c r="W144" s="2"/>
      <c r="X144" s="2">
        <f t="shared" si="34"/>
        <v>-225.44</v>
      </c>
      <c r="Y144" s="2"/>
      <c r="Z144" s="19">
        <f t="shared" si="35"/>
        <v>-0.93972488536890364</v>
      </c>
    </row>
    <row r="145" spans="1:26" s="24" customFormat="1" hidden="1" outlineLevel="1" x14ac:dyDescent="0.35">
      <c r="A145" s="44"/>
      <c r="B145" s="11" t="str">
        <f>CONCATENATE("          ", "5018", " - ", "PURCHASES @ COST-STUDY GUIDES")</f>
        <v xml:space="preserve">          5018 - PURCHASES @ COST-STUDY GUIDES</v>
      </c>
      <c r="C145" s="11"/>
      <c r="D145" s="2">
        <v>-249.38</v>
      </c>
      <c r="E145" s="2"/>
      <c r="F145" s="19">
        <f t="shared" si="28"/>
        <v>-3.8034721622533355E-4</v>
      </c>
      <c r="G145" s="2"/>
      <c r="H145" s="2">
        <v>1034</v>
      </c>
      <c r="I145" s="2"/>
      <c r="J145" s="19">
        <f t="shared" si="29"/>
        <v>2.6585491613305848E-3</v>
      </c>
      <c r="K145" s="2"/>
      <c r="L145" s="2">
        <f t="shared" si="30"/>
        <v>-1283.3800000000001</v>
      </c>
      <c r="M145" s="2"/>
      <c r="N145" s="19">
        <f t="shared" si="31"/>
        <v>-1.2411798839458414</v>
      </c>
      <c r="O145" s="11"/>
      <c r="P145" s="2">
        <v>-454.52</v>
      </c>
      <c r="Q145" s="2"/>
      <c r="R145" s="19">
        <f t="shared" si="32"/>
        <v>-3.7501964878287768E-5</v>
      </c>
      <c r="S145" s="2"/>
      <c r="T145" s="2">
        <v>3717</v>
      </c>
      <c r="U145" s="2"/>
      <c r="V145" s="19">
        <f t="shared" si="33"/>
        <v>2.5755512101919247E-4</v>
      </c>
      <c r="W145" s="2"/>
      <c r="X145" s="2">
        <f t="shared" si="34"/>
        <v>-4171.5200000000004</v>
      </c>
      <c r="Y145" s="2"/>
      <c r="Z145" s="19">
        <f t="shared" si="35"/>
        <v>-1.122281409739037</v>
      </c>
    </row>
    <row r="146" spans="1:26" s="24" customFormat="1" hidden="1" outlineLevel="1" x14ac:dyDescent="0.35">
      <c r="A146" s="44"/>
      <c r="B146" s="11" t="str">
        <f>CONCATENATE("          ", "5025", " - ", "PURCHASES @ COST-TEST FORMS")</f>
        <v xml:space="preserve">          5025 - PURCHASES @ COST-TEST FORMS</v>
      </c>
      <c r="C146" s="11"/>
      <c r="D146" s="2"/>
      <c r="E146" s="2"/>
      <c r="F146" s="19">
        <f t="shared" si="28"/>
        <v>0</v>
      </c>
      <c r="G146" s="2"/>
      <c r="H146" s="2">
        <v>13</v>
      </c>
      <c r="I146" s="2"/>
      <c r="J146" s="19">
        <f t="shared" si="29"/>
        <v>3.3424699320403869E-5</v>
      </c>
      <c r="K146" s="2"/>
      <c r="L146" s="2">
        <f t="shared" si="30"/>
        <v>-13</v>
      </c>
      <c r="M146" s="2"/>
      <c r="N146" s="19">
        <f t="shared" si="31"/>
        <v>-1</v>
      </c>
      <c r="O146" s="11"/>
      <c r="P146" s="2">
        <v>26400.390000000003</v>
      </c>
      <c r="Q146" s="2"/>
      <c r="R146" s="19">
        <f t="shared" si="32"/>
        <v>2.1782682798404903E-3</v>
      </c>
      <c r="S146" s="2"/>
      <c r="T146" s="2">
        <v>21295.599999999999</v>
      </c>
      <c r="U146" s="2"/>
      <c r="V146" s="19">
        <f t="shared" si="33"/>
        <v>1.4755961353716211E-3</v>
      </c>
      <c r="W146" s="2"/>
      <c r="X146" s="2">
        <f t="shared" si="34"/>
        <v>5104.7900000000045</v>
      </c>
      <c r="Y146" s="2"/>
      <c r="Z146" s="19">
        <f t="shared" si="35"/>
        <v>0.23971102011683187</v>
      </c>
    </row>
    <row r="147" spans="1:26" s="24" customFormat="1" hidden="1" outlineLevel="1" x14ac:dyDescent="0.35">
      <c r="A147" s="44"/>
      <c r="B147" s="11" t="str">
        <f>CONCATENATE("          ", "5026", " - ", "PURCHASES @ COST-WRITING INSTR")</f>
        <v xml:space="preserve">          5026 - PURCHASES @ COST-WRITING INSTR</v>
      </c>
      <c r="C147" s="11"/>
      <c r="D147" s="2"/>
      <c r="E147" s="2"/>
      <c r="F147" s="19">
        <f t="shared" si="28"/>
        <v>0</v>
      </c>
      <c r="G147" s="2"/>
      <c r="H147" s="2">
        <v>859.55</v>
      </c>
      <c r="I147" s="2"/>
      <c r="J147" s="19">
        <f t="shared" si="29"/>
        <v>2.2100154077579343E-3</v>
      </c>
      <c r="K147" s="2"/>
      <c r="L147" s="2">
        <f t="shared" si="30"/>
        <v>-859.55</v>
      </c>
      <c r="M147" s="2"/>
      <c r="N147" s="19">
        <f t="shared" si="31"/>
        <v>-1</v>
      </c>
      <c r="O147" s="11"/>
      <c r="P147" s="2">
        <v>44186.57</v>
      </c>
      <c r="Q147" s="2"/>
      <c r="R147" s="19">
        <f t="shared" si="32"/>
        <v>3.645787195793373E-3</v>
      </c>
      <c r="S147" s="2"/>
      <c r="T147" s="2">
        <v>54938.310000000005</v>
      </c>
      <c r="U147" s="2"/>
      <c r="V147" s="19">
        <f t="shared" si="33"/>
        <v>3.8067374443475689E-3</v>
      </c>
      <c r="W147" s="2"/>
      <c r="X147" s="2">
        <f t="shared" si="34"/>
        <v>-10751.740000000005</v>
      </c>
      <c r="Y147" s="2"/>
      <c r="Z147" s="19">
        <f t="shared" si="35"/>
        <v>-0.19570569243939256</v>
      </c>
    </row>
    <row r="148" spans="1:26" s="24" customFormat="1" hidden="1" outlineLevel="1" x14ac:dyDescent="0.35">
      <c r="A148" s="44"/>
      <c r="B148" s="11" t="str">
        <f>CONCATENATE("          ", "5027", " - ", "PURCHASES @ COST-SCHOOL SUPPLI")</f>
        <v xml:space="preserve">          5027 - PURCHASES @ COST-SCHOOL SUPPLI</v>
      </c>
      <c r="C148" s="11"/>
      <c r="D148" s="2">
        <v>11947.58</v>
      </c>
      <c r="E148" s="2"/>
      <c r="F148" s="19">
        <f t="shared" si="28"/>
        <v>1.8222105997391411E-2</v>
      </c>
      <c r="G148" s="2"/>
      <c r="H148" s="2">
        <v>12673.15</v>
      </c>
      <c r="I148" s="2"/>
      <c r="J148" s="19">
        <f t="shared" si="29"/>
        <v>3.2584325245567411E-2</v>
      </c>
      <c r="K148" s="2"/>
      <c r="L148" s="2">
        <f t="shared" si="30"/>
        <v>-725.56999999999971</v>
      </c>
      <c r="M148" s="2"/>
      <c r="N148" s="19">
        <f t="shared" si="31"/>
        <v>-5.7252537845760502E-2</v>
      </c>
      <c r="O148" s="11"/>
      <c r="P148" s="2">
        <v>153162.12</v>
      </c>
      <c r="Q148" s="2"/>
      <c r="R148" s="19">
        <f t="shared" si="32"/>
        <v>1.2637244664534225E-2</v>
      </c>
      <c r="S148" s="2"/>
      <c r="T148" s="2">
        <v>168868.30000000002</v>
      </c>
      <c r="U148" s="2"/>
      <c r="V148" s="19">
        <f t="shared" si="33"/>
        <v>1.1701074910628278E-2</v>
      </c>
      <c r="W148" s="2"/>
      <c r="X148" s="2">
        <f t="shared" si="34"/>
        <v>-15706.180000000022</v>
      </c>
      <c r="Y148" s="2"/>
      <c r="Z148" s="19">
        <f t="shared" si="35"/>
        <v>-9.3008456886224472E-2</v>
      </c>
    </row>
    <row r="149" spans="1:26" s="24" customFormat="1" hidden="1" outlineLevel="1" x14ac:dyDescent="0.35">
      <c r="A149" s="44"/>
      <c r="B149" s="11" t="str">
        <f>CONCATENATE("          ", "5028", " - ", "PURCHASES @ COST-ART/TECH")</f>
        <v xml:space="preserve">          5028 - PURCHASES @ COST-ART/TECH</v>
      </c>
      <c r="C149" s="11"/>
      <c r="D149" s="2">
        <v>-1073.3800000000001</v>
      </c>
      <c r="E149" s="2"/>
      <c r="F149" s="19">
        <f t="shared" si="28"/>
        <v>-1.6370883589379604E-3</v>
      </c>
      <c r="G149" s="2"/>
      <c r="H149" s="2">
        <v>598.71</v>
      </c>
      <c r="I149" s="2"/>
      <c r="J149" s="19">
        <f t="shared" si="29"/>
        <v>1.5393616715476156E-3</v>
      </c>
      <c r="K149" s="2"/>
      <c r="L149" s="2">
        <f t="shared" si="30"/>
        <v>-1672.0900000000001</v>
      </c>
      <c r="M149" s="2"/>
      <c r="N149" s="19">
        <f t="shared" si="31"/>
        <v>-2.7928212323161463</v>
      </c>
      <c r="O149" s="11"/>
      <c r="P149" s="2">
        <v>158554.31</v>
      </c>
      <c r="Q149" s="2"/>
      <c r="R149" s="19">
        <f t="shared" si="32"/>
        <v>1.3082148563146068E-2</v>
      </c>
      <c r="S149" s="2"/>
      <c r="T149" s="2">
        <v>178081.3</v>
      </c>
      <c r="U149" s="2"/>
      <c r="V149" s="19">
        <f t="shared" si="33"/>
        <v>1.2339454068537831E-2</v>
      </c>
      <c r="W149" s="2"/>
      <c r="X149" s="2">
        <f t="shared" si="34"/>
        <v>-19526.989999999991</v>
      </c>
      <c r="Y149" s="2"/>
      <c r="Z149" s="19">
        <f t="shared" si="35"/>
        <v>-0.10965210833478861</v>
      </c>
    </row>
    <row r="150" spans="1:26" s="24" customFormat="1" hidden="1" outlineLevel="1" x14ac:dyDescent="0.35">
      <c r="A150" s="44"/>
      <c r="B150" s="11" t="str">
        <f>CONCATENATE("          ", "5031", " - ", "PURCHASES @ COST-FOOD")</f>
        <v xml:space="preserve">          5031 - PURCHASES @ COST-FOOD</v>
      </c>
      <c r="C150" s="11"/>
      <c r="D150" s="2"/>
      <c r="E150" s="2"/>
      <c r="F150" s="19">
        <f t="shared" si="28"/>
        <v>0</v>
      </c>
      <c r="G150" s="2"/>
      <c r="H150" s="2">
        <v>100.95</v>
      </c>
      <c r="I150" s="2"/>
      <c r="J150" s="19">
        <f t="shared" si="29"/>
        <v>2.5955564587652085E-4</v>
      </c>
      <c r="K150" s="2"/>
      <c r="L150" s="2">
        <f t="shared" si="30"/>
        <v>-100.95</v>
      </c>
      <c r="M150" s="2"/>
      <c r="N150" s="19">
        <f t="shared" si="31"/>
        <v>-1</v>
      </c>
      <c r="O150" s="11"/>
      <c r="P150" s="2">
        <v>33239.879999999997</v>
      </c>
      <c r="Q150" s="2"/>
      <c r="R150" s="19">
        <f t="shared" si="32"/>
        <v>2.7425873719935314E-3</v>
      </c>
      <c r="S150" s="2"/>
      <c r="T150" s="2">
        <v>39394.630000000005</v>
      </c>
      <c r="U150" s="2"/>
      <c r="V150" s="19">
        <f t="shared" si="33"/>
        <v>2.7296983312231132E-3</v>
      </c>
      <c r="W150" s="2"/>
      <c r="X150" s="2">
        <f t="shared" si="34"/>
        <v>-6154.7500000000073</v>
      </c>
      <c r="Y150" s="2"/>
      <c r="Z150" s="19">
        <f t="shared" si="35"/>
        <v>-0.15623322264988926</v>
      </c>
    </row>
    <row r="151" spans="1:26" s="24" customFormat="1" hidden="1" outlineLevel="1" x14ac:dyDescent="0.35">
      <c r="A151" s="44"/>
      <c r="B151" s="11" t="str">
        <f>CONCATENATE("          ", "5032", " - ", "PURCHASES @ COST-JUICE")</f>
        <v xml:space="preserve">          5032 - PURCHASES @ COST-JUICE</v>
      </c>
      <c r="C151" s="11"/>
      <c r="D151" s="2"/>
      <c r="E151" s="2"/>
      <c r="F151" s="19">
        <f t="shared" si="28"/>
        <v>0</v>
      </c>
      <c r="G151" s="2"/>
      <c r="H151" s="2">
        <v>469.57</v>
      </c>
      <c r="I151" s="2"/>
      <c r="J151" s="19">
        <f t="shared" si="29"/>
        <v>1.2073258507601574E-3</v>
      </c>
      <c r="K151" s="2"/>
      <c r="L151" s="2">
        <f t="shared" si="30"/>
        <v>-469.57</v>
      </c>
      <c r="M151" s="2"/>
      <c r="N151" s="19">
        <f t="shared" si="31"/>
        <v>-1</v>
      </c>
      <c r="O151" s="11"/>
      <c r="P151" s="2">
        <v>7802.45</v>
      </c>
      <c r="Q151" s="2"/>
      <c r="R151" s="19">
        <f t="shared" si="32"/>
        <v>6.4377190412874324E-4</v>
      </c>
      <c r="S151" s="2"/>
      <c r="T151" s="2">
        <v>10038.59</v>
      </c>
      <c r="U151" s="2"/>
      <c r="V151" s="19">
        <f t="shared" si="33"/>
        <v>6.9558521988486832E-4</v>
      </c>
      <c r="W151" s="2"/>
      <c r="X151" s="2">
        <f t="shared" si="34"/>
        <v>-2236.1400000000003</v>
      </c>
      <c r="Y151" s="2"/>
      <c r="Z151" s="19">
        <f t="shared" si="35"/>
        <v>-0.22275439080588014</v>
      </c>
    </row>
    <row r="152" spans="1:26" s="24" customFormat="1" hidden="1" outlineLevel="1" x14ac:dyDescent="0.35">
      <c r="A152" s="44"/>
      <c r="B152" s="11" t="str">
        <f>CONCATENATE("          ", "5033", " - ", "PURCHASES @ COST-CANDY")</f>
        <v xml:space="preserve">          5033 - PURCHASES @ COST-CANDY</v>
      </c>
      <c r="C152" s="11"/>
      <c r="D152" s="2"/>
      <c r="E152" s="2"/>
      <c r="F152" s="19">
        <f t="shared" si="28"/>
        <v>0</v>
      </c>
      <c r="G152" s="2"/>
      <c r="H152" s="2">
        <v>550.99</v>
      </c>
      <c r="I152" s="2"/>
      <c r="J152" s="19">
        <f t="shared" si="29"/>
        <v>1.4166673137345639E-3</v>
      </c>
      <c r="K152" s="2"/>
      <c r="L152" s="2">
        <f t="shared" si="30"/>
        <v>-550.99</v>
      </c>
      <c r="M152" s="2"/>
      <c r="N152" s="19">
        <f t="shared" si="31"/>
        <v>-1</v>
      </c>
      <c r="O152" s="11"/>
      <c r="P152" s="2">
        <v>9998.41</v>
      </c>
      <c r="Q152" s="2"/>
      <c r="R152" s="19">
        <f t="shared" si="32"/>
        <v>8.2495824311080079E-4</v>
      </c>
      <c r="S152" s="2"/>
      <c r="T152" s="2">
        <v>10043.27</v>
      </c>
      <c r="U152" s="2"/>
      <c r="V152" s="19">
        <f t="shared" si="33"/>
        <v>6.9590950236169638E-4</v>
      </c>
      <c r="W152" s="2"/>
      <c r="X152" s="2">
        <f t="shared" si="34"/>
        <v>-44.860000000000582</v>
      </c>
      <c r="Y152" s="2"/>
      <c r="Z152" s="19">
        <f t="shared" si="35"/>
        <v>-4.466672707196021E-3</v>
      </c>
    </row>
    <row r="153" spans="1:26" s="24" customFormat="1" hidden="1" outlineLevel="1" x14ac:dyDescent="0.35">
      <c r="A153" s="44"/>
      <c r="B153" s="11" t="str">
        <f>CONCATENATE("          ", "5034", " - ", "PURCHASES @ COST-SODA")</f>
        <v xml:space="preserve">          5034 - PURCHASES @ COST-SODA</v>
      </c>
      <c r="C153" s="11"/>
      <c r="D153" s="2"/>
      <c r="E153" s="2"/>
      <c r="F153" s="19">
        <f t="shared" si="28"/>
        <v>0</v>
      </c>
      <c r="G153" s="2"/>
      <c r="H153" s="2">
        <v>140.63999999999999</v>
      </c>
      <c r="I153" s="2"/>
      <c r="J153" s="19">
        <f t="shared" si="29"/>
        <v>3.6160382403243078E-4</v>
      </c>
      <c r="K153" s="2"/>
      <c r="L153" s="2">
        <f t="shared" si="30"/>
        <v>-140.63999999999999</v>
      </c>
      <c r="M153" s="2"/>
      <c r="N153" s="19">
        <f t="shared" si="31"/>
        <v>-1</v>
      </c>
      <c r="O153" s="11"/>
      <c r="P153" s="2">
        <v>4033.88</v>
      </c>
      <c r="Q153" s="2"/>
      <c r="R153" s="19">
        <f t="shared" si="32"/>
        <v>3.3283117592895246E-4</v>
      </c>
      <c r="S153" s="2"/>
      <c r="T153" s="2">
        <v>3996.87</v>
      </c>
      <c r="U153" s="2"/>
      <c r="V153" s="19">
        <f t="shared" si="33"/>
        <v>2.769476288802744E-4</v>
      </c>
      <c r="W153" s="2"/>
      <c r="X153" s="2">
        <f t="shared" si="34"/>
        <v>37.010000000000218</v>
      </c>
      <c r="Y153" s="2"/>
      <c r="Z153" s="19">
        <f t="shared" si="35"/>
        <v>9.2597457510502513E-3</v>
      </c>
    </row>
    <row r="154" spans="1:26" s="24" customFormat="1" hidden="1" outlineLevel="1" x14ac:dyDescent="0.35">
      <c r="A154" s="44"/>
      <c r="B154" s="11" t="str">
        <f>CONCATENATE("          ", "5035", " - ", "PURCHASES @ COST-HEALTH &amp; BEAU")</f>
        <v xml:space="preserve">          5035 - PURCHASES @ COST-HEALTH &amp; BEAU</v>
      </c>
      <c r="C154" s="11"/>
      <c r="D154" s="2"/>
      <c r="E154" s="2"/>
      <c r="F154" s="19">
        <f t="shared" si="28"/>
        <v>0</v>
      </c>
      <c r="G154" s="2"/>
      <c r="H154" s="2"/>
      <c r="I154" s="2"/>
      <c r="J154" s="19">
        <f t="shared" si="29"/>
        <v>0</v>
      </c>
      <c r="K154" s="2"/>
      <c r="L154" s="2">
        <f t="shared" si="30"/>
        <v>0</v>
      </c>
      <c r="M154" s="2"/>
      <c r="N154" s="19">
        <f t="shared" si="31"/>
        <v>0</v>
      </c>
      <c r="O154" s="11"/>
      <c r="P154" s="2">
        <v>1117.6500000000001</v>
      </c>
      <c r="Q154" s="2"/>
      <c r="R154" s="19">
        <f t="shared" si="32"/>
        <v>9.2216120404422963E-5</v>
      </c>
      <c r="S154" s="2"/>
      <c r="T154" s="2">
        <v>1219.07</v>
      </c>
      <c r="U154" s="2"/>
      <c r="V154" s="19">
        <f t="shared" si="33"/>
        <v>8.4470734834777225E-5</v>
      </c>
      <c r="W154" s="2"/>
      <c r="X154" s="2">
        <f t="shared" si="34"/>
        <v>-101.41999999999985</v>
      </c>
      <c r="Y154" s="2"/>
      <c r="Z154" s="19">
        <f t="shared" si="35"/>
        <v>-8.3194566349758303E-2</v>
      </c>
    </row>
    <row r="155" spans="1:26" s="24" customFormat="1" hidden="1" outlineLevel="1" x14ac:dyDescent="0.35">
      <c r="A155" s="44"/>
      <c r="B155" s="11" t="str">
        <f>CONCATENATE("          ", "5037", " - ", "PURCHASES @ COST-WATER")</f>
        <v xml:space="preserve">          5037 - PURCHASES @ COST-WATER</v>
      </c>
      <c r="C155" s="11"/>
      <c r="D155" s="2"/>
      <c r="E155" s="2"/>
      <c r="F155" s="19">
        <f t="shared" si="28"/>
        <v>0</v>
      </c>
      <c r="G155" s="2"/>
      <c r="H155" s="2">
        <v>418.26</v>
      </c>
      <c r="I155" s="2"/>
      <c r="J155" s="19">
        <f t="shared" si="29"/>
        <v>1.0754011336732401E-3</v>
      </c>
      <c r="K155" s="2"/>
      <c r="L155" s="2">
        <f t="shared" si="30"/>
        <v>-418.26</v>
      </c>
      <c r="M155" s="2"/>
      <c r="N155" s="19">
        <f t="shared" si="31"/>
        <v>-1</v>
      </c>
      <c r="O155" s="11"/>
      <c r="P155" s="2">
        <v>5693.57</v>
      </c>
      <c r="Q155" s="2"/>
      <c r="R155" s="19">
        <f t="shared" si="32"/>
        <v>4.6977044392342005E-4</v>
      </c>
      <c r="S155" s="2"/>
      <c r="T155" s="2">
        <v>6290.29</v>
      </c>
      <c r="U155" s="2"/>
      <c r="V155" s="19">
        <f t="shared" si="33"/>
        <v>4.3586128657406949E-4</v>
      </c>
      <c r="W155" s="2"/>
      <c r="X155" s="2">
        <f t="shared" si="34"/>
        <v>-596.72000000000025</v>
      </c>
      <c r="Y155" s="2"/>
      <c r="Z155" s="19">
        <f t="shared" si="35"/>
        <v>-9.4863670832346397E-2</v>
      </c>
    </row>
    <row r="156" spans="1:26" s="24" customFormat="1" hidden="1" outlineLevel="1" x14ac:dyDescent="0.35">
      <c r="A156" s="44"/>
      <c r="B156" s="11" t="str">
        <f>CONCATENATE("          ", "5040", " - ", "PURCHASES @ COST-LOGO CLOTHING")</f>
        <v xml:space="preserve">          5040 - PURCHASES @ COST-LOGO CLOTHING</v>
      </c>
      <c r="C156" s="11"/>
      <c r="D156" s="2">
        <v>6472.18</v>
      </c>
      <c r="E156" s="2"/>
      <c r="F156" s="19">
        <f t="shared" si="28"/>
        <v>9.8711831177691854E-3</v>
      </c>
      <c r="G156" s="2"/>
      <c r="H156" s="2">
        <v>40406.019999999997</v>
      </c>
      <c r="I156" s="2"/>
      <c r="J156" s="19">
        <f t="shared" si="29"/>
        <v>0.10388915917186348</v>
      </c>
      <c r="K156" s="2"/>
      <c r="L156" s="2">
        <f t="shared" si="30"/>
        <v>-33933.839999999997</v>
      </c>
      <c r="M156" s="2"/>
      <c r="N156" s="19">
        <f t="shared" si="31"/>
        <v>-0.83982139295085234</v>
      </c>
      <c r="O156" s="11"/>
      <c r="P156" s="2">
        <v>982941.51</v>
      </c>
      <c r="Q156" s="2"/>
      <c r="R156" s="19">
        <f t="shared" si="32"/>
        <v>8.1101465250002516E-2</v>
      </c>
      <c r="S156" s="2"/>
      <c r="T156" s="2">
        <v>1080553.1199999999</v>
      </c>
      <c r="U156" s="2"/>
      <c r="V156" s="19">
        <f t="shared" si="33"/>
        <v>7.4872744038005382E-2</v>
      </c>
      <c r="W156" s="2"/>
      <c r="X156" s="2">
        <f t="shared" si="34"/>
        <v>-97611.60999999987</v>
      </c>
      <c r="Y156" s="2"/>
      <c r="Z156" s="19">
        <f t="shared" si="35"/>
        <v>-9.0334855541391507E-2</v>
      </c>
    </row>
    <row r="157" spans="1:26" s="24" customFormat="1" hidden="1" outlineLevel="1" x14ac:dyDescent="0.35">
      <c r="A157" s="44"/>
      <c r="B157" s="11" t="str">
        <f>CONCATENATE("          ", "5041", " - ", "PURCHASES @ COST-LOGO GIFTS")</f>
        <v xml:space="preserve">          5041 - PURCHASES @ COST-LOGO GIFTS</v>
      </c>
      <c r="C157" s="11"/>
      <c r="D157" s="2">
        <v>13093.79</v>
      </c>
      <c r="E157" s="2"/>
      <c r="F157" s="19">
        <f t="shared" si="28"/>
        <v>1.9970272581358209E-2</v>
      </c>
      <c r="G157" s="2"/>
      <c r="H157" s="2">
        <v>41981.85</v>
      </c>
      <c r="I157" s="2"/>
      <c r="J157" s="19">
        <f t="shared" si="29"/>
        <v>0.10794082408956132</v>
      </c>
      <c r="K157" s="2"/>
      <c r="L157" s="2">
        <f t="shared" si="30"/>
        <v>-28888.059999999998</v>
      </c>
      <c r="M157" s="2"/>
      <c r="N157" s="19">
        <f t="shared" si="31"/>
        <v>-0.68810831347356061</v>
      </c>
      <c r="O157" s="11"/>
      <c r="P157" s="2">
        <v>162844.62999999998</v>
      </c>
      <c r="Q157" s="2"/>
      <c r="R157" s="19">
        <f t="shared" si="32"/>
        <v>1.3436138332477704E-2</v>
      </c>
      <c r="S157" s="2"/>
      <c r="T157" s="2">
        <v>323814.98</v>
      </c>
      <c r="U157" s="2"/>
      <c r="V157" s="19">
        <f t="shared" si="33"/>
        <v>2.2437505074449124E-2</v>
      </c>
      <c r="W157" s="2"/>
      <c r="X157" s="2">
        <f t="shared" si="34"/>
        <v>-160970.35</v>
      </c>
      <c r="Y157" s="2"/>
      <c r="Z157" s="19">
        <f t="shared" si="35"/>
        <v>-0.49710593994138264</v>
      </c>
    </row>
    <row r="158" spans="1:26" s="24" customFormat="1" hidden="1" outlineLevel="1" x14ac:dyDescent="0.35">
      <c r="A158" s="44"/>
      <c r="B158" s="11" t="str">
        <f>CONCATENATE("          ", "5042", " - ", "PURCHASES @ COST-EVERYDAY GIFT")</f>
        <v xml:space="preserve">          5042 - PURCHASES @ COST-EVERYDAY GIFT</v>
      </c>
      <c r="C158" s="11"/>
      <c r="D158" s="2">
        <v>-836.65</v>
      </c>
      <c r="E158" s="2"/>
      <c r="F158" s="19">
        <f t="shared" si="28"/>
        <v>-1.2760345595273291E-3</v>
      </c>
      <c r="G158" s="2"/>
      <c r="H158" s="2">
        <v>1405.4</v>
      </c>
      <c r="I158" s="2"/>
      <c r="J158" s="19">
        <f t="shared" si="29"/>
        <v>3.613467109607354E-3</v>
      </c>
      <c r="K158" s="2"/>
      <c r="L158" s="2">
        <f t="shared" si="30"/>
        <v>-2242.0500000000002</v>
      </c>
      <c r="M158" s="2"/>
      <c r="N158" s="19">
        <f t="shared" si="31"/>
        <v>-1.5953109435036288</v>
      </c>
      <c r="O158" s="11"/>
      <c r="P158" s="2">
        <v>125778.54999999999</v>
      </c>
      <c r="Q158" s="2"/>
      <c r="R158" s="19">
        <f t="shared" si="32"/>
        <v>1.037785524188586E-2</v>
      </c>
      <c r="S158" s="2"/>
      <c r="T158" s="2">
        <v>143887.09999999998</v>
      </c>
      <c r="U158" s="2"/>
      <c r="V158" s="19">
        <f t="shared" si="33"/>
        <v>9.9700993956418193E-3</v>
      </c>
      <c r="W158" s="2"/>
      <c r="X158" s="2">
        <f t="shared" si="34"/>
        <v>-18108.549999999988</v>
      </c>
      <c r="Y158" s="2"/>
      <c r="Z158" s="19">
        <f t="shared" si="35"/>
        <v>-0.12585249129352105</v>
      </c>
    </row>
    <row r="159" spans="1:26" s="24" customFormat="1" hidden="1" outlineLevel="1" x14ac:dyDescent="0.35">
      <c r="A159" s="44"/>
      <c r="B159" s="11" t="str">
        <f>CONCATENATE("          ", "5043", " - ", "PURCHASES @ COST-CARDS")</f>
        <v xml:space="preserve">          5043 - PURCHASES @ COST-CARDS</v>
      </c>
      <c r="C159" s="11"/>
      <c r="D159" s="2">
        <v>0</v>
      </c>
      <c r="E159" s="2"/>
      <c r="F159" s="19">
        <f t="shared" si="28"/>
        <v>0</v>
      </c>
      <c r="G159" s="2"/>
      <c r="H159" s="2">
        <v>238.47</v>
      </c>
      <c r="I159" s="2"/>
      <c r="J159" s="19">
        <f t="shared" si="29"/>
        <v>6.131375420720547E-4</v>
      </c>
      <c r="K159" s="2"/>
      <c r="L159" s="2">
        <f t="shared" si="30"/>
        <v>-238.47</v>
      </c>
      <c r="M159" s="2"/>
      <c r="N159" s="19">
        <f t="shared" si="31"/>
        <v>-1</v>
      </c>
      <c r="O159" s="11"/>
      <c r="P159" s="2">
        <v>30914.659999999996</v>
      </c>
      <c r="Q159" s="2"/>
      <c r="R159" s="19">
        <f t="shared" si="32"/>
        <v>2.5507359270091692E-3</v>
      </c>
      <c r="S159" s="2"/>
      <c r="T159" s="2">
        <v>3631.23</v>
      </c>
      <c r="U159" s="2"/>
      <c r="V159" s="19">
        <f t="shared" si="33"/>
        <v>2.516120210111709E-4</v>
      </c>
      <c r="W159" s="2"/>
      <c r="X159" s="2">
        <f t="shared" si="34"/>
        <v>27283.429999999997</v>
      </c>
      <c r="Y159" s="2"/>
      <c r="Z159" s="19">
        <f t="shared" si="35"/>
        <v>7.5135505049253277</v>
      </c>
    </row>
    <row r="160" spans="1:26" s="24" customFormat="1" hidden="1" outlineLevel="1" x14ac:dyDescent="0.35">
      <c r="A160" s="44"/>
      <c r="B160" s="11" t="str">
        <f>CONCATENATE("          ", "5044", " - ", "PURCHASES @ COST-ACCESSORIES")</f>
        <v xml:space="preserve">          5044 - PURCHASES @ COST-ACCESSORIES</v>
      </c>
      <c r="C160" s="11"/>
      <c r="D160" s="2">
        <v>0</v>
      </c>
      <c r="E160" s="2"/>
      <c r="F160" s="19">
        <f t="shared" si="28"/>
        <v>0</v>
      </c>
      <c r="G160" s="2"/>
      <c r="H160" s="2">
        <v>-637.52</v>
      </c>
      <c r="I160" s="2"/>
      <c r="J160" s="19">
        <f t="shared" si="29"/>
        <v>-1.6391472546726058E-3</v>
      </c>
      <c r="K160" s="2"/>
      <c r="L160" s="2">
        <f t="shared" si="30"/>
        <v>637.52</v>
      </c>
      <c r="M160" s="2"/>
      <c r="N160" s="19">
        <f t="shared" si="31"/>
        <v>-1</v>
      </c>
      <c r="O160" s="11"/>
      <c r="P160" s="2">
        <v>37869.03</v>
      </c>
      <c r="Q160" s="2"/>
      <c r="R160" s="19">
        <f t="shared" si="32"/>
        <v>3.1245336465608241E-3</v>
      </c>
      <c r="S160" s="2"/>
      <c r="T160" s="2">
        <v>37653.61</v>
      </c>
      <c r="U160" s="2"/>
      <c r="V160" s="19">
        <f t="shared" si="33"/>
        <v>2.6090610923754308E-3</v>
      </c>
      <c r="W160" s="2"/>
      <c r="X160" s="2">
        <f t="shared" si="34"/>
        <v>215.41999999999825</v>
      </c>
      <c r="Y160" s="2"/>
      <c r="Z160" s="19">
        <f t="shared" si="35"/>
        <v>5.7210981895228176E-3</v>
      </c>
    </row>
    <row r="161" spans="1:26" s="24" customFormat="1" hidden="1" outlineLevel="1" x14ac:dyDescent="0.35">
      <c r="A161" s="44"/>
      <c r="B161" s="11" t="str">
        <f>CONCATENATE("          ", "5045", " - ", "PURCHASES @ COST-SPECIAL ORDER")</f>
        <v xml:space="preserve">          5045 - PURCHASES @ COST-SPECIAL ORDER</v>
      </c>
      <c r="C161" s="11"/>
      <c r="D161" s="2">
        <v>52772.409999999996</v>
      </c>
      <c r="E161" s="2"/>
      <c r="F161" s="19">
        <f t="shared" si="28"/>
        <v>8.0486964620266069E-2</v>
      </c>
      <c r="G161" s="2"/>
      <c r="H161" s="2">
        <v>36286.67</v>
      </c>
      <c r="I161" s="2"/>
      <c r="J161" s="19">
        <f t="shared" si="29"/>
        <v>9.3297771852978426E-2</v>
      </c>
      <c r="K161" s="2"/>
      <c r="L161" s="2">
        <f t="shared" si="30"/>
        <v>16485.739999999998</v>
      </c>
      <c r="M161" s="2"/>
      <c r="N161" s="19">
        <f t="shared" si="31"/>
        <v>0.45431945119240752</v>
      </c>
      <c r="O161" s="11"/>
      <c r="P161" s="2">
        <v>131614.81</v>
      </c>
      <c r="Q161" s="2"/>
      <c r="R161" s="19">
        <f t="shared" si="32"/>
        <v>1.0859398886919206E-2</v>
      </c>
      <c r="S161" s="2"/>
      <c r="T161" s="2">
        <v>157881.61000000002</v>
      </c>
      <c r="U161" s="2"/>
      <c r="V161" s="19">
        <f t="shared" si="33"/>
        <v>1.0939794772734721E-2</v>
      </c>
      <c r="W161" s="2"/>
      <c r="X161" s="2">
        <f t="shared" si="34"/>
        <v>-26266.800000000017</v>
      </c>
      <c r="Y161" s="2"/>
      <c r="Z161" s="19">
        <f t="shared" si="35"/>
        <v>-0.16637023146647678</v>
      </c>
    </row>
    <row r="162" spans="1:26" s="24" customFormat="1" hidden="1" outlineLevel="1" x14ac:dyDescent="0.35">
      <c r="A162" s="44"/>
      <c r="B162" s="11" t="str">
        <f>CONCATENATE("          ", "5081", " - ", "PURCHASES @ COST-ELECTRONICS")</f>
        <v xml:space="preserve">          5081 - PURCHASES @ COST-ELECTRONICS</v>
      </c>
      <c r="C162" s="11"/>
      <c r="D162" s="2">
        <v>-173.28</v>
      </c>
      <c r="E162" s="2"/>
      <c r="F162" s="19">
        <f t="shared" si="28"/>
        <v>-2.6428168107917954E-4</v>
      </c>
      <c r="G162" s="2"/>
      <c r="H162" s="2">
        <v>29297.449999999997</v>
      </c>
      <c r="I162" s="2"/>
      <c r="J162" s="19">
        <f t="shared" si="29"/>
        <v>7.5327573623428179E-2</v>
      </c>
      <c r="K162" s="2"/>
      <c r="L162" s="2">
        <f t="shared" si="30"/>
        <v>-29470.729999999996</v>
      </c>
      <c r="M162" s="2"/>
      <c r="N162" s="19">
        <f t="shared" si="31"/>
        <v>-1.0059145079179246</v>
      </c>
      <c r="O162" s="11"/>
      <c r="P162" s="2">
        <v>260296.33</v>
      </c>
      <c r="Q162" s="2"/>
      <c r="R162" s="19">
        <f t="shared" si="32"/>
        <v>2.1476775115742325E-2</v>
      </c>
      <c r="S162" s="2"/>
      <c r="T162" s="2">
        <v>238614.97999999998</v>
      </c>
      <c r="U162" s="2"/>
      <c r="V162" s="19">
        <f t="shared" si="33"/>
        <v>1.6533901009118158E-2</v>
      </c>
      <c r="W162" s="2"/>
      <c r="X162" s="2">
        <f t="shared" si="34"/>
        <v>21681.350000000006</v>
      </c>
      <c r="Y162" s="2"/>
      <c r="Z162" s="19">
        <f t="shared" si="35"/>
        <v>9.0863322998413626E-2</v>
      </c>
    </row>
    <row r="163" spans="1:26" s="24" customFormat="1" hidden="1" outlineLevel="1" x14ac:dyDescent="0.35">
      <c r="A163" s="44"/>
      <c r="B163" s="11" t="str">
        <f>CONCATENATE("          ", "5082", " - ", "PURCHASES @ COST-COMPUTER HARD")</f>
        <v xml:space="preserve">          5082 - PURCHASES @ COST-COMPUTER HARD</v>
      </c>
      <c r="C163" s="11"/>
      <c r="D163" s="2">
        <v>190200.93</v>
      </c>
      <c r="E163" s="2"/>
      <c r="F163" s="19">
        <f t="shared" si="28"/>
        <v>0.29008899771019941</v>
      </c>
      <c r="G163" s="2"/>
      <c r="H163" s="2">
        <v>53961.18</v>
      </c>
      <c r="I163" s="2"/>
      <c r="J163" s="19">
        <f t="shared" si="29"/>
        <v>0.13874124742109162</v>
      </c>
      <c r="K163" s="2"/>
      <c r="L163" s="2">
        <f t="shared" si="30"/>
        <v>136239.75</v>
      </c>
      <c r="M163" s="2"/>
      <c r="N163" s="19">
        <f t="shared" si="31"/>
        <v>2.5247733648522881</v>
      </c>
      <c r="O163" s="11"/>
      <c r="P163" s="2">
        <v>1831850.8299999998</v>
      </c>
      <c r="Q163" s="2"/>
      <c r="R163" s="19">
        <f t="shared" si="32"/>
        <v>0.15114407614389308</v>
      </c>
      <c r="S163" s="2"/>
      <c r="T163" s="2">
        <v>1965346.54</v>
      </c>
      <c r="U163" s="2"/>
      <c r="V163" s="19">
        <f t="shared" si="33"/>
        <v>0.13618107773859328</v>
      </c>
      <c r="W163" s="2"/>
      <c r="X163" s="2">
        <f t="shared" si="34"/>
        <v>-133495.7100000002</v>
      </c>
      <c r="Y163" s="2"/>
      <c r="Z163" s="19">
        <f t="shared" si="35"/>
        <v>-6.7924769135116594E-2</v>
      </c>
    </row>
    <row r="164" spans="1:26" s="24" customFormat="1" hidden="1" outlineLevel="1" x14ac:dyDescent="0.35">
      <c r="A164" s="44"/>
      <c r="B164" s="11" t="str">
        <f>CONCATENATE("          ", "5083", " - ", "PURCHASES @ COST-COMPUTER EQUI")</f>
        <v xml:space="preserve">          5083 - PURCHASES @ COST-COMPUTER EQUI</v>
      </c>
      <c r="C164" s="11"/>
      <c r="D164" s="2">
        <v>12873.49</v>
      </c>
      <c r="E164" s="2"/>
      <c r="F164" s="19">
        <f t="shared" si="28"/>
        <v>1.9634277346237346E-2</v>
      </c>
      <c r="G164" s="2"/>
      <c r="H164" s="2">
        <v>3371.86</v>
      </c>
      <c r="I164" s="2"/>
      <c r="J164" s="19">
        <f t="shared" si="29"/>
        <v>8.6694928192690007E-3</v>
      </c>
      <c r="K164" s="2"/>
      <c r="L164" s="2">
        <f t="shared" si="30"/>
        <v>9501.6299999999992</v>
      </c>
      <c r="M164" s="2"/>
      <c r="N164" s="19">
        <f t="shared" si="31"/>
        <v>2.8179194865741755</v>
      </c>
      <c r="O164" s="11"/>
      <c r="P164" s="2">
        <v>107819.31</v>
      </c>
      <c r="Q164" s="2"/>
      <c r="R164" s="19">
        <f t="shared" si="32"/>
        <v>8.896057328217067E-3</v>
      </c>
      <c r="S164" s="2"/>
      <c r="T164" s="2">
        <v>111716.08</v>
      </c>
      <c r="U164" s="2"/>
      <c r="V164" s="19">
        <f t="shared" si="33"/>
        <v>7.7409331461366125E-3</v>
      </c>
      <c r="W164" s="2"/>
      <c r="X164" s="2">
        <f t="shared" si="34"/>
        <v>-3896.7700000000041</v>
      </c>
      <c r="Y164" s="2"/>
      <c r="Z164" s="19">
        <f t="shared" si="35"/>
        <v>-3.4881012652789145E-2</v>
      </c>
    </row>
    <row r="165" spans="1:26" s="24" customFormat="1" hidden="1" outlineLevel="1" x14ac:dyDescent="0.35">
      <c r="A165" s="44"/>
      <c r="B165" s="11" t="str">
        <f>CONCATENATE("          ", "5084", " - ", "PURCHASES @ COST-SOFTWARE LICE")</f>
        <v xml:space="preserve">          5084 - PURCHASES @ COST-SOFTWARE LICE</v>
      </c>
      <c r="C165" s="11"/>
      <c r="D165" s="2"/>
      <c r="E165" s="2"/>
      <c r="F165" s="19">
        <f t="shared" si="28"/>
        <v>0</v>
      </c>
      <c r="G165" s="2"/>
      <c r="H165" s="2"/>
      <c r="I165" s="2"/>
      <c r="J165" s="19">
        <f t="shared" si="29"/>
        <v>0</v>
      </c>
      <c r="K165" s="2"/>
      <c r="L165" s="2">
        <f t="shared" si="30"/>
        <v>0</v>
      </c>
      <c r="M165" s="2"/>
      <c r="N165" s="19">
        <f t="shared" si="31"/>
        <v>0</v>
      </c>
      <c r="O165" s="11"/>
      <c r="P165" s="2">
        <v>2728</v>
      </c>
      <c r="Q165" s="2"/>
      <c r="R165" s="19">
        <f t="shared" si="32"/>
        <v>2.2508439713977169E-4</v>
      </c>
      <c r="S165" s="2"/>
      <c r="T165" s="2">
        <v>5183</v>
      </c>
      <c r="U165" s="2"/>
      <c r="V165" s="19">
        <f t="shared" si="33"/>
        <v>3.5913591397430044E-4</v>
      </c>
      <c r="W165" s="2"/>
      <c r="X165" s="2">
        <f t="shared" si="34"/>
        <v>-2455</v>
      </c>
      <c r="Y165" s="2"/>
      <c r="Z165" s="19">
        <f t="shared" si="35"/>
        <v>-0.47366390121551227</v>
      </c>
    </row>
    <row r="166" spans="1:26" s="24" customFormat="1" hidden="1" outlineLevel="1" x14ac:dyDescent="0.35">
      <c r="A166" s="44"/>
      <c r="B166" s="11" t="str">
        <f>CONCATENATE("          ", "5085", " - ", "PURCHASES @ COST-SOFTWARE")</f>
        <v xml:space="preserve">          5085 - PURCHASES @ COST-SOFTWARE</v>
      </c>
      <c r="C166" s="11"/>
      <c r="D166" s="2">
        <v>1996.51</v>
      </c>
      <c r="E166" s="2"/>
      <c r="F166" s="19">
        <f t="shared" si="28"/>
        <v>3.0450197315985269E-3</v>
      </c>
      <c r="G166" s="2"/>
      <c r="H166" s="2">
        <v>228.11</v>
      </c>
      <c r="I166" s="2"/>
      <c r="J166" s="19">
        <f t="shared" si="29"/>
        <v>5.8650062784440982E-4</v>
      </c>
      <c r="K166" s="2"/>
      <c r="L166" s="2">
        <f t="shared" si="30"/>
        <v>1768.4</v>
      </c>
      <c r="M166" s="2"/>
      <c r="N166" s="19">
        <f t="shared" si="31"/>
        <v>7.7524001578185961</v>
      </c>
      <c r="O166" s="11"/>
      <c r="P166" s="2">
        <v>17324.649999999998</v>
      </c>
      <c r="Q166" s="2"/>
      <c r="R166" s="19">
        <f t="shared" si="32"/>
        <v>1.4294385633825313E-3</v>
      </c>
      <c r="S166" s="2"/>
      <c r="T166" s="2">
        <v>12963.48</v>
      </c>
      <c r="U166" s="2"/>
      <c r="V166" s="19">
        <f t="shared" si="33"/>
        <v>8.9825414587836464E-4</v>
      </c>
      <c r="W166" s="2"/>
      <c r="X166" s="2">
        <f t="shared" si="34"/>
        <v>4361.1699999999983</v>
      </c>
      <c r="Y166" s="2"/>
      <c r="Z166" s="19">
        <f t="shared" si="35"/>
        <v>0.33641969594584159</v>
      </c>
    </row>
    <row r="167" spans="1:26" s="24" customFormat="1" hidden="1" outlineLevel="1" x14ac:dyDescent="0.35">
      <c r="A167" s="44"/>
      <c r="B167" s="11" t="str">
        <f>CONCATENATE("          ", "5086", " - ", "PURCHASES @ COST-COMPUTER SUPP")</f>
        <v xml:space="preserve">          5086 - PURCHASES @ COST-COMPUTER SUPP</v>
      </c>
      <c r="C167" s="11"/>
      <c r="D167" s="2">
        <v>127.27</v>
      </c>
      <c r="E167" s="2"/>
      <c r="F167" s="19">
        <f t="shared" si="28"/>
        <v>1.9410855004009221E-4</v>
      </c>
      <c r="G167" s="2"/>
      <c r="H167" s="2">
        <v>1084.4000000000001</v>
      </c>
      <c r="I167" s="2"/>
      <c r="J167" s="19">
        <f t="shared" si="29"/>
        <v>2.7881341494650738E-3</v>
      </c>
      <c r="K167" s="2"/>
      <c r="L167" s="2">
        <f t="shared" si="30"/>
        <v>-957.13000000000011</v>
      </c>
      <c r="M167" s="2"/>
      <c r="N167" s="19">
        <f t="shared" si="31"/>
        <v>-0.8826355588343785</v>
      </c>
      <c r="O167" s="11"/>
      <c r="P167" s="2">
        <v>30436.540000000005</v>
      </c>
      <c r="Q167" s="2"/>
      <c r="R167" s="19">
        <f t="shared" si="32"/>
        <v>2.5112867510705818E-3</v>
      </c>
      <c r="S167" s="2"/>
      <c r="T167" s="2">
        <v>62151.839999999997</v>
      </c>
      <c r="U167" s="2"/>
      <c r="V167" s="19">
        <f t="shared" si="33"/>
        <v>4.3065710714999964E-3</v>
      </c>
      <c r="W167" s="2"/>
      <c r="X167" s="2">
        <f t="shared" si="34"/>
        <v>-31715.299999999992</v>
      </c>
      <c r="Y167" s="2"/>
      <c r="Z167" s="19">
        <f t="shared" si="35"/>
        <v>-0.51028738650376226</v>
      </c>
    </row>
    <row r="168" spans="1:26" s="24" customFormat="1" hidden="1" outlineLevel="1" x14ac:dyDescent="0.35">
      <c r="A168" s="44"/>
      <c r="B168" s="11" t="str">
        <f>CONCATENATE("          ", "5088", " - ", "PURCHASES @ COST-MUSIC")</f>
        <v xml:space="preserve">          5088 - PURCHASES @ COST-MUSIC</v>
      </c>
      <c r="C168" s="11"/>
      <c r="D168" s="2"/>
      <c r="E168" s="2"/>
      <c r="F168" s="19">
        <f t="shared" si="28"/>
        <v>0</v>
      </c>
      <c r="G168" s="2"/>
      <c r="H168" s="2">
        <v>296</v>
      </c>
      <c r="I168" s="2"/>
      <c r="J168" s="19">
        <f t="shared" si="29"/>
        <v>7.6105469221842662E-4</v>
      </c>
      <c r="K168" s="2"/>
      <c r="L168" s="2">
        <f t="shared" si="30"/>
        <v>-296</v>
      </c>
      <c r="M168" s="2"/>
      <c r="N168" s="19">
        <f t="shared" si="31"/>
        <v>-1</v>
      </c>
      <c r="O168" s="11"/>
      <c r="P168" s="2">
        <v>95.65</v>
      </c>
      <c r="Q168" s="2"/>
      <c r="R168" s="19">
        <f t="shared" si="32"/>
        <v>7.8919804202416294E-6</v>
      </c>
      <c r="S168" s="2"/>
      <c r="T168" s="2">
        <v>2245</v>
      </c>
      <c r="U168" s="2"/>
      <c r="V168" s="19">
        <f t="shared" si="33"/>
        <v>1.5555858129892041E-4</v>
      </c>
      <c r="W168" s="2"/>
      <c r="X168" s="2">
        <f t="shared" si="34"/>
        <v>-2149.35</v>
      </c>
      <c r="Y168" s="2"/>
      <c r="Z168" s="19">
        <f t="shared" si="35"/>
        <v>-0.95739420935412023</v>
      </c>
    </row>
    <row r="169" spans="1:26" s="24" customFormat="1" hidden="1" outlineLevel="1" x14ac:dyDescent="0.35">
      <c r="A169" s="44"/>
      <c r="B169" s="11" t="str">
        <f>CONCATENATE("          ", "5092", " - ", "PURCHASES @ COST-GRAD MERCH")</f>
        <v xml:space="preserve">          5092 - PURCHASES @ COST-GRAD MERCH</v>
      </c>
      <c r="C169" s="11"/>
      <c r="D169" s="2">
        <v>9354.1</v>
      </c>
      <c r="E169" s="2"/>
      <c r="F169" s="19">
        <f t="shared" si="28"/>
        <v>1.4266604760980803E-2</v>
      </c>
      <c r="G169" s="2"/>
      <c r="H169" s="2">
        <v>72080.739999999991</v>
      </c>
      <c r="I169" s="2"/>
      <c r="J169" s="19">
        <f t="shared" si="29"/>
        <v>0.18532900471478522</v>
      </c>
      <c r="K169" s="2"/>
      <c r="L169" s="2">
        <f t="shared" si="30"/>
        <v>-62726.639999999992</v>
      </c>
      <c r="M169" s="2"/>
      <c r="N169" s="19">
        <f t="shared" si="31"/>
        <v>-0.87022746991776168</v>
      </c>
      <c r="O169" s="11"/>
      <c r="P169" s="2">
        <v>13839.98</v>
      </c>
      <c r="Q169" s="2"/>
      <c r="R169" s="19">
        <f t="shared" si="32"/>
        <v>1.1419221241666046E-3</v>
      </c>
      <c r="S169" s="2"/>
      <c r="T169" s="2">
        <v>96915.8</v>
      </c>
      <c r="U169" s="2"/>
      <c r="V169" s="19">
        <f t="shared" si="33"/>
        <v>6.7154050572159956E-3</v>
      </c>
      <c r="W169" s="2"/>
      <c r="X169" s="2">
        <f t="shared" si="34"/>
        <v>-83075.820000000007</v>
      </c>
      <c r="Y169" s="2"/>
      <c r="Z169" s="19">
        <f t="shared" si="35"/>
        <v>-0.85719583390943488</v>
      </c>
    </row>
    <row r="170" spans="1:26" s="24" customFormat="1" hidden="1" outlineLevel="1" x14ac:dyDescent="0.35">
      <c r="A170" s="44"/>
      <c r="B170" s="11" t="str">
        <f>CONCATENATE("          ", "5095", " - ", "PURCHASES @ COST-CUSTOMER SERV")</f>
        <v xml:space="preserve">          5095 - PURCHASES @ COST-CUSTOMER SERV</v>
      </c>
      <c r="C170" s="11"/>
      <c r="D170" s="2">
        <v>0</v>
      </c>
      <c r="E170" s="2"/>
      <c r="F170" s="19">
        <f t="shared" si="28"/>
        <v>0</v>
      </c>
      <c r="G170" s="2"/>
      <c r="H170" s="2">
        <v>0</v>
      </c>
      <c r="I170" s="2"/>
      <c r="J170" s="19">
        <f t="shared" si="29"/>
        <v>0</v>
      </c>
      <c r="K170" s="2"/>
      <c r="L170" s="2">
        <f t="shared" si="30"/>
        <v>0</v>
      </c>
      <c r="M170" s="2"/>
      <c r="N170" s="19">
        <f t="shared" si="31"/>
        <v>0</v>
      </c>
      <c r="O170" s="11"/>
      <c r="P170" s="2">
        <v>0</v>
      </c>
      <c r="Q170" s="2"/>
      <c r="R170" s="19">
        <f t="shared" si="32"/>
        <v>0</v>
      </c>
      <c r="S170" s="2"/>
      <c r="T170" s="2">
        <v>0</v>
      </c>
      <c r="U170" s="2"/>
      <c r="V170" s="19">
        <f t="shared" si="33"/>
        <v>0</v>
      </c>
      <c r="W170" s="2"/>
      <c r="X170" s="2">
        <f t="shared" si="34"/>
        <v>0</v>
      </c>
      <c r="Y170" s="2"/>
      <c r="Z170" s="19">
        <f t="shared" si="35"/>
        <v>0</v>
      </c>
    </row>
    <row r="171" spans="1:26" s="24" customFormat="1" hidden="1" outlineLevel="1" x14ac:dyDescent="0.35">
      <c r="A171" s="44"/>
      <c r="B171" s="11" t="str">
        <f>CONCATENATE("          ", "5200", " - ", "PURCHASES OFFSET")</f>
        <v xml:space="preserve">          5200 - PURCHASES OFFSET</v>
      </c>
      <c r="C171" s="11"/>
      <c r="D171" s="2">
        <v>-508944</v>
      </c>
      <c r="E171" s="2"/>
      <c r="F171" s="19">
        <f t="shared" si="28"/>
        <v>-0.77622677686496977</v>
      </c>
      <c r="G171" s="2"/>
      <c r="H171" s="2">
        <v>-886436</v>
      </c>
      <c r="I171" s="2"/>
      <c r="J171" s="19">
        <f t="shared" si="29"/>
        <v>-2.2791428282139634</v>
      </c>
      <c r="K171" s="2"/>
      <c r="L171" s="2">
        <f t="shared" si="30"/>
        <v>377492</v>
      </c>
      <c r="M171" s="2"/>
      <c r="N171" s="19">
        <f t="shared" si="31"/>
        <v>-0.42585364312821228</v>
      </c>
      <c r="O171" s="11"/>
      <c r="P171" s="2">
        <v>-6025314</v>
      </c>
      <c r="Q171" s="2"/>
      <c r="R171" s="19">
        <f t="shared" si="32"/>
        <v>-0.49714229078732636</v>
      </c>
      <c r="S171" s="2"/>
      <c r="T171" s="2">
        <v>-7325548</v>
      </c>
      <c r="U171" s="2"/>
      <c r="V171" s="19">
        <f t="shared" si="33"/>
        <v>-0.50759548067578786</v>
      </c>
      <c r="W171" s="2"/>
      <c r="X171" s="2">
        <f t="shared" si="34"/>
        <v>1300234</v>
      </c>
      <c r="Y171" s="2"/>
      <c r="Z171" s="19">
        <f t="shared" si="35"/>
        <v>-0.17749306946046903</v>
      </c>
    </row>
    <row r="172" spans="1:26" s="24" customFormat="1" hidden="1" outlineLevel="1" x14ac:dyDescent="0.35">
      <c r="A172" s="44"/>
      <c r="B172" s="11" t="str">
        <f>CONCATENATE("          ", "5300", " - ", "COG$ OFFSET")</f>
        <v xml:space="preserve">          5300 - COG$ OFFSET</v>
      </c>
      <c r="C172" s="11"/>
      <c r="D172" s="2">
        <v>626650.53</v>
      </c>
      <c r="E172" s="2"/>
      <c r="F172" s="19">
        <f t="shared" si="28"/>
        <v>0.9557493970311568</v>
      </c>
      <c r="G172" s="2"/>
      <c r="H172" s="2">
        <v>296158</v>
      </c>
      <c r="I172" s="2"/>
      <c r="J172" s="19">
        <f t="shared" si="29"/>
        <v>0.76146093087170541</v>
      </c>
      <c r="K172" s="2"/>
      <c r="L172" s="2">
        <f t="shared" si="30"/>
        <v>330492.53000000003</v>
      </c>
      <c r="M172" s="2"/>
      <c r="N172" s="19">
        <f t="shared" si="31"/>
        <v>1.1159331505480183</v>
      </c>
      <c r="O172" s="11"/>
      <c r="P172" s="2">
        <v>6784339</v>
      </c>
      <c r="Q172" s="2"/>
      <c r="R172" s="19">
        <f t="shared" si="32"/>
        <v>0.55976864142479532</v>
      </c>
      <c r="S172" s="2"/>
      <c r="T172" s="2">
        <v>7638476</v>
      </c>
      <c r="U172" s="2"/>
      <c r="V172" s="19">
        <f t="shared" si="33"/>
        <v>0.52927861463066916</v>
      </c>
      <c r="W172" s="2"/>
      <c r="X172" s="2">
        <f t="shared" si="34"/>
        <v>-854137</v>
      </c>
      <c r="Y172" s="2"/>
      <c r="Z172" s="19">
        <f t="shared" si="35"/>
        <v>-0.11182034217296749</v>
      </c>
    </row>
    <row r="173" spans="1:26" s="24" customFormat="1" hidden="1" outlineLevel="1" x14ac:dyDescent="0.35">
      <c r="A173" s="44"/>
      <c r="B173" s="11" t="str">
        <f>CONCATENATE("          ", "5500", " - ", "FREIGHT-IN")</f>
        <v xml:space="preserve">          5500 - FREIGHT-IN</v>
      </c>
      <c r="C173" s="11"/>
      <c r="D173" s="2">
        <v>83.13</v>
      </c>
      <c r="E173" s="2"/>
      <c r="F173" s="19">
        <f t="shared" si="28"/>
        <v>1.2678748931274351E-4</v>
      </c>
      <c r="G173" s="2"/>
      <c r="H173" s="2"/>
      <c r="I173" s="2"/>
      <c r="J173" s="19">
        <f t="shared" si="29"/>
        <v>0</v>
      </c>
      <c r="K173" s="2"/>
      <c r="L173" s="2">
        <f t="shared" si="30"/>
        <v>83.13</v>
      </c>
      <c r="M173" s="2"/>
      <c r="N173" s="19">
        <f t="shared" si="31"/>
        <v>0</v>
      </c>
      <c r="O173" s="11"/>
      <c r="P173" s="2">
        <v>239.61</v>
      </c>
      <c r="Q173" s="2"/>
      <c r="R173" s="19">
        <f t="shared" si="32"/>
        <v>1.9769967888072102E-5</v>
      </c>
      <c r="S173" s="2"/>
      <c r="T173" s="2">
        <v>202.99</v>
      </c>
      <c r="U173" s="2"/>
      <c r="V173" s="19">
        <f t="shared" si="33"/>
        <v>1.4065405976778553E-5</v>
      </c>
      <c r="W173" s="2"/>
      <c r="X173" s="2">
        <f t="shared" si="34"/>
        <v>36.620000000000005</v>
      </c>
      <c r="Y173" s="2"/>
      <c r="Z173" s="19">
        <f t="shared" si="35"/>
        <v>0.18040297551603529</v>
      </c>
    </row>
    <row r="174" spans="1:26" s="24" customFormat="1" hidden="1" outlineLevel="1" x14ac:dyDescent="0.35">
      <c r="A174" s="44"/>
      <c r="B174" s="11" t="str">
        <f>CONCATENATE("          ", "5501", " - ", "FREIGHT-IN-NEW TEXT")</f>
        <v xml:space="preserve">          5501 - FREIGHT-IN-NEW TEXT</v>
      </c>
      <c r="C174" s="11"/>
      <c r="D174" s="2">
        <v>2483.06</v>
      </c>
      <c r="E174" s="2"/>
      <c r="F174" s="19">
        <f t="shared" si="28"/>
        <v>3.7870918226019594E-3</v>
      </c>
      <c r="G174" s="2"/>
      <c r="H174" s="2">
        <v>1815.25</v>
      </c>
      <c r="I174" s="2"/>
      <c r="J174" s="19">
        <f t="shared" si="29"/>
        <v>4.66724503395101E-3</v>
      </c>
      <c r="K174" s="2"/>
      <c r="L174" s="2">
        <f t="shared" si="30"/>
        <v>667.81</v>
      </c>
      <c r="M174" s="2"/>
      <c r="N174" s="19">
        <f t="shared" si="31"/>
        <v>0.36788872056190602</v>
      </c>
      <c r="O174" s="11"/>
      <c r="P174" s="2">
        <v>72230.790000000008</v>
      </c>
      <c r="Q174" s="2"/>
      <c r="R174" s="19">
        <f t="shared" si="32"/>
        <v>5.9596861517886551E-3</v>
      </c>
      <c r="S174" s="2"/>
      <c r="T174" s="2">
        <v>66019.19</v>
      </c>
      <c r="U174" s="2"/>
      <c r="V174" s="19">
        <f t="shared" si="33"/>
        <v>4.5745441135429275E-3</v>
      </c>
      <c r="W174" s="2"/>
      <c r="X174" s="2">
        <f t="shared" si="34"/>
        <v>6211.6000000000058</v>
      </c>
      <c r="Y174" s="2"/>
      <c r="Z174" s="19">
        <f t="shared" si="35"/>
        <v>9.4087794776034142E-2</v>
      </c>
    </row>
    <row r="175" spans="1:26" s="24" customFormat="1" hidden="1" outlineLevel="1" x14ac:dyDescent="0.35">
      <c r="A175" s="44"/>
      <c r="B175" s="11" t="str">
        <f>CONCATENATE("          ", "5502", " - ", "FREIGHT-IN-USED TEXT")</f>
        <v xml:space="preserve">          5502 - FREIGHT-IN-USED TEXT</v>
      </c>
      <c r="C175" s="11"/>
      <c r="D175" s="2">
        <v>519.36</v>
      </c>
      <c r="E175" s="2"/>
      <c r="F175" s="19">
        <f t="shared" si="28"/>
        <v>7.9211296101848276E-4</v>
      </c>
      <c r="G175" s="2"/>
      <c r="H175" s="2">
        <v>351.17</v>
      </c>
      <c r="I175" s="2"/>
      <c r="J175" s="19">
        <f t="shared" si="29"/>
        <v>9.0290397387278681E-4</v>
      </c>
      <c r="K175" s="2"/>
      <c r="L175" s="2">
        <f t="shared" si="30"/>
        <v>168.19</v>
      </c>
      <c r="M175" s="2"/>
      <c r="N175" s="19">
        <f t="shared" si="31"/>
        <v>0.47894182304866584</v>
      </c>
      <c r="O175" s="11"/>
      <c r="P175" s="2">
        <v>16200.12</v>
      </c>
      <c r="Q175" s="2"/>
      <c r="R175" s="19">
        <f t="shared" si="32"/>
        <v>1.3366547814486652E-3</v>
      </c>
      <c r="S175" s="2"/>
      <c r="T175" s="2">
        <v>14394.46</v>
      </c>
      <c r="U175" s="2"/>
      <c r="V175" s="19">
        <f t="shared" si="33"/>
        <v>9.9740836354746446E-4</v>
      </c>
      <c r="W175" s="2"/>
      <c r="X175" s="2">
        <f t="shared" si="34"/>
        <v>1805.6600000000017</v>
      </c>
      <c r="Y175" s="2"/>
      <c r="Z175" s="19">
        <f t="shared" si="35"/>
        <v>0.12544131561725844</v>
      </c>
    </row>
    <row r="176" spans="1:26" s="24" customFormat="1" hidden="1" outlineLevel="1" x14ac:dyDescent="0.35">
      <c r="A176" s="44"/>
      <c r="B176" s="11" t="str">
        <f>CONCATENATE("          ", "5504", " - ", "FREIGHT-IN-DIGITAL TEXT")</f>
        <v xml:space="preserve">          5504 - FREIGHT-IN-DIGITAL TEXT</v>
      </c>
      <c r="C176" s="11"/>
      <c r="D176" s="2"/>
      <c r="E176" s="2"/>
      <c r="F176" s="19">
        <f t="shared" si="28"/>
        <v>0</v>
      </c>
      <c r="G176" s="2"/>
      <c r="H176" s="2"/>
      <c r="I176" s="2"/>
      <c r="J176" s="19">
        <f t="shared" si="29"/>
        <v>0</v>
      </c>
      <c r="K176" s="2"/>
      <c r="L176" s="2">
        <f t="shared" si="30"/>
        <v>0</v>
      </c>
      <c r="M176" s="2"/>
      <c r="N176" s="19">
        <f t="shared" si="31"/>
        <v>0</v>
      </c>
      <c r="O176" s="11"/>
      <c r="P176" s="2">
        <v>118.75</v>
      </c>
      <c r="Q176" s="2"/>
      <c r="R176" s="19">
        <f t="shared" si="32"/>
        <v>9.7979370089251788E-6</v>
      </c>
      <c r="S176" s="2"/>
      <c r="T176" s="2">
        <v>243.53</v>
      </c>
      <c r="U176" s="2"/>
      <c r="V176" s="19">
        <f t="shared" si="33"/>
        <v>1.6874468286737676E-5</v>
      </c>
      <c r="W176" s="2"/>
      <c r="X176" s="2">
        <f t="shared" si="34"/>
        <v>-124.78</v>
      </c>
      <c r="Y176" s="2"/>
      <c r="Z176" s="19">
        <f t="shared" si="35"/>
        <v>-0.5123804048782491</v>
      </c>
    </row>
    <row r="177" spans="1:26" s="24" customFormat="1" hidden="1" outlineLevel="1" x14ac:dyDescent="0.35">
      <c r="A177" s="44"/>
      <c r="B177" s="11" t="str">
        <f>CONCATENATE("          ", "5513", " - ", "FREIGHT-IN-TRADE BOOKS")</f>
        <v xml:space="preserve">          5513 - FREIGHT-IN-TRADE BOOKS</v>
      </c>
      <c r="C177" s="11"/>
      <c r="D177" s="2"/>
      <c r="E177" s="2"/>
      <c r="F177" s="19">
        <f t="shared" si="28"/>
        <v>0</v>
      </c>
      <c r="G177" s="2"/>
      <c r="H177" s="2"/>
      <c r="I177" s="2"/>
      <c r="J177" s="19">
        <f t="shared" si="29"/>
        <v>0</v>
      </c>
      <c r="K177" s="2"/>
      <c r="L177" s="2">
        <f t="shared" si="30"/>
        <v>0</v>
      </c>
      <c r="M177" s="2"/>
      <c r="N177" s="19">
        <f t="shared" si="31"/>
        <v>0</v>
      </c>
      <c r="O177" s="11"/>
      <c r="P177" s="2">
        <v>30.24</v>
      </c>
      <c r="Q177" s="2"/>
      <c r="R177" s="19">
        <f t="shared" si="32"/>
        <v>2.4950704433675569E-6</v>
      </c>
      <c r="S177" s="2"/>
      <c r="T177" s="2">
        <v>54.9</v>
      </c>
      <c r="U177" s="2"/>
      <c r="V177" s="19">
        <f t="shared" si="33"/>
        <v>3.8040829012519955E-6</v>
      </c>
      <c r="W177" s="2"/>
      <c r="X177" s="2">
        <f t="shared" si="34"/>
        <v>-24.66</v>
      </c>
      <c r="Y177" s="2"/>
      <c r="Z177" s="19">
        <f t="shared" si="35"/>
        <v>-0.44918032786885248</v>
      </c>
    </row>
    <row r="178" spans="1:26" s="24" customFormat="1" hidden="1" outlineLevel="1" x14ac:dyDescent="0.35">
      <c r="A178" s="44"/>
      <c r="B178" s="11" t="str">
        <f>CONCATENATE("          ", "5518", " - ", "FREIGHT-IN-STUDY GUIDES")</f>
        <v xml:space="preserve">          5518 - FREIGHT-IN-STUDY GUIDES</v>
      </c>
      <c r="C178" s="11"/>
      <c r="D178" s="2"/>
      <c r="E178" s="2"/>
      <c r="F178" s="19">
        <f t="shared" si="28"/>
        <v>0</v>
      </c>
      <c r="G178" s="2"/>
      <c r="H178" s="2"/>
      <c r="I178" s="2"/>
      <c r="J178" s="19">
        <f t="shared" si="29"/>
        <v>0</v>
      </c>
      <c r="K178" s="2"/>
      <c r="L178" s="2">
        <f t="shared" si="30"/>
        <v>0</v>
      </c>
      <c r="M178" s="2"/>
      <c r="N178" s="19">
        <f t="shared" si="31"/>
        <v>0</v>
      </c>
      <c r="O178" s="11"/>
      <c r="P178" s="2">
        <v>21.13</v>
      </c>
      <c r="Q178" s="2"/>
      <c r="R178" s="19">
        <f t="shared" si="32"/>
        <v>1.7434139705144338E-6</v>
      </c>
      <c r="S178" s="2"/>
      <c r="T178" s="2"/>
      <c r="U178" s="2"/>
      <c r="V178" s="19">
        <f t="shared" si="33"/>
        <v>0</v>
      </c>
      <c r="W178" s="2"/>
      <c r="X178" s="2">
        <f t="shared" si="34"/>
        <v>21.13</v>
      </c>
      <c r="Y178" s="2"/>
      <c r="Z178" s="19">
        <f t="shared" si="35"/>
        <v>0</v>
      </c>
    </row>
    <row r="179" spans="1:26" s="24" customFormat="1" hidden="1" outlineLevel="1" x14ac:dyDescent="0.35">
      <c r="A179" s="44"/>
      <c r="B179" s="11" t="str">
        <f>CONCATENATE("          ", "5525", " - ", "FREIGHT-IN-TEST FORMS")</f>
        <v xml:space="preserve">          5525 - FREIGHT-IN-TEST FORMS</v>
      </c>
      <c r="C179" s="11"/>
      <c r="D179" s="2"/>
      <c r="E179" s="2"/>
      <c r="F179" s="19">
        <f t="shared" si="28"/>
        <v>0</v>
      </c>
      <c r="G179" s="2"/>
      <c r="H179" s="2"/>
      <c r="I179" s="2"/>
      <c r="J179" s="19">
        <f t="shared" si="29"/>
        <v>0</v>
      </c>
      <c r="K179" s="2"/>
      <c r="L179" s="2">
        <f t="shared" si="30"/>
        <v>0</v>
      </c>
      <c r="M179" s="2"/>
      <c r="N179" s="19">
        <f t="shared" si="31"/>
        <v>0</v>
      </c>
      <c r="O179" s="11"/>
      <c r="P179" s="2">
        <v>1614.32</v>
      </c>
      <c r="Q179" s="2"/>
      <c r="R179" s="19">
        <f t="shared" si="32"/>
        <v>1.3319583723998395E-4</v>
      </c>
      <c r="S179" s="2"/>
      <c r="T179" s="2">
        <v>390.96</v>
      </c>
      <c r="U179" s="2"/>
      <c r="V179" s="19">
        <f t="shared" si="33"/>
        <v>2.7090059218096176E-5</v>
      </c>
      <c r="W179" s="2"/>
      <c r="X179" s="2">
        <f t="shared" si="34"/>
        <v>1223.3599999999999</v>
      </c>
      <c r="Y179" s="2"/>
      <c r="Z179" s="19">
        <f t="shared" si="35"/>
        <v>3.1291180683445874</v>
      </c>
    </row>
    <row r="180" spans="1:26" s="24" customFormat="1" hidden="1" outlineLevel="1" x14ac:dyDescent="0.35">
      <c r="A180" s="44"/>
      <c r="B180" s="11" t="str">
        <f>CONCATENATE("          ", "5526", " - ", "FREIGHT-IN-WRITING INSTRUMENTS")</f>
        <v xml:space="preserve">          5526 - FREIGHT-IN-WRITING INSTRUMENTS</v>
      </c>
      <c r="C180" s="11"/>
      <c r="D180" s="2"/>
      <c r="E180" s="2"/>
      <c r="F180" s="19">
        <f t="shared" si="28"/>
        <v>0</v>
      </c>
      <c r="G180" s="2"/>
      <c r="H180" s="2">
        <v>6.5</v>
      </c>
      <c r="I180" s="2"/>
      <c r="J180" s="19">
        <f t="shared" si="29"/>
        <v>1.6712349660201935E-5</v>
      </c>
      <c r="K180" s="2"/>
      <c r="L180" s="2">
        <f t="shared" si="30"/>
        <v>-6.5</v>
      </c>
      <c r="M180" s="2"/>
      <c r="N180" s="19">
        <f t="shared" si="31"/>
        <v>-1</v>
      </c>
      <c r="O180" s="11"/>
      <c r="P180" s="2">
        <v>274.5</v>
      </c>
      <c r="Q180" s="2"/>
      <c r="R180" s="19">
        <f t="shared" si="32"/>
        <v>2.2648704917473362E-5</v>
      </c>
      <c r="S180" s="2"/>
      <c r="T180" s="2">
        <v>262.62</v>
      </c>
      <c r="U180" s="2"/>
      <c r="V180" s="19">
        <f t="shared" si="33"/>
        <v>1.8197235911234956E-5</v>
      </c>
      <c r="W180" s="2"/>
      <c r="X180" s="2">
        <f t="shared" si="34"/>
        <v>11.879999999999995</v>
      </c>
      <c r="Y180" s="2"/>
      <c r="Z180" s="19">
        <f t="shared" si="35"/>
        <v>4.5236463331048644E-2</v>
      </c>
    </row>
    <row r="181" spans="1:26" s="24" customFormat="1" hidden="1" outlineLevel="1" x14ac:dyDescent="0.35">
      <c r="A181" s="44"/>
      <c r="B181" s="11" t="str">
        <f>CONCATENATE("          ", "5527", " - ", "FREIGHT-IN-SCHOOL SUPPLIES")</f>
        <v xml:space="preserve">          5527 - FREIGHT-IN-SCHOOL SUPPLIES</v>
      </c>
      <c r="C181" s="11"/>
      <c r="D181" s="2"/>
      <c r="E181" s="2"/>
      <c r="F181" s="19">
        <f t="shared" si="28"/>
        <v>0</v>
      </c>
      <c r="G181" s="2"/>
      <c r="H181" s="2">
        <v>194.74</v>
      </c>
      <c r="I181" s="2"/>
      <c r="J181" s="19">
        <f t="shared" si="29"/>
        <v>5.0070199581965004E-4</v>
      </c>
      <c r="K181" s="2"/>
      <c r="L181" s="2">
        <f t="shared" si="30"/>
        <v>-194.74</v>
      </c>
      <c r="M181" s="2"/>
      <c r="N181" s="19">
        <f t="shared" si="31"/>
        <v>-1</v>
      </c>
      <c r="O181" s="11"/>
      <c r="P181" s="2">
        <v>1808</v>
      </c>
      <c r="Q181" s="2"/>
      <c r="R181" s="19">
        <f t="shared" si="32"/>
        <v>1.4917616936536187E-4</v>
      </c>
      <c r="S181" s="2"/>
      <c r="T181" s="2">
        <v>2106.8200000000002</v>
      </c>
      <c r="U181" s="2"/>
      <c r="V181" s="19">
        <f t="shared" si="33"/>
        <v>1.4598393329718997E-4</v>
      </c>
      <c r="W181" s="2"/>
      <c r="X181" s="2">
        <f t="shared" si="34"/>
        <v>-298.82000000000016</v>
      </c>
      <c r="Y181" s="2"/>
      <c r="Z181" s="19">
        <f t="shared" si="35"/>
        <v>-0.14183461330346217</v>
      </c>
    </row>
    <row r="182" spans="1:26" s="24" customFormat="1" hidden="1" outlineLevel="1" x14ac:dyDescent="0.35">
      <c r="A182" s="44"/>
      <c r="B182" s="11" t="str">
        <f>CONCATENATE("          ", "5528", " - ", "FREIGHT-IN-ART/TECH")</f>
        <v xml:space="preserve">          5528 - FREIGHT-IN-ART/TECH</v>
      </c>
      <c r="C182" s="11"/>
      <c r="D182" s="2">
        <v>13.33</v>
      </c>
      <c r="E182" s="2"/>
      <c r="F182" s="19">
        <f t="shared" si="28"/>
        <v>2.0330533291698196E-5</v>
      </c>
      <c r="G182" s="2"/>
      <c r="H182" s="2">
        <v>54.91</v>
      </c>
      <c r="I182" s="2"/>
      <c r="J182" s="19">
        <f t="shared" si="29"/>
        <v>1.4118078766795202E-4</v>
      </c>
      <c r="K182" s="2"/>
      <c r="L182" s="2">
        <f t="shared" si="30"/>
        <v>-41.58</v>
      </c>
      <c r="M182" s="2"/>
      <c r="N182" s="19">
        <f t="shared" si="31"/>
        <v>-0.75723911855763981</v>
      </c>
      <c r="O182" s="11"/>
      <c r="P182" s="2">
        <v>2837.7</v>
      </c>
      <c r="Q182" s="2"/>
      <c r="R182" s="19">
        <f t="shared" si="32"/>
        <v>2.3413562821243772E-4</v>
      </c>
      <c r="S182" s="2"/>
      <c r="T182" s="2">
        <v>7608.5</v>
      </c>
      <c r="U182" s="2"/>
      <c r="V182" s="19">
        <f t="shared" si="33"/>
        <v>5.2720154379190911E-4</v>
      </c>
      <c r="W182" s="2"/>
      <c r="X182" s="2">
        <f t="shared" si="34"/>
        <v>-4770.8</v>
      </c>
      <c r="Y182" s="2"/>
      <c r="Z182" s="19">
        <f t="shared" si="35"/>
        <v>-0.62703555234277453</v>
      </c>
    </row>
    <row r="183" spans="1:26" s="24" customFormat="1" hidden="1" outlineLevel="1" x14ac:dyDescent="0.35">
      <c r="A183" s="44"/>
      <c r="B183" s="11" t="str">
        <f>CONCATENATE("          ", "5540", " - ", "FREIGHT-IN-LOGO CLOTHING")</f>
        <v xml:space="preserve">          5540 - FREIGHT-IN-LOGO CLOTHING</v>
      </c>
      <c r="C183" s="11"/>
      <c r="D183" s="2">
        <v>29.98</v>
      </c>
      <c r="E183" s="2"/>
      <c r="F183" s="19">
        <f t="shared" si="28"/>
        <v>4.5724635265199695E-5</v>
      </c>
      <c r="G183" s="2"/>
      <c r="H183" s="2">
        <v>5856.09</v>
      </c>
      <c r="I183" s="2"/>
      <c r="J183" s="19">
        <f t="shared" si="29"/>
        <v>1.5056772880247994E-2</v>
      </c>
      <c r="K183" s="2"/>
      <c r="L183" s="2">
        <f t="shared" si="30"/>
        <v>-5826.1100000000006</v>
      </c>
      <c r="M183" s="2"/>
      <c r="N183" s="19">
        <f t="shared" si="31"/>
        <v>-0.99488054316105123</v>
      </c>
      <c r="O183" s="11"/>
      <c r="P183" s="2">
        <v>32548.979999999996</v>
      </c>
      <c r="Q183" s="2"/>
      <c r="R183" s="19">
        <f t="shared" si="32"/>
        <v>2.6855819431138143E-3</v>
      </c>
      <c r="S183" s="2"/>
      <c r="T183" s="2">
        <v>35751.939999999995</v>
      </c>
      <c r="U183" s="2"/>
      <c r="V183" s="19">
        <f t="shared" si="33"/>
        <v>2.477292233890478E-3</v>
      </c>
      <c r="W183" s="2"/>
      <c r="X183" s="2">
        <f t="shared" si="34"/>
        <v>-3202.9599999999991</v>
      </c>
      <c r="Y183" s="2"/>
      <c r="Z183" s="19">
        <f t="shared" si="35"/>
        <v>-8.9588425131615218E-2</v>
      </c>
    </row>
    <row r="184" spans="1:26" s="24" customFormat="1" hidden="1" outlineLevel="1" x14ac:dyDescent="0.35">
      <c r="A184" s="44"/>
      <c r="B184" s="11" t="str">
        <f>CONCATENATE("          ", "5541", " - ", "FREIGHT-IN-LOGO GIFTS")</f>
        <v xml:space="preserve">          5541 - FREIGHT-IN-LOGO GIFTS</v>
      </c>
      <c r="C184" s="11"/>
      <c r="D184" s="2">
        <v>348.31</v>
      </c>
      <c r="E184" s="2"/>
      <c r="F184" s="19">
        <f t="shared" si="28"/>
        <v>5.3123241191533374E-4</v>
      </c>
      <c r="G184" s="2"/>
      <c r="H184" s="2">
        <v>-327.45</v>
      </c>
      <c r="I184" s="2"/>
      <c r="J184" s="19">
        <f t="shared" si="29"/>
        <v>-8.4191675326663435E-4</v>
      </c>
      <c r="K184" s="2"/>
      <c r="L184" s="2">
        <f t="shared" si="30"/>
        <v>675.76</v>
      </c>
      <c r="M184" s="2"/>
      <c r="N184" s="19">
        <f t="shared" si="31"/>
        <v>-2.0637043823484502</v>
      </c>
      <c r="O184" s="11"/>
      <c r="P184" s="2">
        <v>5574.41</v>
      </c>
      <c r="Q184" s="2"/>
      <c r="R184" s="19">
        <f t="shared" si="32"/>
        <v>4.5993867824776932E-4</v>
      </c>
      <c r="S184" s="2"/>
      <c r="T184" s="2">
        <v>8438.06</v>
      </c>
      <c r="U184" s="2"/>
      <c r="V184" s="19">
        <f t="shared" si="33"/>
        <v>5.8468269154350475E-4</v>
      </c>
      <c r="W184" s="2"/>
      <c r="X184" s="2">
        <f t="shared" si="34"/>
        <v>-2863.6499999999996</v>
      </c>
      <c r="Y184" s="2"/>
      <c r="Z184" s="19">
        <f t="shared" si="35"/>
        <v>-0.33937303124177831</v>
      </c>
    </row>
    <row r="185" spans="1:26" s="24" customFormat="1" hidden="1" outlineLevel="1" x14ac:dyDescent="0.35">
      <c r="A185" s="44"/>
      <c r="B185" s="11" t="str">
        <f>CONCATENATE("          ", "5542", " - ", "FREIGHT-IN-EVERYDAY GIFTS")</f>
        <v xml:space="preserve">          5542 - FREIGHT-IN-EVERYDAY GIFTS</v>
      </c>
      <c r="C185" s="11"/>
      <c r="D185" s="2"/>
      <c r="E185" s="2"/>
      <c r="F185" s="19">
        <f t="shared" si="28"/>
        <v>0</v>
      </c>
      <c r="G185" s="2"/>
      <c r="H185" s="2">
        <v>62.85</v>
      </c>
      <c r="I185" s="2"/>
      <c r="J185" s="19">
        <f t="shared" si="29"/>
        <v>1.6159556556056794E-4</v>
      </c>
      <c r="K185" s="2"/>
      <c r="L185" s="2">
        <f t="shared" si="30"/>
        <v>-62.85</v>
      </c>
      <c r="M185" s="2"/>
      <c r="N185" s="19">
        <f t="shared" si="31"/>
        <v>-1</v>
      </c>
      <c r="O185" s="11"/>
      <c r="P185" s="2">
        <v>2223.5100000000002</v>
      </c>
      <c r="Q185" s="2"/>
      <c r="R185" s="19">
        <f t="shared" si="32"/>
        <v>1.8345946036812821E-4</v>
      </c>
      <c r="S185" s="2"/>
      <c r="T185" s="2">
        <v>2038.06</v>
      </c>
      <c r="U185" s="2"/>
      <c r="V185" s="19">
        <f t="shared" si="33"/>
        <v>1.4121947536840877E-4</v>
      </c>
      <c r="W185" s="2"/>
      <c r="X185" s="2">
        <f t="shared" si="34"/>
        <v>185.45000000000027</v>
      </c>
      <c r="Y185" s="2"/>
      <c r="Z185" s="19">
        <f t="shared" si="35"/>
        <v>9.0993395680205827E-2</v>
      </c>
    </row>
    <row r="186" spans="1:26" s="24" customFormat="1" hidden="1" outlineLevel="1" x14ac:dyDescent="0.35">
      <c r="A186" s="44"/>
      <c r="B186" s="11" t="str">
        <f>CONCATENATE("          ", "5543", " - ", "FREIGHT-IN-CARDS")</f>
        <v xml:space="preserve">          5543 - FREIGHT-IN-CARDS</v>
      </c>
      <c r="C186" s="11"/>
      <c r="D186" s="2"/>
      <c r="E186" s="2"/>
      <c r="F186" s="19">
        <f t="shared" si="28"/>
        <v>0</v>
      </c>
      <c r="G186" s="2"/>
      <c r="H186" s="2"/>
      <c r="I186" s="2"/>
      <c r="J186" s="19">
        <f t="shared" si="29"/>
        <v>0</v>
      </c>
      <c r="K186" s="2"/>
      <c r="L186" s="2">
        <f t="shared" si="30"/>
        <v>0</v>
      </c>
      <c r="M186" s="2"/>
      <c r="N186" s="19">
        <f t="shared" si="31"/>
        <v>0</v>
      </c>
      <c r="O186" s="11"/>
      <c r="P186" s="2">
        <v>2926.76</v>
      </c>
      <c r="Q186" s="2"/>
      <c r="R186" s="19">
        <f t="shared" si="32"/>
        <v>2.4148387469677355E-4</v>
      </c>
      <c r="S186" s="2"/>
      <c r="T186" s="2">
        <v>57.18</v>
      </c>
      <c r="U186" s="2"/>
      <c r="V186" s="19">
        <f t="shared" si="33"/>
        <v>3.9620666720143733E-6</v>
      </c>
      <c r="W186" s="2"/>
      <c r="X186" s="2">
        <f t="shared" si="34"/>
        <v>2869.5800000000004</v>
      </c>
      <c r="Y186" s="2"/>
      <c r="Z186" s="19">
        <f t="shared" si="35"/>
        <v>50.185029730675069</v>
      </c>
    </row>
    <row r="187" spans="1:26" s="24" customFormat="1" hidden="1" outlineLevel="1" x14ac:dyDescent="0.35">
      <c r="A187" s="44"/>
      <c r="B187" s="11" t="str">
        <f>CONCATENATE("          ", "5544", " - ", "FREIGHT-IN-ACCESSORIES")</f>
        <v xml:space="preserve">          5544 - FREIGHT-IN-ACCESSORIES</v>
      </c>
      <c r="C187" s="11"/>
      <c r="D187" s="2"/>
      <c r="E187" s="2"/>
      <c r="F187" s="19">
        <f t="shared" si="28"/>
        <v>0</v>
      </c>
      <c r="G187" s="2"/>
      <c r="H187" s="2"/>
      <c r="I187" s="2"/>
      <c r="J187" s="19">
        <f t="shared" si="29"/>
        <v>0</v>
      </c>
      <c r="K187" s="2"/>
      <c r="L187" s="2">
        <f t="shared" si="30"/>
        <v>0</v>
      </c>
      <c r="M187" s="2"/>
      <c r="N187" s="19">
        <f t="shared" si="31"/>
        <v>0</v>
      </c>
      <c r="O187" s="11"/>
      <c r="P187" s="2">
        <v>483.44</v>
      </c>
      <c r="Q187" s="2"/>
      <c r="R187" s="19">
        <f t="shared" si="32"/>
        <v>3.9888123516587693E-5</v>
      </c>
      <c r="S187" s="2"/>
      <c r="T187" s="2">
        <v>1360.08</v>
      </c>
      <c r="U187" s="2"/>
      <c r="V187" s="19">
        <f t="shared" si="33"/>
        <v>9.4241476727410092E-5</v>
      </c>
      <c r="W187" s="2"/>
      <c r="X187" s="2">
        <f t="shared" si="34"/>
        <v>-876.63999999999987</v>
      </c>
      <c r="Y187" s="2"/>
      <c r="Z187" s="19">
        <f t="shared" si="35"/>
        <v>-0.64455032056937822</v>
      </c>
    </row>
    <row r="188" spans="1:26" s="24" customFormat="1" hidden="1" outlineLevel="1" x14ac:dyDescent="0.35">
      <c r="A188" s="44"/>
      <c r="B188" s="11" t="str">
        <f>CONCATENATE("          ", "5545", " - ", "FREIGHT-IN-SPECIAL ORDERS")</f>
        <v xml:space="preserve">          5545 - FREIGHT-IN-SPECIAL ORDERS</v>
      </c>
      <c r="C188" s="11"/>
      <c r="D188" s="2">
        <v>355.3</v>
      </c>
      <c r="E188" s="2"/>
      <c r="F188" s="19">
        <f t="shared" si="28"/>
        <v>5.4189335923033525E-4</v>
      </c>
      <c r="G188" s="2"/>
      <c r="H188" s="2">
        <v>463.26</v>
      </c>
      <c r="I188" s="2"/>
      <c r="J188" s="19">
        <f t="shared" si="29"/>
        <v>1.1911020159361767E-3</v>
      </c>
      <c r="K188" s="2"/>
      <c r="L188" s="2">
        <f t="shared" si="30"/>
        <v>-107.95999999999998</v>
      </c>
      <c r="M188" s="2"/>
      <c r="N188" s="19">
        <f t="shared" si="31"/>
        <v>-0.23304407891896556</v>
      </c>
      <c r="O188" s="11"/>
      <c r="P188" s="2">
        <v>1420.62</v>
      </c>
      <c r="Q188" s="2"/>
      <c r="R188" s="19">
        <f t="shared" si="32"/>
        <v>1.1721385493574136E-4</v>
      </c>
      <c r="S188" s="2"/>
      <c r="T188" s="2">
        <v>2744.68</v>
      </c>
      <c r="U188" s="2"/>
      <c r="V188" s="19">
        <f t="shared" si="33"/>
        <v>1.9018197190179102E-4</v>
      </c>
      <c r="W188" s="2"/>
      <c r="X188" s="2">
        <f t="shared" si="34"/>
        <v>-1324.06</v>
      </c>
      <c r="Y188" s="2"/>
      <c r="Z188" s="19">
        <f t="shared" si="35"/>
        <v>-0.48240960694871532</v>
      </c>
    </row>
    <row r="189" spans="1:26" s="24" customFormat="1" hidden="1" outlineLevel="1" x14ac:dyDescent="0.35">
      <c r="A189" s="44"/>
      <c r="B189" s="11" t="str">
        <f>CONCATENATE("          ", "5581", " - ", "FREIGHT-IN-ELECTRONICS")</f>
        <v xml:space="preserve">          5581 - FREIGHT-IN-ELECTRONICS</v>
      </c>
      <c r="C189" s="11"/>
      <c r="D189" s="2"/>
      <c r="E189" s="2"/>
      <c r="F189" s="19">
        <f t="shared" si="28"/>
        <v>0</v>
      </c>
      <c r="G189" s="2"/>
      <c r="H189" s="2"/>
      <c r="I189" s="2"/>
      <c r="J189" s="19">
        <f t="shared" si="29"/>
        <v>0</v>
      </c>
      <c r="K189" s="2"/>
      <c r="L189" s="2">
        <f t="shared" si="30"/>
        <v>0</v>
      </c>
      <c r="M189" s="2"/>
      <c r="N189" s="19">
        <f t="shared" si="31"/>
        <v>0</v>
      </c>
      <c r="O189" s="11"/>
      <c r="P189" s="2">
        <v>137</v>
      </c>
      <c r="Q189" s="2"/>
      <c r="R189" s="19">
        <f t="shared" si="32"/>
        <v>1.1303725222928418E-5</v>
      </c>
      <c r="S189" s="2"/>
      <c r="T189" s="2"/>
      <c r="U189" s="2"/>
      <c r="V189" s="19">
        <f t="shared" si="33"/>
        <v>0</v>
      </c>
      <c r="W189" s="2"/>
      <c r="X189" s="2">
        <f t="shared" si="34"/>
        <v>137</v>
      </c>
      <c r="Y189" s="2"/>
      <c r="Z189" s="19">
        <f t="shared" si="35"/>
        <v>0</v>
      </c>
    </row>
    <row r="190" spans="1:26" s="24" customFormat="1" hidden="1" outlineLevel="1" x14ac:dyDescent="0.35">
      <c r="A190" s="44"/>
      <c r="B190" s="11" t="str">
        <f>CONCATENATE("          ", "5582", " - ", "FREIGHT-IN-COMPUTER HARDWARE")</f>
        <v xml:space="preserve">          5582 - FREIGHT-IN-COMPUTER HARDWARE</v>
      </c>
      <c r="C190" s="11"/>
      <c r="D190" s="2"/>
      <c r="E190" s="2"/>
      <c r="F190" s="19">
        <f t="shared" si="28"/>
        <v>0</v>
      </c>
      <c r="G190" s="2"/>
      <c r="H190" s="2"/>
      <c r="I190" s="2"/>
      <c r="J190" s="19">
        <f t="shared" si="29"/>
        <v>0</v>
      </c>
      <c r="K190" s="2"/>
      <c r="L190" s="2">
        <f t="shared" si="30"/>
        <v>0</v>
      </c>
      <c r="M190" s="2"/>
      <c r="N190" s="19">
        <f t="shared" si="31"/>
        <v>0</v>
      </c>
      <c r="O190" s="11"/>
      <c r="P190" s="2">
        <v>154.30000000000001</v>
      </c>
      <c r="Q190" s="2"/>
      <c r="R190" s="19">
        <f t="shared" si="32"/>
        <v>1.2731129940860254E-5</v>
      </c>
      <c r="S190" s="2"/>
      <c r="T190" s="2">
        <v>12</v>
      </c>
      <c r="U190" s="2"/>
      <c r="V190" s="19">
        <f t="shared" si="33"/>
        <v>8.3149353032830503E-7</v>
      </c>
      <c r="W190" s="2"/>
      <c r="X190" s="2">
        <f t="shared" si="34"/>
        <v>142.30000000000001</v>
      </c>
      <c r="Y190" s="2"/>
      <c r="Z190" s="19">
        <f t="shared" si="35"/>
        <v>11.858333333333334</v>
      </c>
    </row>
    <row r="191" spans="1:26" s="24" customFormat="1" hidden="1" outlineLevel="1" x14ac:dyDescent="0.35">
      <c r="A191" s="44"/>
      <c r="B191" s="11" t="str">
        <f>CONCATENATE("          ", "5583", " - ", "FREIGHT-IN-COMPUTER EQUIPMENT")</f>
        <v xml:space="preserve">          5583 - FREIGHT-IN-COMPUTER EQUIPMENT</v>
      </c>
      <c r="C191" s="11"/>
      <c r="D191" s="2"/>
      <c r="E191" s="2"/>
      <c r="F191" s="19">
        <f t="shared" si="28"/>
        <v>0</v>
      </c>
      <c r="G191" s="2"/>
      <c r="H191" s="2"/>
      <c r="I191" s="2"/>
      <c r="J191" s="19">
        <f t="shared" si="29"/>
        <v>0</v>
      </c>
      <c r="K191" s="2"/>
      <c r="L191" s="2">
        <f t="shared" si="30"/>
        <v>0</v>
      </c>
      <c r="M191" s="2"/>
      <c r="N191" s="19">
        <f t="shared" si="31"/>
        <v>0</v>
      </c>
      <c r="O191" s="11"/>
      <c r="P191" s="2">
        <v>96.55</v>
      </c>
      <c r="Q191" s="2"/>
      <c r="R191" s="19">
        <f t="shared" si="32"/>
        <v>7.9662384691513772E-6</v>
      </c>
      <c r="S191" s="2"/>
      <c r="T191" s="2">
        <v>93.42</v>
      </c>
      <c r="U191" s="2"/>
      <c r="V191" s="19">
        <f t="shared" si="33"/>
        <v>6.4731771336058548E-6</v>
      </c>
      <c r="W191" s="2"/>
      <c r="X191" s="2">
        <f t="shared" si="34"/>
        <v>3.1299999999999955</v>
      </c>
      <c r="Y191" s="2"/>
      <c r="Z191" s="19">
        <f t="shared" si="35"/>
        <v>3.3504602868764666E-2</v>
      </c>
    </row>
    <row r="192" spans="1:26" s="24" customFormat="1" hidden="1" outlineLevel="1" x14ac:dyDescent="0.35">
      <c r="A192" s="44"/>
      <c r="B192" s="11" t="str">
        <f>CONCATENATE("          ", "5585", " - ", "FREIGHT-IN-SOFTWARE")</f>
        <v xml:space="preserve">          5585 - FREIGHT-IN-SOFTWARE</v>
      </c>
      <c r="C192" s="11"/>
      <c r="D192" s="2"/>
      <c r="E192" s="2"/>
      <c r="F192" s="19">
        <f t="shared" si="28"/>
        <v>0</v>
      </c>
      <c r="G192" s="2"/>
      <c r="H192" s="2"/>
      <c r="I192" s="2"/>
      <c r="J192" s="19">
        <f t="shared" si="29"/>
        <v>0</v>
      </c>
      <c r="K192" s="2"/>
      <c r="L192" s="2">
        <f t="shared" si="30"/>
        <v>0</v>
      </c>
      <c r="M192" s="2"/>
      <c r="N192" s="19">
        <f t="shared" si="31"/>
        <v>0</v>
      </c>
      <c r="O192" s="11"/>
      <c r="P192" s="2">
        <v>10</v>
      </c>
      <c r="Q192" s="2"/>
      <c r="R192" s="19">
        <f t="shared" si="32"/>
        <v>8.2508943233054142E-7</v>
      </c>
      <c r="S192" s="2"/>
      <c r="T192" s="2"/>
      <c r="U192" s="2"/>
      <c r="V192" s="19">
        <f t="shared" si="33"/>
        <v>0</v>
      </c>
      <c r="W192" s="2"/>
      <c r="X192" s="2">
        <f t="shared" si="34"/>
        <v>10</v>
      </c>
      <c r="Y192" s="2"/>
      <c r="Z192" s="19">
        <f t="shared" si="35"/>
        <v>0</v>
      </c>
    </row>
    <row r="193" spans="1:26" s="24" customFormat="1" hidden="1" outlineLevel="1" x14ac:dyDescent="0.35">
      <c r="A193" s="44"/>
      <c r="B193" s="11" t="str">
        <f>CONCATENATE("          ", "5586", " - ", "FREIGHT-IN-COMPUTER SUPPLIES")</f>
        <v xml:space="preserve">          5586 - FREIGHT-IN-COMPUTER SUPPLIES</v>
      </c>
      <c r="C193" s="11"/>
      <c r="D193" s="2"/>
      <c r="E193" s="2"/>
      <c r="F193" s="19">
        <f t="shared" si="28"/>
        <v>0</v>
      </c>
      <c r="G193" s="2"/>
      <c r="H193" s="2"/>
      <c r="I193" s="2"/>
      <c r="J193" s="19">
        <f t="shared" si="29"/>
        <v>0</v>
      </c>
      <c r="K193" s="2"/>
      <c r="L193" s="2">
        <f t="shared" si="30"/>
        <v>0</v>
      </c>
      <c r="M193" s="2"/>
      <c r="N193" s="19">
        <f t="shared" si="31"/>
        <v>0</v>
      </c>
      <c r="O193" s="11"/>
      <c r="P193" s="2">
        <v>301.27</v>
      </c>
      <c r="Q193" s="2"/>
      <c r="R193" s="19">
        <f t="shared" si="32"/>
        <v>2.4857469327822217E-5</v>
      </c>
      <c r="S193" s="2"/>
      <c r="T193" s="2">
        <v>379.94</v>
      </c>
      <c r="U193" s="2"/>
      <c r="V193" s="19">
        <f t="shared" si="33"/>
        <v>2.6326470992744685E-5</v>
      </c>
      <c r="W193" s="2"/>
      <c r="X193" s="2">
        <f t="shared" si="34"/>
        <v>-78.670000000000016</v>
      </c>
      <c r="Y193" s="2"/>
      <c r="Z193" s="19">
        <f t="shared" si="35"/>
        <v>-0.20705900931726065</v>
      </c>
    </row>
    <row r="194" spans="1:26" s="24" customFormat="1" hidden="1" outlineLevel="1" x14ac:dyDescent="0.35">
      <c r="A194" s="44"/>
      <c r="B194" s="11" t="str">
        <f>CONCATENATE("          ", "5592", " - ", "FREIGHT-IN-GRAD MERCH")</f>
        <v xml:space="preserve">          5592 - FREIGHT-IN-GRAD MERCH</v>
      </c>
      <c r="C194" s="11"/>
      <c r="D194" s="2">
        <v>10.83</v>
      </c>
      <c r="E194" s="2"/>
      <c r="F194" s="19">
        <f t="shared" si="28"/>
        <v>1.6517605067448722E-5</v>
      </c>
      <c r="G194" s="2"/>
      <c r="H194" s="2">
        <v>108.7</v>
      </c>
      <c r="I194" s="2"/>
      <c r="J194" s="19">
        <f t="shared" si="29"/>
        <v>2.7948190893291547E-4</v>
      </c>
      <c r="K194" s="2"/>
      <c r="L194" s="2">
        <f t="shared" si="30"/>
        <v>-97.87</v>
      </c>
      <c r="M194" s="2"/>
      <c r="N194" s="19">
        <f t="shared" si="31"/>
        <v>-0.90036798528058881</v>
      </c>
      <c r="O194" s="11"/>
      <c r="P194" s="2">
        <v>170.88</v>
      </c>
      <c r="Q194" s="2"/>
      <c r="R194" s="19">
        <f t="shared" si="32"/>
        <v>1.409912821966429E-5</v>
      </c>
      <c r="S194" s="2"/>
      <c r="T194" s="2">
        <v>2451.4299999999998</v>
      </c>
      <c r="U194" s="2"/>
      <c r="V194" s="19">
        <f t="shared" si="33"/>
        <v>1.6986234875439305E-4</v>
      </c>
      <c r="W194" s="2"/>
      <c r="X194" s="2">
        <f t="shared" si="34"/>
        <v>-2280.5499999999997</v>
      </c>
      <c r="Y194" s="2"/>
      <c r="Z194" s="19">
        <f t="shared" si="35"/>
        <v>-0.93029374691506583</v>
      </c>
    </row>
    <row r="195" spans="1:26" x14ac:dyDescent="0.35">
      <c r="A195" s="9"/>
      <c r="B195" s="10"/>
      <c r="C195" s="10"/>
      <c r="D195" s="3"/>
      <c r="E195" s="3"/>
      <c r="F195" s="8"/>
      <c r="G195" s="3"/>
      <c r="H195" s="3"/>
      <c r="I195" s="3"/>
      <c r="J195" s="8"/>
      <c r="K195" s="3"/>
      <c r="L195" s="3"/>
      <c r="M195" s="3"/>
      <c r="N195" s="8"/>
      <c r="O195" s="10"/>
      <c r="P195" s="3"/>
      <c r="Q195" s="3"/>
      <c r="R195" s="8"/>
      <c r="S195" s="3"/>
      <c r="T195" s="3"/>
      <c r="U195" s="3"/>
      <c r="V195" s="8"/>
      <c r="W195" s="3"/>
      <c r="X195" s="3"/>
      <c r="Y195" s="3"/>
      <c r="Z195" s="8"/>
    </row>
    <row r="196" spans="1:26" s="23" customFormat="1" x14ac:dyDescent="0.35">
      <c r="A196" s="10"/>
      <c r="B196" s="28" t="s">
        <v>6</v>
      </c>
      <c r="C196" s="28"/>
      <c r="D196" s="22">
        <f>D12-D135</f>
        <v>65692.249999999767</v>
      </c>
      <c r="E196" s="14"/>
      <c r="F196" s="21">
        <f>IF(D$12=0,0,D196/D$12)</f>
        <v>0.10019193365578065</v>
      </c>
      <c r="G196" s="14"/>
      <c r="H196" s="22">
        <f>H12-H135</f>
        <v>57716.080000000075</v>
      </c>
      <c r="I196" s="14"/>
      <c r="J196" s="21">
        <f>IF(H$12=0,0,H196/H$12)</f>
        <v>0.14839558615018292</v>
      </c>
      <c r="K196" s="15"/>
      <c r="L196" s="22">
        <f>+D196-H196</f>
        <v>7976.1699999996927</v>
      </c>
      <c r="M196" s="15"/>
      <c r="N196" s="21">
        <f>IF(H196=0,0,L196/H196)</f>
        <v>0.13819666893523749</v>
      </c>
      <c r="O196" s="29"/>
      <c r="P196" s="22">
        <f>P12-P135</f>
        <v>4159461.34</v>
      </c>
      <c r="Q196" s="14"/>
      <c r="R196" s="21">
        <f>IF(P$12=0,0,P196/P$12)</f>
        <v>0.34319275958214329</v>
      </c>
      <c r="S196" s="14"/>
      <c r="T196" s="22">
        <f>T12-T135</f>
        <v>5259307.989999989</v>
      </c>
      <c r="U196" s="14"/>
      <c r="V196" s="21">
        <f>IF(T$12=0,0,T196/T$12)</f>
        <v>0.36442338064074609</v>
      </c>
      <c r="W196" s="15"/>
      <c r="X196" s="22">
        <f>+P196-T196</f>
        <v>-1099846.6499999892</v>
      </c>
      <c r="Y196" s="15"/>
      <c r="Z196" s="21">
        <f>IF(T196=0,0,X196/T196)</f>
        <v>-0.20912383379928118</v>
      </c>
    </row>
    <row r="197" spans="1:26" x14ac:dyDescent="0.35">
      <c r="A197" s="9"/>
      <c r="B197" s="10"/>
      <c r="C197" s="9"/>
      <c r="D197" s="1"/>
      <c r="E197" s="1"/>
      <c r="F197" s="5"/>
      <c r="G197" s="1"/>
      <c r="H197" s="1"/>
      <c r="I197" s="1"/>
      <c r="J197" s="5"/>
      <c r="K197" s="1"/>
      <c r="L197" s="1"/>
      <c r="M197" s="1"/>
      <c r="N197" s="5"/>
      <c r="O197" s="37"/>
      <c r="P197" s="1"/>
      <c r="Q197" s="1"/>
      <c r="R197" s="5"/>
      <c r="S197" s="1"/>
      <c r="T197" s="1"/>
      <c r="U197" s="1"/>
      <c r="V197" s="5"/>
      <c r="W197" s="1"/>
      <c r="X197" s="1"/>
      <c r="Y197" s="1"/>
      <c r="Z197" s="5"/>
    </row>
    <row r="198" spans="1:26" s="23" customFormat="1" x14ac:dyDescent="0.35">
      <c r="A198" s="10"/>
      <c r="B198" s="29" t="s">
        <v>9</v>
      </c>
      <c r="C198" s="10"/>
      <c r="D198" s="20">
        <f>SUM(OSRRefD22x_0)</f>
        <v>261270.31999999998</v>
      </c>
      <c r="E198" s="20"/>
      <c r="F198" s="36">
        <f t="shared" ref="F198:F208" si="36">IF(D$12=0,0,D198/D$12)</f>
        <v>0.39848199091467673</v>
      </c>
      <c r="G198" s="20"/>
      <c r="H198" s="20">
        <f>SUM(OSRRefH22x_0)</f>
        <v>223552.56000000003</v>
      </c>
      <c r="I198" s="20"/>
      <c r="J198" s="36">
        <f t="shared" ref="J198:J208" si="37">IF(H$12=0,0,H198/H$12)</f>
        <v>0.57478285386973438</v>
      </c>
      <c r="K198" s="4"/>
      <c r="L198" s="20">
        <f t="shared" ref="L198:L208" si="38">+D198-H198</f>
        <v>37717.759999999951</v>
      </c>
      <c r="M198" s="4"/>
      <c r="N198" s="36">
        <f t="shared" ref="N198:N208" si="39">IF(H198=0,0,L198/H198)</f>
        <v>0.16871987509335587</v>
      </c>
      <c r="O198" s="10"/>
      <c r="P198" s="20">
        <f>SUM(OSRRefP22x_0)</f>
        <v>4366293.8499999996</v>
      </c>
      <c r="Q198" s="20"/>
      <c r="R198" s="36">
        <f t="shared" ref="R198:R208" si="40">IF(P$12=0,0,P198/P$12)</f>
        <v>0.36025829140848337</v>
      </c>
      <c r="S198" s="20"/>
      <c r="T198" s="20">
        <f>SUM(OSRRefT22x_0)</f>
        <v>4780565.370000001</v>
      </c>
      <c r="U198" s="20"/>
      <c r="V198" s="36">
        <f t="shared" ref="V198:V208" si="41">IF(T$12=0,0,T198/T$12)</f>
        <v>0.33125076470554504</v>
      </c>
      <c r="W198" s="4"/>
      <c r="X198" s="20">
        <f t="shared" ref="X198:X208" si="42">+P198-T198</f>
        <v>-414271.52000000142</v>
      </c>
      <c r="Y198" s="4"/>
      <c r="Z198" s="36">
        <f t="shared" ref="Z198:Z208" si="43">IF(T198=0,0,X198/T198)</f>
        <v>-8.6657432319558747E-2</v>
      </c>
    </row>
    <row r="199" spans="1:26" s="25" customFormat="1" outlineLevel="1" collapsed="1" x14ac:dyDescent="0.35">
      <c r="A199" s="26"/>
      <c r="B199" s="12" t="str">
        <f>CONCATENATE("     ","*Benefits                                         ")</f>
        <v xml:space="preserve">     *Benefits                                         </v>
      </c>
      <c r="C199" s="12"/>
      <c r="D199" s="1">
        <f>SUM(OSRRefD22_0x_0)</f>
        <v>33500.769999999997</v>
      </c>
      <c r="E199" s="1"/>
      <c r="F199" s="5">
        <f t="shared" si="36"/>
        <v>5.1094412586836016E-2</v>
      </c>
      <c r="G199" s="1"/>
      <c r="H199" s="1">
        <f>SUM(OSRRefH22_0x_0)</f>
        <v>39123.72</v>
      </c>
      <c r="I199" s="1"/>
      <c r="J199" s="5">
        <f t="shared" si="37"/>
        <v>0.10059219825351318</v>
      </c>
      <c r="K199" s="1"/>
      <c r="L199" s="1">
        <f t="shared" si="38"/>
        <v>-5622.9500000000044</v>
      </c>
      <c r="M199" s="1"/>
      <c r="N199" s="5">
        <f t="shared" si="39"/>
        <v>-0.14372227385330444</v>
      </c>
      <c r="O199" s="12"/>
      <c r="P199" s="1">
        <f>SUM(OSRRefP22_0x_0)</f>
        <v>545555.68999999994</v>
      </c>
      <c r="Q199" s="1"/>
      <c r="R199" s="5">
        <f t="shared" si="40"/>
        <v>4.5013223456679678E-2</v>
      </c>
      <c r="S199" s="1"/>
      <c r="T199" s="1">
        <f>SUM(OSRRefT22_0x_0)</f>
        <v>621589.10000000009</v>
      </c>
      <c r="U199" s="1"/>
      <c r="V199" s="5">
        <f t="shared" si="41"/>
        <v>4.3070609597716157E-2</v>
      </c>
      <c r="W199" s="1"/>
      <c r="X199" s="1">
        <f t="shared" si="42"/>
        <v>-76033.410000000149</v>
      </c>
      <c r="Y199" s="1"/>
      <c r="Z199" s="5">
        <f t="shared" si="43"/>
        <v>-0.12232101560339481</v>
      </c>
    </row>
    <row r="200" spans="1:26" s="24" customFormat="1" hidden="1" outlineLevel="2" x14ac:dyDescent="0.35">
      <c r="A200" s="27"/>
      <c r="B200" s="11" t="str">
        <f>CONCATENATE("          ", "6111", " - ", "F.I.C.A.")</f>
        <v xml:space="preserve">          6111 - F.I.C.A.</v>
      </c>
      <c r="C200" s="11"/>
      <c r="D200" s="7">
        <v>8049.32</v>
      </c>
      <c r="E200" s="2"/>
      <c r="F200" s="6">
        <f t="shared" si="36"/>
        <v>1.2276591765606311E-2</v>
      </c>
      <c r="G200" s="2"/>
      <c r="H200" s="7">
        <v>11174.43</v>
      </c>
      <c r="I200" s="2"/>
      <c r="J200" s="6">
        <f t="shared" si="37"/>
        <v>2.8730920217453895E-2</v>
      </c>
      <c r="K200" s="2"/>
      <c r="L200" s="7">
        <f t="shared" si="38"/>
        <v>-3125.1100000000006</v>
      </c>
      <c r="M200" s="2"/>
      <c r="N200" s="6">
        <f t="shared" si="39"/>
        <v>-0.27966616641743702</v>
      </c>
      <c r="O200" s="11"/>
      <c r="P200" s="7">
        <v>115508.67</v>
      </c>
      <c r="Q200" s="2"/>
      <c r="R200" s="6">
        <f t="shared" si="40"/>
        <v>9.5304982959555831E-3</v>
      </c>
      <c r="S200" s="2"/>
      <c r="T200" s="7">
        <v>120165.40000000001</v>
      </c>
      <c r="U200" s="2"/>
      <c r="V200" s="6">
        <f t="shared" si="41"/>
        <v>8.3263960557760763E-3</v>
      </c>
      <c r="W200" s="2"/>
      <c r="X200" s="7">
        <f t="shared" si="42"/>
        <v>-4656.7300000000105</v>
      </c>
      <c r="Y200" s="2"/>
      <c r="Z200" s="6">
        <f t="shared" si="43"/>
        <v>-3.8752669237567636E-2</v>
      </c>
    </row>
    <row r="201" spans="1:26" s="24" customFormat="1" hidden="1" outlineLevel="2" x14ac:dyDescent="0.35">
      <c r="A201" s="27"/>
      <c r="B201" s="11" t="str">
        <f>CONCATENATE("          ", "6112", " - ", "COMPENSATION INSURANCE")</f>
        <v xml:space="preserve">          6112 - COMPENSATION INSURANCE</v>
      </c>
      <c r="C201" s="11"/>
      <c r="D201" s="7">
        <v>1768.03</v>
      </c>
      <c r="E201" s="2"/>
      <c r="F201" s="6">
        <f t="shared" si="36"/>
        <v>2.6965485953279189E-3</v>
      </c>
      <c r="G201" s="2"/>
      <c r="H201" s="7">
        <v>2098.98</v>
      </c>
      <c r="I201" s="2"/>
      <c r="J201" s="6">
        <f t="shared" si="37"/>
        <v>5.3967519522724093E-3</v>
      </c>
      <c r="K201" s="2"/>
      <c r="L201" s="7">
        <f t="shared" si="38"/>
        <v>-330.95000000000005</v>
      </c>
      <c r="M201" s="2"/>
      <c r="N201" s="6">
        <f t="shared" si="39"/>
        <v>-0.15767182155142023</v>
      </c>
      <c r="O201" s="11"/>
      <c r="P201" s="7">
        <v>30072.52</v>
      </c>
      <c r="Q201" s="2"/>
      <c r="R201" s="6">
        <f t="shared" si="40"/>
        <v>2.4812518455548851E-3</v>
      </c>
      <c r="S201" s="2"/>
      <c r="T201" s="7">
        <v>20039.62</v>
      </c>
      <c r="U201" s="2"/>
      <c r="V201" s="6">
        <f t="shared" si="41"/>
        <v>1.3885678650198089E-3</v>
      </c>
      <c r="W201" s="2"/>
      <c r="X201" s="7">
        <f t="shared" si="42"/>
        <v>10032.900000000001</v>
      </c>
      <c r="Y201" s="2"/>
      <c r="Z201" s="6">
        <f t="shared" si="43"/>
        <v>0.50065320599891627</v>
      </c>
    </row>
    <row r="202" spans="1:26" s="24" customFormat="1" hidden="1" outlineLevel="2" x14ac:dyDescent="0.35">
      <c r="A202" s="27"/>
      <c r="B202" s="11" t="str">
        <f>CONCATENATE("          ", "6113", " - ", "GROUP INSURANCE")</f>
        <v xml:space="preserve">          6113 - GROUP INSURANCE</v>
      </c>
      <c r="C202" s="11"/>
      <c r="D202" s="7">
        <v>14448.96</v>
      </c>
      <c r="E202" s="2"/>
      <c r="F202" s="6">
        <f t="shared" si="36"/>
        <v>2.2037138958020671E-2</v>
      </c>
      <c r="G202" s="2"/>
      <c r="H202" s="7">
        <v>21371.06</v>
      </c>
      <c r="I202" s="2"/>
      <c r="J202" s="6">
        <f t="shared" si="37"/>
        <v>5.494778881987003E-2</v>
      </c>
      <c r="K202" s="2"/>
      <c r="L202" s="7">
        <f t="shared" si="38"/>
        <v>-6922.1000000000022</v>
      </c>
      <c r="M202" s="2"/>
      <c r="N202" s="6">
        <f t="shared" si="39"/>
        <v>-0.32390063946289993</v>
      </c>
      <c r="O202" s="11"/>
      <c r="P202" s="7">
        <v>217069.72</v>
      </c>
      <c r="Q202" s="2"/>
      <c r="R202" s="6">
        <f t="shared" si="40"/>
        <v>1.7910193205094956E-2</v>
      </c>
      <c r="S202" s="2"/>
      <c r="T202" s="7">
        <v>247049.44000000003</v>
      </c>
      <c r="U202" s="2"/>
      <c r="V202" s="6">
        <f t="shared" si="41"/>
        <v>1.7118334252602566E-2</v>
      </c>
      <c r="W202" s="2"/>
      <c r="X202" s="7">
        <f t="shared" si="42"/>
        <v>-29979.72000000003</v>
      </c>
      <c r="Y202" s="2"/>
      <c r="Z202" s="6">
        <f t="shared" si="43"/>
        <v>-0.12135109474443669</v>
      </c>
    </row>
    <row r="203" spans="1:26" s="24" customFormat="1" hidden="1" outlineLevel="2" x14ac:dyDescent="0.35">
      <c r="A203" s="27"/>
      <c r="B203" s="11" t="str">
        <f>CONCATENATE("          ", "6114", " - ", "STATE UNEMPLOYMENT INSURANCE")</f>
        <v xml:space="preserve">          6114 - STATE UNEMPLOYMENT INSURANCE</v>
      </c>
      <c r="C203" s="11"/>
      <c r="D203" s="7">
        <v>-5426.32</v>
      </c>
      <c r="E203" s="2"/>
      <c r="F203" s="6">
        <f t="shared" si="36"/>
        <v>-8.2760674727237627E-3</v>
      </c>
      <c r="G203" s="2"/>
      <c r="H203" s="7">
        <v>614.44000000000005</v>
      </c>
      <c r="I203" s="2"/>
      <c r="J203" s="6">
        <f t="shared" si="37"/>
        <v>1.5798055577253044E-3</v>
      </c>
      <c r="K203" s="2"/>
      <c r="L203" s="7">
        <f t="shared" si="38"/>
        <v>-6040.76</v>
      </c>
      <c r="M203" s="2"/>
      <c r="N203" s="6">
        <f t="shared" si="39"/>
        <v>-9.8313260855413063</v>
      </c>
      <c r="O203" s="11"/>
      <c r="P203" s="7">
        <v>0</v>
      </c>
      <c r="Q203" s="2"/>
      <c r="R203" s="6">
        <f t="shared" si="40"/>
        <v>0</v>
      </c>
      <c r="S203" s="2"/>
      <c r="T203" s="7">
        <v>6180.59</v>
      </c>
      <c r="U203" s="2"/>
      <c r="V203" s="6">
        <f t="shared" si="41"/>
        <v>4.2826004988431827E-4</v>
      </c>
      <c r="W203" s="2"/>
      <c r="X203" s="7">
        <f t="shared" si="42"/>
        <v>-6180.59</v>
      </c>
      <c r="Y203" s="2"/>
      <c r="Z203" s="6">
        <f t="shared" si="43"/>
        <v>-1</v>
      </c>
    </row>
    <row r="204" spans="1:26" s="24" customFormat="1" hidden="1" outlineLevel="2" x14ac:dyDescent="0.35">
      <c r="A204" s="27"/>
      <c r="B204" s="11" t="str">
        <f>CONCATENATE("          ", "6115", " - ", "P.E.R.S.")</f>
        <v xml:space="preserve">          6115 - P.E.R.S.</v>
      </c>
      <c r="C204" s="11"/>
      <c r="D204" s="7">
        <v>4823.4799999999996</v>
      </c>
      <c r="E204" s="2"/>
      <c r="F204" s="6">
        <f t="shared" si="36"/>
        <v>7.3566332124411406E-3</v>
      </c>
      <c r="G204" s="2"/>
      <c r="H204" s="7"/>
      <c r="I204" s="2"/>
      <c r="J204" s="6">
        <f t="shared" si="37"/>
        <v>0</v>
      </c>
      <c r="K204" s="2"/>
      <c r="L204" s="7">
        <f t="shared" si="38"/>
        <v>4823.4799999999996</v>
      </c>
      <c r="M204" s="2"/>
      <c r="N204" s="6">
        <f t="shared" si="39"/>
        <v>0</v>
      </c>
      <c r="O204" s="11"/>
      <c r="P204" s="7">
        <v>81932.37000000001</v>
      </c>
      <c r="Q204" s="2"/>
      <c r="R204" s="6">
        <f t="shared" si="40"/>
        <v>6.7601532652795887E-3</v>
      </c>
      <c r="S204" s="2"/>
      <c r="T204" s="7">
        <v>73557.64</v>
      </c>
      <c r="U204" s="2"/>
      <c r="V204" s="6">
        <f t="shared" si="41"/>
        <v>5.0968918138515453E-3</v>
      </c>
      <c r="W204" s="2"/>
      <c r="X204" s="7">
        <f t="shared" si="42"/>
        <v>8374.7300000000105</v>
      </c>
      <c r="Y204" s="2"/>
      <c r="Z204" s="6">
        <f t="shared" si="43"/>
        <v>0.11385261952395442</v>
      </c>
    </row>
    <row r="205" spans="1:26" s="24" customFormat="1" hidden="1" outlineLevel="2" x14ac:dyDescent="0.35">
      <c r="A205" s="27"/>
      <c r="B205" s="11" t="str">
        <f>CONCATENATE("          ", "6117", " - ", "RETIREMENT STAFF HOURLY")</f>
        <v xml:space="preserve">          6117 - RETIREMENT STAFF HOURLY</v>
      </c>
      <c r="C205" s="11"/>
      <c r="D205" s="7">
        <v>375.7</v>
      </c>
      <c r="E205" s="2"/>
      <c r="F205" s="6">
        <f t="shared" si="36"/>
        <v>5.7300685354021099E-4</v>
      </c>
      <c r="G205" s="2"/>
      <c r="H205" s="7">
        <v>391.72</v>
      </c>
      <c r="I205" s="2"/>
      <c r="J205" s="6">
        <f t="shared" si="37"/>
        <v>1.0071633244452772E-3</v>
      </c>
      <c r="K205" s="2"/>
      <c r="L205" s="7">
        <f t="shared" si="38"/>
        <v>-16.020000000000039</v>
      </c>
      <c r="M205" s="2"/>
      <c r="N205" s="6">
        <f t="shared" si="39"/>
        <v>-4.0896558766465939E-2</v>
      </c>
      <c r="O205" s="11"/>
      <c r="P205" s="7">
        <v>4115.66</v>
      </c>
      <c r="Q205" s="2"/>
      <c r="R205" s="6">
        <f t="shared" si="40"/>
        <v>3.3957875730655156E-4</v>
      </c>
      <c r="S205" s="2"/>
      <c r="T205" s="7">
        <v>4996.3100000000004</v>
      </c>
      <c r="U205" s="2"/>
      <c r="V205" s="6">
        <f t="shared" si="41"/>
        <v>3.4619995337621787E-4</v>
      </c>
      <c r="W205" s="2"/>
      <c r="X205" s="7">
        <f t="shared" si="42"/>
        <v>-880.65000000000055</v>
      </c>
      <c r="Y205" s="2"/>
      <c r="Z205" s="6">
        <f t="shared" si="43"/>
        <v>-0.17626007993899506</v>
      </c>
    </row>
    <row r="206" spans="1:26" s="24" customFormat="1" hidden="1" outlineLevel="2" x14ac:dyDescent="0.35">
      <c r="A206" s="27"/>
      <c r="B206" s="11" t="str">
        <f>CONCATENATE("          ", "6118", " - ", "VACATION")</f>
        <v xml:space="preserve">          6118 - VACATION</v>
      </c>
      <c r="C206" s="11"/>
      <c r="D206" s="7">
        <v>5295.05</v>
      </c>
      <c r="E206" s="2"/>
      <c r="F206" s="6">
        <f t="shared" si="36"/>
        <v>8.0758582375248713E-3</v>
      </c>
      <c r="G206" s="2"/>
      <c r="H206" s="7">
        <v>4711.63</v>
      </c>
      <c r="I206" s="2"/>
      <c r="J206" s="6">
        <f t="shared" si="37"/>
        <v>1.2114216619922654E-2</v>
      </c>
      <c r="K206" s="2"/>
      <c r="L206" s="7">
        <f t="shared" si="38"/>
        <v>583.42000000000007</v>
      </c>
      <c r="M206" s="2"/>
      <c r="N206" s="6">
        <f t="shared" si="39"/>
        <v>0.12382551261453044</v>
      </c>
      <c r="O206" s="11"/>
      <c r="P206" s="7">
        <v>71053.05</v>
      </c>
      <c r="Q206" s="2"/>
      <c r="R206" s="6">
        <f t="shared" si="40"/>
        <v>5.8625120689853576E-3</v>
      </c>
      <c r="S206" s="2"/>
      <c r="T206" s="7">
        <v>74149.209999999992</v>
      </c>
      <c r="U206" s="2"/>
      <c r="V206" s="6">
        <f t="shared" si="41"/>
        <v>5.1378823661629046E-3</v>
      </c>
      <c r="W206" s="2"/>
      <c r="X206" s="7">
        <f t="shared" si="42"/>
        <v>-3096.1599999999889</v>
      </c>
      <c r="Y206" s="2"/>
      <c r="Z206" s="6">
        <f t="shared" si="43"/>
        <v>-4.1755805624901318E-2</v>
      </c>
    </row>
    <row r="207" spans="1:26" s="24" customFormat="1" hidden="1" outlineLevel="2" x14ac:dyDescent="0.35">
      <c r="A207" s="27"/>
      <c r="B207" s="11" t="str">
        <f>CONCATENATE("          ", "6119", " - ", "SICK LEAVE")</f>
        <v xml:space="preserve">          6119 - SICK LEAVE</v>
      </c>
      <c r="C207" s="11"/>
      <c r="D207" s="7">
        <v>3114.01</v>
      </c>
      <c r="E207" s="2"/>
      <c r="F207" s="6">
        <f t="shared" si="36"/>
        <v>4.7493986478380421E-3</v>
      </c>
      <c r="G207" s="2"/>
      <c r="H207" s="7">
        <v>-3241.33</v>
      </c>
      <c r="I207" s="2"/>
      <c r="J207" s="6">
        <f t="shared" si="37"/>
        <v>-8.3338831267849751E-3</v>
      </c>
      <c r="K207" s="2"/>
      <c r="L207" s="7">
        <f t="shared" si="38"/>
        <v>6355.34</v>
      </c>
      <c r="M207" s="2"/>
      <c r="N207" s="6">
        <f t="shared" si="39"/>
        <v>-1.9607198279718512</v>
      </c>
      <c r="O207" s="11"/>
      <c r="P207" s="7">
        <v>4066.99</v>
      </c>
      <c r="Q207" s="2"/>
      <c r="R207" s="6">
        <f t="shared" si="40"/>
        <v>3.3556304703939884E-4</v>
      </c>
      <c r="S207" s="2"/>
      <c r="T207" s="7">
        <v>49495.55</v>
      </c>
      <c r="U207" s="2"/>
      <c r="V207" s="6">
        <f t="shared" si="41"/>
        <v>3.4296024670867615E-3</v>
      </c>
      <c r="W207" s="2"/>
      <c r="X207" s="7">
        <f t="shared" si="42"/>
        <v>-45428.560000000005</v>
      </c>
      <c r="Y207" s="2"/>
      <c r="Z207" s="6">
        <f t="shared" si="43"/>
        <v>-0.91783119896637178</v>
      </c>
    </row>
    <row r="208" spans="1:26" s="24" customFormat="1" hidden="1" outlineLevel="2" x14ac:dyDescent="0.35">
      <c r="A208" s="27"/>
      <c r="B208" s="11" t="str">
        <f>CONCATENATE("          ", "6156", " - ", "EMPLOYEE MEALS")</f>
        <v xml:space="preserve">          6156 - EMPLOYEE MEALS</v>
      </c>
      <c r="C208" s="11"/>
      <c r="D208" s="7">
        <v>1052.54</v>
      </c>
      <c r="E208" s="2"/>
      <c r="F208" s="6">
        <f t="shared" si="36"/>
        <v>1.6053037892606165E-3</v>
      </c>
      <c r="G208" s="2"/>
      <c r="H208" s="7">
        <v>2002.79</v>
      </c>
      <c r="I208" s="2"/>
      <c r="J208" s="6">
        <f t="shared" si="37"/>
        <v>5.14943488860859E-3</v>
      </c>
      <c r="K208" s="2"/>
      <c r="L208" s="7">
        <f t="shared" si="38"/>
        <v>-950.25</v>
      </c>
      <c r="M208" s="2"/>
      <c r="N208" s="6">
        <f t="shared" si="39"/>
        <v>-0.47446312394210077</v>
      </c>
      <c r="O208" s="11"/>
      <c r="P208" s="7">
        <v>21736.710000000003</v>
      </c>
      <c r="Q208" s="2"/>
      <c r="R208" s="6">
        <f t="shared" si="40"/>
        <v>1.7934729714633604E-3</v>
      </c>
      <c r="S208" s="2"/>
      <c r="T208" s="7">
        <v>25955.34</v>
      </c>
      <c r="U208" s="2"/>
      <c r="V208" s="6">
        <f t="shared" si="41"/>
        <v>1.7984747739559557E-3</v>
      </c>
      <c r="W208" s="2"/>
      <c r="X208" s="7">
        <f t="shared" si="42"/>
        <v>-4218.6299999999974</v>
      </c>
      <c r="Y208" s="2"/>
      <c r="Z208" s="6">
        <f t="shared" si="43"/>
        <v>-0.16253418371710782</v>
      </c>
    </row>
    <row r="209" spans="1:26" s="25" customFormat="1" outlineLevel="1" collapsed="1" x14ac:dyDescent="0.35">
      <c r="A209" s="26"/>
      <c r="B209" s="12" t="str">
        <f>CONCATENATE("     ","*Payroll                                          ")</f>
        <v xml:space="preserve">     *Payroll                                          </v>
      </c>
      <c r="C209" s="12"/>
      <c r="D209" s="1">
        <f>SUM(OSRRefD22_1x_0)</f>
        <v>103802.62999999999</v>
      </c>
      <c r="E209" s="1"/>
      <c r="F209" s="5">
        <f t="shared" ref="F209:F216" si="44">IF(D$12=0,0,D209/D$12)</f>
        <v>0.15831679107133007</v>
      </c>
      <c r="G209" s="1"/>
      <c r="H209" s="1">
        <f>SUM(OSRRefH22_1x_0)</f>
        <v>136801.83000000002</v>
      </c>
      <c r="I209" s="1"/>
      <c r="J209" s="5">
        <f t="shared" ref="J209:J216" si="45">IF(H$12=0,0,H209/H$12)</f>
        <v>0.35173538724853898</v>
      </c>
      <c r="K209" s="1"/>
      <c r="L209" s="1">
        <f t="shared" ref="L209:L216" si="46">+D209-H209</f>
        <v>-32999.200000000026</v>
      </c>
      <c r="M209" s="1"/>
      <c r="N209" s="5">
        <f t="shared" ref="N209:N216" si="47">IF(H209=0,0,L209/H209)</f>
        <v>-0.24121899538917002</v>
      </c>
      <c r="O209" s="12"/>
      <c r="P209" s="1">
        <f>SUM(OSRRefP22_1x_0)</f>
        <v>1999534.62</v>
      </c>
      <c r="Q209" s="1"/>
      <c r="R209" s="5">
        <f t="shared" ref="R209:R216" si="48">IF(P$12=0,0,P209/P$12)</f>
        <v>0.16497948845410648</v>
      </c>
      <c r="S209" s="1"/>
      <c r="T209" s="1">
        <f>SUM(OSRRefT22_1x_0)</f>
        <v>2138363.04</v>
      </c>
      <c r="U209" s="1"/>
      <c r="V209" s="5">
        <f t="shared" ref="V209:V216" si="49">IF(T$12=0,0,T209/T$12)</f>
        <v>0.14816958610443054</v>
      </c>
      <c r="W209" s="1"/>
      <c r="X209" s="1">
        <f t="shared" ref="X209:X216" si="50">+P209-T209</f>
        <v>-138828.41999999993</v>
      </c>
      <c r="Y209" s="1"/>
      <c r="Z209" s="5">
        <f t="shared" ref="Z209:Z216" si="51">IF(T209=0,0,X209/T209)</f>
        <v>-6.4922755118326361E-2</v>
      </c>
    </row>
    <row r="210" spans="1:26" s="24" customFormat="1" hidden="1" outlineLevel="2" x14ac:dyDescent="0.35">
      <c r="A210" s="27"/>
      <c r="B210" s="11" t="str">
        <f>CONCATENATE("          ", "6001", " - ", "ADMINISTRATIVE SALARIES")</f>
        <v xml:space="preserve">          6001 - ADMINISTRATIVE SALARIES</v>
      </c>
      <c r="C210" s="11"/>
      <c r="D210" s="7"/>
      <c r="E210" s="2"/>
      <c r="F210" s="6">
        <f t="shared" si="44"/>
        <v>0</v>
      </c>
      <c r="G210" s="2"/>
      <c r="H210" s="7">
        <v>7283.5</v>
      </c>
      <c r="I210" s="2"/>
      <c r="J210" s="6">
        <f t="shared" si="45"/>
        <v>1.8726830576935506E-2</v>
      </c>
      <c r="K210" s="2"/>
      <c r="L210" s="7">
        <f t="shared" si="46"/>
        <v>-7283.5</v>
      </c>
      <c r="M210" s="2"/>
      <c r="N210" s="6">
        <f t="shared" si="47"/>
        <v>-1</v>
      </c>
      <c r="O210" s="11"/>
      <c r="P210" s="7">
        <v>93238.31</v>
      </c>
      <c r="Q210" s="2"/>
      <c r="R210" s="6">
        <f t="shared" si="48"/>
        <v>7.692994426935904E-3</v>
      </c>
      <c r="S210" s="2"/>
      <c r="T210" s="7">
        <v>125900.5</v>
      </c>
      <c r="U210" s="2"/>
      <c r="V210" s="6">
        <f t="shared" si="49"/>
        <v>8.7237876012582309E-3</v>
      </c>
      <c r="W210" s="2"/>
      <c r="X210" s="7">
        <f t="shared" si="50"/>
        <v>-32662.190000000002</v>
      </c>
      <c r="Y210" s="2"/>
      <c r="Z210" s="6">
        <f t="shared" si="51"/>
        <v>-0.25942859639159499</v>
      </c>
    </row>
    <row r="211" spans="1:26" s="24" customFormat="1" hidden="1" outlineLevel="2" x14ac:dyDescent="0.35">
      <c r="A211" s="27"/>
      <c r="B211" s="11" t="str">
        <f>CONCATENATE("          ", "6002", " - ", "STAFF SALARIES")</f>
        <v xml:space="preserve">          6002 - STAFF SALARIES</v>
      </c>
      <c r="C211" s="11"/>
      <c r="D211" s="7">
        <v>49223.519999999997</v>
      </c>
      <c r="E211" s="2"/>
      <c r="F211" s="6">
        <f t="shared" si="44"/>
        <v>7.5074299481963383E-2</v>
      </c>
      <c r="G211" s="2"/>
      <c r="H211" s="7">
        <v>51097.14</v>
      </c>
      <c r="I211" s="2"/>
      <c r="J211" s="6">
        <f t="shared" si="45"/>
        <v>0.13137742620250625</v>
      </c>
      <c r="K211" s="2"/>
      <c r="L211" s="7">
        <f t="shared" si="46"/>
        <v>-1873.6200000000026</v>
      </c>
      <c r="M211" s="2"/>
      <c r="N211" s="6">
        <f t="shared" si="47"/>
        <v>-3.6667805673663977E-2</v>
      </c>
      <c r="O211" s="11"/>
      <c r="P211" s="7">
        <v>694564.51</v>
      </c>
      <c r="Q211" s="2"/>
      <c r="R211" s="6">
        <f t="shared" si="48"/>
        <v>5.7307783727284067E-2</v>
      </c>
      <c r="S211" s="2"/>
      <c r="T211" s="7">
        <v>691016.77</v>
      </c>
      <c r="U211" s="2"/>
      <c r="V211" s="6">
        <f t="shared" si="49"/>
        <v>4.7881331133613536E-2</v>
      </c>
      <c r="W211" s="2"/>
      <c r="X211" s="7">
        <f t="shared" si="50"/>
        <v>3547.7399999999907</v>
      </c>
      <c r="Y211" s="2"/>
      <c r="Z211" s="6">
        <f t="shared" si="51"/>
        <v>5.1340866879395573E-3</v>
      </c>
    </row>
    <row r="212" spans="1:26" s="24" customFormat="1" hidden="1" outlineLevel="2" x14ac:dyDescent="0.35">
      <c r="A212" s="27"/>
      <c r="B212" s="11" t="str">
        <f>CONCATENATE("          ", "6004", " - ", "STAFF HOURLY")</f>
        <v xml:space="preserve">          6004 - STAFF HOURLY</v>
      </c>
      <c r="C212" s="11"/>
      <c r="D212" s="7">
        <v>21472.59</v>
      </c>
      <c r="E212" s="2"/>
      <c r="F212" s="6">
        <f t="shared" si="44"/>
        <v>3.2749377783494807E-2</v>
      </c>
      <c r="G212" s="2"/>
      <c r="H212" s="7">
        <v>4906.1499999999996</v>
      </c>
      <c r="I212" s="2"/>
      <c r="J212" s="6">
        <f t="shared" si="45"/>
        <v>1.2614352966984573E-2</v>
      </c>
      <c r="K212" s="2"/>
      <c r="L212" s="7">
        <f t="shared" si="46"/>
        <v>16566.440000000002</v>
      </c>
      <c r="M212" s="2"/>
      <c r="N212" s="6">
        <f t="shared" si="47"/>
        <v>3.3766680594763723</v>
      </c>
      <c r="O212" s="11"/>
      <c r="P212" s="7">
        <v>92884.72</v>
      </c>
      <c r="Q212" s="2"/>
      <c r="R212" s="6">
        <f t="shared" si="48"/>
        <v>7.6638200896981283E-3</v>
      </c>
      <c r="S212" s="2"/>
      <c r="T212" s="7">
        <v>72178.3</v>
      </c>
      <c r="U212" s="2"/>
      <c r="V212" s="6">
        <f t="shared" si="49"/>
        <v>5.0013157900079585E-3</v>
      </c>
      <c r="W212" s="2"/>
      <c r="X212" s="7">
        <f t="shared" si="50"/>
        <v>20706.419999999998</v>
      </c>
      <c r="Y212" s="2"/>
      <c r="Z212" s="6">
        <f t="shared" si="51"/>
        <v>0.28687874333421537</v>
      </c>
    </row>
    <row r="213" spans="1:26" s="24" customFormat="1" hidden="1" outlineLevel="2" x14ac:dyDescent="0.35">
      <c r="A213" s="27"/>
      <c r="B213" s="11" t="str">
        <f>CONCATENATE("          ", "6005", " - ", "TEMPORARY WAGES-HOURLY")</f>
        <v xml:space="preserve">          6005 - TEMPORARY WAGES-HOURLY</v>
      </c>
      <c r="C213" s="11"/>
      <c r="D213" s="7">
        <v>13347.48</v>
      </c>
      <c r="E213" s="2"/>
      <c r="F213" s="6">
        <f t="shared" si="44"/>
        <v>2.0357193285842148E-2</v>
      </c>
      <c r="G213" s="2"/>
      <c r="H213" s="7">
        <v>21803.95</v>
      </c>
      <c r="I213" s="2"/>
      <c r="J213" s="6">
        <f t="shared" si="45"/>
        <v>5.6060805595932309E-2</v>
      </c>
      <c r="K213" s="2"/>
      <c r="L213" s="7">
        <f t="shared" si="46"/>
        <v>-8456.4700000000012</v>
      </c>
      <c r="M213" s="2"/>
      <c r="N213" s="6">
        <f t="shared" si="47"/>
        <v>-0.3878411939121123</v>
      </c>
      <c r="O213" s="11"/>
      <c r="P213" s="7">
        <v>231656.27</v>
      </c>
      <c r="Q213" s="2"/>
      <c r="R213" s="6">
        <f t="shared" si="48"/>
        <v>1.9113714031011062E-2</v>
      </c>
      <c r="S213" s="2"/>
      <c r="T213" s="7">
        <v>264348.64</v>
      </c>
      <c r="U213" s="2"/>
      <c r="V213" s="6">
        <f t="shared" si="49"/>
        <v>1.8317015325923849E-2</v>
      </c>
      <c r="W213" s="2"/>
      <c r="X213" s="7">
        <f t="shared" si="50"/>
        <v>-32692.370000000024</v>
      </c>
      <c r="Y213" s="2"/>
      <c r="Z213" s="6">
        <f t="shared" si="51"/>
        <v>-0.12367141363012128</v>
      </c>
    </row>
    <row r="214" spans="1:26" s="24" customFormat="1" hidden="1" outlineLevel="2" x14ac:dyDescent="0.35">
      <c r="A214" s="27"/>
      <c r="B214" s="11" t="str">
        <f>CONCATENATE("          ", "6006", " - ", "TEMPORARY PART TIME")</f>
        <v xml:space="preserve">          6006 - TEMPORARY PART TIME</v>
      </c>
      <c r="C214" s="11"/>
      <c r="D214" s="7">
        <v>2246.59</v>
      </c>
      <c r="E214" s="2"/>
      <c r="F214" s="6">
        <f t="shared" si="44"/>
        <v>3.4264345677266508E-3</v>
      </c>
      <c r="G214" s="2"/>
      <c r="H214" s="7">
        <v>5910.22</v>
      </c>
      <c r="I214" s="2"/>
      <c r="J214" s="6">
        <f t="shared" si="45"/>
        <v>1.5195948185956721E-2</v>
      </c>
      <c r="K214" s="2"/>
      <c r="L214" s="7">
        <f t="shared" si="46"/>
        <v>-3663.63</v>
      </c>
      <c r="M214" s="2"/>
      <c r="N214" s="6">
        <f t="shared" si="47"/>
        <v>-0.61988047822246883</v>
      </c>
      <c r="O214" s="11"/>
      <c r="P214" s="7">
        <v>46340.979999999996</v>
      </c>
      <c r="Q214" s="2"/>
      <c r="R214" s="6">
        <f t="shared" si="48"/>
        <v>3.8235452881840966E-3</v>
      </c>
      <c r="S214" s="2"/>
      <c r="T214" s="7">
        <v>67079.16</v>
      </c>
      <c r="U214" s="2"/>
      <c r="V214" s="6">
        <f t="shared" si="49"/>
        <v>4.6479906299881028E-3</v>
      </c>
      <c r="W214" s="2"/>
      <c r="X214" s="7">
        <f t="shared" si="50"/>
        <v>-20738.180000000008</v>
      </c>
      <c r="Y214" s="2"/>
      <c r="Z214" s="6">
        <f t="shared" si="51"/>
        <v>-0.3091598046248642</v>
      </c>
    </row>
    <row r="215" spans="1:26" s="24" customFormat="1" hidden="1" outlineLevel="2" x14ac:dyDescent="0.35">
      <c r="A215" s="27"/>
      <c r="B215" s="11" t="str">
        <f>CONCATENATE("          ", "6007", " - ", "STUDENT HOURLY")</f>
        <v xml:space="preserve">          6007 - STUDENT HOURLY</v>
      </c>
      <c r="C215" s="11"/>
      <c r="D215" s="7">
        <v>17512.449999999997</v>
      </c>
      <c r="E215" s="2"/>
      <c r="F215" s="6">
        <f t="shared" si="44"/>
        <v>2.6709485952303078E-2</v>
      </c>
      <c r="G215" s="2"/>
      <c r="H215" s="7">
        <v>45800.87</v>
      </c>
      <c r="I215" s="2"/>
      <c r="J215" s="6">
        <f t="shared" si="45"/>
        <v>0.11776002372022355</v>
      </c>
      <c r="K215" s="2"/>
      <c r="L215" s="7">
        <f t="shared" si="46"/>
        <v>-28288.420000000006</v>
      </c>
      <c r="M215" s="2"/>
      <c r="N215" s="6">
        <f t="shared" si="47"/>
        <v>-0.61763935925234614</v>
      </c>
      <c r="O215" s="11"/>
      <c r="P215" s="7">
        <v>825369.91</v>
      </c>
      <c r="Q215" s="2"/>
      <c r="R215" s="6">
        <f t="shared" si="48"/>
        <v>6.8100399050461002E-2</v>
      </c>
      <c r="S215" s="2"/>
      <c r="T215" s="7">
        <v>890353.72</v>
      </c>
      <c r="U215" s="2"/>
      <c r="V215" s="6">
        <f t="shared" si="49"/>
        <v>6.1693613156978265E-2</v>
      </c>
      <c r="W215" s="2"/>
      <c r="X215" s="7">
        <f t="shared" si="50"/>
        <v>-64983.809999999939</v>
      </c>
      <c r="Y215" s="2"/>
      <c r="Z215" s="6">
        <f t="shared" si="51"/>
        <v>-7.2986509226917073E-2</v>
      </c>
    </row>
    <row r="216" spans="1:26" s="24" customFormat="1" hidden="1" outlineLevel="2" x14ac:dyDescent="0.35">
      <c r="A216" s="27"/>
      <c r="B216" s="11" t="str">
        <f>CONCATENATE("          ", "6008", " - ", "STUDENT HOURLY-FICA EXEMPT")</f>
        <v xml:space="preserve">          6008 - STUDENT HOURLY-FICA EXEMPT</v>
      </c>
      <c r="C216" s="11"/>
      <c r="D216" s="7"/>
      <c r="E216" s="2"/>
      <c r="F216" s="6">
        <f t="shared" si="44"/>
        <v>0</v>
      </c>
      <c r="G216" s="2"/>
      <c r="H216" s="7"/>
      <c r="I216" s="2"/>
      <c r="J216" s="6">
        <f t="shared" si="45"/>
        <v>0</v>
      </c>
      <c r="K216" s="2"/>
      <c r="L216" s="7">
        <f t="shared" si="46"/>
        <v>0</v>
      </c>
      <c r="M216" s="2"/>
      <c r="N216" s="6">
        <f t="shared" si="47"/>
        <v>0</v>
      </c>
      <c r="O216" s="11"/>
      <c r="P216" s="7">
        <v>15479.92</v>
      </c>
      <c r="Q216" s="2"/>
      <c r="R216" s="6">
        <f t="shared" si="48"/>
        <v>1.2772318405322193E-3</v>
      </c>
      <c r="S216" s="2"/>
      <c r="T216" s="7">
        <v>27485.95</v>
      </c>
      <c r="U216" s="2"/>
      <c r="V216" s="6">
        <f t="shared" si="49"/>
        <v>1.9045324666606064E-3</v>
      </c>
      <c r="W216" s="2"/>
      <c r="X216" s="7">
        <f t="shared" si="50"/>
        <v>-12006.03</v>
      </c>
      <c r="Y216" s="2"/>
      <c r="Z216" s="6">
        <f t="shared" si="51"/>
        <v>-0.43680607728675924</v>
      </c>
    </row>
    <row r="217" spans="1:26" s="25" customFormat="1" outlineLevel="1" collapsed="1" x14ac:dyDescent="0.35">
      <c r="A217" s="26"/>
      <c r="B217" s="12" t="str">
        <f>CONCATENATE("     ","Advertising/Promo                                 ")</f>
        <v xml:space="preserve">     Advertising/Promo                                 </v>
      </c>
      <c r="C217" s="12"/>
      <c r="D217" s="1">
        <f>SUM(OSRRefD22_2x_0)</f>
        <v>-2380.7399999999998</v>
      </c>
      <c r="E217" s="1"/>
      <c r="F217" s="5">
        <f t="shared" ref="F217:F221" si="52">IF(D$12=0,0,D217/D$12)</f>
        <v>-3.6310362962398771E-3</v>
      </c>
      <c r="G217" s="1"/>
      <c r="H217" s="1">
        <f>SUM(OSRRefH22_2x_0)</f>
        <v>8122.92</v>
      </c>
      <c r="I217" s="1"/>
      <c r="J217" s="5">
        <f t="shared" ref="J217:J221" si="53">IF(H$12=0,0,H217/H$12)</f>
        <v>2.0885089123361154E-2</v>
      </c>
      <c r="K217" s="1"/>
      <c r="L217" s="1">
        <f t="shared" ref="L217:L221" si="54">+D217-H217</f>
        <v>-10503.66</v>
      </c>
      <c r="M217" s="1"/>
      <c r="N217" s="5">
        <f t="shared" ref="N217:N221" si="55">IF(H217=0,0,L217/H217)</f>
        <v>-1.2930891846774313</v>
      </c>
      <c r="O217" s="12"/>
      <c r="P217" s="1">
        <f>SUM(OSRRefP22_2x_0)</f>
        <v>44836.67</v>
      </c>
      <c r="Q217" s="1"/>
      <c r="R217" s="5">
        <f t="shared" ref="R217:R221" si="56">IF(P$12=0,0,P217/P$12)</f>
        <v>3.6994262597891815E-3</v>
      </c>
      <c r="S217" s="1"/>
      <c r="T217" s="1">
        <f>SUM(OSRRefT22_2x_0)</f>
        <v>78385.91</v>
      </c>
      <c r="U217" s="1"/>
      <c r="V217" s="5">
        <f t="shared" ref="V217:V221" si="57">IF(T$12=0,0,T217/T$12)</f>
        <v>5.4314480861580661E-3</v>
      </c>
      <c r="W217" s="1"/>
      <c r="X217" s="1">
        <f t="shared" ref="X217:X221" si="58">+P217-T217</f>
        <v>-33549.240000000005</v>
      </c>
      <c r="Y217" s="1"/>
      <c r="Z217" s="5">
        <f t="shared" ref="Z217:Z221" si="59">IF(T217=0,0,X217/T217)</f>
        <v>-0.4280008996514808</v>
      </c>
    </row>
    <row r="218" spans="1:26" s="24" customFormat="1" hidden="1" outlineLevel="2" x14ac:dyDescent="0.35">
      <c r="A218" s="27"/>
      <c r="B218" s="11" t="str">
        <f>CONCATENATE("          ", "6362", " - ", "ADVERTISING EXPENSE")</f>
        <v xml:space="preserve">          6362 - ADVERTISING EXPENSE</v>
      </c>
      <c r="C218" s="11"/>
      <c r="D218" s="7">
        <v>-2380.7399999999998</v>
      </c>
      <c r="E218" s="2"/>
      <c r="F218" s="6">
        <f t="shared" si="52"/>
        <v>-3.6310362962398771E-3</v>
      </c>
      <c r="G218" s="2"/>
      <c r="H218" s="7">
        <v>8122.92</v>
      </c>
      <c r="I218" s="2"/>
      <c r="J218" s="6">
        <f t="shared" si="53"/>
        <v>2.0885089123361154E-2</v>
      </c>
      <c r="K218" s="2"/>
      <c r="L218" s="7">
        <f t="shared" si="54"/>
        <v>-10503.66</v>
      </c>
      <c r="M218" s="2"/>
      <c r="N218" s="6">
        <f t="shared" si="55"/>
        <v>-1.2930891846774313</v>
      </c>
      <c r="O218" s="11"/>
      <c r="P218" s="7">
        <v>44836.67</v>
      </c>
      <c r="Q218" s="2"/>
      <c r="R218" s="6">
        <f t="shared" si="56"/>
        <v>3.6994262597891815E-3</v>
      </c>
      <c r="S218" s="2"/>
      <c r="T218" s="7">
        <v>78385.91</v>
      </c>
      <c r="U218" s="2"/>
      <c r="V218" s="6">
        <f t="shared" si="57"/>
        <v>5.4314480861580661E-3</v>
      </c>
      <c r="W218" s="2"/>
      <c r="X218" s="7">
        <f t="shared" si="58"/>
        <v>-33549.240000000005</v>
      </c>
      <c r="Y218" s="2"/>
      <c r="Z218" s="6">
        <f t="shared" si="59"/>
        <v>-0.4280008996514808</v>
      </c>
    </row>
    <row r="219" spans="1:26" s="25" customFormat="1" outlineLevel="1" collapsed="1" x14ac:dyDescent="0.35">
      <c r="A219" s="26"/>
      <c r="B219" s="12" t="str">
        <f>CONCATENATE("     ","Bad Debts/Over/Short                              ")</f>
        <v xml:space="preserve">     Bad Debts/Over/Short                              </v>
      </c>
      <c r="C219" s="12"/>
      <c r="D219" s="1">
        <f>SUM(OSRRefD22_3x_0)</f>
        <v>0</v>
      </c>
      <c r="E219" s="1"/>
      <c r="F219" s="5">
        <f t="shared" si="52"/>
        <v>0</v>
      </c>
      <c r="G219" s="1"/>
      <c r="H219" s="1">
        <f>SUM(OSRRefH22_3x_0)</f>
        <v>40.93</v>
      </c>
      <c r="I219" s="1"/>
      <c r="J219" s="5">
        <f t="shared" si="53"/>
        <v>1.0523638024493311E-4</v>
      </c>
      <c r="K219" s="1"/>
      <c r="L219" s="1">
        <f t="shared" si="54"/>
        <v>-40.93</v>
      </c>
      <c r="M219" s="1"/>
      <c r="N219" s="5">
        <f t="shared" si="55"/>
        <v>-1</v>
      </c>
      <c r="O219" s="12"/>
      <c r="P219" s="1">
        <f>SUM(OSRRefP22_3x_0)</f>
        <v>-30.92</v>
      </c>
      <c r="Q219" s="1"/>
      <c r="R219" s="5">
        <f t="shared" si="56"/>
        <v>-2.5511765247660339E-6</v>
      </c>
      <c r="S219" s="1"/>
      <c r="T219" s="1">
        <f>SUM(OSRRefT22_3x_0)</f>
        <v>325.27999999999997</v>
      </c>
      <c r="U219" s="1"/>
      <c r="V219" s="5">
        <f t="shared" si="57"/>
        <v>2.2539017962099255E-5</v>
      </c>
      <c r="W219" s="1"/>
      <c r="X219" s="1">
        <f t="shared" si="58"/>
        <v>-356.2</v>
      </c>
      <c r="Y219" s="1"/>
      <c r="Z219" s="5">
        <f t="shared" si="59"/>
        <v>-1.0950565666502705</v>
      </c>
    </row>
    <row r="220" spans="1:26" s="24" customFormat="1" hidden="1" outlineLevel="2" x14ac:dyDescent="0.35">
      <c r="A220" s="27"/>
      <c r="B220" s="11" t="str">
        <f>CONCATENATE("          ", "6272", " - ", "CASH (OVER/SHORT)")</f>
        <v xml:space="preserve">          6272 - CASH (OVER/SHORT)</v>
      </c>
      <c r="C220" s="11"/>
      <c r="D220" s="7"/>
      <c r="E220" s="2"/>
      <c r="F220" s="6">
        <f t="shared" si="52"/>
        <v>0</v>
      </c>
      <c r="G220" s="2"/>
      <c r="H220" s="7">
        <v>40.93</v>
      </c>
      <c r="I220" s="2"/>
      <c r="J220" s="6">
        <f t="shared" si="53"/>
        <v>1.0523638024493311E-4</v>
      </c>
      <c r="K220" s="2"/>
      <c r="L220" s="7">
        <f t="shared" si="54"/>
        <v>-40.93</v>
      </c>
      <c r="M220" s="2"/>
      <c r="N220" s="6">
        <f t="shared" si="55"/>
        <v>-1</v>
      </c>
      <c r="O220" s="11"/>
      <c r="P220" s="7">
        <v>-75.72</v>
      </c>
      <c r="Q220" s="2"/>
      <c r="R220" s="6">
        <f t="shared" si="56"/>
        <v>-6.2475771816068595E-6</v>
      </c>
      <c r="S220" s="2"/>
      <c r="T220" s="7">
        <v>325.27999999999997</v>
      </c>
      <c r="U220" s="2"/>
      <c r="V220" s="6">
        <f t="shared" si="57"/>
        <v>2.2539017962099255E-5</v>
      </c>
      <c r="W220" s="2"/>
      <c r="X220" s="7">
        <f t="shared" si="58"/>
        <v>-401</v>
      </c>
      <c r="Y220" s="2"/>
      <c r="Z220" s="6">
        <f t="shared" si="59"/>
        <v>-1.2327840629611413</v>
      </c>
    </row>
    <row r="221" spans="1:26" s="24" customFormat="1" hidden="1" outlineLevel="2" x14ac:dyDescent="0.35">
      <c r="A221" s="27"/>
      <c r="B221" s="11" t="str">
        <f>CONCATENATE("          ", "6342", " - ", "BAD DEBT")</f>
        <v xml:space="preserve">          6342 - BAD DEBT</v>
      </c>
      <c r="C221" s="11"/>
      <c r="D221" s="7"/>
      <c r="E221" s="2"/>
      <c r="F221" s="6">
        <f t="shared" si="52"/>
        <v>0</v>
      </c>
      <c r="G221" s="2"/>
      <c r="H221" s="7"/>
      <c r="I221" s="2"/>
      <c r="J221" s="6">
        <f t="shared" si="53"/>
        <v>0</v>
      </c>
      <c r="K221" s="2"/>
      <c r="L221" s="7">
        <f t="shared" si="54"/>
        <v>0</v>
      </c>
      <c r="M221" s="2"/>
      <c r="N221" s="6">
        <f t="shared" si="55"/>
        <v>0</v>
      </c>
      <c r="O221" s="11"/>
      <c r="P221" s="7">
        <v>44.8</v>
      </c>
      <c r="Q221" s="2"/>
      <c r="R221" s="6">
        <f t="shared" si="56"/>
        <v>3.6964006568408252E-6</v>
      </c>
      <c r="S221" s="2"/>
      <c r="T221" s="7"/>
      <c r="U221" s="2"/>
      <c r="V221" s="6">
        <f t="shared" si="57"/>
        <v>0</v>
      </c>
      <c r="W221" s="2"/>
      <c r="X221" s="7">
        <f t="shared" si="58"/>
        <v>44.8</v>
      </c>
      <c r="Y221" s="2"/>
      <c r="Z221" s="6">
        <f t="shared" si="59"/>
        <v>0</v>
      </c>
    </row>
    <row r="222" spans="1:26" s="25" customFormat="1" outlineLevel="1" collapsed="1" x14ac:dyDescent="0.35">
      <c r="A222" s="26"/>
      <c r="B222" s="12" t="str">
        <f>CONCATENATE("     ","Bank/card Fees                                    ")</f>
        <v xml:space="preserve">     Bank/card Fees                                    </v>
      </c>
      <c r="C222" s="12"/>
      <c r="D222" s="1">
        <f>SUM(OSRRefD22_4x_0)</f>
        <v>3703.6</v>
      </c>
      <c r="E222" s="1"/>
      <c r="F222" s="5">
        <f t="shared" ref="F222:F226" si="60">IF(D$12=0,0,D222/D$12)</f>
        <v>5.648624388532141E-3</v>
      </c>
      <c r="G222" s="1"/>
      <c r="H222" s="1">
        <f>SUM(OSRRefH22_4x_0)</f>
        <v>5536.26</v>
      </c>
      <c r="I222" s="1"/>
      <c r="J222" s="5">
        <f t="shared" ref="J222:J226" si="61">IF(H$12=0,0,H222/H$12)</f>
        <v>1.4234448143044549E-2</v>
      </c>
      <c r="K222" s="1"/>
      <c r="L222" s="1">
        <f t="shared" ref="L222:L226" si="62">+D222-H222</f>
        <v>-1832.6600000000003</v>
      </c>
      <c r="M222" s="1"/>
      <c r="N222" s="5">
        <f t="shared" ref="N222:N226" si="63">IF(H222=0,0,L222/H222)</f>
        <v>-0.33102852828443757</v>
      </c>
      <c r="O222" s="12"/>
      <c r="P222" s="1">
        <f>SUM(OSRRefP22_4x_0)</f>
        <v>148948.62999999998</v>
      </c>
      <c r="Q222" s="1"/>
      <c r="R222" s="5">
        <f t="shared" ref="R222:R226" si="64">IF(P$12=0,0,P222/P$12)</f>
        <v>1.2289594057311183E-2</v>
      </c>
      <c r="S222" s="1"/>
      <c r="T222" s="1">
        <f>SUM(OSRRefT22_4x_0)</f>
        <v>175343.88</v>
      </c>
      <c r="U222" s="1"/>
      <c r="V222" s="5">
        <f t="shared" ref="V222:V226" si="65">IF(T$12=0,0,T222/T$12)</f>
        <v>1.214977515022189E-2</v>
      </c>
      <c r="W222" s="1"/>
      <c r="X222" s="1">
        <f t="shared" ref="X222:X226" si="66">+P222-T222</f>
        <v>-26395.250000000029</v>
      </c>
      <c r="Y222" s="1"/>
      <c r="Z222" s="5">
        <f t="shared" ref="Z222:Z226" si="67">IF(T222=0,0,X222/T222)</f>
        <v>-0.15053419600387552</v>
      </c>
    </row>
    <row r="223" spans="1:26" s="24" customFormat="1" hidden="1" outlineLevel="2" x14ac:dyDescent="0.35">
      <c r="A223" s="27"/>
      <c r="B223" s="11" t="str">
        <f>CONCATENATE("          ", "6381", " - ", "BANK/CREDIT CARD FEES")</f>
        <v xml:space="preserve">          6381 - BANK/CREDIT CARD FEES</v>
      </c>
      <c r="C223" s="11"/>
      <c r="D223" s="7">
        <v>3703.6</v>
      </c>
      <c r="E223" s="2"/>
      <c r="F223" s="6">
        <f t="shared" si="60"/>
        <v>5.648624388532141E-3</v>
      </c>
      <c r="G223" s="2"/>
      <c r="H223" s="7">
        <v>5536.26</v>
      </c>
      <c r="I223" s="2"/>
      <c r="J223" s="6">
        <f t="shared" si="61"/>
        <v>1.4234448143044549E-2</v>
      </c>
      <c r="K223" s="2"/>
      <c r="L223" s="7">
        <f t="shared" si="62"/>
        <v>-1832.6600000000003</v>
      </c>
      <c r="M223" s="2"/>
      <c r="N223" s="6">
        <f t="shared" si="63"/>
        <v>-0.33102852828443757</v>
      </c>
      <c r="O223" s="11"/>
      <c r="P223" s="7">
        <v>148948.62999999998</v>
      </c>
      <c r="Q223" s="2"/>
      <c r="R223" s="6">
        <f t="shared" si="64"/>
        <v>1.2289594057311183E-2</v>
      </c>
      <c r="S223" s="2"/>
      <c r="T223" s="7">
        <v>175343.88</v>
      </c>
      <c r="U223" s="2"/>
      <c r="V223" s="6">
        <f t="shared" si="65"/>
        <v>1.214977515022189E-2</v>
      </c>
      <c r="W223" s="2"/>
      <c r="X223" s="7">
        <f t="shared" si="66"/>
        <v>-26395.250000000029</v>
      </c>
      <c r="Y223" s="2"/>
      <c r="Z223" s="6">
        <f t="shared" si="67"/>
        <v>-0.15053419600387552</v>
      </c>
    </row>
    <row r="224" spans="1:26" s="25" customFormat="1" outlineLevel="1" collapsed="1" x14ac:dyDescent="0.35">
      <c r="A224" s="26"/>
      <c r="B224" s="12" t="str">
        <f>CONCATENATE("     ","Depreciation                                      ")</f>
        <v xml:space="preserve">     Depreciation                                      </v>
      </c>
      <c r="C224" s="12"/>
      <c r="D224" s="1">
        <f>SUM(OSRRefD22_5x_0)</f>
        <v>30629.66</v>
      </c>
      <c r="E224" s="1"/>
      <c r="F224" s="5">
        <f t="shared" si="60"/>
        <v>4.671547804526606E-2</v>
      </c>
      <c r="G224" s="1"/>
      <c r="H224" s="1">
        <f>SUM(OSRRefH22_5x_0)</f>
        <v>29947.25</v>
      </c>
      <c r="I224" s="1"/>
      <c r="J224" s="5">
        <f t="shared" si="61"/>
        <v>7.6998294363304992E-2</v>
      </c>
      <c r="K224" s="1"/>
      <c r="L224" s="1">
        <f t="shared" si="62"/>
        <v>682.40999999999985</v>
      </c>
      <c r="M224" s="1"/>
      <c r="N224" s="5">
        <f t="shared" si="63"/>
        <v>2.2787067259932042E-2</v>
      </c>
      <c r="O224" s="12"/>
      <c r="P224" s="1">
        <f>SUM(OSRRefP22_5x_0)</f>
        <v>362746.92</v>
      </c>
      <c r="Q224" s="1"/>
      <c r="R224" s="5">
        <f t="shared" si="64"/>
        <v>2.992986503024523E-2</v>
      </c>
      <c r="S224" s="1"/>
      <c r="T224" s="1">
        <f>SUM(OSRRefT22_5x_0)</f>
        <v>356539.56</v>
      </c>
      <c r="U224" s="1"/>
      <c r="V224" s="5">
        <f t="shared" si="65"/>
        <v>2.4705028120508378E-2</v>
      </c>
      <c r="W224" s="1"/>
      <c r="X224" s="1">
        <f t="shared" si="66"/>
        <v>6207.359999999986</v>
      </c>
      <c r="Y224" s="1"/>
      <c r="Z224" s="5">
        <f t="shared" si="67"/>
        <v>1.7410017558780817E-2</v>
      </c>
    </row>
    <row r="225" spans="1:26" s="24" customFormat="1" hidden="1" outlineLevel="2" x14ac:dyDescent="0.35">
      <c r="A225" s="27"/>
      <c r="B225" s="11" t="str">
        <f>CONCATENATE("          ", "6321", " - ", "BUILDING DEPRECIATION")</f>
        <v xml:space="preserve">          6321 - BUILDING DEPRECIATION</v>
      </c>
      <c r="C225" s="11"/>
      <c r="D225" s="7">
        <v>16396.25</v>
      </c>
      <c r="E225" s="2"/>
      <c r="F225" s="6">
        <f t="shared" si="60"/>
        <v>2.5007089758740175E-2</v>
      </c>
      <c r="G225" s="2"/>
      <c r="H225" s="7">
        <v>16453.129999999997</v>
      </c>
      <c r="I225" s="2"/>
      <c r="J225" s="6">
        <f t="shared" si="61"/>
        <v>4.2303147933039728E-2</v>
      </c>
      <c r="K225" s="2"/>
      <c r="L225" s="7">
        <f t="shared" si="62"/>
        <v>-56.879999999997381</v>
      </c>
      <c r="M225" s="2"/>
      <c r="N225" s="6">
        <f t="shared" si="63"/>
        <v>-3.4570929665053026E-3</v>
      </c>
      <c r="O225" s="11"/>
      <c r="P225" s="7">
        <v>196757.97</v>
      </c>
      <c r="Q225" s="2"/>
      <c r="R225" s="6">
        <f t="shared" si="64"/>
        <v>1.6234292177380968E-2</v>
      </c>
      <c r="S225" s="2"/>
      <c r="T225" s="7">
        <v>197440.31</v>
      </c>
      <c r="U225" s="2"/>
      <c r="V225" s="6">
        <f t="shared" si="65"/>
        <v>1.3680861699251246E-2</v>
      </c>
      <c r="W225" s="2"/>
      <c r="X225" s="7">
        <f t="shared" si="66"/>
        <v>-682.33999999999651</v>
      </c>
      <c r="Y225" s="2"/>
      <c r="Z225" s="6">
        <f t="shared" si="67"/>
        <v>-3.4559305544039944E-3</v>
      </c>
    </row>
    <row r="226" spans="1:26" s="24" customFormat="1" hidden="1" outlineLevel="2" x14ac:dyDescent="0.35">
      <c r="A226" s="27"/>
      <c r="B226" s="11" t="str">
        <f>CONCATENATE("          ", "6322", " - ", "EQUIPMENT DEPRECIATION EXPENSE")</f>
        <v xml:space="preserve">          6322 - EQUIPMENT DEPRECIATION EXPENSE</v>
      </c>
      <c r="C226" s="11"/>
      <c r="D226" s="7">
        <v>14233.41</v>
      </c>
      <c r="E226" s="2"/>
      <c r="F226" s="6">
        <f t="shared" si="60"/>
        <v>2.1708388286525881E-2</v>
      </c>
      <c r="G226" s="2"/>
      <c r="H226" s="7">
        <v>13494.12</v>
      </c>
      <c r="I226" s="2"/>
      <c r="J226" s="6">
        <f t="shared" si="61"/>
        <v>3.4695146430265257E-2</v>
      </c>
      <c r="K226" s="2"/>
      <c r="L226" s="7">
        <f t="shared" si="62"/>
        <v>739.28999999999905</v>
      </c>
      <c r="M226" s="2"/>
      <c r="N226" s="6">
        <f t="shared" si="63"/>
        <v>5.4786084605739319E-2</v>
      </c>
      <c r="O226" s="11"/>
      <c r="P226" s="7">
        <v>165988.94999999998</v>
      </c>
      <c r="Q226" s="2"/>
      <c r="R226" s="6">
        <f t="shared" si="64"/>
        <v>1.369557285286426E-2</v>
      </c>
      <c r="S226" s="2"/>
      <c r="T226" s="7">
        <v>159099.25</v>
      </c>
      <c r="U226" s="2"/>
      <c r="V226" s="6">
        <f t="shared" si="65"/>
        <v>1.1024166421257132E-2</v>
      </c>
      <c r="W226" s="2"/>
      <c r="X226" s="7">
        <f t="shared" si="66"/>
        <v>6889.6999999999825</v>
      </c>
      <c r="Y226" s="2"/>
      <c r="Z226" s="6">
        <f t="shared" si="67"/>
        <v>4.3304415325653531E-2</v>
      </c>
    </row>
    <row r="227" spans="1:26" s="25" customFormat="1" outlineLevel="1" collapsed="1" x14ac:dyDescent="0.35">
      <c r="A227" s="26"/>
      <c r="B227" s="12" t="str">
        <f>CONCATENATE("     ","Discounts and Markdowns                           ")</f>
        <v xml:space="preserve">     Discounts and Markdowns                           </v>
      </c>
      <c r="C227" s="12"/>
      <c r="D227" s="1">
        <f>SUM(OSRRefD22_6x_0)</f>
        <v>42286.42</v>
      </c>
      <c r="E227" s="1"/>
      <c r="F227" s="5">
        <f t="shared" ref="F227:F229" si="68">IF(D$12=0,0,D227/D$12)</f>
        <v>6.4494033728186975E-2</v>
      </c>
      <c r="G227" s="1"/>
      <c r="H227" s="1">
        <f>SUM(OSRRefH22_6x_0)</f>
        <v>16612.010000000002</v>
      </c>
      <c r="I227" s="1"/>
      <c r="J227" s="5">
        <f t="shared" ref="J227:J229" si="69">IF(H$12=0,0,H227/H$12)</f>
        <v>4.2711649181349412E-2</v>
      </c>
      <c r="K227" s="1"/>
      <c r="L227" s="1">
        <f t="shared" ref="L227:L229" si="70">+D227-H227</f>
        <v>25674.409999999996</v>
      </c>
      <c r="M227" s="1"/>
      <c r="N227" s="5">
        <f t="shared" ref="N227:N229" si="71">IF(H227=0,0,L227/H227)</f>
        <v>1.545533020989031</v>
      </c>
      <c r="O227" s="12"/>
      <c r="P227" s="1">
        <f>SUM(OSRRefP22_6x_0)</f>
        <v>464055.9</v>
      </c>
      <c r="Q227" s="1"/>
      <c r="R227" s="5">
        <f t="shared" ref="R227:R229" si="72">IF(P$12=0,0,P227/P$12)</f>
        <v>3.8288761910063848E-2</v>
      </c>
      <c r="S227" s="1"/>
      <c r="T227" s="1">
        <f>SUM(OSRRefT22_6x_0)</f>
        <v>447232.34</v>
      </c>
      <c r="U227" s="1"/>
      <c r="V227" s="5">
        <f t="shared" ref="V227:V229" si="73">IF(T$12=0,0,T227/T$12)</f>
        <v>3.098923310529907E-2</v>
      </c>
      <c r="W227" s="1"/>
      <c r="X227" s="1">
        <f t="shared" ref="X227:X229" si="74">+P227-T227</f>
        <v>16823.559999999998</v>
      </c>
      <c r="Y227" s="1"/>
      <c r="Z227" s="5">
        <f t="shared" ref="Z227:Z229" si="75">IF(T227=0,0,X227/T227)</f>
        <v>3.7617047103525647E-2</v>
      </c>
    </row>
    <row r="228" spans="1:26" s="24" customFormat="1" hidden="1" outlineLevel="2" x14ac:dyDescent="0.35">
      <c r="A228" s="27"/>
      <c r="B228" s="11" t="str">
        <f>CONCATENATE("          ", "6382", " - ", "DISCOUNTS/MARK DOWNS")</f>
        <v xml:space="preserve">          6382 - DISCOUNTS/MARK DOWNS</v>
      </c>
      <c r="C228" s="11"/>
      <c r="D228" s="7">
        <v>42289.279999999999</v>
      </c>
      <c r="E228" s="2"/>
      <c r="F228" s="6">
        <f t="shared" si="68"/>
        <v>6.4498395718075516E-2</v>
      </c>
      <c r="G228" s="2"/>
      <c r="H228" s="7">
        <v>16658.95</v>
      </c>
      <c r="I228" s="2"/>
      <c r="J228" s="6">
        <f t="shared" si="69"/>
        <v>4.283233805720324E-2</v>
      </c>
      <c r="K228" s="2"/>
      <c r="L228" s="7">
        <f t="shared" si="70"/>
        <v>25630.329999999998</v>
      </c>
      <c r="M228" s="2"/>
      <c r="N228" s="6">
        <f t="shared" si="71"/>
        <v>1.5385321403809962</v>
      </c>
      <c r="O228" s="11"/>
      <c r="P228" s="7">
        <v>467290.38</v>
      </c>
      <c r="Q228" s="2"/>
      <c r="R228" s="6">
        <f t="shared" si="72"/>
        <v>3.8555635436772297E-2</v>
      </c>
      <c r="S228" s="2"/>
      <c r="T228" s="7">
        <v>451855.44</v>
      </c>
      <c r="U228" s="2"/>
      <c r="V228" s="6">
        <f t="shared" si="73"/>
        <v>3.1309572916970799E-2</v>
      </c>
      <c r="W228" s="2"/>
      <c r="X228" s="7">
        <f t="shared" si="74"/>
        <v>15434.940000000002</v>
      </c>
      <c r="Y228" s="2"/>
      <c r="Z228" s="6">
        <f t="shared" si="75"/>
        <v>3.4159022186387757E-2</v>
      </c>
    </row>
    <row r="229" spans="1:26" s="24" customFormat="1" hidden="1" outlineLevel="2" x14ac:dyDescent="0.35">
      <c r="A229" s="27"/>
      <c r="B229" s="11" t="str">
        <f>CONCATENATE("          ", "9175", " - ", "EARNED DISCOUNTS")</f>
        <v xml:space="preserve">          9175 - EARNED DISCOUNTS</v>
      </c>
      <c r="C229" s="11"/>
      <c r="D229" s="7">
        <v>-2.86</v>
      </c>
      <c r="E229" s="2"/>
      <c r="F229" s="6">
        <f t="shared" si="68"/>
        <v>-4.3619898885413985E-6</v>
      </c>
      <c r="G229" s="2"/>
      <c r="H229" s="7">
        <v>-46.94</v>
      </c>
      <c r="I229" s="2"/>
      <c r="J229" s="6">
        <f t="shared" si="69"/>
        <v>-1.2068887585382751E-4</v>
      </c>
      <c r="K229" s="2"/>
      <c r="L229" s="7">
        <f t="shared" si="70"/>
        <v>44.08</v>
      </c>
      <c r="M229" s="2"/>
      <c r="N229" s="6">
        <f t="shared" si="71"/>
        <v>-0.93907115466553048</v>
      </c>
      <c r="O229" s="11"/>
      <c r="P229" s="7">
        <v>-3234.48</v>
      </c>
      <c r="Q229" s="2"/>
      <c r="R229" s="6">
        <f t="shared" si="72"/>
        <v>-2.6687352670844893E-4</v>
      </c>
      <c r="S229" s="2"/>
      <c r="T229" s="7">
        <v>-4623.1000000000004</v>
      </c>
      <c r="U229" s="2"/>
      <c r="V229" s="6">
        <f t="shared" si="73"/>
        <v>-3.2033981167173226E-4</v>
      </c>
      <c r="W229" s="2"/>
      <c r="X229" s="7">
        <f t="shared" si="74"/>
        <v>1388.6200000000003</v>
      </c>
      <c r="Y229" s="2"/>
      <c r="Z229" s="6">
        <f t="shared" si="75"/>
        <v>-0.30036555557958949</v>
      </c>
    </row>
    <row r="230" spans="1:26" s="25" customFormat="1" outlineLevel="1" collapsed="1" x14ac:dyDescent="0.35">
      <c r="A230" s="26"/>
      <c r="B230" s="12" t="str">
        <f>CONCATENATE("     ","Donations                                         ")</f>
        <v xml:space="preserve">     Donations                                         </v>
      </c>
      <c r="C230" s="12"/>
      <c r="D230" s="1">
        <f>SUM(OSRRefD22_7x_0)</f>
        <v>0</v>
      </c>
      <c r="E230" s="1"/>
      <c r="F230" s="5">
        <f t="shared" ref="F230:F238" si="76">IF(D$12=0,0,D230/D$12)</f>
        <v>0</v>
      </c>
      <c r="G230" s="1"/>
      <c r="H230" s="1">
        <f>SUM(OSRRefH22_7x_0)</f>
        <v>674.49</v>
      </c>
      <c r="I230" s="1"/>
      <c r="J230" s="5">
        <f t="shared" ref="J230:J238" si="77">IF(H$12=0,0,H230/H$12)</f>
        <v>1.7342019572784005E-3</v>
      </c>
      <c r="K230" s="1"/>
      <c r="L230" s="1">
        <f t="shared" ref="L230:L238" si="78">+D230-H230</f>
        <v>-674.49</v>
      </c>
      <c r="M230" s="1"/>
      <c r="N230" s="5">
        <f t="shared" ref="N230:N238" si="79">IF(H230=0,0,L230/H230)</f>
        <v>-1</v>
      </c>
      <c r="O230" s="12"/>
      <c r="P230" s="1">
        <f>SUM(OSRRefP22_7x_0)</f>
        <v>10985.64</v>
      </c>
      <c r="Q230" s="1"/>
      <c r="R230" s="5">
        <f t="shared" ref="R230:R238" si="80">IF(P$12=0,0,P230/P$12)</f>
        <v>9.0641354713876876E-4</v>
      </c>
      <c r="S230" s="1"/>
      <c r="T230" s="1">
        <f>SUM(OSRRefT22_7x_0)</f>
        <v>9858.49</v>
      </c>
      <c r="U230" s="1"/>
      <c r="V230" s="5">
        <f t="shared" ref="V230:V238" si="81">IF(T$12=0,0,T230/T$12)</f>
        <v>6.8310588781719101E-4</v>
      </c>
      <c r="W230" s="1"/>
      <c r="X230" s="1">
        <f t="shared" ref="X230:X238" si="82">+P230-T230</f>
        <v>1127.1499999999996</v>
      </c>
      <c r="Y230" s="1"/>
      <c r="Z230" s="5">
        <f t="shared" ref="Z230:Z238" si="83">IF(T230=0,0,X230/T230)</f>
        <v>0.11433292522485691</v>
      </c>
    </row>
    <row r="231" spans="1:26" s="24" customFormat="1" hidden="1" outlineLevel="2" x14ac:dyDescent="0.35">
      <c r="A231" s="27"/>
      <c r="B231" s="11" t="str">
        <f>CONCATENATE("          ", "6399", " - ", "DONATION-ON CAMPUS")</f>
        <v xml:space="preserve">          6399 - DONATION-ON CAMPUS</v>
      </c>
      <c r="C231" s="11"/>
      <c r="D231" s="7"/>
      <c r="E231" s="2"/>
      <c r="F231" s="6">
        <f t="shared" si="76"/>
        <v>0</v>
      </c>
      <c r="G231" s="2"/>
      <c r="H231" s="7">
        <v>674.49</v>
      </c>
      <c r="I231" s="2"/>
      <c r="J231" s="6">
        <f t="shared" si="77"/>
        <v>1.7342019572784005E-3</v>
      </c>
      <c r="K231" s="2"/>
      <c r="L231" s="7">
        <f t="shared" si="78"/>
        <v>-674.49</v>
      </c>
      <c r="M231" s="2"/>
      <c r="N231" s="6">
        <f t="shared" si="79"/>
        <v>-1</v>
      </c>
      <c r="O231" s="11"/>
      <c r="P231" s="7">
        <v>10985.64</v>
      </c>
      <c r="Q231" s="2"/>
      <c r="R231" s="6">
        <f t="shared" si="80"/>
        <v>9.0641354713876876E-4</v>
      </c>
      <c r="S231" s="2"/>
      <c r="T231" s="7">
        <v>9858.49</v>
      </c>
      <c r="U231" s="2"/>
      <c r="V231" s="6">
        <f t="shared" si="81"/>
        <v>6.8310588781719101E-4</v>
      </c>
      <c r="W231" s="2"/>
      <c r="X231" s="7">
        <f t="shared" si="82"/>
        <v>1127.1499999999996</v>
      </c>
      <c r="Y231" s="2"/>
      <c r="Z231" s="6">
        <f t="shared" si="83"/>
        <v>0.11433292522485691</v>
      </c>
    </row>
    <row r="232" spans="1:26" s="25" customFormat="1" outlineLevel="1" collapsed="1" x14ac:dyDescent="0.35">
      <c r="A232" s="26"/>
      <c r="B232" s="12" t="str">
        <f>CONCATENATE("     ","Employees' Appreciation                           ")</f>
        <v xml:space="preserve">     Employees' Appreciation                           </v>
      </c>
      <c r="C232" s="12"/>
      <c r="D232" s="1">
        <f>SUM(OSRRefD22_8x_0)</f>
        <v>57</v>
      </c>
      <c r="E232" s="1"/>
      <c r="F232" s="5">
        <f t="shared" si="76"/>
        <v>8.6934763512888009E-5</v>
      </c>
      <c r="G232" s="1"/>
      <c r="H232" s="1">
        <f>SUM(OSRRefH22_8x_0)</f>
        <v>132.37</v>
      </c>
      <c r="I232" s="1"/>
      <c r="J232" s="5">
        <f t="shared" si="77"/>
        <v>3.4034057300322002E-4</v>
      </c>
      <c r="K232" s="1"/>
      <c r="L232" s="1">
        <f t="shared" si="78"/>
        <v>-75.37</v>
      </c>
      <c r="M232" s="1"/>
      <c r="N232" s="5">
        <f t="shared" si="79"/>
        <v>-0.56938883432802001</v>
      </c>
      <c r="O232" s="12"/>
      <c r="P232" s="1">
        <f>SUM(OSRRefP22_8x_0)</f>
        <v>1611.27</v>
      </c>
      <c r="Q232" s="1"/>
      <c r="R232" s="5">
        <f t="shared" si="80"/>
        <v>1.3294418496312315E-4</v>
      </c>
      <c r="S232" s="1"/>
      <c r="T232" s="1">
        <f>SUM(OSRRefT22_8x_0)</f>
        <v>4380.3999999999996</v>
      </c>
      <c r="U232" s="1"/>
      <c r="V232" s="5">
        <f t="shared" si="81"/>
        <v>3.0352285502084224E-4</v>
      </c>
      <c r="W232" s="1"/>
      <c r="X232" s="1">
        <f t="shared" si="82"/>
        <v>-2769.1299999999997</v>
      </c>
      <c r="Y232" s="1"/>
      <c r="Z232" s="5">
        <f t="shared" si="83"/>
        <v>-0.63216372933978626</v>
      </c>
    </row>
    <row r="233" spans="1:26" s="24" customFormat="1" hidden="1" outlineLevel="2" x14ac:dyDescent="0.35">
      <c r="A233" s="27"/>
      <c r="B233" s="11" t="str">
        <f>CONCATENATE("          ", "6277", " - ", "EMPLOYEE APPRECIATION")</f>
        <v xml:space="preserve">          6277 - EMPLOYEE APPRECIATION</v>
      </c>
      <c r="C233" s="11"/>
      <c r="D233" s="7">
        <v>57</v>
      </c>
      <c r="E233" s="2"/>
      <c r="F233" s="6">
        <f t="shared" si="76"/>
        <v>8.6934763512888009E-5</v>
      </c>
      <c r="G233" s="2"/>
      <c r="H233" s="7">
        <v>132.37</v>
      </c>
      <c r="I233" s="2"/>
      <c r="J233" s="6">
        <f t="shared" si="77"/>
        <v>3.4034057300322002E-4</v>
      </c>
      <c r="K233" s="2"/>
      <c r="L233" s="7">
        <f t="shared" si="78"/>
        <v>-75.37</v>
      </c>
      <c r="M233" s="2"/>
      <c r="N233" s="6">
        <f t="shared" si="79"/>
        <v>-0.56938883432802001</v>
      </c>
      <c r="O233" s="11"/>
      <c r="P233" s="7">
        <v>1611.27</v>
      </c>
      <c r="Q233" s="2"/>
      <c r="R233" s="6">
        <f t="shared" si="80"/>
        <v>1.3294418496312315E-4</v>
      </c>
      <c r="S233" s="2"/>
      <c r="T233" s="7">
        <v>4380.3999999999996</v>
      </c>
      <c r="U233" s="2"/>
      <c r="V233" s="6">
        <f t="shared" si="81"/>
        <v>3.0352285502084224E-4</v>
      </c>
      <c r="W233" s="2"/>
      <c r="X233" s="7">
        <f t="shared" si="82"/>
        <v>-2769.1299999999997</v>
      </c>
      <c r="Y233" s="2"/>
      <c r="Z233" s="6">
        <f t="shared" si="83"/>
        <v>-0.63216372933978626</v>
      </c>
    </row>
    <row r="234" spans="1:26" s="25" customFormat="1" outlineLevel="1" collapsed="1" x14ac:dyDescent="0.35">
      <c r="A234" s="26"/>
      <c r="B234" s="12" t="str">
        <f>CONCATENATE("     ","Equipment Rental                                  ")</f>
        <v xml:space="preserve">     Equipment Rental                                  </v>
      </c>
      <c r="C234" s="12"/>
      <c r="D234" s="1">
        <f>SUM(OSRRefD22_9x_0)</f>
        <v>1388.16</v>
      </c>
      <c r="E234" s="1"/>
      <c r="F234" s="5">
        <f t="shared" si="76"/>
        <v>2.1171817775096601E-3</v>
      </c>
      <c r="G234" s="1"/>
      <c r="H234" s="1">
        <f>SUM(OSRRefH22_9x_0)</f>
        <v>3424.48</v>
      </c>
      <c r="I234" s="1"/>
      <c r="J234" s="5">
        <f t="shared" si="77"/>
        <v>8.8047857175951264E-3</v>
      </c>
      <c r="K234" s="1"/>
      <c r="L234" s="1">
        <f t="shared" si="78"/>
        <v>-2036.32</v>
      </c>
      <c r="M234" s="1"/>
      <c r="N234" s="5">
        <f t="shared" si="79"/>
        <v>-0.59463626594402652</v>
      </c>
      <c r="O234" s="12"/>
      <c r="P234" s="1">
        <f>SUM(OSRRefP22_9x_0)</f>
        <v>19839.79</v>
      </c>
      <c r="Q234" s="1"/>
      <c r="R234" s="5">
        <f t="shared" si="80"/>
        <v>1.6369601068657153E-3</v>
      </c>
      <c r="S234" s="1"/>
      <c r="T234" s="1">
        <f>SUM(OSRRefT22_9x_0)</f>
        <v>40979.39</v>
      </c>
      <c r="U234" s="1"/>
      <c r="V234" s="5">
        <f t="shared" si="81"/>
        <v>2.8395081384833699E-3</v>
      </c>
      <c r="W234" s="1"/>
      <c r="X234" s="1">
        <f t="shared" si="82"/>
        <v>-21139.599999999999</v>
      </c>
      <c r="Y234" s="1"/>
      <c r="Z234" s="5">
        <f t="shared" si="83"/>
        <v>-0.51585931366962756</v>
      </c>
    </row>
    <row r="235" spans="1:26" s="24" customFormat="1" hidden="1" outlineLevel="2" x14ac:dyDescent="0.35">
      <c r="A235" s="27"/>
      <c r="B235" s="11" t="str">
        <f>CONCATENATE("          ", "6351", " - ", "EQUIPMENT RENTAL")</f>
        <v xml:space="preserve">          6351 - EQUIPMENT RENTAL</v>
      </c>
      <c r="C235" s="11"/>
      <c r="D235" s="7">
        <v>1388.16</v>
      </c>
      <c r="E235" s="2"/>
      <c r="F235" s="6">
        <f t="shared" si="76"/>
        <v>2.1171817775096601E-3</v>
      </c>
      <c r="G235" s="2"/>
      <c r="H235" s="7">
        <v>3424.48</v>
      </c>
      <c r="I235" s="2"/>
      <c r="J235" s="6">
        <f t="shared" si="77"/>
        <v>8.8047857175951264E-3</v>
      </c>
      <c r="K235" s="2"/>
      <c r="L235" s="7">
        <f t="shared" si="78"/>
        <v>-2036.32</v>
      </c>
      <c r="M235" s="2"/>
      <c r="N235" s="6">
        <f t="shared" si="79"/>
        <v>-0.59463626594402652</v>
      </c>
      <c r="O235" s="11"/>
      <c r="P235" s="7">
        <v>19839.79</v>
      </c>
      <c r="Q235" s="2"/>
      <c r="R235" s="6">
        <f t="shared" si="80"/>
        <v>1.6369601068657153E-3</v>
      </c>
      <c r="S235" s="2"/>
      <c r="T235" s="7">
        <v>40979.39</v>
      </c>
      <c r="U235" s="2"/>
      <c r="V235" s="6">
        <f t="shared" si="81"/>
        <v>2.8395081384833699E-3</v>
      </c>
      <c r="W235" s="2"/>
      <c r="X235" s="7">
        <f t="shared" si="82"/>
        <v>-21139.599999999999</v>
      </c>
      <c r="Y235" s="2"/>
      <c r="Z235" s="6">
        <f t="shared" si="83"/>
        <v>-0.51585931366962756</v>
      </c>
    </row>
    <row r="236" spans="1:26" s="25" customFormat="1" outlineLevel="1" collapsed="1" x14ac:dyDescent="0.35">
      <c r="A236" s="26"/>
      <c r="B236" s="12" t="str">
        <f>CONCATENATE("     ","Freight out/Postage                               ")</f>
        <v xml:space="preserve">     Freight out/Postage                               </v>
      </c>
      <c r="C236" s="12"/>
      <c r="D236" s="1">
        <f>SUM(OSRRefD22_10x_0)</f>
        <v>25801.239999999998</v>
      </c>
      <c r="E236" s="1"/>
      <c r="F236" s="5">
        <f t="shared" si="76"/>
        <v>3.9351310486653801E-2</v>
      </c>
      <c r="G236" s="1"/>
      <c r="H236" s="1">
        <f>SUM(OSRRefH22_10x_0)</f>
        <v>2095.4000000000005</v>
      </c>
      <c r="I236" s="1"/>
      <c r="J236" s="5">
        <f t="shared" si="77"/>
        <v>5.3875473043057147E-3</v>
      </c>
      <c r="K236" s="1"/>
      <c r="L236" s="1">
        <f t="shared" si="78"/>
        <v>23705.839999999997</v>
      </c>
      <c r="M236" s="1"/>
      <c r="N236" s="5">
        <f t="shared" si="79"/>
        <v>11.313276701345801</v>
      </c>
      <c r="O236" s="12"/>
      <c r="P236" s="1">
        <f>SUM(OSRRefP22_10x_0)</f>
        <v>41914.19999999999</v>
      </c>
      <c r="Q236" s="1"/>
      <c r="R236" s="5">
        <f t="shared" si="80"/>
        <v>3.4582963484588768E-3</v>
      </c>
      <c r="S236" s="1"/>
      <c r="T236" s="1">
        <f>SUM(OSRRefT22_10x_0)</f>
        <v>-520.94999999999709</v>
      </c>
      <c r="U236" s="1"/>
      <c r="V236" s="5">
        <f t="shared" si="81"/>
        <v>-3.6097212885377339E-5</v>
      </c>
      <c r="W236" s="1"/>
      <c r="X236" s="1">
        <f t="shared" si="82"/>
        <v>42435.149999999987</v>
      </c>
      <c r="Y236" s="1"/>
      <c r="Z236" s="5">
        <f t="shared" si="83"/>
        <v>-81.45724157788699</v>
      </c>
    </row>
    <row r="237" spans="1:26" s="24" customFormat="1" hidden="1" outlineLevel="2" x14ac:dyDescent="0.35">
      <c r="A237" s="27"/>
      <c r="B237" s="11" t="str">
        <f>CONCATENATE("          ", "6305", " - ", "FREIGHT OUT")</f>
        <v xml:space="preserve">          6305 - FREIGHT OUT</v>
      </c>
      <c r="C237" s="11"/>
      <c r="D237" s="7">
        <v>32899.67</v>
      </c>
      <c r="E237" s="2"/>
      <c r="F237" s="6">
        <f t="shared" si="76"/>
        <v>5.0177632124597478E-2</v>
      </c>
      <c r="G237" s="2"/>
      <c r="H237" s="7">
        <v>9312.7800000000007</v>
      </c>
      <c r="I237" s="2"/>
      <c r="J237" s="6">
        <f t="shared" si="77"/>
        <v>2.3944374718236214E-2</v>
      </c>
      <c r="K237" s="2"/>
      <c r="L237" s="7">
        <f t="shared" si="78"/>
        <v>23586.89</v>
      </c>
      <c r="M237" s="2"/>
      <c r="N237" s="6">
        <f t="shared" si="79"/>
        <v>2.5327442503742166</v>
      </c>
      <c r="O237" s="11"/>
      <c r="P237" s="7">
        <v>102931.45</v>
      </c>
      <c r="Q237" s="2"/>
      <c r="R237" s="6">
        <f t="shared" si="80"/>
        <v>8.4927651649459503E-3</v>
      </c>
      <c r="S237" s="2"/>
      <c r="T237" s="7">
        <v>80711.61</v>
      </c>
      <c r="U237" s="2"/>
      <c r="V237" s="6">
        <f t="shared" si="81"/>
        <v>5.5925984614484444E-3</v>
      </c>
      <c r="W237" s="2"/>
      <c r="X237" s="7">
        <f t="shared" si="82"/>
        <v>22219.839999999997</v>
      </c>
      <c r="Y237" s="2"/>
      <c r="Z237" s="6">
        <f t="shared" si="83"/>
        <v>0.27529917938695558</v>
      </c>
    </row>
    <row r="238" spans="1:26" s="24" customFormat="1" hidden="1" outlineLevel="2" x14ac:dyDescent="0.35">
      <c r="A238" s="27"/>
      <c r="B238" s="11" t="str">
        <f>CONCATENATE("          ", "6307", " - ", "POSTAGE")</f>
        <v xml:space="preserve">          6307 - POSTAGE</v>
      </c>
      <c r="C238" s="11"/>
      <c r="D238" s="7">
        <v>-7098.43</v>
      </c>
      <c r="E238" s="2"/>
      <c r="F238" s="6">
        <f t="shared" si="76"/>
        <v>-1.0826321637943679E-2</v>
      </c>
      <c r="G238" s="2"/>
      <c r="H238" s="7">
        <v>-7217.38</v>
      </c>
      <c r="I238" s="2"/>
      <c r="J238" s="6">
        <f t="shared" si="77"/>
        <v>-1.8556827413930499E-2</v>
      </c>
      <c r="K238" s="2"/>
      <c r="L238" s="7">
        <f t="shared" si="78"/>
        <v>118.94999999999982</v>
      </c>
      <c r="M238" s="2"/>
      <c r="N238" s="6">
        <f t="shared" si="79"/>
        <v>-1.6481049910078146E-2</v>
      </c>
      <c r="O238" s="11"/>
      <c r="P238" s="7">
        <v>-61017.250000000007</v>
      </c>
      <c r="Q238" s="2"/>
      <c r="R238" s="6">
        <f t="shared" si="80"/>
        <v>-5.0344688164870735E-3</v>
      </c>
      <c r="S238" s="2"/>
      <c r="T238" s="7">
        <v>-81232.56</v>
      </c>
      <c r="U238" s="2"/>
      <c r="V238" s="6">
        <f t="shared" si="81"/>
        <v>-5.6286956743338218E-3</v>
      </c>
      <c r="W238" s="2"/>
      <c r="X238" s="7">
        <f t="shared" si="82"/>
        <v>20215.30999999999</v>
      </c>
      <c r="Y238" s="2"/>
      <c r="Z238" s="6">
        <f t="shared" si="83"/>
        <v>-0.24885723163224194</v>
      </c>
    </row>
    <row r="239" spans="1:26" s="25" customFormat="1" outlineLevel="1" collapsed="1" x14ac:dyDescent="0.35">
      <c r="A239" s="26"/>
      <c r="B239" s="12" t="str">
        <f>CONCATENATE("     ","General                                           ")</f>
        <v xml:space="preserve">     General                                           </v>
      </c>
      <c r="C239" s="12"/>
      <c r="D239" s="1">
        <f>SUM(OSRRefD22_11x_0)</f>
        <v>-1613.24</v>
      </c>
      <c r="E239" s="1"/>
      <c r="F239" s="5">
        <f t="shared" ref="F239:F280" si="84">IF(D$12=0,0,D239/D$12)</f>
        <v>-2.4604673313952889E-3</v>
      </c>
      <c r="G239" s="1"/>
      <c r="H239" s="1">
        <f>SUM(OSRRefH22_11x_0)</f>
        <v>-285.75</v>
      </c>
      <c r="I239" s="1"/>
      <c r="J239" s="5">
        <f t="shared" ref="J239:J280" si="85">IF(H$12=0,0,H239/H$12)</f>
        <v>-7.3470060236964659E-4</v>
      </c>
      <c r="K239" s="1"/>
      <c r="L239" s="1">
        <f t="shared" ref="L239:L280" si="86">+D239-H239</f>
        <v>-1327.49</v>
      </c>
      <c r="M239" s="1"/>
      <c r="N239" s="5">
        <f t="shared" ref="N239:N280" si="87">IF(H239=0,0,L239/H239)</f>
        <v>4.6456342957130357</v>
      </c>
      <c r="O239" s="12"/>
      <c r="P239" s="1">
        <f>SUM(OSRRefP22_11x_0)</f>
        <v>-2978.87</v>
      </c>
      <c r="Q239" s="1"/>
      <c r="R239" s="5">
        <f t="shared" ref="R239:R280" si="88">IF(P$12=0,0,P239/P$12)</f>
        <v>-2.4578341572864797E-4</v>
      </c>
      <c r="S239" s="1"/>
      <c r="T239" s="1">
        <f>SUM(OSRRefT22_11x_0)</f>
        <v>25428.799999999999</v>
      </c>
      <c r="U239" s="1"/>
      <c r="V239" s="5">
        <f t="shared" ref="V239:V280" si="89">IF(T$12=0,0,T239/T$12)</f>
        <v>1.7619902236677002E-3</v>
      </c>
      <c r="W239" s="1"/>
      <c r="X239" s="1">
        <f t="shared" ref="X239:X280" si="90">+P239-T239</f>
        <v>-28407.67</v>
      </c>
      <c r="Y239" s="1"/>
      <c r="Z239" s="5">
        <f t="shared" ref="Z239:Z280" si="91">IF(T239=0,0,X239/T239)</f>
        <v>-1.1171455200402693</v>
      </c>
    </row>
    <row r="240" spans="1:26" s="24" customFormat="1" hidden="1" outlineLevel="2" x14ac:dyDescent="0.35">
      <c r="A240" s="27"/>
      <c r="B240" s="11" t="str">
        <f>CONCATENATE("          ", "6279", " - ", "GENERAL EXPENSE")</f>
        <v xml:space="preserve">          6279 - GENERAL EXPENSE</v>
      </c>
      <c r="C240" s="11"/>
      <c r="D240" s="7">
        <v>-1613.24</v>
      </c>
      <c r="E240" s="2"/>
      <c r="F240" s="6">
        <f t="shared" si="84"/>
        <v>-2.4604673313952889E-3</v>
      </c>
      <c r="G240" s="2"/>
      <c r="H240" s="7">
        <v>-285.75</v>
      </c>
      <c r="I240" s="2"/>
      <c r="J240" s="6">
        <f t="shared" si="85"/>
        <v>-7.3470060236964659E-4</v>
      </c>
      <c r="K240" s="2"/>
      <c r="L240" s="7">
        <f t="shared" si="86"/>
        <v>-1327.49</v>
      </c>
      <c r="M240" s="2"/>
      <c r="N240" s="6">
        <f t="shared" si="87"/>
        <v>4.6456342957130357</v>
      </c>
      <c r="O240" s="11"/>
      <c r="P240" s="7">
        <v>-2978.87</v>
      </c>
      <c r="Q240" s="2"/>
      <c r="R240" s="6">
        <f t="shared" si="88"/>
        <v>-2.4578341572864797E-4</v>
      </c>
      <c r="S240" s="2"/>
      <c r="T240" s="7">
        <v>25428.799999999999</v>
      </c>
      <c r="U240" s="2"/>
      <c r="V240" s="6">
        <f t="shared" si="89"/>
        <v>1.7619902236677002E-3</v>
      </c>
      <c r="W240" s="2"/>
      <c r="X240" s="7">
        <f t="shared" si="90"/>
        <v>-28407.67</v>
      </c>
      <c r="Y240" s="2"/>
      <c r="Z240" s="6">
        <f t="shared" si="91"/>
        <v>-1.1171455200402693</v>
      </c>
    </row>
    <row r="241" spans="1:26" s="25" customFormat="1" outlineLevel="1" collapsed="1" x14ac:dyDescent="0.35">
      <c r="A241" s="26"/>
      <c r="B241" s="12" t="str">
        <f>CONCATENATE("     ","Insurance                                         ")</f>
        <v xml:space="preserve">     Insurance                                         </v>
      </c>
      <c r="C241" s="12"/>
      <c r="D241" s="1">
        <f>SUM(OSRRefD22_12x_0)</f>
        <v>4044.74</v>
      </c>
      <c r="E241" s="1"/>
      <c r="F241" s="5">
        <f t="shared" si="84"/>
        <v>6.168921322300327E-3</v>
      </c>
      <c r="G241" s="1"/>
      <c r="H241" s="1">
        <f>SUM(OSRRefH22_12x_0)</f>
        <v>3809.97</v>
      </c>
      <c r="I241" s="1"/>
      <c r="J241" s="5">
        <f t="shared" si="85"/>
        <v>9.7959308976737786E-3</v>
      </c>
      <c r="K241" s="1"/>
      <c r="L241" s="1">
        <f t="shared" si="86"/>
        <v>234.76999999999998</v>
      </c>
      <c r="M241" s="1"/>
      <c r="N241" s="5">
        <f t="shared" si="87"/>
        <v>6.1619907768302638E-2</v>
      </c>
      <c r="O241" s="12"/>
      <c r="P241" s="1">
        <f>SUM(OSRRefP22_12x_0)</f>
        <v>48536.88</v>
      </c>
      <c r="Q241" s="1"/>
      <c r="R241" s="5">
        <f t="shared" si="88"/>
        <v>4.0047266766295607E-3</v>
      </c>
      <c r="S241" s="1"/>
      <c r="T241" s="1">
        <f>SUM(OSRRefT22_12x_0)</f>
        <v>38930.870000000003</v>
      </c>
      <c r="U241" s="1"/>
      <c r="V241" s="5">
        <f t="shared" si="89"/>
        <v>2.6975638779210254E-3</v>
      </c>
      <c r="W241" s="1"/>
      <c r="X241" s="1">
        <f t="shared" si="90"/>
        <v>9606.0099999999948</v>
      </c>
      <c r="Y241" s="1"/>
      <c r="Z241" s="5">
        <f t="shared" si="91"/>
        <v>0.24674532061574772</v>
      </c>
    </row>
    <row r="242" spans="1:26" s="24" customFormat="1" hidden="1" outlineLevel="2" x14ac:dyDescent="0.35">
      <c r="A242" s="27"/>
      <c r="B242" s="11" t="str">
        <f>CONCATENATE("          ", "6314", " - ", "LIABILITY INSURANCE")</f>
        <v xml:space="preserve">          6314 - LIABILITY INSURANCE</v>
      </c>
      <c r="C242" s="11"/>
      <c r="D242" s="7">
        <v>4044.74</v>
      </c>
      <c r="E242" s="2"/>
      <c r="F242" s="6">
        <f t="shared" si="84"/>
        <v>6.168921322300327E-3</v>
      </c>
      <c r="G242" s="2"/>
      <c r="H242" s="7">
        <v>3809.97</v>
      </c>
      <c r="I242" s="2"/>
      <c r="J242" s="6">
        <f t="shared" si="85"/>
        <v>9.7959308976737786E-3</v>
      </c>
      <c r="K242" s="2"/>
      <c r="L242" s="7">
        <f t="shared" si="86"/>
        <v>234.76999999999998</v>
      </c>
      <c r="M242" s="2"/>
      <c r="N242" s="6">
        <f t="shared" si="87"/>
        <v>6.1619907768302638E-2</v>
      </c>
      <c r="O242" s="11"/>
      <c r="P242" s="7">
        <v>48536.88</v>
      </c>
      <c r="Q242" s="2"/>
      <c r="R242" s="6">
        <f t="shared" si="88"/>
        <v>4.0047266766295607E-3</v>
      </c>
      <c r="S242" s="2"/>
      <c r="T242" s="7">
        <v>38930.870000000003</v>
      </c>
      <c r="U242" s="2"/>
      <c r="V242" s="6">
        <f t="shared" si="89"/>
        <v>2.6975638779210254E-3</v>
      </c>
      <c r="W242" s="2"/>
      <c r="X242" s="7">
        <f t="shared" si="90"/>
        <v>9606.0099999999948</v>
      </c>
      <c r="Y242" s="2"/>
      <c r="Z242" s="6">
        <f t="shared" si="91"/>
        <v>0.24674532061574772</v>
      </c>
    </row>
    <row r="243" spans="1:26" s="25" customFormat="1" outlineLevel="1" collapsed="1" x14ac:dyDescent="0.35">
      <c r="A243" s="26"/>
      <c r="B243" s="12" t="str">
        <f>CONCATENATE("     ","Inventory Adjustment                              ")</f>
        <v xml:space="preserve">     Inventory Adjustment                              </v>
      </c>
      <c r="C243" s="12"/>
      <c r="D243" s="1">
        <f>SUM(OSRRefD22_13x_0)</f>
        <v>-53350</v>
      </c>
      <c r="E243" s="1"/>
      <c r="F243" s="5">
        <f t="shared" si="84"/>
        <v>-8.1367888305483776E-2</v>
      </c>
      <c r="G243" s="1"/>
      <c r="H243" s="1">
        <f>SUM(OSRRefH22_13x_0)</f>
        <v>-110900</v>
      </c>
      <c r="I243" s="1"/>
      <c r="J243" s="5">
        <f t="shared" si="85"/>
        <v>-0.28513839651021455</v>
      </c>
      <c r="K243" s="1"/>
      <c r="L243" s="1">
        <f t="shared" si="86"/>
        <v>57550</v>
      </c>
      <c r="M243" s="1"/>
      <c r="N243" s="5">
        <f t="shared" si="87"/>
        <v>-0.51893597835888183</v>
      </c>
      <c r="O243" s="12"/>
      <c r="P243" s="1">
        <f>SUM(OSRRefP22_13x_0)</f>
        <v>7.2759576141834259E-12</v>
      </c>
      <c r="Q243" s="1"/>
      <c r="R243" s="5">
        <f t="shared" si="88"/>
        <v>6.0033157375476828E-19</v>
      </c>
      <c r="S243" s="1"/>
      <c r="T243" s="1">
        <f>SUM(OSRRefT22_13x_0)</f>
        <v>0</v>
      </c>
      <c r="U243" s="1"/>
      <c r="V243" s="5">
        <f t="shared" si="89"/>
        <v>0</v>
      </c>
      <c r="W243" s="1"/>
      <c r="X243" s="1">
        <f t="shared" si="90"/>
        <v>7.2759576141834259E-12</v>
      </c>
      <c r="Y243" s="1"/>
      <c r="Z243" s="5">
        <f t="shared" si="91"/>
        <v>0</v>
      </c>
    </row>
    <row r="244" spans="1:26" s="24" customFormat="1" hidden="1" outlineLevel="2" x14ac:dyDescent="0.35">
      <c r="A244" s="27"/>
      <c r="B244" s="11" t="str">
        <f>CONCATENATE("          ", "6408", " - ", "INVENTORY ADJUSTMENT")</f>
        <v xml:space="preserve">          6408 - INVENTORY ADJUSTMENT</v>
      </c>
      <c r="C244" s="11"/>
      <c r="D244" s="7">
        <v>-53350</v>
      </c>
      <c r="E244" s="2"/>
      <c r="F244" s="6">
        <f t="shared" si="84"/>
        <v>-8.1367888305483776E-2</v>
      </c>
      <c r="G244" s="2"/>
      <c r="H244" s="7">
        <v>-110900</v>
      </c>
      <c r="I244" s="2"/>
      <c r="J244" s="6">
        <f t="shared" si="85"/>
        <v>-0.28513839651021455</v>
      </c>
      <c r="K244" s="2"/>
      <c r="L244" s="7">
        <f t="shared" si="86"/>
        <v>57550</v>
      </c>
      <c r="M244" s="2"/>
      <c r="N244" s="6">
        <f t="shared" si="87"/>
        <v>-0.51893597835888183</v>
      </c>
      <c r="O244" s="11"/>
      <c r="P244" s="7">
        <v>0</v>
      </c>
      <c r="Q244" s="2"/>
      <c r="R244" s="6">
        <f t="shared" si="88"/>
        <v>0</v>
      </c>
      <c r="S244" s="2"/>
      <c r="T244" s="7">
        <v>0</v>
      </c>
      <c r="U244" s="2"/>
      <c r="V244" s="6">
        <f t="shared" si="89"/>
        <v>0</v>
      </c>
      <c r="W244" s="2"/>
      <c r="X244" s="7">
        <f t="shared" si="90"/>
        <v>0</v>
      </c>
      <c r="Y244" s="2"/>
      <c r="Z244" s="6">
        <f t="shared" si="91"/>
        <v>0</v>
      </c>
    </row>
    <row r="245" spans="1:26" s="24" customFormat="1" hidden="1" outlineLevel="2" x14ac:dyDescent="0.35">
      <c r="A245" s="27"/>
      <c r="B245" s="11" t="str">
        <f>CONCATENATE("          ", "7700", " - ", "INV. SHRINKAGE @ RETAIL-CONTRA")</f>
        <v xml:space="preserve">          7700 - INV. SHRINKAGE @ RETAIL-CONTRA</v>
      </c>
      <c r="C245" s="11"/>
      <c r="D245" s="7">
        <v>-99781</v>
      </c>
      <c r="E245" s="2"/>
      <c r="F245" s="6">
        <f t="shared" si="84"/>
        <v>-0.15218311645753471</v>
      </c>
      <c r="G245" s="2"/>
      <c r="H245" s="7">
        <v>166740</v>
      </c>
      <c r="I245" s="2"/>
      <c r="J245" s="6">
        <f t="shared" si="85"/>
        <v>0.42871033574493395</v>
      </c>
      <c r="K245" s="2"/>
      <c r="L245" s="7">
        <f t="shared" si="86"/>
        <v>-266521</v>
      </c>
      <c r="M245" s="2"/>
      <c r="N245" s="6">
        <f t="shared" si="87"/>
        <v>-1.5984226940146335</v>
      </c>
      <c r="O245" s="11"/>
      <c r="P245" s="7">
        <v>-99781</v>
      </c>
      <c r="Q245" s="2"/>
      <c r="R245" s="6">
        <f t="shared" si="88"/>
        <v>-8.2328248647373752E-3</v>
      </c>
      <c r="S245" s="2"/>
      <c r="T245" s="7">
        <v>166740</v>
      </c>
      <c r="U245" s="2"/>
      <c r="V245" s="6">
        <f t="shared" si="89"/>
        <v>1.1553602603911799E-2</v>
      </c>
      <c r="W245" s="2"/>
      <c r="X245" s="7">
        <f t="shared" si="90"/>
        <v>-266521</v>
      </c>
      <c r="Y245" s="2"/>
      <c r="Z245" s="6">
        <f t="shared" si="91"/>
        <v>-1.5984226940146335</v>
      </c>
    </row>
    <row r="246" spans="1:26" s="24" customFormat="1" hidden="1" outlineLevel="2" x14ac:dyDescent="0.35">
      <c r="A246" s="27"/>
      <c r="B246" s="11" t="str">
        <f>CONCATENATE("          ", "7701", " - ", "INV. SHRINKAGE-NEW TEXT")</f>
        <v xml:space="preserve">          7701 - INV. SHRINKAGE-NEW TEXT</v>
      </c>
      <c r="C246" s="11"/>
      <c r="D246" s="7">
        <v>-4346</v>
      </c>
      <c r="E246" s="2"/>
      <c r="F246" s="6">
        <f t="shared" si="84"/>
        <v>-6.6283944250352857E-3</v>
      </c>
      <c r="G246" s="2"/>
      <c r="H246" s="7">
        <v>-79917</v>
      </c>
      <c r="I246" s="2"/>
      <c r="J246" s="6">
        <f t="shared" si="85"/>
        <v>-0.20547705350682433</v>
      </c>
      <c r="K246" s="2"/>
      <c r="L246" s="7">
        <f t="shared" si="86"/>
        <v>75571</v>
      </c>
      <c r="M246" s="2"/>
      <c r="N246" s="6">
        <f t="shared" si="87"/>
        <v>-0.94561857927599879</v>
      </c>
      <c r="O246" s="11"/>
      <c r="P246" s="7">
        <v>-4346</v>
      </c>
      <c r="Q246" s="2"/>
      <c r="R246" s="6">
        <f t="shared" si="88"/>
        <v>-3.5858386729085328E-4</v>
      </c>
      <c r="S246" s="2"/>
      <c r="T246" s="7">
        <v>-79917</v>
      </c>
      <c r="U246" s="2"/>
      <c r="V246" s="6">
        <f t="shared" si="89"/>
        <v>-5.5375390386039293E-3</v>
      </c>
      <c r="W246" s="2"/>
      <c r="X246" s="7">
        <f t="shared" si="90"/>
        <v>75571</v>
      </c>
      <c r="Y246" s="2"/>
      <c r="Z246" s="6">
        <f t="shared" si="91"/>
        <v>-0.94561857927599879</v>
      </c>
    </row>
    <row r="247" spans="1:26" s="24" customFormat="1" hidden="1" outlineLevel="2" x14ac:dyDescent="0.35">
      <c r="A247" s="27"/>
      <c r="B247" s="11" t="str">
        <f>CONCATENATE("          ", "7702", " - ", "INV. SHRINKAGE-USED TEXT")</f>
        <v xml:space="preserve">          7702 - INV. SHRINKAGE-USED TEXT</v>
      </c>
      <c r="C247" s="11"/>
      <c r="D247" s="7">
        <v>-29494</v>
      </c>
      <c r="E247" s="2"/>
      <c r="F247" s="6">
        <f t="shared" si="84"/>
        <v>-4.4983402018405595E-2</v>
      </c>
      <c r="G247" s="2"/>
      <c r="H247" s="7">
        <v>-5215</v>
      </c>
      <c r="I247" s="2"/>
      <c r="J247" s="6">
        <f t="shared" si="85"/>
        <v>-1.3408446688915861E-2</v>
      </c>
      <c r="K247" s="2"/>
      <c r="L247" s="7">
        <f t="shared" si="86"/>
        <v>-24279</v>
      </c>
      <c r="M247" s="2"/>
      <c r="N247" s="6">
        <f t="shared" si="87"/>
        <v>4.6556088207094914</v>
      </c>
      <c r="O247" s="11"/>
      <c r="P247" s="7">
        <v>-29494</v>
      </c>
      <c r="Q247" s="2"/>
      <c r="R247" s="6">
        <f t="shared" si="88"/>
        <v>-2.4335187717156987E-3</v>
      </c>
      <c r="S247" s="2"/>
      <c r="T247" s="7">
        <v>-5215</v>
      </c>
      <c r="U247" s="2"/>
      <c r="V247" s="6">
        <f t="shared" si="89"/>
        <v>-3.6135323005517589E-4</v>
      </c>
      <c r="W247" s="2"/>
      <c r="X247" s="7">
        <f t="shared" si="90"/>
        <v>-24279</v>
      </c>
      <c r="Y247" s="2"/>
      <c r="Z247" s="6">
        <f t="shared" si="91"/>
        <v>4.6556088207094914</v>
      </c>
    </row>
    <row r="248" spans="1:26" s="24" customFormat="1" hidden="1" outlineLevel="2" x14ac:dyDescent="0.35">
      <c r="A248" s="27"/>
      <c r="B248" s="11" t="str">
        <f>CONCATENATE("          ", "7703", " - ", "INV. SHRINKAGE-RENTAL TEXT")</f>
        <v xml:space="preserve">          7703 - INV. SHRINKAGE-RENTAL TEXT</v>
      </c>
      <c r="C248" s="11"/>
      <c r="D248" s="7">
        <v>526</v>
      </c>
      <c r="E248" s="2"/>
      <c r="F248" s="6">
        <f t="shared" si="84"/>
        <v>8.0224009838208933E-4</v>
      </c>
      <c r="G248" s="2"/>
      <c r="H248" s="7">
        <v>30858</v>
      </c>
      <c r="I248" s="2"/>
      <c r="J248" s="6">
        <f t="shared" si="85"/>
        <v>7.9339951663770975E-2</v>
      </c>
      <c r="K248" s="2"/>
      <c r="L248" s="7">
        <f t="shared" si="86"/>
        <v>-30332</v>
      </c>
      <c r="M248" s="2"/>
      <c r="N248" s="6">
        <f t="shared" si="87"/>
        <v>-0.98295417719878153</v>
      </c>
      <c r="O248" s="11"/>
      <c r="P248" s="7">
        <v>526</v>
      </c>
      <c r="Q248" s="2"/>
      <c r="R248" s="6">
        <f t="shared" si="88"/>
        <v>4.3399704140586478E-5</v>
      </c>
      <c r="S248" s="2"/>
      <c r="T248" s="7">
        <v>30858</v>
      </c>
      <c r="U248" s="2"/>
      <c r="V248" s="6">
        <f t="shared" si="89"/>
        <v>2.1381856132392362E-3</v>
      </c>
      <c r="W248" s="2"/>
      <c r="X248" s="7">
        <f t="shared" si="90"/>
        <v>-30332</v>
      </c>
      <c r="Y248" s="2"/>
      <c r="Z248" s="6">
        <f t="shared" si="91"/>
        <v>-0.98295417719878153</v>
      </c>
    </row>
    <row r="249" spans="1:26" s="24" customFormat="1" hidden="1" outlineLevel="2" x14ac:dyDescent="0.35">
      <c r="A249" s="27"/>
      <c r="B249" s="11" t="str">
        <f>CONCATENATE("          ", "7704", " - ", "INV. SHRINKAGE-DIGITAL TEXT")</f>
        <v xml:space="preserve">          7704 - INV. SHRINKAGE-DIGITAL TEXT</v>
      </c>
      <c r="C249" s="11"/>
      <c r="D249" s="7">
        <v>816</v>
      </c>
      <c r="E249" s="2"/>
      <c r="F249" s="6">
        <f t="shared" si="84"/>
        <v>1.2445397723950284E-3</v>
      </c>
      <c r="G249" s="2"/>
      <c r="H249" s="7">
        <v>-37301</v>
      </c>
      <c r="I249" s="2"/>
      <c r="J249" s="6">
        <f t="shared" si="85"/>
        <v>-9.5905746873106518E-2</v>
      </c>
      <c r="K249" s="2"/>
      <c r="L249" s="7">
        <f t="shared" si="86"/>
        <v>38117</v>
      </c>
      <c r="M249" s="2"/>
      <c r="N249" s="6">
        <f t="shared" si="87"/>
        <v>-1.0218760891128924</v>
      </c>
      <c r="O249" s="11"/>
      <c r="P249" s="7">
        <v>816</v>
      </c>
      <c r="Q249" s="2"/>
      <c r="R249" s="6">
        <f t="shared" si="88"/>
        <v>6.7327297678172179E-5</v>
      </c>
      <c r="S249" s="2"/>
      <c r="T249" s="7">
        <v>-37301</v>
      </c>
      <c r="U249" s="2"/>
      <c r="V249" s="6">
        <f t="shared" si="89"/>
        <v>-2.5846283478980089E-3</v>
      </c>
      <c r="W249" s="2"/>
      <c r="X249" s="7">
        <f t="shared" si="90"/>
        <v>38117</v>
      </c>
      <c r="Y249" s="2"/>
      <c r="Z249" s="6">
        <f t="shared" si="91"/>
        <v>-1.0218760891128924</v>
      </c>
    </row>
    <row r="250" spans="1:26" s="24" customFormat="1" hidden="1" outlineLevel="2" x14ac:dyDescent="0.35">
      <c r="A250" s="27"/>
      <c r="B250" s="11" t="str">
        <f>CONCATENATE("          ", "7711", " - ", "INV. SHRINKAGE-NO VALUE TEXT")</f>
        <v xml:space="preserve">          7711 - INV. SHRINKAGE-NO VALUE TEXT</v>
      </c>
      <c r="C250" s="11"/>
      <c r="D250" s="7">
        <v>-1126</v>
      </c>
      <c r="E250" s="2"/>
      <c r="F250" s="6">
        <f t="shared" si="84"/>
        <v>-1.7173428722019632E-3</v>
      </c>
      <c r="G250" s="2"/>
      <c r="H250" s="7">
        <v>-2516</v>
      </c>
      <c r="I250" s="2"/>
      <c r="J250" s="6">
        <f t="shared" si="85"/>
        <v>-6.4689648838566257E-3</v>
      </c>
      <c r="K250" s="2"/>
      <c r="L250" s="7">
        <f t="shared" si="86"/>
        <v>1390</v>
      </c>
      <c r="M250" s="2"/>
      <c r="N250" s="6">
        <f t="shared" si="87"/>
        <v>-0.55246422893481717</v>
      </c>
      <c r="O250" s="11"/>
      <c r="P250" s="7">
        <v>-1126</v>
      </c>
      <c r="Q250" s="2"/>
      <c r="R250" s="6">
        <f t="shared" si="88"/>
        <v>-9.2905070080418959E-5</v>
      </c>
      <c r="S250" s="2"/>
      <c r="T250" s="7">
        <v>-2516</v>
      </c>
      <c r="U250" s="2"/>
      <c r="V250" s="6">
        <f t="shared" si="89"/>
        <v>-1.7433647685883462E-4</v>
      </c>
      <c r="W250" s="2"/>
      <c r="X250" s="7">
        <f t="shared" si="90"/>
        <v>1390</v>
      </c>
      <c r="Y250" s="2"/>
      <c r="Z250" s="6">
        <f t="shared" si="91"/>
        <v>-0.55246422893481717</v>
      </c>
    </row>
    <row r="251" spans="1:26" s="24" customFormat="1" hidden="1" outlineLevel="2" x14ac:dyDescent="0.35">
      <c r="A251" s="27"/>
      <c r="B251" s="11" t="str">
        <f>CONCATENATE("          ", "7713", " - ", "INV. SHRINKAGE-TRADE BOOKS")</f>
        <v xml:space="preserve">          7713 - INV. SHRINKAGE-TRADE BOOKS</v>
      </c>
      <c r="C251" s="11"/>
      <c r="D251" s="7">
        <v>-385</v>
      </c>
      <c r="E251" s="2"/>
      <c r="F251" s="6">
        <f t="shared" si="84"/>
        <v>-5.8719094653441901E-4</v>
      </c>
      <c r="G251" s="2"/>
      <c r="H251" s="7">
        <v>749</v>
      </c>
      <c r="I251" s="2"/>
      <c r="J251" s="6">
        <f t="shared" si="85"/>
        <v>1.9257769069986538E-3</v>
      </c>
      <c r="K251" s="2"/>
      <c r="L251" s="7">
        <f t="shared" si="86"/>
        <v>-1134</v>
      </c>
      <c r="M251" s="2"/>
      <c r="N251" s="6">
        <f t="shared" si="87"/>
        <v>-1.514018691588785</v>
      </c>
      <c r="O251" s="11"/>
      <c r="P251" s="7">
        <v>-385</v>
      </c>
      <c r="Q251" s="2"/>
      <c r="R251" s="6">
        <f t="shared" si="88"/>
        <v>-3.1765943144725843E-5</v>
      </c>
      <c r="S251" s="2"/>
      <c r="T251" s="7">
        <v>749</v>
      </c>
      <c r="U251" s="2"/>
      <c r="V251" s="6">
        <f t="shared" si="89"/>
        <v>5.1899054517991703E-5</v>
      </c>
      <c r="W251" s="2"/>
      <c r="X251" s="7">
        <f t="shared" si="90"/>
        <v>-1134</v>
      </c>
      <c r="Y251" s="2"/>
      <c r="Z251" s="6">
        <f t="shared" si="91"/>
        <v>-1.514018691588785</v>
      </c>
    </row>
    <row r="252" spans="1:26" s="24" customFormat="1" hidden="1" outlineLevel="2" x14ac:dyDescent="0.35">
      <c r="A252" s="27"/>
      <c r="B252" s="11" t="str">
        <f>CONCATENATE("          ", "7714", " - ", "INV. SHRINKAGE-REMAINDERS")</f>
        <v xml:space="preserve">          7714 - INV. SHRINKAGE-REMAINDERS</v>
      </c>
      <c r="C252" s="11"/>
      <c r="D252" s="7">
        <v>204</v>
      </c>
      <c r="E252" s="2"/>
      <c r="F252" s="6">
        <f t="shared" si="84"/>
        <v>3.111349430987571E-4</v>
      </c>
      <c r="G252" s="2"/>
      <c r="H252" s="7">
        <v>-23</v>
      </c>
      <c r="I252" s="2"/>
      <c r="J252" s="6">
        <f t="shared" si="85"/>
        <v>-5.9136006489945311E-5</v>
      </c>
      <c r="K252" s="2"/>
      <c r="L252" s="7">
        <f t="shared" si="86"/>
        <v>227</v>
      </c>
      <c r="M252" s="2"/>
      <c r="N252" s="6">
        <f t="shared" si="87"/>
        <v>-9.8695652173913047</v>
      </c>
      <c r="O252" s="11"/>
      <c r="P252" s="7">
        <v>204</v>
      </c>
      <c r="Q252" s="2"/>
      <c r="R252" s="6">
        <f t="shared" si="88"/>
        <v>1.6831824419543045E-5</v>
      </c>
      <c r="S252" s="2"/>
      <c r="T252" s="7">
        <v>-23</v>
      </c>
      <c r="U252" s="2"/>
      <c r="V252" s="6">
        <f t="shared" si="89"/>
        <v>-1.5936959331292514E-6</v>
      </c>
      <c r="W252" s="2"/>
      <c r="X252" s="7">
        <f t="shared" si="90"/>
        <v>227</v>
      </c>
      <c r="Y252" s="2"/>
      <c r="Z252" s="6">
        <f t="shared" si="91"/>
        <v>-9.8695652173913047</v>
      </c>
    </row>
    <row r="253" spans="1:26" s="24" customFormat="1" hidden="1" outlineLevel="2" x14ac:dyDescent="0.35">
      <c r="A253" s="27"/>
      <c r="B253" s="11" t="str">
        <f>CONCATENATE("          ", "7717", " - ", "INV. SHRINKAGE-DORM/HOUSEWARES")</f>
        <v xml:space="preserve">          7717 - INV. SHRINKAGE-DORM/HOUSEWARES</v>
      </c>
      <c r="C253" s="11"/>
      <c r="D253" s="7">
        <v>-254</v>
      </c>
      <c r="E253" s="2"/>
      <c r="F253" s="6">
        <f t="shared" si="84"/>
        <v>-3.8739350758374655E-4</v>
      </c>
      <c r="G253" s="2"/>
      <c r="H253" s="7">
        <v>-22</v>
      </c>
      <c r="I253" s="2"/>
      <c r="J253" s="6">
        <f t="shared" si="85"/>
        <v>-5.6564875772991164E-5</v>
      </c>
      <c r="K253" s="2"/>
      <c r="L253" s="7">
        <f t="shared" si="86"/>
        <v>-232</v>
      </c>
      <c r="M253" s="2"/>
      <c r="N253" s="6">
        <f t="shared" si="87"/>
        <v>10.545454545454545</v>
      </c>
      <c r="O253" s="11"/>
      <c r="P253" s="7">
        <v>-254</v>
      </c>
      <c r="Q253" s="2"/>
      <c r="R253" s="6">
        <f t="shared" si="88"/>
        <v>-2.095727158119575E-5</v>
      </c>
      <c r="S253" s="2"/>
      <c r="T253" s="7">
        <v>-22</v>
      </c>
      <c r="U253" s="2"/>
      <c r="V253" s="6">
        <f t="shared" si="89"/>
        <v>-1.5244048056018926E-6</v>
      </c>
      <c r="W253" s="2"/>
      <c r="X253" s="7">
        <f t="shared" si="90"/>
        <v>-232</v>
      </c>
      <c r="Y253" s="2"/>
      <c r="Z253" s="6">
        <f t="shared" si="91"/>
        <v>10.545454545454545</v>
      </c>
    </row>
    <row r="254" spans="1:26" s="24" customFormat="1" hidden="1" outlineLevel="2" x14ac:dyDescent="0.35">
      <c r="A254" s="27"/>
      <c r="B254" s="11" t="str">
        <f>CONCATENATE("          ", "7718", " - ", "INV. SHRINKAGE-STUDY GUIDES")</f>
        <v xml:space="preserve">          7718 - INV. SHRINKAGE-STUDY GUIDES</v>
      </c>
      <c r="C254" s="11"/>
      <c r="D254" s="7">
        <v>458</v>
      </c>
      <c r="E254" s="2"/>
      <c r="F254" s="6">
        <f t="shared" si="84"/>
        <v>6.985284506825037E-4</v>
      </c>
      <c r="G254" s="2"/>
      <c r="H254" s="7">
        <v>-1534</v>
      </c>
      <c r="I254" s="2"/>
      <c r="J254" s="6">
        <f t="shared" si="85"/>
        <v>-3.9441145198076564E-3</v>
      </c>
      <c r="K254" s="2"/>
      <c r="L254" s="7">
        <f t="shared" si="86"/>
        <v>1992</v>
      </c>
      <c r="M254" s="2"/>
      <c r="N254" s="6">
        <f t="shared" si="87"/>
        <v>-1.2985658409387224</v>
      </c>
      <c r="O254" s="11"/>
      <c r="P254" s="7">
        <v>458</v>
      </c>
      <c r="Q254" s="2"/>
      <c r="R254" s="6">
        <f t="shared" si="88"/>
        <v>3.7789096000738799E-5</v>
      </c>
      <c r="S254" s="2"/>
      <c r="T254" s="7">
        <v>-1534</v>
      </c>
      <c r="U254" s="2"/>
      <c r="V254" s="6">
        <f t="shared" si="89"/>
        <v>-1.0629258962696832E-4</v>
      </c>
      <c r="W254" s="2"/>
      <c r="X254" s="7">
        <f t="shared" si="90"/>
        <v>1992</v>
      </c>
      <c r="Y254" s="2"/>
      <c r="Z254" s="6">
        <f t="shared" si="91"/>
        <v>-1.2985658409387224</v>
      </c>
    </row>
    <row r="255" spans="1:26" s="24" customFormat="1" hidden="1" outlineLevel="2" x14ac:dyDescent="0.35">
      <c r="A255" s="27"/>
      <c r="B255" s="11" t="str">
        <f>CONCATENATE("          ", "7719", " - ", "INV. SHRINKAGE-BOOK RELATED")</f>
        <v xml:space="preserve">          7719 - INV. SHRINKAGE-BOOK RELATED</v>
      </c>
      <c r="C255" s="11"/>
      <c r="D255" s="7">
        <v>-43</v>
      </c>
      <c r="E255" s="2"/>
      <c r="F255" s="6">
        <f t="shared" si="84"/>
        <v>-6.558236545709095E-5</v>
      </c>
      <c r="G255" s="2"/>
      <c r="H255" s="7">
        <v>-43</v>
      </c>
      <c r="I255" s="2"/>
      <c r="J255" s="6">
        <f t="shared" si="85"/>
        <v>-1.1055862082902819E-4</v>
      </c>
      <c r="K255" s="2"/>
      <c r="L255" s="7">
        <f t="shared" si="86"/>
        <v>0</v>
      </c>
      <c r="M255" s="2"/>
      <c r="N255" s="6">
        <f t="shared" si="87"/>
        <v>0</v>
      </c>
      <c r="O255" s="11"/>
      <c r="P255" s="7">
        <v>-43</v>
      </c>
      <c r="Q255" s="2"/>
      <c r="R255" s="6">
        <f t="shared" si="88"/>
        <v>-3.5478845590213278E-6</v>
      </c>
      <c r="S255" s="2"/>
      <c r="T255" s="7">
        <v>-43</v>
      </c>
      <c r="U255" s="2"/>
      <c r="V255" s="6">
        <f t="shared" si="89"/>
        <v>-2.9795184836764264E-6</v>
      </c>
      <c r="W255" s="2"/>
      <c r="X255" s="7">
        <f t="shared" si="90"/>
        <v>0</v>
      </c>
      <c r="Y255" s="2"/>
      <c r="Z255" s="6">
        <f t="shared" si="91"/>
        <v>0</v>
      </c>
    </row>
    <row r="256" spans="1:26" s="24" customFormat="1" hidden="1" outlineLevel="2" x14ac:dyDescent="0.35">
      <c r="A256" s="27"/>
      <c r="B256" s="11" t="str">
        <f>CONCATENATE("          ", "7725", " - ", "INV. SHRINKAGE-TEST FORMS")</f>
        <v xml:space="preserve">          7725 - INV. SHRINKAGE-TEST FORMS</v>
      </c>
      <c r="C256" s="11"/>
      <c r="D256" s="7">
        <v>3987</v>
      </c>
      <c r="E256" s="2"/>
      <c r="F256" s="6">
        <f t="shared" si="84"/>
        <v>6.0808579320330612E-3</v>
      </c>
      <c r="G256" s="2"/>
      <c r="H256" s="7">
        <v>95</v>
      </c>
      <c r="I256" s="2"/>
      <c r="J256" s="6">
        <f t="shared" si="85"/>
        <v>2.4425741811064366E-4</v>
      </c>
      <c r="K256" s="2"/>
      <c r="L256" s="7">
        <f t="shared" si="86"/>
        <v>3892</v>
      </c>
      <c r="M256" s="2"/>
      <c r="N256" s="6">
        <f t="shared" si="87"/>
        <v>40.968421052631577</v>
      </c>
      <c r="O256" s="11"/>
      <c r="P256" s="7">
        <v>3987</v>
      </c>
      <c r="Q256" s="2"/>
      <c r="R256" s="6">
        <f t="shared" si="88"/>
        <v>3.2896315667018685E-4</v>
      </c>
      <c r="S256" s="2"/>
      <c r="T256" s="7">
        <v>95</v>
      </c>
      <c r="U256" s="2"/>
      <c r="V256" s="6">
        <f t="shared" si="89"/>
        <v>6.5826571150990817E-6</v>
      </c>
      <c r="W256" s="2"/>
      <c r="X256" s="7">
        <f t="shared" si="90"/>
        <v>3892</v>
      </c>
      <c r="Y256" s="2"/>
      <c r="Z256" s="6">
        <f t="shared" si="91"/>
        <v>40.968421052631577</v>
      </c>
    </row>
    <row r="257" spans="1:26" s="24" customFormat="1" hidden="1" outlineLevel="2" x14ac:dyDescent="0.35">
      <c r="A257" s="27"/>
      <c r="B257" s="11" t="str">
        <f>CONCATENATE("          ", "7726", " - ", "INV. SHRINKAGE-WRITING INSTRUM")</f>
        <v xml:space="preserve">          7726 - INV. SHRINKAGE-WRITING INSTRUM</v>
      </c>
      <c r="C257" s="11"/>
      <c r="D257" s="7">
        <v>9153</v>
      </c>
      <c r="E257" s="2"/>
      <c r="F257" s="6">
        <f t="shared" si="84"/>
        <v>1.3959892814622175E-2</v>
      </c>
      <c r="G257" s="2"/>
      <c r="H257" s="7">
        <v>1467</v>
      </c>
      <c r="I257" s="2"/>
      <c r="J257" s="6">
        <f t="shared" si="85"/>
        <v>3.771848761771729E-3</v>
      </c>
      <c r="K257" s="2"/>
      <c r="L257" s="7">
        <f t="shared" si="86"/>
        <v>7686</v>
      </c>
      <c r="M257" s="2"/>
      <c r="N257" s="6">
        <f t="shared" si="87"/>
        <v>5.2392638036809815</v>
      </c>
      <c r="O257" s="11"/>
      <c r="P257" s="7">
        <v>9153</v>
      </c>
      <c r="Q257" s="2"/>
      <c r="R257" s="6">
        <f t="shared" si="88"/>
        <v>7.5520435741214457E-4</v>
      </c>
      <c r="S257" s="2"/>
      <c r="T257" s="7">
        <v>1467</v>
      </c>
      <c r="U257" s="2"/>
      <c r="V257" s="6">
        <f t="shared" si="89"/>
        <v>1.0165008408263529E-4</v>
      </c>
      <c r="W257" s="2"/>
      <c r="X257" s="7">
        <f t="shared" si="90"/>
        <v>7686</v>
      </c>
      <c r="Y257" s="2"/>
      <c r="Z257" s="6">
        <f t="shared" si="91"/>
        <v>5.2392638036809815</v>
      </c>
    </row>
    <row r="258" spans="1:26" s="24" customFormat="1" hidden="1" outlineLevel="2" x14ac:dyDescent="0.35">
      <c r="A258" s="27"/>
      <c r="B258" s="11" t="str">
        <f>CONCATENATE("          ", "7727", " - ", "INV. SHRINKAGE-SCHOOL SUPPLIES")</f>
        <v xml:space="preserve">          7727 - INV. SHRINKAGE-SCHOOL SUPPLIES</v>
      </c>
      <c r="C258" s="11"/>
      <c r="D258" s="7">
        <v>9822</v>
      </c>
      <c r="E258" s="2"/>
      <c r="F258" s="6">
        <f t="shared" si="84"/>
        <v>1.4980232407431335E-2</v>
      </c>
      <c r="G258" s="2"/>
      <c r="H258" s="7">
        <v>1404</v>
      </c>
      <c r="I258" s="2"/>
      <c r="J258" s="6">
        <f t="shared" si="85"/>
        <v>3.609867526603618E-3</v>
      </c>
      <c r="K258" s="2"/>
      <c r="L258" s="7">
        <f t="shared" si="86"/>
        <v>8418</v>
      </c>
      <c r="M258" s="2"/>
      <c r="N258" s="6">
        <f t="shared" si="87"/>
        <v>5.9957264957264957</v>
      </c>
      <c r="O258" s="11"/>
      <c r="P258" s="7">
        <v>9822</v>
      </c>
      <c r="Q258" s="2"/>
      <c r="R258" s="6">
        <f t="shared" si="88"/>
        <v>8.104028404350577E-4</v>
      </c>
      <c r="S258" s="2"/>
      <c r="T258" s="7">
        <v>1404</v>
      </c>
      <c r="U258" s="2"/>
      <c r="V258" s="6">
        <f t="shared" si="89"/>
        <v>9.7284743048411685E-5</v>
      </c>
      <c r="W258" s="2"/>
      <c r="X258" s="7">
        <f t="shared" si="90"/>
        <v>8418</v>
      </c>
      <c r="Y258" s="2"/>
      <c r="Z258" s="6">
        <f t="shared" si="91"/>
        <v>5.9957264957264957</v>
      </c>
    </row>
    <row r="259" spans="1:26" s="24" customFormat="1" hidden="1" outlineLevel="2" x14ac:dyDescent="0.35">
      <c r="A259" s="27"/>
      <c r="B259" s="11" t="str">
        <f>CONCATENATE("          ", "7728", " - ", "INV. SHRINKAGE-ART/TECH")</f>
        <v xml:space="preserve">          7728 - INV. SHRINKAGE-ART/TECH</v>
      </c>
      <c r="C259" s="11"/>
      <c r="D259" s="7">
        <v>8990</v>
      </c>
      <c r="E259" s="2"/>
      <c r="F259" s="6">
        <f t="shared" si="84"/>
        <v>1.3711289894401108E-2</v>
      </c>
      <c r="G259" s="2"/>
      <c r="H259" s="7">
        <v>4009</v>
      </c>
      <c r="I259" s="2"/>
      <c r="J259" s="6">
        <f t="shared" si="85"/>
        <v>1.0307663044269163E-2</v>
      </c>
      <c r="K259" s="2"/>
      <c r="L259" s="7">
        <f t="shared" si="86"/>
        <v>4981</v>
      </c>
      <c r="M259" s="2"/>
      <c r="N259" s="6">
        <f t="shared" si="87"/>
        <v>1.242454477425792</v>
      </c>
      <c r="O259" s="11"/>
      <c r="P259" s="7">
        <v>8990</v>
      </c>
      <c r="Q259" s="2"/>
      <c r="R259" s="6">
        <f t="shared" si="88"/>
        <v>7.4175539966515674E-4</v>
      </c>
      <c r="S259" s="2"/>
      <c r="T259" s="7">
        <v>4009</v>
      </c>
      <c r="U259" s="2"/>
      <c r="V259" s="6">
        <f t="shared" si="89"/>
        <v>2.7778813025718124E-4</v>
      </c>
      <c r="W259" s="2"/>
      <c r="X259" s="7">
        <f t="shared" si="90"/>
        <v>4981</v>
      </c>
      <c r="Y259" s="2"/>
      <c r="Z259" s="6">
        <f t="shared" si="91"/>
        <v>1.242454477425792</v>
      </c>
    </row>
    <row r="260" spans="1:26" s="24" customFormat="1" hidden="1" outlineLevel="2" x14ac:dyDescent="0.35">
      <c r="A260" s="27"/>
      <c r="B260" s="11" t="str">
        <f>CONCATENATE("          ", "7731", " - ", "INV. SHRINKAGE-FOOD")</f>
        <v xml:space="preserve">          7731 - INV. SHRINKAGE-FOOD</v>
      </c>
      <c r="C260" s="11"/>
      <c r="D260" s="7">
        <v>6964</v>
      </c>
      <c r="E260" s="2"/>
      <c r="F260" s="6">
        <f t="shared" si="84"/>
        <v>1.0621292861469336E-2</v>
      </c>
      <c r="G260" s="2"/>
      <c r="H260" s="7">
        <v>-237</v>
      </c>
      <c r="I260" s="2"/>
      <c r="J260" s="6">
        <f t="shared" si="85"/>
        <v>-6.0935797991813214E-4</v>
      </c>
      <c r="K260" s="2"/>
      <c r="L260" s="7">
        <f t="shared" si="86"/>
        <v>7201</v>
      </c>
      <c r="M260" s="2"/>
      <c r="N260" s="6">
        <f t="shared" si="87"/>
        <v>-30.383966244725737</v>
      </c>
      <c r="O260" s="11"/>
      <c r="P260" s="7">
        <v>6964</v>
      </c>
      <c r="Q260" s="2"/>
      <c r="R260" s="6">
        <f t="shared" si="88"/>
        <v>5.7459228067498896E-4</v>
      </c>
      <c r="S260" s="2"/>
      <c r="T260" s="7">
        <v>-237</v>
      </c>
      <c r="U260" s="2"/>
      <c r="V260" s="6">
        <f t="shared" si="89"/>
        <v>-1.6421997223984024E-5</v>
      </c>
      <c r="W260" s="2"/>
      <c r="X260" s="7">
        <f t="shared" si="90"/>
        <v>7201</v>
      </c>
      <c r="Y260" s="2"/>
      <c r="Z260" s="6">
        <f t="shared" si="91"/>
        <v>-30.383966244725737</v>
      </c>
    </row>
    <row r="261" spans="1:26" s="24" customFormat="1" hidden="1" outlineLevel="2" x14ac:dyDescent="0.35">
      <c r="A261" s="27"/>
      <c r="B261" s="11" t="str">
        <f>CONCATENATE("          ", "7732", " - ", "INV. SHRINKAGE-JUICE")</f>
        <v xml:space="preserve">          7732 - INV. SHRINKAGE-JUICE</v>
      </c>
      <c r="C261" s="11"/>
      <c r="D261" s="7">
        <v>-1942</v>
      </c>
      <c r="E261" s="2"/>
      <c r="F261" s="6">
        <f t="shared" si="84"/>
        <v>-2.9618826445969916E-3</v>
      </c>
      <c r="G261" s="2"/>
      <c r="H261" s="7">
        <v>-181</v>
      </c>
      <c r="I261" s="2"/>
      <c r="J261" s="6">
        <f t="shared" si="85"/>
        <v>-4.6537465976870007E-4</v>
      </c>
      <c r="K261" s="2"/>
      <c r="L261" s="7">
        <f t="shared" si="86"/>
        <v>-1761</v>
      </c>
      <c r="M261" s="2"/>
      <c r="N261" s="6">
        <f t="shared" si="87"/>
        <v>9.7292817679558006</v>
      </c>
      <c r="O261" s="11"/>
      <c r="P261" s="7">
        <v>-1942</v>
      </c>
      <c r="Q261" s="2"/>
      <c r="R261" s="6">
        <f t="shared" si="88"/>
        <v>-1.6023236775859114E-4</v>
      </c>
      <c r="S261" s="2"/>
      <c r="T261" s="7">
        <v>-181</v>
      </c>
      <c r="U261" s="2"/>
      <c r="V261" s="6">
        <f t="shared" si="89"/>
        <v>-1.2541694082451934E-5</v>
      </c>
      <c r="W261" s="2"/>
      <c r="X261" s="7">
        <f t="shared" si="90"/>
        <v>-1761</v>
      </c>
      <c r="Y261" s="2"/>
      <c r="Z261" s="6">
        <f t="shared" si="91"/>
        <v>9.7292817679558006</v>
      </c>
    </row>
    <row r="262" spans="1:26" s="24" customFormat="1" hidden="1" outlineLevel="2" x14ac:dyDescent="0.35">
      <c r="A262" s="27"/>
      <c r="B262" s="11" t="str">
        <f>CONCATENATE("          ", "7733", " - ", "INV. SHRINKAGE-CANDY")</f>
        <v xml:space="preserve">          7733 - INV. SHRINKAGE-CANDY</v>
      </c>
      <c r="C262" s="11"/>
      <c r="D262" s="7">
        <v>2710</v>
      </c>
      <c r="E262" s="2"/>
      <c r="F262" s="6">
        <f t="shared" si="84"/>
        <v>4.1332141950864302E-3</v>
      </c>
      <c r="G262" s="2"/>
      <c r="H262" s="7">
        <v>-289</v>
      </c>
      <c r="I262" s="2"/>
      <c r="J262" s="6">
        <f t="shared" si="85"/>
        <v>-7.4305677719974756E-4</v>
      </c>
      <c r="K262" s="2"/>
      <c r="L262" s="7">
        <f t="shared" si="86"/>
        <v>2999</v>
      </c>
      <c r="M262" s="2"/>
      <c r="N262" s="6">
        <f t="shared" si="87"/>
        <v>-10.377162629757786</v>
      </c>
      <c r="O262" s="11"/>
      <c r="P262" s="7">
        <v>2710</v>
      </c>
      <c r="Q262" s="2"/>
      <c r="R262" s="6">
        <f t="shared" si="88"/>
        <v>2.235992361615767E-4</v>
      </c>
      <c r="S262" s="2"/>
      <c r="T262" s="7">
        <v>-289</v>
      </c>
      <c r="U262" s="2"/>
      <c r="V262" s="6">
        <f t="shared" si="89"/>
        <v>-2.0025135855406679E-5</v>
      </c>
      <c r="W262" s="2"/>
      <c r="X262" s="7">
        <f t="shared" si="90"/>
        <v>2999</v>
      </c>
      <c r="Y262" s="2"/>
      <c r="Z262" s="6">
        <f t="shared" si="91"/>
        <v>-10.377162629757786</v>
      </c>
    </row>
    <row r="263" spans="1:26" s="24" customFormat="1" hidden="1" outlineLevel="2" x14ac:dyDescent="0.35">
      <c r="A263" s="27"/>
      <c r="B263" s="11" t="str">
        <f>CONCATENATE("          ", "7734", " - ", "INV. SHRINKAGE-SODA")</f>
        <v xml:space="preserve">          7734 - INV. SHRINKAGE-SODA</v>
      </c>
      <c r="C263" s="11"/>
      <c r="D263" s="7">
        <v>1253</v>
      </c>
      <c r="E263" s="2"/>
      <c r="F263" s="6">
        <f t="shared" si="84"/>
        <v>1.9110396259938364E-3</v>
      </c>
      <c r="G263" s="2"/>
      <c r="H263" s="7">
        <v>478</v>
      </c>
      <c r="I263" s="2"/>
      <c r="J263" s="6">
        <f t="shared" si="85"/>
        <v>1.2290004827040808E-3</v>
      </c>
      <c r="K263" s="2"/>
      <c r="L263" s="7">
        <f t="shared" si="86"/>
        <v>775</v>
      </c>
      <c r="M263" s="2"/>
      <c r="N263" s="6">
        <f t="shared" si="87"/>
        <v>1.6213389121338913</v>
      </c>
      <c r="O263" s="11"/>
      <c r="P263" s="7">
        <v>1253</v>
      </c>
      <c r="Q263" s="2"/>
      <c r="R263" s="6">
        <f t="shared" si="88"/>
        <v>1.0338370587101684E-4</v>
      </c>
      <c r="S263" s="2"/>
      <c r="T263" s="7">
        <v>478</v>
      </c>
      <c r="U263" s="2"/>
      <c r="V263" s="6">
        <f t="shared" si="89"/>
        <v>3.3121158958077485E-5</v>
      </c>
      <c r="W263" s="2"/>
      <c r="X263" s="7">
        <f t="shared" si="90"/>
        <v>775</v>
      </c>
      <c r="Y263" s="2"/>
      <c r="Z263" s="6">
        <f t="shared" si="91"/>
        <v>1.6213389121338913</v>
      </c>
    </row>
    <row r="264" spans="1:26" s="24" customFormat="1" hidden="1" outlineLevel="2" x14ac:dyDescent="0.35">
      <c r="A264" s="27"/>
      <c r="B264" s="11" t="str">
        <f>CONCATENATE("          ", "7735", " - ", "INV. SHRINKAGE-HEALTH/BEAUTY")</f>
        <v xml:space="preserve">          7735 - INV. SHRINKAGE-HEALTH/BEAUTY</v>
      </c>
      <c r="C264" s="11"/>
      <c r="D264" s="7">
        <v>369</v>
      </c>
      <c r="E264" s="2"/>
      <c r="F264" s="6">
        <f t="shared" si="84"/>
        <v>5.6278820589922241E-4</v>
      </c>
      <c r="G264" s="2"/>
      <c r="H264" s="7">
        <v>-288</v>
      </c>
      <c r="I264" s="2"/>
      <c r="J264" s="6">
        <f t="shared" si="85"/>
        <v>-7.4048564648279344E-4</v>
      </c>
      <c r="K264" s="2"/>
      <c r="L264" s="7">
        <f t="shared" si="86"/>
        <v>657</v>
      </c>
      <c r="M264" s="2"/>
      <c r="N264" s="6">
        <f t="shared" si="87"/>
        <v>-2.28125</v>
      </c>
      <c r="O264" s="11"/>
      <c r="P264" s="7">
        <v>369</v>
      </c>
      <c r="Q264" s="2"/>
      <c r="R264" s="6">
        <f t="shared" si="88"/>
        <v>3.0445800052996977E-5</v>
      </c>
      <c r="S264" s="2"/>
      <c r="T264" s="7">
        <v>-288</v>
      </c>
      <c r="U264" s="2"/>
      <c r="V264" s="6">
        <f t="shared" si="89"/>
        <v>-1.9955844727879322E-5</v>
      </c>
      <c r="W264" s="2"/>
      <c r="X264" s="7">
        <f t="shared" si="90"/>
        <v>657</v>
      </c>
      <c r="Y264" s="2"/>
      <c r="Z264" s="6">
        <f t="shared" si="91"/>
        <v>-2.28125</v>
      </c>
    </row>
    <row r="265" spans="1:26" s="24" customFormat="1" hidden="1" outlineLevel="2" x14ac:dyDescent="0.35">
      <c r="A265" s="27"/>
      <c r="B265" s="11" t="str">
        <f>CONCATENATE("          ", "7737", " - ", "INV. SHRINKAGE-WATER")</f>
        <v xml:space="preserve">          7737 - INV. SHRINKAGE-WATER</v>
      </c>
      <c r="C265" s="11"/>
      <c r="D265" s="7">
        <v>763</v>
      </c>
      <c r="E265" s="2"/>
      <c r="F265" s="6">
        <f t="shared" si="84"/>
        <v>1.1637056940409394E-3</v>
      </c>
      <c r="G265" s="2"/>
      <c r="H265" s="7">
        <v>-128</v>
      </c>
      <c r="I265" s="2"/>
      <c r="J265" s="6">
        <f t="shared" si="85"/>
        <v>-3.2910473177013042E-4</v>
      </c>
      <c r="K265" s="2"/>
      <c r="L265" s="7">
        <f t="shared" si="86"/>
        <v>891</v>
      </c>
      <c r="M265" s="2"/>
      <c r="N265" s="6">
        <f t="shared" si="87"/>
        <v>-6.9609375</v>
      </c>
      <c r="O265" s="11"/>
      <c r="P265" s="7">
        <v>763</v>
      </c>
      <c r="Q265" s="2"/>
      <c r="R265" s="6">
        <f t="shared" si="88"/>
        <v>6.2954323686820302E-5</v>
      </c>
      <c r="S265" s="2"/>
      <c r="T265" s="7">
        <v>-128</v>
      </c>
      <c r="U265" s="2"/>
      <c r="V265" s="6">
        <f t="shared" si="89"/>
        <v>-8.8692643235019198E-6</v>
      </c>
      <c r="W265" s="2"/>
      <c r="X265" s="7">
        <f t="shared" si="90"/>
        <v>891</v>
      </c>
      <c r="Y265" s="2"/>
      <c r="Z265" s="6">
        <f t="shared" si="91"/>
        <v>-6.9609375</v>
      </c>
    </row>
    <row r="266" spans="1:26" s="24" customFormat="1" hidden="1" outlineLevel="2" x14ac:dyDescent="0.35">
      <c r="A266" s="27"/>
      <c r="B266" s="11" t="str">
        <f>CONCATENATE("          ", "7740", " - ", "INV. SHRINKAGE-LOGO CLOTHING")</f>
        <v xml:space="preserve">          7740 - INV. SHRINKAGE-LOGO CLOTHING</v>
      </c>
      <c r="C266" s="11"/>
      <c r="D266" s="7">
        <v>62007.000000000007</v>
      </c>
      <c r="E266" s="2"/>
      <c r="F266" s="6">
        <f t="shared" si="84"/>
        <v>9.4571296160414875E-2</v>
      </c>
      <c r="G266" s="2"/>
      <c r="H266" s="7">
        <v>-33861</v>
      </c>
      <c r="I266" s="2"/>
      <c r="J266" s="6">
        <f t="shared" si="85"/>
        <v>-8.7061057206784268E-2</v>
      </c>
      <c r="K266" s="2"/>
      <c r="L266" s="7">
        <f t="shared" si="86"/>
        <v>95868</v>
      </c>
      <c r="M266" s="2"/>
      <c r="N266" s="6">
        <f t="shared" si="87"/>
        <v>-2.8312217595463807</v>
      </c>
      <c r="O266" s="11"/>
      <c r="P266" s="7">
        <v>62007.000000000007</v>
      </c>
      <c r="Q266" s="2"/>
      <c r="R266" s="6">
        <f t="shared" si="88"/>
        <v>5.1161320430519889E-3</v>
      </c>
      <c r="S266" s="2"/>
      <c r="T266" s="7">
        <v>-33861</v>
      </c>
      <c r="U266" s="2"/>
      <c r="V266" s="6">
        <f t="shared" si="89"/>
        <v>-2.3462668692038947E-3</v>
      </c>
      <c r="W266" s="2"/>
      <c r="X266" s="7">
        <f t="shared" si="90"/>
        <v>95868</v>
      </c>
      <c r="Y266" s="2"/>
      <c r="Z266" s="6">
        <f t="shared" si="91"/>
        <v>-2.8312217595463807</v>
      </c>
    </row>
    <row r="267" spans="1:26" s="24" customFormat="1" hidden="1" outlineLevel="2" x14ac:dyDescent="0.35">
      <c r="A267" s="27"/>
      <c r="B267" s="11" t="str">
        <f>CONCATENATE("          ", "7741", " - ", "INV. SHRINKAGE-LOGO GIFTS")</f>
        <v xml:space="preserve">          7741 - INV. SHRINKAGE-LOGO GIFTS</v>
      </c>
      <c r="C267" s="11"/>
      <c r="D267" s="7">
        <v>30707</v>
      </c>
      <c r="E267" s="2"/>
      <c r="F267" s="6">
        <f t="shared" si="84"/>
        <v>4.6833434792811442E-2</v>
      </c>
      <c r="G267" s="2"/>
      <c r="H267" s="7">
        <v>-30911</v>
      </c>
      <c r="I267" s="2"/>
      <c r="J267" s="6">
        <f t="shared" si="85"/>
        <v>-7.9476221591769536E-2</v>
      </c>
      <c r="K267" s="2"/>
      <c r="L267" s="7">
        <f t="shared" si="86"/>
        <v>61618</v>
      </c>
      <c r="M267" s="2"/>
      <c r="N267" s="6">
        <f t="shared" si="87"/>
        <v>-1.9934004076218821</v>
      </c>
      <c r="O267" s="11"/>
      <c r="P267" s="7">
        <v>30707</v>
      </c>
      <c r="Q267" s="2"/>
      <c r="R267" s="6">
        <f t="shared" si="88"/>
        <v>2.5336021198573934E-3</v>
      </c>
      <c r="S267" s="2"/>
      <c r="T267" s="7">
        <v>-30911</v>
      </c>
      <c r="U267" s="2"/>
      <c r="V267" s="6">
        <f t="shared" si="89"/>
        <v>-2.1418580429981866E-3</v>
      </c>
      <c r="W267" s="2"/>
      <c r="X267" s="7">
        <f t="shared" si="90"/>
        <v>61618</v>
      </c>
      <c r="Y267" s="2"/>
      <c r="Z267" s="6">
        <f t="shared" si="91"/>
        <v>-1.9934004076218821</v>
      </c>
    </row>
    <row r="268" spans="1:26" s="24" customFormat="1" hidden="1" outlineLevel="2" x14ac:dyDescent="0.35">
      <c r="A268" s="27"/>
      <c r="B268" s="11" t="str">
        <f>CONCATENATE("          ", "7742", " - ", "INV. SHRINKAGE-EVERYDAY GIFTS")</f>
        <v xml:space="preserve">          7742 - INV. SHRINKAGE-EVERYDAY GIFTS</v>
      </c>
      <c r="C268" s="11"/>
      <c r="D268" s="7">
        <v>26197</v>
      </c>
      <c r="E268" s="2"/>
      <c r="F268" s="6">
        <f t="shared" si="84"/>
        <v>3.9954912276265388E-2</v>
      </c>
      <c r="G268" s="2"/>
      <c r="H268" s="7">
        <v>10301</v>
      </c>
      <c r="I268" s="2"/>
      <c r="J268" s="6">
        <f t="shared" si="85"/>
        <v>2.6485217515344637E-2</v>
      </c>
      <c r="K268" s="2"/>
      <c r="L268" s="7">
        <f t="shared" si="86"/>
        <v>15896</v>
      </c>
      <c r="M268" s="2"/>
      <c r="N268" s="6">
        <f t="shared" si="87"/>
        <v>1.5431511503737501</v>
      </c>
      <c r="O268" s="11"/>
      <c r="P268" s="7">
        <v>26197</v>
      </c>
      <c r="Q268" s="2"/>
      <c r="R268" s="6">
        <f t="shared" si="88"/>
        <v>2.1614867858763191E-3</v>
      </c>
      <c r="S268" s="2"/>
      <c r="T268" s="7">
        <v>10301</v>
      </c>
      <c r="U268" s="2"/>
      <c r="V268" s="6">
        <f t="shared" si="89"/>
        <v>7.1376790465932252E-4</v>
      </c>
      <c r="W268" s="2"/>
      <c r="X268" s="7">
        <f t="shared" si="90"/>
        <v>15896</v>
      </c>
      <c r="Y268" s="2"/>
      <c r="Z268" s="6">
        <f t="shared" si="91"/>
        <v>1.5431511503737501</v>
      </c>
    </row>
    <row r="269" spans="1:26" s="24" customFormat="1" hidden="1" outlineLevel="2" x14ac:dyDescent="0.35">
      <c r="A269" s="27"/>
      <c r="B269" s="11" t="str">
        <f>CONCATENATE("          ", "7743", " - ", "INV. SHRINKAGE-CARDS")</f>
        <v xml:space="preserve">          7743 - INV. SHRINKAGE-CARDS</v>
      </c>
      <c r="C269" s="11"/>
      <c r="D269" s="7">
        <v>-12818</v>
      </c>
      <c r="E269" s="2"/>
      <c r="F269" s="6">
        <f t="shared" si="84"/>
        <v>-1.9549645591371904E-2</v>
      </c>
      <c r="G269" s="2"/>
      <c r="H269" s="7">
        <v>-1135</v>
      </c>
      <c r="I269" s="2"/>
      <c r="J269" s="6">
        <f t="shared" si="85"/>
        <v>-2.9182333637429534E-3</v>
      </c>
      <c r="K269" s="2"/>
      <c r="L269" s="7">
        <f t="shared" si="86"/>
        <v>-11683</v>
      </c>
      <c r="M269" s="2"/>
      <c r="N269" s="6">
        <f t="shared" si="87"/>
        <v>10.293392070484581</v>
      </c>
      <c r="O269" s="11"/>
      <c r="P269" s="7">
        <v>-12818</v>
      </c>
      <c r="Q269" s="2"/>
      <c r="R269" s="6">
        <f t="shared" si="88"/>
        <v>-1.0575996343612879E-3</v>
      </c>
      <c r="S269" s="2"/>
      <c r="T269" s="7">
        <v>-1135</v>
      </c>
      <c r="U269" s="2"/>
      <c r="V269" s="6">
        <f t="shared" si="89"/>
        <v>-7.8645429743552189E-5</v>
      </c>
      <c r="W269" s="2"/>
      <c r="X269" s="7">
        <f t="shared" si="90"/>
        <v>-11683</v>
      </c>
      <c r="Y269" s="2"/>
      <c r="Z269" s="6">
        <f t="shared" si="91"/>
        <v>10.293392070484581</v>
      </c>
    </row>
    <row r="270" spans="1:26" s="24" customFormat="1" hidden="1" outlineLevel="2" x14ac:dyDescent="0.35">
      <c r="A270" s="27"/>
      <c r="B270" s="11" t="str">
        <f>CONCATENATE("          ", "7744", " - ", "INV. SHRINKAGE-ACCESSORIES")</f>
        <v xml:space="preserve">          7744 - INV. SHRINKAGE-ACCESSORIES</v>
      </c>
      <c r="C270" s="11"/>
      <c r="D270" s="7">
        <v>-16780</v>
      </c>
      <c r="E270" s="2"/>
      <c r="F270" s="6">
        <f t="shared" si="84"/>
        <v>-2.559237424116247E-2</v>
      </c>
      <c r="G270" s="2"/>
      <c r="H270" s="7">
        <v>-141</v>
      </c>
      <c r="I270" s="2"/>
      <c r="J270" s="6">
        <f t="shared" si="85"/>
        <v>-3.6252943109053431E-4</v>
      </c>
      <c r="K270" s="2"/>
      <c r="L270" s="7">
        <f t="shared" si="86"/>
        <v>-16639</v>
      </c>
      <c r="M270" s="2"/>
      <c r="N270" s="6">
        <f t="shared" si="87"/>
        <v>118.00709219858156</v>
      </c>
      <c r="O270" s="11"/>
      <c r="P270" s="7">
        <v>-16780</v>
      </c>
      <c r="Q270" s="2"/>
      <c r="R270" s="6">
        <f t="shared" si="88"/>
        <v>-1.3845000674506485E-3</v>
      </c>
      <c r="S270" s="2"/>
      <c r="T270" s="7">
        <v>-141</v>
      </c>
      <c r="U270" s="2"/>
      <c r="V270" s="6">
        <f t="shared" si="89"/>
        <v>-9.7700489813575845E-6</v>
      </c>
      <c r="W270" s="2"/>
      <c r="X270" s="7">
        <f t="shared" si="90"/>
        <v>-16639</v>
      </c>
      <c r="Y270" s="2"/>
      <c r="Z270" s="6">
        <f t="shared" si="91"/>
        <v>118.00709219858156</v>
      </c>
    </row>
    <row r="271" spans="1:26" s="24" customFormat="1" hidden="1" outlineLevel="2" x14ac:dyDescent="0.35">
      <c r="A271" s="27"/>
      <c r="B271" s="11" t="str">
        <f>CONCATENATE("          ", "7745", " - ", "INV. SHRINKAGE-SPECIAL ORDERS")</f>
        <v xml:space="preserve">          7745 - INV. SHRINKAGE-SPECIAL ORDERS</v>
      </c>
      <c r="C271" s="11"/>
      <c r="D271" s="7">
        <v>44531</v>
      </c>
      <c r="E271" s="2"/>
      <c r="F271" s="6">
        <f t="shared" si="84"/>
        <v>6.7917402701621332E-2</v>
      </c>
      <c r="G271" s="2"/>
      <c r="H271" s="7">
        <v>-740</v>
      </c>
      <c r="I271" s="2"/>
      <c r="J271" s="6">
        <f t="shared" si="85"/>
        <v>-1.9026367305460664E-3</v>
      </c>
      <c r="K271" s="2"/>
      <c r="L271" s="7">
        <f t="shared" si="86"/>
        <v>45271</v>
      </c>
      <c r="M271" s="2"/>
      <c r="N271" s="6">
        <f t="shared" si="87"/>
        <v>-61.17702702702703</v>
      </c>
      <c r="O271" s="11"/>
      <c r="P271" s="7">
        <v>44531</v>
      </c>
      <c r="Q271" s="2"/>
      <c r="R271" s="6">
        <f t="shared" si="88"/>
        <v>3.6742057511111336E-3</v>
      </c>
      <c r="S271" s="2"/>
      <c r="T271" s="7">
        <v>-740</v>
      </c>
      <c r="U271" s="2"/>
      <c r="V271" s="6">
        <f t="shared" si="89"/>
        <v>-5.1275434370245481E-5</v>
      </c>
      <c r="W271" s="2"/>
      <c r="X271" s="7">
        <f t="shared" si="90"/>
        <v>45271</v>
      </c>
      <c r="Y271" s="2"/>
      <c r="Z271" s="6">
        <f t="shared" si="91"/>
        <v>-61.17702702702703</v>
      </c>
    </row>
    <row r="272" spans="1:26" s="24" customFormat="1" hidden="1" outlineLevel="2" x14ac:dyDescent="0.35">
      <c r="A272" s="27"/>
      <c r="B272" s="11" t="str">
        <f>CONCATENATE("          ", "7781", " - ", "INV. SHRINKAGE-ELECTRONICS")</f>
        <v xml:space="preserve">          7781 - INV. SHRINKAGE-ELECTRONICS</v>
      </c>
      <c r="C272" s="11"/>
      <c r="D272" s="7">
        <v>-18533</v>
      </c>
      <c r="E272" s="2"/>
      <c r="F272" s="6">
        <f t="shared" si="84"/>
        <v>-2.8265999512006201E-2</v>
      </c>
      <c r="G272" s="2"/>
      <c r="H272" s="7">
        <v>4453</v>
      </c>
      <c r="I272" s="2"/>
      <c r="J272" s="6">
        <f t="shared" si="85"/>
        <v>1.1449245082596803E-2</v>
      </c>
      <c r="K272" s="2"/>
      <c r="L272" s="7">
        <f t="shared" si="86"/>
        <v>-22986</v>
      </c>
      <c r="M272" s="2"/>
      <c r="N272" s="6">
        <f t="shared" si="87"/>
        <v>-5.1619133168650349</v>
      </c>
      <c r="O272" s="11"/>
      <c r="P272" s="7">
        <v>-18533</v>
      </c>
      <c r="Q272" s="2"/>
      <c r="R272" s="6">
        <f t="shared" si="88"/>
        <v>-1.5291382449381923E-3</v>
      </c>
      <c r="S272" s="2"/>
      <c r="T272" s="7">
        <v>4453</v>
      </c>
      <c r="U272" s="2"/>
      <c r="V272" s="6">
        <f t="shared" si="89"/>
        <v>3.0855339087932851E-4</v>
      </c>
      <c r="W272" s="2"/>
      <c r="X272" s="7">
        <f t="shared" si="90"/>
        <v>-22986</v>
      </c>
      <c r="Y272" s="2"/>
      <c r="Z272" s="6">
        <f t="shared" si="91"/>
        <v>-5.1619133168650349</v>
      </c>
    </row>
    <row r="273" spans="1:26" s="24" customFormat="1" hidden="1" outlineLevel="2" x14ac:dyDescent="0.35">
      <c r="A273" s="27"/>
      <c r="B273" s="11" t="str">
        <f>CONCATENATE("          ", "7782", " - ", "INV. SHRINKAGE-COMPUTER HARDWA")</f>
        <v xml:space="preserve">          7782 - INV. SHRINKAGE-COMPUTER HARDWA</v>
      </c>
      <c r="C273" s="11"/>
      <c r="D273" s="7">
        <v>-30194</v>
      </c>
      <c r="E273" s="2"/>
      <c r="F273" s="6">
        <f t="shared" si="84"/>
        <v>-4.6051021921195451E-2</v>
      </c>
      <c r="G273" s="2"/>
      <c r="H273" s="7">
        <v>-30478</v>
      </c>
      <c r="I273" s="2"/>
      <c r="J273" s="6">
        <f t="shared" si="85"/>
        <v>-7.8362921991328396E-2</v>
      </c>
      <c r="K273" s="2"/>
      <c r="L273" s="7">
        <f t="shared" si="86"/>
        <v>284</v>
      </c>
      <c r="M273" s="2"/>
      <c r="N273" s="6">
        <f t="shared" si="87"/>
        <v>-9.3181967320690329E-3</v>
      </c>
      <c r="O273" s="11"/>
      <c r="P273" s="7">
        <v>-30194</v>
      </c>
      <c r="Q273" s="2"/>
      <c r="R273" s="6">
        <f t="shared" si="88"/>
        <v>-2.4912750319788365E-3</v>
      </c>
      <c r="S273" s="2"/>
      <c r="T273" s="7">
        <v>-30478</v>
      </c>
      <c r="U273" s="2"/>
      <c r="V273" s="6">
        <f t="shared" si="89"/>
        <v>-2.1118549847788399E-3</v>
      </c>
      <c r="W273" s="2"/>
      <c r="X273" s="7">
        <f t="shared" si="90"/>
        <v>284</v>
      </c>
      <c r="Y273" s="2"/>
      <c r="Z273" s="6">
        <f t="shared" si="91"/>
        <v>-9.3181967320690329E-3</v>
      </c>
    </row>
    <row r="274" spans="1:26" s="24" customFormat="1" hidden="1" outlineLevel="2" x14ac:dyDescent="0.35">
      <c r="A274" s="27"/>
      <c r="B274" s="11" t="str">
        <f>CONCATENATE("          ", "7783", " - ", "INV. SHRINKAGE-COMPUTER EQUIPM")</f>
        <v xml:space="preserve">          7783 - INV. SHRINKAGE-COMPUTER EQUIPM</v>
      </c>
      <c r="C274" s="11"/>
      <c r="D274" s="7">
        <v>2995</v>
      </c>
      <c r="E274" s="2"/>
      <c r="F274" s="6">
        <f t="shared" si="84"/>
        <v>4.5678880126508699E-3</v>
      </c>
      <c r="G274" s="2"/>
      <c r="H274" s="7">
        <v>9125</v>
      </c>
      <c r="I274" s="2"/>
      <c r="J274" s="6">
        <f t="shared" si="85"/>
        <v>2.3461567792206563E-2</v>
      </c>
      <c r="K274" s="2"/>
      <c r="L274" s="7">
        <f t="shared" si="86"/>
        <v>-6130</v>
      </c>
      <c r="M274" s="2"/>
      <c r="N274" s="6">
        <f t="shared" si="87"/>
        <v>-0.67178082191780819</v>
      </c>
      <c r="O274" s="11"/>
      <c r="P274" s="7">
        <v>2995</v>
      </c>
      <c r="Q274" s="2"/>
      <c r="R274" s="6">
        <f t="shared" si="88"/>
        <v>2.4711428498299715E-4</v>
      </c>
      <c r="S274" s="2"/>
      <c r="T274" s="7">
        <v>9125</v>
      </c>
      <c r="U274" s="2"/>
      <c r="V274" s="6">
        <f t="shared" si="89"/>
        <v>6.3228153868714865E-4</v>
      </c>
      <c r="W274" s="2"/>
      <c r="X274" s="7">
        <f t="shared" si="90"/>
        <v>-6130</v>
      </c>
      <c r="Y274" s="2"/>
      <c r="Z274" s="6">
        <f t="shared" si="91"/>
        <v>-0.67178082191780819</v>
      </c>
    </row>
    <row r="275" spans="1:26" s="24" customFormat="1" hidden="1" outlineLevel="2" x14ac:dyDescent="0.35">
      <c r="A275" s="27"/>
      <c r="B275" s="11" t="str">
        <f>CONCATENATE("          ", "7784", " - ", "INV. SHRINKAGE-SOFTWARE LICENS")</f>
        <v xml:space="preserve">          7784 - INV. SHRINKAGE-SOFTWARE LICENS</v>
      </c>
      <c r="C275" s="11"/>
      <c r="D275" s="7">
        <v>1394</v>
      </c>
      <c r="E275" s="2"/>
      <c r="F275" s="6">
        <f t="shared" si="84"/>
        <v>2.1260887778415069E-3</v>
      </c>
      <c r="G275" s="2"/>
      <c r="H275" s="7">
        <v>-357</v>
      </c>
      <c r="I275" s="2"/>
      <c r="J275" s="6">
        <f t="shared" si="85"/>
        <v>-9.1789366595262933E-4</v>
      </c>
      <c r="K275" s="2"/>
      <c r="L275" s="7">
        <f t="shared" si="86"/>
        <v>1751</v>
      </c>
      <c r="M275" s="2"/>
      <c r="N275" s="6">
        <f t="shared" si="87"/>
        <v>-4.9047619047619051</v>
      </c>
      <c r="O275" s="11"/>
      <c r="P275" s="7">
        <v>1394</v>
      </c>
      <c r="Q275" s="2"/>
      <c r="R275" s="6">
        <f t="shared" si="88"/>
        <v>1.1501746686687747E-4</v>
      </c>
      <c r="S275" s="2"/>
      <c r="T275" s="7">
        <v>-357</v>
      </c>
      <c r="U275" s="2"/>
      <c r="V275" s="6">
        <f t="shared" si="89"/>
        <v>-2.4736932527267074E-5</v>
      </c>
      <c r="W275" s="2"/>
      <c r="X275" s="7">
        <f t="shared" si="90"/>
        <v>1751</v>
      </c>
      <c r="Y275" s="2"/>
      <c r="Z275" s="6">
        <f t="shared" si="91"/>
        <v>-4.9047619047619051</v>
      </c>
    </row>
    <row r="276" spans="1:26" s="24" customFormat="1" hidden="1" outlineLevel="2" x14ac:dyDescent="0.35">
      <c r="A276" s="27"/>
      <c r="B276" s="11" t="str">
        <f>CONCATENATE("          ", "7785", " - ", "INV. SHRINKAGE-SOFTWARE")</f>
        <v xml:space="preserve">          7785 - INV. SHRINKAGE-SOFTWARE</v>
      </c>
      <c r="C276" s="11"/>
      <c r="D276" s="7">
        <v>-3743</v>
      </c>
      <c r="E276" s="2"/>
      <c r="F276" s="6">
        <f t="shared" si="84"/>
        <v>-5.7087161373463131E-3</v>
      </c>
      <c r="G276" s="2"/>
      <c r="H276" s="7">
        <v>-72</v>
      </c>
      <c r="I276" s="2"/>
      <c r="J276" s="6">
        <f t="shared" si="85"/>
        <v>-1.8512141162069836E-4</v>
      </c>
      <c r="K276" s="2"/>
      <c r="L276" s="7">
        <f t="shared" si="86"/>
        <v>-3671</v>
      </c>
      <c r="M276" s="2"/>
      <c r="N276" s="6">
        <f t="shared" si="87"/>
        <v>50.986111111111114</v>
      </c>
      <c r="O276" s="11"/>
      <c r="P276" s="7">
        <v>-3743</v>
      </c>
      <c r="Q276" s="2"/>
      <c r="R276" s="6">
        <f t="shared" si="88"/>
        <v>-3.0883097452132161E-4</v>
      </c>
      <c r="S276" s="2"/>
      <c r="T276" s="7">
        <v>-72</v>
      </c>
      <c r="U276" s="2"/>
      <c r="V276" s="6">
        <f t="shared" si="89"/>
        <v>-4.9889611819698304E-6</v>
      </c>
      <c r="W276" s="2"/>
      <c r="X276" s="7">
        <f t="shared" si="90"/>
        <v>-3671</v>
      </c>
      <c r="Y276" s="2"/>
      <c r="Z276" s="6">
        <f t="shared" si="91"/>
        <v>50.986111111111114</v>
      </c>
    </row>
    <row r="277" spans="1:26" s="24" customFormat="1" hidden="1" outlineLevel="2" x14ac:dyDescent="0.35">
      <c r="A277" s="27"/>
      <c r="B277" s="11" t="str">
        <f>CONCATENATE("          ", "7786", " - ", "INV. SHRINKAGE-COMPUTER SUPPLI")</f>
        <v xml:space="preserve">          7786 - INV. SHRINKAGE-COMPUTER SUPPLI</v>
      </c>
      <c r="C277" s="11"/>
      <c r="D277" s="7">
        <v>5038</v>
      </c>
      <c r="E277" s="2"/>
      <c r="F277" s="6">
        <f t="shared" si="84"/>
        <v>7.6838129575075402E-3</v>
      </c>
      <c r="G277" s="2"/>
      <c r="H277" s="7">
        <v>248</v>
      </c>
      <c r="I277" s="2"/>
      <c r="J277" s="6">
        <f t="shared" si="85"/>
        <v>6.3764041780462767E-4</v>
      </c>
      <c r="K277" s="2"/>
      <c r="L277" s="7">
        <f t="shared" si="86"/>
        <v>4790</v>
      </c>
      <c r="M277" s="2"/>
      <c r="N277" s="6">
        <f t="shared" si="87"/>
        <v>19.31451612903226</v>
      </c>
      <c r="O277" s="11"/>
      <c r="P277" s="7">
        <v>5038</v>
      </c>
      <c r="Q277" s="2"/>
      <c r="R277" s="6">
        <f t="shared" si="88"/>
        <v>4.1568005600812677E-4</v>
      </c>
      <c r="S277" s="2"/>
      <c r="T277" s="7">
        <v>248</v>
      </c>
      <c r="U277" s="2"/>
      <c r="V277" s="6">
        <f t="shared" si="89"/>
        <v>1.7184199626784972E-5</v>
      </c>
      <c r="W277" s="2"/>
      <c r="X277" s="7">
        <f t="shared" si="90"/>
        <v>4790</v>
      </c>
      <c r="Y277" s="2"/>
      <c r="Z277" s="6">
        <f t="shared" si="91"/>
        <v>19.31451612903226</v>
      </c>
    </row>
    <row r="278" spans="1:26" s="24" customFormat="1" hidden="1" outlineLevel="2" x14ac:dyDescent="0.35">
      <c r="A278" s="27"/>
      <c r="B278" s="11" t="str">
        <f>CONCATENATE("          ", "7788", " - ", "INV. SHRINKAGE-MUSIC")</f>
        <v xml:space="preserve">          7788 - INV. SHRINKAGE-MUSIC</v>
      </c>
      <c r="C278" s="11"/>
      <c r="D278" s="7">
        <v>152</v>
      </c>
      <c r="E278" s="2"/>
      <c r="F278" s="6">
        <f t="shared" si="84"/>
        <v>2.3182603603436803E-4</v>
      </c>
      <c r="G278" s="2"/>
      <c r="H278" s="7">
        <v>-467</v>
      </c>
      <c r="I278" s="2"/>
      <c r="J278" s="6">
        <f t="shared" si="85"/>
        <v>-1.2007180448175851E-3</v>
      </c>
      <c r="K278" s="2"/>
      <c r="L278" s="7">
        <f t="shared" si="86"/>
        <v>619</v>
      </c>
      <c r="M278" s="2"/>
      <c r="N278" s="6">
        <f t="shared" si="87"/>
        <v>-1.3254817987152034</v>
      </c>
      <c r="O278" s="11"/>
      <c r="P278" s="7">
        <v>152</v>
      </c>
      <c r="Q278" s="2"/>
      <c r="R278" s="6">
        <f t="shared" si="88"/>
        <v>1.254135937142423E-5</v>
      </c>
      <c r="S278" s="2"/>
      <c r="T278" s="7">
        <v>-467</v>
      </c>
      <c r="U278" s="2"/>
      <c r="V278" s="6">
        <f t="shared" si="89"/>
        <v>-3.2358956555276541E-5</v>
      </c>
      <c r="W278" s="2"/>
      <c r="X278" s="7">
        <f t="shared" si="90"/>
        <v>619</v>
      </c>
      <c r="Y278" s="2"/>
      <c r="Z278" s="6">
        <f t="shared" si="91"/>
        <v>-1.3254817987152034</v>
      </c>
    </row>
    <row r="279" spans="1:26" s="24" customFormat="1" hidden="1" outlineLevel="2" x14ac:dyDescent="0.35">
      <c r="A279" s="27"/>
      <c r="B279" s="11" t="str">
        <f>CONCATENATE("          ", "7792", " - ", "INV. SHRINKAGE-GRAD MERCH")</f>
        <v xml:space="preserve">          7792 - INV. SHRINKAGE-GRAD MERCH</v>
      </c>
      <c r="C279" s="11"/>
      <c r="D279" s="7">
        <v>535</v>
      </c>
      <c r="E279" s="2"/>
      <c r="F279" s="6">
        <f t="shared" si="84"/>
        <v>8.1596663998938744E-4</v>
      </c>
      <c r="G279" s="2"/>
      <c r="H279" s="7">
        <v>-3925</v>
      </c>
      <c r="I279" s="2"/>
      <c r="J279" s="6">
        <f t="shared" si="85"/>
        <v>-1.0091688064045016E-2</v>
      </c>
      <c r="K279" s="2"/>
      <c r="L279" s="7">
        <f t="shared" si="86"/>
        <v>4460</v>
      </c>
      <c r="M279" s="2"/>
      <c r="N279" s="6">
        <f t="shared" si="87"/>
        <v>-1.1363057324840764</v>
      </c>
      <c r="O279" s="11"/>
      <c r="P279" s="7">
        <v>535</v>
      </c>
      <c r="Q279" s="2"/>
      <c r="R279" s="6">
        <f t="shared" si="88"/>
        <v>4.4142284629683963E-5</v>
      </c>
      <c r="S279" s="2"/>
      <c r="T279" s="7">
        <v>-3925</v>
      </c>
      <c r="U279" s="2"/>
      <c r="V279" s="6">
        <f t="shared" si="89"/>
        <v>-2.7196767554488313E-4</v>
      </c>
      <c r="W279" s="2"/>
      <c r="X279" s="7">
        <f t="shared" si="90"/>
        <v>4460</v>
      </c>
      <c r="Y279" s="2"/>
      <c r="Z279" s="6">
        <f t="shared" si="91"/>
        <v>-1.1363057324840764</v>
      </c>
    </row>
    <row r="280" spans="1:26" s="24" customFormat="1" hidden="1" outlineLevel="2" x14ac:dyDescent="0.35">
      <c r="A280" s="27"/>
      <c r="B280" s="11" t="str">
        <f>CONCATENATE("          ", "7795", " - ", "INV. SHRINKAGE-CUSTOMER SERVIC")</f>
        <v xml:space="preserve">          7795 - INV. SHRINKAGE-CUSTOMER SERVIC</v>
      </c>
      <c r="C280" s="11"/>
      <c r="D280" s="7">
        <v>-132</v>
      </c>
      <c r="E280" s="2"/>
      <c r="F280" s="6">
        <f t="shared" si="84"/>
        <v>-2.0132261024037224E-4</v>
      </c>
      <c r="G280" s="2"/>
      <c r="H280" s="7">
        <v>-146</v>
      </c>
      <c r="I280" s="2"/>
      <c r="J280" s="6">
        <f t="shared" si="85"/>
        <v>-3.7538508467530501E-4</v>
      </c>
      <c r="K280" s="2"/>
      <c r="L280" s="7">
        <f t="shared" si="86"/>
        <v>14</v>
      </c>
      <c r="M280" s="2"/>
      <c r="N280" s="6">
        <f t="shared" si="87"/>
        <v>-9.5890410958904104E-2</v>
      </c>
      <c r="O280" s="11"/>
      <c r="P280" s="7">
        <v>-132</v>
      </c>
      <c r="Q280" s="2"/>
      <c r="R280" s="6">
        <f t="shared" si="88"/>
        <v>-1.0891180506763146E-5</v>
      </c>
      <c r="S280" s="2"/>
      <c r="T280" s="7">
        <v>-146</v>
      </c>
      <c r="U280" s="2"/>
      <c r="V280" s="6">
        <f t="shared" si="89"/>
        <v>-1.0116504618994378E-5</v>
      </c>
      <c r="W280" s="2"/>
      <c r="X280" s="7">
        <f t="shared" si="90"/>
        <v>14</v>
      </c>
      <c r="Y280" s="2"/>
      <c r="Z280" s="6">
        <f t="shared" si="91"/>
        <v>-9.5890410958904104E-2</v>
      </c>
    </row>
    <row r="281" spans="1:26" s="25" customFormat="1" outlineLevel="1" collapsed="1" x14ac:dyDescent="0.35">
      <c r="A281" s="26"/>
      <c r="B281" s="12" t="str">
        <f>CONCATENATE("     ","Professional Services                             ")</f>
        <v xml:space="preserve">     Professional Services                             </v>
      </c>
      <c r="C281" s="12"/>
      <c r="D281" s="1">
        <f>SUM(OSRRefD22_14x_0)</f>
        <v>8441.9599999999991</v>
      </c>
      <c r="E281" s="1"/>
      <c r="F281" s="5">
        <f t="shared" ref="F281:F289" si="92">IF(D$12=0,0,D281/D$12)</f>
        <v>1.2875435020794034E-2</v>
      </c>
      <c r="G281" s="1"/>
      <c r="H281" s="1">
        <f>SUM(OSRRefH22_14x_0)</f>
        <v>0</v>
      </c>
      <c r="I281" s="1"/>
      <c r="J281" s="5">
        <f t="shared" ref="J281:J289" si="93">IF(H$12=0,0,H281/H$12)</f>
        <v>0</v>
      </c>
      <c r="K281" s="1"/>
      <c r="L281" s="1">
        <f t="shared" ref="L281:L289" si="94">+D281-H281</f>
        <v>8441.9599999999991</v>
      </c>
      <c r="M281" s="1"/>
      <c r="N281" s="5">
        <f t="shared" ref="N281:N289" si="95">IF(H281=0,0,L281/H281)</f>
        <v>0</v>
      </c>
      <c r="O281" s="12"/>
      <c r="P281" s="1">
        <f>SUM(OSRRefP22_14x_0)</f>
        <v>17571.52</v>
      </c>
      <c r="Q281" s="1"/>
      <c r="R281" s="5">
        <f t="shared" ref="R281:R289" si="96">IF(P$12=0,0,P281/P$12)</f>
        <v>1.4498075461984756E-3</v>
      </c>
      <c r="S281" s="1"/>
      <c r="T281" s="1">
        <f>SUM(OSRRefT22_14x_0)</f>
        <v>8276.43</v>
      </c>
      <c r="U281" s="1"/>
      <c r="V281" s="5">
        <f t="shared" ref="V281:V289" si="97">IF(T$12=0,0,T281/T$12)</f>
        <v>5.7348316660125781E-4</v>
      </c>
      <c r="W281" s="1"/>
      <c r="X281" s="1">
        <f t="shared" ref="X281:X289" si="98">+P281-T281</f>
        <v>9295.09</v>
      </c>
      <c r="Y281" s="1"/>
      <c r="Z281" s="5">
        <f t="shared" ref="Z281:Z289" si="99">IF(T281=0,0,X281/T281)</f>
        <v>1.1230796369932448</v>
      </c>
    </row>
    <row r="282" spans="1:26" s="24" customFormat="1" hidden="1" outlineLevel="2" x14ac:dyDescent="0.35">
      <c r="A282" s="27"/>
      <c r="B282" s="11" t="str">
        <f>CONCATENATE("          ", "6336", " - ", "PROFESSIONAL SERVICES")</f>
        <v xml:space="preserve">          6336 - PROFESSIONAL SERVICES</v>
      </c>
      <c r="C282" s="11"/>
      <c r="D282" s="7">
        <v>8441.9599999999991</v>
      </c>
      <c r="E282" s="2"/>
      <c r="F282" s="6">
        <f t="shared" si="92"/>
        <v>1.2875435020794034E-2</v>
      </c>
      <c r="G282" s="2"/>
      <c r="H282" s="7"/>
      <c r="I282" s="2"/>
      <c r="J282" s="6">
        <f t="shared" si="93"/>
        <v>0</v>
      </c>
      <c r="K282" s="2"/>
      <c r="L282" s="7">
        <f t="shared" si="94"/>
        <v>8441.9599999999991</v>
      </c>
      <c r="M282" s="2"/>
      <c r="N282" s="6">
        <f t="shared" si="95"/>
        <v>0</v>
      </c>
      <c r="O282" s="11"/>
      <c r="P282" s="7">
        <v>17571.52</v>
      </c>
      <c r="Q282" s="2"/>
      <c r="R282" s="6">
        <f t="shared" si="96"/>
        <v>1.4498075461984756E-3</v>
      </c>
      <c r="S282" s="2"/>
      <c r="T282" s="7">
        <v>8276.43</v>
      </c>
      <c r="U282" s="2"/>
      <c r="V282" s="6">
        <f t="shared" si="97"/>
        <v>5.7348316660125781E-4</v>
      </c>
      <c r="W282" s="2"/>
      <c r="X282" s="7">
        <f t="shared" si="98"/>
        <v>9295.09</v>
      </c>
      <c r="Y282" s="2"/>
      <c r="Z282" s="6">
        <f t="shared" si="99"/>
        <v>1.1230796369932448</v>
      </c>
    </row>
    <row r="283" spans="1:26" s="25" customFormat="1" outlineLevel="1" collapsed="1" x14ac:dyDescent="0.35">
      <c r="A283" s="26"/>
      <c r="B283" s="12" t="str">
        <f>CONCATENATE("     ","Rent                                              ")</f>
        <v xml:space="preserve">     Rent                                              </v>
      </c>
      <c r="C283" s="12"/>
      <c r="D283" s="1">
        <f>SUM(OSRRefD22_15x_0)</f>
        <v>6100</v>
      </c>
      <c r="E283" s="1"/>
      <c r="F283" s="5">
        <f t="shared" si="92"/>
        <v>9.3035448671687174E-3</v>
      </c>
      <c r="G283" s="1"/>
      <c r="H283" s="1">
        <f>SUM(OSRRefH22_15x_0)</f>
        <v>6100</v>
      </c>
      <c r="I283" s="1"/>
      <c r="J283" s="5">
        <f t="shared" si="93"/>
        <v>1.568389737342028E-2</v>
      </c>
      <c r="K283" s="1"/>
      <c r="L283" s="1">
        <f t="shared" si="94"/>
        <v>0</v>
      </c>
      <c r="M283" s="1"/>
      <c r="N283" s="5">
        <f t="shared" si="95"/>
        <v>0</v>
      </c>
      <c r="O283" s="12"/>
      <c r="P283" s="1">
        <f>SUM(OSRRefP22_15x_0)</f>
        <v>74800</v>
      </c>
      <c r="Q283" s="1"/>
      <c r="R283" s="5">
        <f t="shared" si="96"/>
        <v>6.1716689538324496E-3</v>
      </c>
      <c r="S283" s="1"/>
      <c r="T283" s="1">
        <f>SUM(OSRRefT22_15x_0)</f>
        <v>74101.08</v>
      </c>
      <c r="U283" s="1"/>
      <c r="V283" s="5">
        <f t="shared" si="97"/>
        <v>5.1345473841950132E-3</v>
      </c>
      <c r="W283" s="1"/>
      <c r="X283" s="1">
        <f t="shared" si="98"/>
        <v>698.91999999999825</v>
      </c>
      <c r="Y283" s="1"/>
      <c r="Z283" s="5">
        <f t="shared" si="99"/>
        <v>9.4319812882619012E-3</v>
      </c>
    </row>
    <row r="284" spans="1:26" s="24" customFormat="1" hidden="1" outlineLevel="2" x14ac:dyDescent="0.35">
      <c r="A284" s="27"/>
      <c r="B284" s="11" t="str">
        <f>CONCATENATE("          ", "6273", " - ", "RENT")</f>
        <v xml:space="preserve">          6273 - RENT</v>
      </c>
      <c r="C284" s="11"/>
      <c r="D284" s="7">
        <v>6100</v>
      </c>
      <c r="E284" s="2"/>
      <c r="F284" s="6">
        <f t="shared" si="92"/>
        <v>9.3035448671687174E-3</v>
      </c>
      <c r="G284" s="2"/>
      <c r="H284" s="7">
        <v>6100</v>
      </c>
      <c r="I284" s="2"/>
      <c r="J284" s="6">
        <f t="shared" si="93"/>
        <v>1.568389737342028E-2</v>
      </c>
      <c r="K284" s="2"/>
      <c r="L284" s="7">
        <f t="shared" si="94"/>
        <v>0</v>
      </c>
      <c r="M284" s="2"/>
      <c r="N284" s="6">
        <f t="shared" si="95"/>
        <v>0</v>
      </c>
      <c r="O284" s="11"/>
      <c r="P284" s="7">
        <v>74800</v>
      </c>
      <c r="Q284" s="2"/>
      <c r="R284" s="6">
        <f t="shared" si="96"/>
        <v>6.1716689538324496E-3</v>
      </c>
      <c r="S284" s="2"/>
      <c r="T284" s="7">
        <v>74101.08</v>
      </c>
      <c r="U284" s="2"/>
      <c r="V284" s="6">
        <f t="shared" si="97"/>
        <v>5.1345473841950132E-3</v>
      </c>
      <c r="W284" s="2"/>
      <c r="X284" s="7">
        <f t="shared" si="98"/>
        <v>698.91999999999825</v>
      </c>
      <c r="Y284" s="2"/>
      <c r="Z284" s="6">
        <f t="shared" si="99"/>
        <v>9.4319812882619012E-3</v>
      </c>
    </row>
    <row r="285" spans="1:26" s="25" customFormat="1" outlineLevel="1" collapsed="1" x14ac:dyDescent="0.35">
      <c r="A285" s="26"/>
      <c r="B285" s="12" t="str">
        <f>CONCATENATE("     ","Repair and Maintenance                            ")</f>
        <v xml:space="preserve">     Repair and Maintenance                            </v>
      </c>
      <c r="C285" s="12"/>
      <c r="D285" s="1">
        <f>SUM(OSRRefD22_16x_0)</f>
        <v>26294.07</v>
      </c>
      <c r="E285" s="1"/>
      <c r="F285" s="5">
        <f t="shared" si="92"/>
        <v>4.0102960653356549E-2</v>
      </c>
      <c r="G285" s="1"/>
      <c r="H285" s="1">
        <f>SUM(OSRRefH22_16x_0)</f>
        <v>49308.759999999995</v>
      </c>
      <c r="I285" s="1"/>
      <c r="J285" s="5">
        <f t="shared" si="93"/>
        <v>0.1267792674509198</v>
      </c>
      <c r="K285" s="1"/>
      <c r="L285" s="1">
        <f t="shared" si="94"/>
        <v>-23014.689999999995</v>
      </c>
      <c r="M285" s="1"/>
      <c r="N285" s="5">
        <f t="shared" si="95"/>
        <v>-0.46674647669095709</v>
      </c>
      <c r="O285" s="12"/>
      <c r="P285" s="1">
        <f>SUM(OSRRefP22_16x_0)</f>
        <v>160130.84</v>
      </c>
      <c r="Q285" s="1"/>
      <c r="R285" s="5">
        <f t="shared" si="96"/>
        <v>1.3212226387421274E-2</v>
      </c>
      <c r="S285" s="1"/>
      <c r="T285" s="1">
        <f>SUM(OSRRefT22_16x_0)</f>
        <v>226330.48</v>
      </c>
      <c r="U285" s="1"/>
      <c r="V285" s="5">
        <f t="shared" si="97"/>
        <v>1.5682694153008322E-2</v>
      </c>
      <c r="W285" s="1"/>
      <c r="X285" s="1">
        <f t="shared" si="98"/>
        <v>-66199.640000000014</v>
      </c>
      <c r="Y285" s="1"/>
      <c r="Z285" s="5">
        <f t="shared" si="99"/>
        <v>-0.29249105113902474</v>
      </c>
    </row>
    <row r="286" spans="1:26" s="24" customFormat="1" hidden="1" outlineLevel="2" x14ac:dyDescent="0.35">
      <c r="A286" s="27"/>
      <c r="B286" s="11" t="str">
        <f>CONCATENATE("          ", "6371", " - ", "COMPUTER SOFTWARE MAINTENANCE")</f>
        <v xml:space="preserve">          6371 - COMPUTER SOFTWARE MAINTENANCE</v>
      </c>
      <c r="C286" s="11"/>
      <c r="D286" s="7">
        <v>12181.05</v>
      </c>
      <c r="E286" s="2"/>
      <c r="F286" s="6">
        <f t="shared" si="92"/>
        <v>1.857818773839762E-2</v>
      </c>
      <c r="G286" s="2"/>
      <c r="H286" s="7">
        <v>42745</v>
      </c>
      <c r="I286" s="2"/>
      <c r="J286" s="6">
        <f t="shared" si="93"/>
        <v>0.10990298249620488</v>
      </c>
      <c r="K286" s="2"/>
      <c r="L286" s="7">
        <f t="shared" si="94"/>
        <v>-30563.95</v>
      </c>
      <c r="M286" s="2"/>
      <c r="N286" s="6">
        <f t="shared" si="95"/>
        <v>-0.71502982805006432</v>
      </c>
      <c r="O286" s="11"/>
      <c r="P286" s="7">
        <v>28598.550000000003</v>
      </c>
      <c r="Q286" s="2"/>
      <c r="R286" s="6">
        <f t="shared" si="96"/>
        <v>2.3596361384976608E-3</v>
      </c>
      <c r="S286" s="2"/>
      <c r="T286" s="7">
        <v>101136.83</v>
      </c>
      <c r="U286" s="2"/>
      <c r="V286" s="6">
        <f t="shared" si="97"/>
        <v>7.007884985242803E-3</v>
      </c>
      <c r="W286" s="2"/>
      <c r="X286" s="7">
        <f t="shared" si="98"/>
        <v>-72538.28</v>
      </c>
      <c r="Y286" s="2"/>
      <c r="Z286" s="6">
        <f t="shared" si="99"/>
        <v>-0.71722912414794882</v>
      </c>
    </row>
    <row r="287" spans="1:26" s="24" customFormat="1" hidden="1" outlineLevel="2" x14ac:dyDescent="0.35">
      <c r="A287" s="27"/>
      <c r="B287" s="11" t="str">
        <f>CONCATENATE("          ", "6372", " - ", "COMPUTER HARDWARE MAINTENANCE")</f>
        <v xml:space="preserve">          6372 - COMPUTER HARDWARE MAINTENANCE</v>
      </c>
      <c r="C287" s="11"/>
      <c r="D287" s="7">
        <v>-2</v>
      </c>
      <c r="E287" s="2"/>
      <c r="F287" s="6">
        <f t="shared" si="92"/>
        <v>-3.0503425793995791E-6</v>
      </c>
      <c r="G287" s="2"/>
      <c r="H287" s="7"/>
      <c r="I287" s="2"/>
      <c r="J287" s="6">
        <f t="shared" si="93"/>
        <v>0</v>
      </c>
      <c r="K287" s="2"/>
      <c r="L287" s="7">
        <f t="shared" si="94"/>
        <v>-2</v>
      </c>
      <c r="M287" s="2"/>
      <c r="N287" s="6">
        <f t="shared" si="95"/>
        <v>0</v>
      </c>
      <c r="O287" s="11"/>
      <c r="P287" s="7">
        <v>50.32</v>
      </c>
      <c r="Q287" s="2"/>
      <c r="R287" s="6">
        <f t="shared" si="96"/>
        <v>4.1518500234872842E-6</v>
      </c>
      <c r="S287" s="2"/>
      <c r="T287" s="7">
        <v>51.79</v>
      </c>
      <c r="U287" s="2"/>
      <c r="V287" s="6">
        <f t="shared" si="97"/>
        <v>3.5885874946419099E-6</v>
      </c>
      <c r="W287" s="2"/>
      <c r="X287" s="7">
        <f t="shared" si="98"/>
        <v>-1.4699999999999989</v>
      </c>
      <c r="Y287" s="2"/>
      <c r="Z287" s="6">
        <f t="shared" si="99"/>
        <v>-2.8383857887623071E-2</v>
      </c>
    </row>
    <row r="288" spans="1:26" s="24" customFormat="1" hidden="1" outlineLevel="2" x14ac:dyDescent="0.35">
      <c r="A288" s="27"/>
      <c r="B288" s="11" t="str">
        <f>CONCATENATE("          ", "6373", " - ", "MAINTENANCE CONTRACTS")</f>
        <v xml:space="preserve">          6373 - MAINTENANCE CONTRACTS</v>
      </c>
      <c r="C288" s="11"/>
      <c r="D288" s="7">
        <v>12461.73</v>
      </c>
      <c r="E288" s="2"/>
      <c r="F288" s="6">
        <f t="shared" si="92"/>
        <v>1.9006272815990558E-2</v>
      </c>
      <c r="G288" s="2"/>
      <c r="H288" s="7">
        <v>2936.7</v>
      </c>
      <c r="I288" s="2"/>
      <c r="J288" s="6">
        <f t="shared" si="93"/>
        <v>7.5506395764792338E-3</v>
      </c>
      <c r="K288" s="2"/>
      <c r="L288" s="7">
        <f t="shared" si="94"/>
        <v>9525.0299999999988</v>
      </c>
      <c r="M288" s="2"/>
      <c r="N288" s="6">
        <f t="shared" si="95"/>
        <v>3.2434467259168454</v>
      </c>
      <c r="O288" s="11"/>
      <c r="P288" s="7">
        <v>91135.78</v>
      </c>
      <c r="Q288" s="2"/>
      <c r="R288" s="6">
        <f t="shared" si="96"/>
        <v>7.5195168985201103E-3</v>
      </c>
      <c r="S288" s="2"/>
      <c r="T288" s="7">
        <v>92704.290000000008</v>
      </c>
      <c r="U288" s="2"/>
      <c r="V288" s="6">
        <f t="shared" si="97"/>
        <v>6.4235847807232495E-3</v>
      </c>
      <c r="W288" s="2"/>
      <c r="X288" s="7">
        <f t="shared" si="98"/>
        <v>-1568.5100000000093</v>
      </c>
      <c r="Y288" s="2"/>
      <c r="Z288" s="6">
        <f t="shared" si="99"/>
        <v>-1.691949746877959E-2</v>
      </c>
    </row>
    <row r="289" spans="1:26" s="24" customFormat="1" hidden="1" outlineLevel="2" x14ac:dyDescent="0.35">
      <c r="A289" s="27"/>
      <c r="B289" s="11" t="str">
        <f>CONCATENATE("          ", "6375", " - ", "OUTSIDE REPAIRS &amp; MAINTENANCE")</f>
        <v xml:space="preserve">          6375 - OUTSIDE REPAIRS &amp; MAINTENANCE</v>
      </c>
      <c r="C289" s="11"/>
      <c r="D289" s="7">
        <v>1653.29</v>
      </c>
      <c r="E289" s="2"/>
      <c r="F289" s="6">
        <f t="shared" si="92"/>
        <v>2.5215504415477654E-3</v>
      </c>
      <c r="G289" s="2"/>
      <c r="H289" s="7">
        <v>3627.06</v>
      </c>
      <c r="I289" s="2"/>
      <c r="J289" s="6">
        <f t="shared" si="93"/>
        <v>9.3256453782356967E-3</v>
      </c>
      <c r="K289" s="2"/>
      <c r="L289" s="7">
        <f t="shared" si="94"/>
        <v>-1973.77</v>
      </c>
      <c r="M289" s="2"/>
      <c r="N289" s="6">
        <f t="shared" si="95"/>
        <v>-0.54417903205350893</v>
      </c>
      <c r="O289" s="11"/>
      <c r="P289" s="7">
        <v>40346.19</v>
      </c>
      <c r="Q289" s="2"/>
      <c r="R289" s="6">
        <f t="shared" si="96"/>
        <v>3.3289215003800168E-3</v>
      </c>
      <c r="S289" s="2"/>
      <c r="T289" s="7">
        <v>32437.57</v>
      </c>
      <c r="U289" s="2"/>
      <c r="V289" s="6">
        <f t="shared" si="97"/>
        <v>2.2476357995476265E-3</v>
      </c>
      <c r="W289" s="2"/>
      <c r="X289" s="7">
        <f t="shared" si="98"/>
        <v>7908.6200000000026</v>
      </c>
      <c r="Y289" s="2"/>
      <c r="Z289" s="6">
        <f t="shared" si="99"/>
        <v>0.2438104950524963</v>
      </c>
    </row>
    <row r="290" spans="1:26" s="25" customFormat="1" outlineLevel="1" collapsed="1" x14ac:dyDescent="0.35">
      <c r="A290" s="26"/>
      <c r="B290" s="12" t="str">
        <f>CONCATENATE("     ","Royalty &amp; Commissions                             ")</f>
        <v xml:space="preserve">     Royalty &amp; Commissions                             </v>
      </c>
      <c r="C290" s="12"/>
      <c r="D290" s="1">
        <f>SUM(OSRRefD22_17x_0)</f>
        <v>0</v>
      </c>
      <c r="E290" s="1"/>
      <c r="F290" s="5">
        <f t="shared" ref="F290:F293" si="100">IF(D$12=0,0,D290/D$12)</f>
        <v>0</v>
      </c>
      <c r="G290" s="1"/>
      <c r="H290" s="1">
        <f>SUM(OSRRefH22_17x_0)</f>
        <v>4521.01</v>
      </c>
      <c r="I290" s="1"/>
      <c r="J290" s="5">
        <f t="shared" ref="J290:J293" si="101">IF(H$12=0,0,H290/H$12)</f>
        <v>1.1624107682656854E-2</v>
      </c>
      <c r="K290" s="1"/>
      <c r="L290" s="1">
        <f t="shared" ref="L290:L293" si="102">+D290-H290</f>
        <v>-4521.01</v>
      </c>
      <c r="M290" s="1"/>
      <c r="N290" s="5">
        <f t="shared" ref="N290:N293" si="103">IF(H290=0,0,L290/H290)</f>
        <v>-1</v>
      </c>
      <c r="O290" s="12"/>
      <c r="P290" s="1">
        <f>SUM(OSRRefP22_17x_0)</f>
        <v>123449.40000000001</v>
      </c>
      <c r="Q290" s="1"/>
      <c r="R290" s="5">
        <f t="shared" ref="R290:R293" si="104">IF(P$12=0,0,P290/P$12)</f>
        <v>1.0185679536754593E-2</v>
      </c>
      <c r="S290" s="1"/>
      <c r="T290" s="1">
        <f>SUM(OSRRefT22_17x_0)</f>
        <v>172647.16</v>
      </c>
      <c r="U290" s="1"/>
      <c r="V290" s="5">
        <f t="shared" ref="V290:V293" si="105">IF(T$12=0,0,T290/T$12)</f>
        <v>1.1962916380796312E-2</v>
      </c>
      <c r="W290" s="1"/>
      <c r="X290" s="1">
        <f t="shared" ref="X290:X293" si="106">+P290-T290</f>
        <v>-49197.759999999995</v>
      </c>
      <c r="Y290" s="1"/>
      <c r="Z290" s="5">
        <f t="shared" ref="Z290:Z293" si="107">IF(T290=0,0,X290/T290)</f>
        <v>-0.28496130489490817</v>
      </c>
    </row>
    <row r="291" spans="1:26" s="24" customFormat="1" hidden="1" outlineLevel="2" x14ac:dyDescent="0.35">
      <c r="A291" s="27"/>
      <c r="B291" s="11" t="str">
        <f>CONCATENATE("          ", "6253", " - ", "ROYALTY DUE ATHLETICS-LRG")</f>
        <v xml:space="preserve">          6253 - ROYALTY DUE ATHLETICS-LRG</v>
      </c>
      <c r="C291" s="11"/>
      <c r="D291" s="7"/>
      <c r="E291" s="2"/>
      <c r="F291" s="6">
        <f t="shared" si="100"/>
        <v>0</v>
      </c>
      <c r="G291" s="2"/>
      <c r="H291" s="7"/>
      <c r="I291" s="2"/>
      <c r="J291" s="6">
        <f t="shared" si="101"/>
        <v>0</v>
      </c>
      <c r="K291" s="2"/>
      <c r="L291" s="7">
        <f t="shared" si="102"/>
        <v>0</v>
      </c>
      <c r="M291" s="2"/>
      <c r="N291" s="6">
        <f t="shared" si="103"/>
        <v>0</v>
      </c>
      <c r="O291" s="11"/>
      <c r="P291" s="7">
        <v>32870.44</v>
      </c>
      <c r="Q291" s="2"/>
      <c r="R291" s="6">
        <f t="shared" si="104"/>
        <v>2.7121052680055121E-3</v>
      </c>
      <c r="S291" s="2"/>
      <c r="T291" s="7">
        <v>41365.990000000005</v>
      </c>
      <c r="U291" s="2"/>
      <c r="V291" s="6">
        <f t="shared" si="105"/>
        <v>2.8662960883854473E-3</v>
      </c>
      <c r="W291" s="2"/>
      <c r="X291" s="7">
        <f t="shared" si="106"/>
        <v>-8495.5500000000029</v>
      </c>
      <c r="Y291" s="2"/>
      <c r="Z291" s="6">
        <f t="shared" si="107"/>
        <v>-0.20537523700025073</v>
      </c>
    </row>
    <row r="292" spans="1:26" s="24" customFormat="1" hidden="1" outlineLevel="2" x14ac:dyDescent="0.35">
      <c r="A292" s="27"/>
      <c r="B292" s="11" t="str">
        <f>CONCATENATE("          ", "6254", " - ", "ROYALTY &amp; COMMISSIONS")</f>
        <v xml:space="preserve">          6254 - ROYALTY &amp; COMMISSIONS</v>
      </c>
      <c r="C292" s="11"/>
      <c r="D292" s="7"/>
      <c r="E292" s="2"/>
      <c r="F292" s="6">
        <f t="shared" si="100"/>
        <v>0</v>
      </c>
      <c r="G292" s="2"/>
      <c r="H292" s="7"/>
      <c r="I292" s="2"/>
      <c r="J292" s="6">
        <f t="shared" si="101"/>
        <v>0</v>
      </c>
      <c r="K292" s="2"/>
      <c r="L292" s="7">
        <f t="shared" si="102"/>
        <v>0</v>
      </c>
      <c r="M292" s="2"/>
      <c r="N292" s="6">
        <f t="shared" si="103"/>
        <v>0</v>
      </c>
      <c r="O292" s="11"/>
      <c r="P292" s="7">
        <v>7971.22</v>
      </c>
      <c r="Q292" s="2"/>
      <c r="R292" s="6">
        <f t="shared" si="104"/>
        <v>6.5769693847818583E-4</v>
      </c>
      <c r="S292" s="2"/>
      <c r="T292" s="7">
        <v>16509.43</v>
      </c>
      <c r="U292" s="2"/>
      <c r="V292" s="6">
        <f t="shared" si="105"/>
        <v>1.1439570195340024E-3</v>
      </c>
      <c r="W292" s="2"/>
      <c r="X292" s="7">
        <f t="shared" si="106"/>
        <v>-8538.2099999999991</v>
      </c>
      <c r="Y292" s="2"/>
      <c r="Z292" s="6">
        <f t="shared" si="107"/>
        <v>-0.51717170126406542</v>
      </c>
    </row>
    <row r="293" spans="1:26" s="24" customFormat="1" hidden="1" outlineLevel="2" x14ac:dyDescent="0.35">
      <c r="A293" s="27"/>
      <c r="B293" s="11" t="str">
        <f>CONCATENATE("          ", "6259", " - ", "ROYALTY &amp; COMMISSIONS")</f>
        <v xml:space="preserve">          6259 - ROYALTY &amp; COMMISSIONS</v>
      </c>
      <c r="C293" s="11"/>
      <c r="D293" s="7"/>
      <c r="E293" s="2"/>
      <c r="F293" s="6">
        <f t="shared" si="100"/>
        <v>0</v>
      </c>
      <c r="G293" s="2"/>
      <c r="H293" s="7">
        <v>4521.01</v>
      </c>
      <c r="I293" s="2"/>
      <c r="J293" s="6">
        <f t="shared" si="101"/>
        <v>1.1624107682656854E-2</v>
      </c>
      <c r="K293" s="2"/>
      <c r="L293" s="7">
        <f t="shared" si="102"/>
        <v>-4521.01</v>
      </c>
      <c r="M293" s="2"/>
      <c r="N293" s="6">
        <f t="shared" si="103"/>
        <v>-1</v>
      </c>
      <c r="O293" s="11"/>
      <c r="P293" s="7">
        <v>82607.740000000005</v>
      </c>
      <c r="Q293" s="2"/>
      <c r="R293" s="6">
        <f t="shared" si="104"/>
        <v>6.8158773302708963E-3</v>
      </c>
      <c r="S293" s="2"/>
      <c r="T293" s="7">
        <v>114771.74</v>
      </c>
      <c r="U293" s="2"/>
      <c r="V293" s="6">
        <f t="shared" si="105"/>
        <v>7.9526632728768622E-3</v>
      </c>
      <c r="W293" s="2"/>
      <c r="X293" s="7">
        <f t="shared" si="106"/>
        <v>-32164</v>
      </c>
      <c r="Y293" s="2"/>
      <c r="Z293" s="6">
        <f t="shared" si="107"/>
        <v>-0.28024320272568837</v>
      </c>
    </row>
    <row r="294" spans="1:26" s="25" customFormat="1" outlineLevel="1" collapsed="1" x14ac:dyDescent="0.35">
      <c r="A294" s="26"/>
      <c r="B294" s="12" t="str">
        <f>CONCATENATE("     ","Services                                          ")</f>
        <v xml:space="preserve">     Services                                          </v>
      </c>
      <c r="C294" s="12"/>
      <c r="D294" s="1">
        <f>SUM(OSRRefD22_18x_0)</f>
        <v>8372.83</v>
      </c>
      <c r="E294" s="1"/>
      <c r="F294" s="5">
        <f t="shared" ref="F294:F298" si="108">IF(D$12=0,0,D294/D$12)</f>
        <v>1.276999992953709E-2</v>
      </c>
      <c r="G294" s="1"/>
      <c r="H294" s="1">
        <f>SUM(OSRRefH22_18x_0)</f>
        <v>4601.22</v>
      </c>
      <c r="I294" s="1"/>
      <c r="J294" s="5">
        <f t="shared" ref="J294:J298" si="109">IF(H$12=0,0,H294/H$12)</f>
        <v>1.1830338077463746E-2</v>
      </c>
      <c r="K294" s="1"/>
      <c r="L294" s="1">
        <f t="shared" ref="L294:L298" si="110">+D294-H294</f>
        <v>3771.6099999999997</v>
      </c>
      <c r="M294" s="1"/>
      <c r="N294" s="5">
        <f t="shared" ref="N294:N298" si="111">IF(H294=0,0,L294/H294)</f>
        <v>0.81969781927401852</v>
      </c>
      <c r="O294" s="12"/>
      <c r="P294" s="1">
        <f>SUM(OSRRefP22_18x_0)</f>
        <v>59006.079999999994</v>
      </c>
      <c r="Q294" s="1"/>
      <c r="R294" s="5">
        <f t="shared" ref="R294:R298" si="112">IF(P$12=0,0,P294/P$12)</f>
        <v>4.868529305125051E-3</v>
      </c>
      <c r="S294" s="1"/>
      <c r="T294" s="1">
        <f>SUM(OSRRefT22_18x_0)</f>
        <v>53809.22</v>
      </c>
      <c r="U294" s="1"/>
      <c r="V294" s="5">
        <f t="shared" ref="V294:V298" si="113">IF(T$12=0,0,T294/T$12)</f>
        <v>3.7285015251677031E-3</v>
      </c>
      <c r="W294" s="1"/>
      <c r="X294" s="1">
        <f t="shared" ref="X294:X298" si="114">+P294-T294</f>
        <v>5196.8599999999933</v>
      </c>
      <c r="Y294" s="1"/>
      <c r="Z294" s="5">
        <f t="shared" ref="Z294:Z298" si="115">IF(T294=0,0,X294/T294)</f>
        <v>9.6579359448064728E-2</v>
      </c>
    </row>
    <row r="295" spans="1:26" s="24" customFormat="1" hidden="1" outlineLevel="2" x14ac:dyDescent="0.35">
      <c r="A295" s="27"/>
      <c r="B295" s="11" t="str">
        <f>CONCATENATE("          ", "6282", " - ", "JANITORIAL/EXTERMINATOR EXPENS")</f>
        <v xml:space="preserve">          6282 - JANITORIAL/EXTERMINATOR EXPENS</v>
      </c>
      <c r="C295" s="11"/>
      <c r="D295" s="7">
        <v>816.86</v>
      </c>
      <c r="E295" s="2"/>
      <c r="F295" s="6">
        <f t="shared" si="108"/>
        <v>1.2458514197041701E-3</v>
      </c>
      <c r="G295" s="2"/>
      <c r="H295" s="7">
        <v>252</v>
      </c>
      <c r="I295" s="2"/>
      <c r="J295" s="6">
        <f t="shared" si="109"/>
        <v>6.4792494067244426E-4</v>
      </c>
      <c r="K295" s="2"/>
      <c r="L295" s="7">
        <f t="shared" si="110"/>
        <v>564.86</v>
      </c>
      <c r="M295" s="2"/>
      <c r="N295" s="6">
        <f t="shared" si="111"/>
        <v>2.2415079365079364</v>
      </c>
      <c r="O295" s="11"/>
      <c r="P295" s="7">
        <v>3502.88</v>
      </c>
      <c r="Q295" s="2"/>
      <c r="R295" s="6">
        <f t="shared" si="112"/>
        <v>2.8901892707220068E-4</v>
      </c>
      <c r="S295" s="2"/>
      <c r="T295" s="7">
        <v>2869.29</v>
      </c>
      <c r="U295" s="2"/>
      <c r="V295" s="6">
        <f t="shared" si="113"/>
        <v>1.9881633930297519E-4</v>
      </c>
      <c r="W295" s="2"/>
      <c r="X295" s="7">
        <f t="shared" si="114"/>
        <v>633.59000000000015</v>
      </c>
      <c r="Y295" s="2"/>
      <c r="Z295" s="6">
        <f t="shared" si="115"/>
        <v>0.2208176935757627</v>
      </c>
    </row>
    <row r="296" spans="1:26" s="24" customFormat="1" hidden="1" outlineLevel="2" x14ac:dyDescent="0.35">
      <c r="A296" s="27"/>
      <c r="B296" s="11" t="str">
        <f>CONCATENATE("          ", "6283", " - ", "PLANT SERVICE")</f>
        <v xml:space="preserve">          6283 - PLANT SERVICE</v>
      </c>
      <c r="C296" s="11"/>
      <c r="D296" s="7"/>
      <c r="E296" s="2"/>
      <c r="F296" s="6">
        <f t="shared" si="108"/>
        <v>0</v>
      </c>
      <c r="G296" s="2"/>
      <c r="H296" s="7">
        <v>180.66</v>
      </c>
      <c r="I296" s="2"/>
      <c r="J296" s="6">
        <f t="shared" si="109"/>
        <v>4.6450047532493562E-4</v>
      </c>
      <c r="K296" s="2"/>
      <c r="L296" s="7">
        <f t="shared" si="110"/>
        <v>-180.66</v>
      </c>
      <c r="M296" s="2"/>
      <c r="N296" s="6">
        <f t="shared" si="111"/>
        <v>-1</v>
      </c>
      <c r="O296" s="11"/>
      <c r="P296" s="7">
        <v>541.98</v>
      </c>
      <c r="Q296" s="2"/>
      <c r="R296" s="6">
        <f t="shared" si="112"/>
        <v>4.4718197053450686E-5</v>
      </c>
      <c r="S296" s="2"/>
      <c r="T296" s="7">
        <v>2206.16</v>
      </c>
      <c r="U296" s="2"/>
      <c r="V296" s="6">
        <f t="shared" si="113"/>
        <v>1.5286731390575778E-4</v>
      </c>
      <c r="W296" s="2"/>
      <c r="X296" s="7">
        <f t="shared" si="114"/>
        <v>-1664.1799999999998</v>
      </c>
      <c r="Y296" s="2"/>
      <c r="Z296" s="6">
        <f t="shared" si="115"/>
        <v>-0.75433332124596586</v>
      </c>
    </row>
    <row r="297" spans="1:26" s="24" customFormat="1" hidden="1" outlineLevel="2" x14ac:dyDescent="0.35">
      <c r="A297" s="27"/>
      <c r="B297" s="11" t="str">
        <f>CONCATENATE("          ", "6284", " - ", "TRASH REMOVAL EXPENSE")</f>
        <v xml:space="preserve">          6284 - TRASH REMOVAL EXPENSE</v>
      </c>
      <c r="C297" s="11"/>
      <c r="D297" s="7">
        <v>134.82</v>
      </c>
      <c r="E297" s="2"/>
      <c r="F297" s="6">
        <f t="shared" si="108"/>
        <v>2.0562359327732564E-4</v>
      </c>
      <c r="G297" s="2"/>
      <c r="H297" s="7">
        <v>121.46</v>
      </c>
      <c r="I297" s="2"/>
      <c r="J297" s="6">
        <f t="shared" si="109"/>
        <v>3.1228953688125033E-4</v>
      </c>
      <c r="K297" s="2"/>
      <c r="L297" s="7">
        <f t="shared" si="110"/>
        <v>13.36</v>
      </c>
      <c r="M297" s="2"/>
      <c r="N297" s="6">
        <f t="shared" si="111"/>
        <v>0.10999506010209123</v>
      </c>
      <c r="O297" s="11"/>
      <c r="P297" s="7">
        <v>1617.84</v>
      </c>
      <c r="Q297" s="2"/>
      <c r="R297" s="6">
        <f t="shared" si="112"/>
        <v>1.334862687201643E-4</v>
      </c>
      <c r="S297" s="2"/>
      <c r="T297" s="7">
        <v>1457.52</v>
      </c>
      <c r="U297" s="2"/>
      <c r="V297" s="6">
        <f t="shared" si="113"/>
        <v>1.0099320419367592E-4</v>
      </c>
      <c r="W297" s="2"/>
      <c r="X297" s="7">
        <f t="shared" si="114"/>
        <v>160.31999999999994</v>
      </c>
      <c r="Y297" s="2"/>
      <c r="Z297" s="6">
        <f t="shared" si="115"/>
        <v>0.10999506010209117</v>
      </c>
    </row>
    <row r="298" spans="1:26" s="24" customFormat="1" hidden="1" outlineLevel="2" x14ac:dyDescent="0.35">
      <c r="A298" s="27"/>
      <c r="B298" s="11" t="str">
        <f>CONCATENATE("          ", "6285", " - ", "JANITORIAL SERVICES")</f>
        <v xml:space="preserve">          6285 - JANITORIAL SERVICES</v>
      </c>
      <c r="C298" s="11"/>
      <c r="D298" s="7">
        <v>7421.15</v>
      </c>
      <c r="E298" s="2"/>
      <c r="F298" s="6">
        <f t="shared" si="108"/>
        <v>1.1318524916555594E-2</v>
      </c>
      <c r="G298" s="2"/>
      <c r="H298" s="7">
        <v>4047.1</v>
      </c>
      <c r="I298" s="2"/>
      <c r="J298" s="6">
        <f t="shared" si="109"/>
        <v>1.0405623124585116E-2</v>
      </c>
      <c r="K298" s="2"/>
      <c r="L298" s="7">
        <f t="shared" si="110"/>
        <v>3374.0499999999997</v>
      </c>
      <c r="M298" s="2"/>
      <c r="N298" s="6">
        <f t="shared" si="111"/>
        <v>0.83369573274690512</v>
      </c>
      <c r="O298" s="11"/>
      <c r="P298" s="7">
        <v>53343.38</v>
      </c>
      <c r="Q298" s="2"/>
      <c r="R298" s="6">
        <f t="shared" si="112"/>
        <v>4.4013059122792351E-3</v>
      </c>
      <c r="S298" s="2"/>
      <c r="T298" s="7">
        <v>47276.25</v>
      </c>
      <c r="U298" s="2"/>
      <c r="V298" s="6">
        <f t="shared" si="113"/>
        <v>3.2758246677652941E-3</v>
      </c>
      <c r="W298" s="2"/>
      <c r="X298" s="7">
        <f t="shared" si="114"/>
        <v>6067.1299999999974</v>
      </c>
      <c r="Y298" s="2"/>
      <c r="Z298" s="6">
        <f t="shared" si="115"/>
        <v>0.12833357129636969</v>
      </c>
    </row>
    <row r="299" spans="1:26" s="25" customFormat="1" outlineLevel="1" collapsed="1" x14ac:dyDescent="0.35">
      <c r="A299" s="26"/>
      <c r="B299" s="12" t="str">
        <f>CONCATENATE("     ","Subscriptions &amp; Dues                              ")</f>
        <v xml:space="preserve">     Subscriptions &amp; Dues                              </v>
      </c>
      <c r="C299" s="12"/>
      <c r="D299" s="1">
        <f>SUM(OSRRefD22_19x_0)</f>
        <v>1101.25</v>
      </c>
      <c r="E299" s="1"/>
      <c r="F299" s="5">
        <f t="shared" ref="F299:F301" si="116">IF(D$12=0,0,D299/D$12)</f>
        <v>1.6795948827818933E-3</v>
      </c>
      <c r="G299" s="1"/>
      <c r="H299" s="1">
        <f>SUM(OSRRefH22_19x_0)</f>
        <v>7868.06</v>
      </c>
      <c r="I299" s="1"/>
      <c r="J299" s="5">
        <f t="shared" ref="J299:J301" si="117">IF(H$12=0,0,H299/H$12)</f>
        <v>2.0229810748838221E-2</v>
      </c>
      <c r="K299" s="1"/>
      <c r="L299" s="1">
        <f t="shared" ref="L299:L301" si="118">+D299-H299</f>
        <v>-6766.81</v>
      </c>
      <c r="M299" s="1"/>
      <c r="N299" s="5">
        <f t="shared" ref="N299:N301" si="119">IF(H299=0,0,L299/H299)</f>
        <v>-0.86003538356341969</v>
      </c>
      <c r="O299" s="12"/>
      <c r="P299" s="1">
        <f>SUM(OSRRefP22_19x_0)</f>
        <v>3573.6</v>
      </c>
      <c r="Q299" s="1"/>
      <c r="R299" s="5">
        <f t="shared" ref="R299:R301" si="120">IF(P$12=0,0,P299/P$12)</f>
        <v>2.9485395953764224E-4</v>
      </c>
      <c r="S299" s="1"/>
      <c r="T299" s="1">
        <f>SUM(OSRRefT22_19x_0)</f>
        <v>20312.919999999998</v>
      </c>
      <c r="U299" s="1"/>
      <c r="V299" s="5">
        <f t="shared" ref="V299:V301" si="121">IF(T$12=0,0,T299/T$12)</f>
        <v>1.4075051301730361E-3</v>
      </c>
      <c r="W299" s="1"/>
      <c r="X299" s="1">
        <f t="shared" ref="X299:X301" si="122">+P299-T299</f>
        <v>-16739.32</v>
      </c>
      <c r="Y299" s="1"/>
      <c r="Z299" s="5">
        <f t="shared" ref="Z299:Z301" si="123">IF(T299=0,0,X299/T299)</f>
        <v>-0.8240725607150523</v>
      </c>
    </row>
    <row r="300" spans="1:26" s="24" customFormat="1" hidden="1" outlineLevel="2" x14ac:dyDescent="0.35">
      <c r="A300" s="27"/>
      <c r="B300" s="11" t="str">
        <f>CONCATENATE("          ", "6258", " - ", "MEMBERSHIP DUES")</f>
        <v xml:space="preserve">          6258 - MEMBERSHIP DUES</v>
      </c>
      <c r="C300" s="11"/>
      <c r="D300" s="7">
        <v>1101.25</v>
      </c>
      <c r="E300" s="2"/>
      <c r="F300" s="6">
        <f t="shared" si="116"/>
        <v>1.6795948827818933E-3</v>
      </c>
      <c r="G300" s="2"/>
      <c r="H300" s="7">
        <v>7576.1</v>
      </c>
      <c r="I300" s="2"/>
      <c r="J300" s="6">
        <f t="shared" si="117"/>
        <v>1.9479143424716291E-2</v>
      </c>
      <c r="K300" s="2"/>
      <c r="L300" s="7">
        <f t="shared" si="118"/>
        <v>-6474.85</v>
      </c>
      <c r="M300" s="2"/>
      <c r="N300" s="6">
        <f t="shared" si="119"/>
        <v>-0.85464157020102693</v>
      </c>
      <c r="O300" s="11"/>
      <c r="P300" s="7">
        <v>781.16</v>
      </c>
      <c r="Q300" s="2"/>
      <c r="R300" s="6">
        <f t="shared" si="120"/>
        <v>6.4452686095932562E-5</v>
      </c>
      <c r="S300" s="2"/>
      <c r="T300" s="7">
        <v>10730.74</v>
      </c>
      <c r="U300" s="2"/>
      <c r="V300" s="6">
        <f t="shared" si="121"/>
        <v>7.4354507380292967E-4</v>
      </c>
      <c r="W300" s="2"/>
      <c r="X300" s="7">
        <f t="shared" si="122"/>
        <v>-9949.58</v>
      </c>
      <c r="Y300" s="2"/>
      <c r="Z300" s="6">
        <f t="shared" si="123"/>
        <v>-0.92720352929993644</v>
      </c>
    </row>
    <row r="301" spans="1:26" s="24" customFormat="1" hidden="1" outlineLevel="2" x14ac:dyDescent="0.35">
      <c r="A301" s="27"/>
      <c r="B301" s="11" t="str">
        <f>CONCATENATE("          ", "6275", " - ", "SUBSCRIPTIONS")</f>
        <v xml:space="preserve">          6275 - SUBSCRIPTIONS</v>
      </c>
      <c r="C301" s="11"/>
      <c r="D301" s="7"/>
      <c r="E301" s="2"/>
      <c r="F301" s="6">
        <f t="shared" si="116"/>
        <v>0</v>
      </c>
      <c r="G301" s="2"/>
      <c r="H301" s="7">
        <v>291.95999999999998</v>
      </c>
      <c r="I301" s="2"/>
      <c r="J301" s="6">
        <f t="shared" si="117"/>
        <v>7.5066732412193177E-4</v>
      </c>
      <c r="K301" s="2"/>
      <c r="L301" s="7">
        <f t="shared" si="118"/>
        <v>-291.95999999999998</v>
      </c>
      <c r="M301" s="2"/>
      <c r="N301" s="6">
        <f t="shared" si="119"/>
        <v>-1</v>
      </c>
      <c r="O301" s="11"/>
      <c r="P301" s="7">
        <v>2792.44</v>
      </c>
      <c r="Q301" s="2"/>
      <c r="R301" s="6">
        <f t="shared" si="120"/>
        <v>2.3040127344170971E-4</v>
      </c>
      <c r="S301" s="2"/>
      <c r="T301" s="7">
        <v>9582.18</v>
      </c>
      <c r="U301" s="2"/>
      <c r="V301" s="6">
        <f t="shared" si="121"/>
        <v>6.6396005637010651E-4</v>
      </c>
      <c r="W301" s="2"/>
      <c r="X301" s="7">
        <f t="shared" si="122"/>
        <v>-6789.74</v>
      </c>
      <c r="Y301" s="2"/>
      <c r="Z301" s="6">
        <f t="shared" si="123"/>
        <v>-0.70857988474439004</v>
      </c>
    </row>
    <row r="302" spans="1:26" s="25" customFormat="1" outlineLevel="1" collapsed="1" x14ac:dyDescent="0.35">
      <c r="A302" s="26"/>
      <c r="B302" s="12" t="str">
        <f>CONCATENATE("     ","Supplies                                          ")</f>
        <v xml:space="preserve">     Supplies                                          </v>
      </c>
      <c r="C302" s="12"/>
      <c r="D302" s="1">
        <f>SUM(OSRRefD22_20x_0)</f>
        <v>16042.18</v>
      </c>
      <c r="E302" s="1"/>
      <c r="F302" s="5">
        <f t="shared" ref="F302:F310" si="124">IF(D$12=0,0,D302/D$12)</f>
        <v>2.4467072360196171E-2</v>
      </c>
      <c r="G302" s="1"/>
      <c r="H302" s="1">
        <f>SUM(OSRRefH22_20x_0)</f>
        <v>6345.3600000000006</v>
      </c>
      <c r="I302" s="1"/>
      <c r="J302" s="5">
        <f t="shared" ref="J302:J310" si="125">IF(H$12=0,0,H302/H$12)</f>
        <v>1.631475000613215E-2</v>
      </c>
      <c r="K302" s="1"/>
      <c r="L302" s="1">
        <f t="shared" ref="L302:L310" si="126">+D302-H302</f>
        <v>9696.82</v>
      </c>
      <c r="M302" s="1"/>
      <c r="N302" s="5">
        <f t="shared" ref="N302:N310" si="127">IF(H302=0,0,L302/H302)</f>
        <v>1.5281749183655458</v>
      </c>
      <c r="O302" s="12"/>
      <c r="P302" s="1">
        <f>SUM(OSRRefP22_20x_0)</f>
        <v>112339.25999999998</v>
      </c>
      <c r="Q302" s="1"/>
      <c r="R302" s="5">
        <f t="shared" ref="R302:R310" si="128">IF(P$12=0,0,P302/P$12)</f>
        <v>9.268993626183308E-3</v>
      </c>
      <c r="S302" s="1"/>
      <c r="T302" s="1">
        <f>SUM(OSRRefT22_20x_0)</f>
        <v>166110.72</v>
      </c>
      <c r="U302" s="1"/>
      <c r="V302" s="5">
        <f t="shared" ref="V302:V310" si="129">IF(T$12=0,0,T302/T$12)</f>
        <v>1.1509999083181382E-2</v>
      </c>
      <c r="W302" s="1"/>
      <c r="X302" s="1">
        <f t="shared" ref="X302:X310" si="130">+P302-T302</f>
        <v>-53771.460000000021</v>
      </c>
      <c r="Y302" s="1"/>
      <c r="Z302" s="5">
        <f t="shared" ref="Z302:Z310" si="131">IF(T302=0,0,X302/T302)</f>
        <v>-0.3237085481298258</v>
      </c>
    </row>
    <row r="303" spans="1:26" s="24" customFormat="1" hidden="1" outlineLevel="2" x14ac:dyDescent="0.35">
      <c r="A303" s="27"/>
      <c r="B303" s="11" t="str">
        <f>CONCATENATE("          ", "6234", " - ", "EXPENDABLE SUPPLIES &amp; EQUIPMEN")</f>
        <v xml:space="preserve">          6234 - EXPENDABLE SUPPLIES &amp; EQUIPMEN</v>
      </c>
      <c r="C303" s="11"/>
      <c r="D303" s="7">
        <v>4356.1000000000004</v>
      </c>
      <c r="E303" s="2"/>
      <c r="F303" s="6">
        <f t="shared" si="124"/>
        <v>6.6437986550612546E-3</v>
      </c>
      <c r="G303" s="2"/>
      <c r="H303" s="7">
        <v>193.68</v>
      </c>
      <c r="I303" s="2"/>
      <c r="J303" s="6">
        <f t="shared" si="125"/>
        <v>4.9797659725967858E-4</v>
      </c>
      <c r="K303" s="2"/>
      <c r="L303" s="7">
        <f t="shared" si="126"/>
        <v>4162.42</v>
      </c>
      <c r="M303" s="2"/>
      <c r="N303" s="6">
        <f t="shared" si="127"/>
        <v>21.491222635274678</v>
      </c>
      <c r="O303" s="11"/>
      <c r="P303" s="7">
        <v>8498.66</v>
      </c>
      <c r="Q303" s="2"/>
      <c r="R303" s="6">
        <f t="shared" si="128"/>
        <v>7.0121545549702783E-4</v>
      </c>
      <c r="S303" s="2"/>
      <c r="T303" s="7">
        <v>3875.11</v>
      </c>
      <c r="U303" s="2"/>
      <c r="V303" s="6">
        <f t="shared" si="129"/>
        <v>2.6851074119254318E-4</v>
      </c>
      <c r="W303" s="2"/>
      <c r="X303" s="7">
        <f t="shared" si="130"/>
        <v>4623.5499999999993</v>
      </c>
      <c r="Y303" s="2"/>
      <c r="Z303" s="6">
        <f t="shared" si="131"/>
        <v>1.1931403237585512</v>
      </c>
    </row>
    <row r="304" spans="1:26" s="24" customFormat="1" hidden="1" outlineLevel="2" x14ac:dyDescent="0.35">
      <c r="A304" s="27"/>
      <c r="B304" s="11" t="str">
        <f>CONCATENATE("          ", "6235", " - ", "COVID-19 EXPENSES")</f>
        <v xml:space="preserve">          6235 - COVID-19 EXPENSES</v>
      </c>
      <c r="C304" s="11"/>
      <c r="D304" s="7">
        <v>3511.67</v>
      </c>
      <c r="E304" s="2"/>
      <c r="F304" s="6">
        <f t="shared" si="124"/>
        <v>5.3558982629000607E-3</v>
      </c>
      <c r="G304" s="2"/>
      <c r="H304" s="7"/>
      <c r="I304" s="2"/>
      <c r="J304" s="6">
        <f t="shared" si="125"/>
        <v>0</v>
      </c>
      <c r="K304" s="2"/>
      <c r="L304" s="7">
        <f t="shared" si="126"/>
        <v>3511.67</v>
      </c>
      <c r="M304" s="2"/>
      <c r="N304" s="6">
        <f t="shared" si="127"/>
        <v>0</v>
      </c>
      <c r="O304" s="11"/>
      <c r="P304" s="7">
        <v>5061.67</v>
      </c>
      <c r="Q304" s="2"/>
      <c r="R304" s="6">
        <f t="shared" si="128"/>
        <v>4.1763304269445316E-4</v>
      </c>
      <c r="S304" s="2"/>
      <c r="T304" s="7"/>
      <c r="U304" s="2"/>
      <c r="V304" s="6">
        <f t="shared" si="129"/>
        <v>0</v>
      </c>
      <c r="W304" s="2"/>
      <c r="X304" s="7">
        <f t="shared" si="130"/>
        <v>5061.67</v>
      </c>
      <c r="Y304" s="2"/>
      <c r="Z304" s="6">
        <f t="shared" si="131"/>
        <v>0</v>
      </c>
    </row>
    <row r="305" spans="1:26" s="24" customFormat="1" hidden="1" outlineLevel="2" x14ac:dyDescent="0.35">
      <c r="A305" s="27"/>
      <c r="B305" s="11" t="str">
        <f>CONCATENATE("          ", "6237", " - ", "JANITORIAL SUPPLIES")</f>
        <v xml:space="preserve">          6237 - JANITORIAL SUPPLIES</v>
      </c>
      <c r="C305" s="11"/>
      <c r="D305" s="7">
        <v>1763.02</v>
      </c>
      <c r="E305" s="2"/>
      <c r="F305" s="6">
        <f t="shared" si="124"/>
        <v>2.6889074871665232E-3</v>
      </c>
      <c r="G305" s="2"/>
      <c r="H305" s="7">
        <v>1461.1</v>
      </c>
      <c r="I305" s="2"/>
      <c r="J305" s="6">
        <f t="shared" si="125"/>
        <v>3.7566790905416993E-3</v>
      </c>
      <c r="K305" s="2"/>
      <c r="L305" s="7">
        <f t="shared" si="126"/>
        <v>301.92000000000007</v>
      </c>
      <c r="M305" s="2"/>
      <c r="N305" s="6">
        <f t="shared" si="127"/>
        <v>0.20663883375538983</v>
      </c>
      <c r="O305" s="11"/>
      <c r="P305" s="7">
        <v>7068.06</v>
      </c>
      <c r="Q305" s="2"/>
      <c r="R305" s="6">
        <f t="shared" si="128"/>
        <v>5.8317816130782068E-4</v>
      </c>
      <c r="S305" s="2"/>
      <c r="T305" s="7">
        <v>7745.99</v>
      </c>
      <c r="U305" s="2"/>
      <c r="V305" s="6">
        <f t="shared" si="129"/>
        <v>5.3672838091564559E-4</v>
      </c>
      <c r="W305" s="2"/>
      <c r="X305" s="7">
        <f t="shared" si="130"/>
        <v>-677.92999999999938</v>
      </c>
      <c r="Y305" s="2"/>
      <c r="Z305" s="6">
        <f t="shared" si="131"/>
        <v>-8.7520123315418613E-2</v>
      </c>
    </row>
    <row r="306" spans="1:26" s="24" customFormat="1" hidden="1" outlineLevel="2" x14ac:dyDescent="0.35">
      <c r="A306" s="27"/>
      <c r="B306" s="11" t="str">
        <f>CONCATENATE("          ", "6241", " - ", "OFFICE EXPENSE")</f>
        <v xml:space="preserve">          6241 - OFFICE EXPENSE</v>
      </c>
      <c r="C306" s="11"/>
      <c r="D306" s="7">
        <v>717.93</v>
      </c>
      <c r="E306" s="2"/>
      <c r="F306" s="6">
        <f t="shared" si="124"/>
        <v>1.09496622401417E-3</v>
      </c>
      <c r="G306" s="2"/>
      <c r="H306" s="7">
        <v>2289.92</v>
      </c>
      <c r="I306" s="2"/>
      <c r="J306" s="6">
        <f t="shared" si="125"/>
        <v>5.8876836513676338E-3</v>
      </c>
      <c r="K306" s="2"/>
      <c r="L306" s="7">
        <f t="shared" si="126"/>
        <v>-1571.9900000000002</v>
      </c>
      <c r="M306" s="2"/>
      <c r="N306" s="6">
        <f t="shared" si="127"/>
        <v>-0.68648249720514265</v>
      </c>
      <c r="O306" s="11"/>
      <c r="P306" s="7">
        <v>26283.62</v>
      </c>
      <c r="Q306" s="2"/>
      <c r="R306" s="6">
        <f t="shared" si="128"/>
        <v>2.1686337105391662E-3</v>
      </c>
      <c r="S306" s="2"/>
      <c r="T306" s="7">
        <v>37725.440000000002</v>
      </c>
      <c r="U306" s="2"/>
      <c r="V306" s="6">
        <f t="shared" si="129"/>
        <v>2.614038274065721E-3</v>
      </c>
      <c r="W306" s="2"/>
      <c r="X306" s="7">
        <f t="shared" si="130"/>
        <v>-11441.820000000003</v>
      </c>
      <c r="Y306" s="2"/>
      <c r="Z306" s="6">
        <f t="shared" si="131"/>
        <v>-0.30329189003494733</v>
      </c>
    </row>
    <row r="307" spans="1:26" s="24" customFormat="1" hidden="1" outlineLevel="2" x14ac:dyDescent="0.35">
      <c r="A307" s="27"/>
      <c r="B307" s="11" t="str">
        <f>CONCATENATE("          ", "6243", " - ", "PAPER SUPPLIES")</f>
        <v xml:space="preserve">          6243 - PAPER SUPPLIES</v>
      </c>
      <c r="C307" s="11"/>
      <c r="D307" s="7">
        <v>508.47</v>
      </c>
      <c r="E307" s="2"/>
      <c r="F307" s="6">
        <f t="shared" si="124"/>
        <v>7.7550384567365207E-4</v>
      </c>
      <c r="G307" s="2"/>
      <c r="H307" s="7">
        <v>1356.73</v>
      </c>
      <c r="I307" s="2"/>
      <c r="J307" s="6">
        <f t="shared" si="125"/>
        <v>3.4883301776131958E-3</v>
      </c>
      <c r="K307" s="2"/>
      <c r="L307" s="7">
        <f t="shared" si="126"/>
        <v>-848.26</v>
      </c>
      <c r="M307" s="2"/>
      <c r="N307" s="6">
        <f t="shared" si="127"/>
        <v>-0.62522388389731187</v>
      </c>
      <c r="O307" s="11"/>
      <c r="P307" s="7">
        <v>18447.68</v>
      </c>
      <c r="Q307" s="2"/>
      <c r="R307" s="6">
        <f t="shared" si="128"/>
        <v>1.5220985819015482E-3</v>
      </c>
      <c r="S307" s="2"/>
      <c r="T307" s="7">
        <v>35477.599999999999</v>
      </c>
      <c r="U307" s="2"/>
      <c r="V307" s="6">
        <f t="shared" si="129"/>
        <v>2.4582829059646228E-3</v>
      </c>
      <c r="W307" s="2"/>
      <c r="X307" s="7">
        <f t="shared" si="130"/>
        <v>-17029.919999999998</v>
      </c>
      <c r="Y307" s="2"/>
      <c r="Z307" s="6">
        <f t="shared" si="131"/>
        <v>-0.48001894152930297</v>
      </c>
    </row>
    <row r="308" spans="1:26" s="24" customFormat="1" hidden="1" outlineLevel="2" x14ac:dyDescent="0.35">
      <c r="A308" s="27"/>
      <c r="B308" s="11" t="str">
        <f>CONCATENATE("          ", "6245", " - ", "PRINTING")</f>
        <v xml:space="preserve">          6245 - PRINTING</v>
      </c>
      <c r="C308" s="11"/>
      <c r="D308" s="7">
        <v>158.76</v>
      </c>
      <c r="E308" s="2"/>
      <c r="F308" s="6">
        <f t="shared" si="124"/>
        <v>2.4213619395273858E-4</v>
      </c>
      <c r="G308" s="2"/>
      <c r="H308" s="7">
        <v>119.96</v>
      </c>
      <c r="I308" s="2"/>
      <c r="J308" s="6">
        <f t="shared" si="125"/>
        <v>3.084328408058191E-4</v>
      </c>
      <c r="K308" s="2"/>
      <c r="L308" s="7">
        <f t="shared" si="126"/>
        <v>38.799999999999997</v>
      </c>
      <c r="M308" s="2"/>
      <c r="N308" s="6">
        <f t="shared" si="127"/>
        <v>0.32344114704901633</v>
      </c>
      <c r="O308" s="11"/>
      <c r="P308" s="7">
        <v>10786.36</v>
      </c>
      <c r="Q308" s="2"/>
      <c r="R308" s="6">
        <f t="shared" si="128"/>
        <v>8.8997116493128589E-4</v>
      </c>
      <c r="S308" s="2"/>
      <c r="T308" s="7">
        <v>14940.310000000001</v>
      </c>
      <c r="U308" s="2"/>
      <c r="V308" s="6">
        <f t="shared" si="129"/>
        <v>1.0352309255082734E-3</v>
      </c>
      <c r="W308" s="2"/>
      <c r="X308" s="7">
        <f t="shared" si="130"/>
        <v>-4153.9500000000007</v>
      </c>
      <c r="Y308" s="2"/>
      <c r="Z308" s="6">
        <f t="shared" si="131"/>
        <v>-0.27803639951245995</v>
      </c>
    </row>
    <row r="309" spans="1:26" s="24" customFormat="1" hidden="1" outlineLevel="2" x14ac:dyDescent="0.35">
      <c r="A309" s="27"/>
      <c r="B309" s="11" t="str">
        <f>CONCATENATE("          ", "6247", " - ", "STORE SUPPLIES")</f>
        <v xml:space="preserve">          6247 - STORE SUPPLIES</v>
      </c>
      <c r="C309" s="11"/>
      <c r="D309" s="7">
        <v>5026.2299999999996</v>
      </c>
      <c r="E309" s="2"/>
      <c r="F309" s="6">
        <f t="shared" si="124"/>
        <v>7.6658616914277731E-3</v>
      </c>
      <c r="G309" s="2"/>
      <c r="H309" s="7">
        <v>923.97</v>
      </c>
      <c r="I309" s="2"/>
      <c r="J309" s="6">
        <f t="shared" si="125"/>
        <v>2.3756476485441206E-3</v>
      </c>
      <c r="K309" s="2"/>
      <c r="L309" s="7">
        <f t="shared" si="126"/>
        <v>4102.2599999999993</v>
      </c>
      <c r="M309" s="2"/>
      <c r="N309" s="6">
        <f t="shared" si="127"/>
        <v>4.4398194746582673</v>
      </c>
      <c r="O309" s="11"/>
      <c r="P309" s="7">
        <v>36149.299999999996</v>
      </c>
      <c r="Q309" s="2"/>
      <c r="R309" s="6">
        <f t="shared" si="128"/>
        <v>2.9826405416146437E-3</v>
      </c>
      <c r="S309" s="2"/>
      <c r="T309" s="7">
        <v>64369.490000000005</v>
      </c>
      <c r="U309" s="2"/>
      <c r="V309" s="6">
        <f t="shared" si="129"/>
        <v>4.4602345404610444E-3</v>
      </c>
      <c r="W309" s="2"/>
      <c r="X309" s="7">
        <f t="shared" si="130"/>
        <v>-28220.19000000001</v>
      </c>
      <c r="Y309" s="2"/>
      <c r="Z309" s="6">
        <f t="shared" si="131"/>
        <v>-0.43840940793534339</v>
      </c>
    </row>
    <row r="310" spans="1:26" s="24" customFormat="1" hidden="1" outlineLevel="2" x14ac:dyDescent="0.35">
      <c r="A310" s="27"/>
      <c r="B310" s="11" t="str">
        <f>CONCATENATE("          ", "6248", " - ", "UNIFORMS")</f>
        <v xml:space="preserve">          6248 - UNIFORMS</v>
      </c>
      <c r="C310" s="11"/>
      <c r="D310" s="7"/>
      <c r="E310" s="2"/>
      <c r="F310" s="6">
        <f t="shared" si="124"/>
        <v>0</v>
      </c>
      <c r="G310" s="2"/>
      <c r="H310" s="7"/>
      <c r="I310" s="2"/>
      <c r="J310" s="6">
        <f t="shared" si="125"/>
        <v>0</v>
      </c>
      <c r="K310" s="2"/>
      <c r="L310" s="7">
        <f t="shared" si="126"/>
        <v>0</v>
      </c>
      <c r="M310" s="2"/>
      <c r="N310" s="6">
        <f t="shared" si="127"/>
        <v>0</v>
      </c>
      <c r="O310" s="11"/>
      <c r="P310" s="7">
        <v>43.91</v>
      </c>
      <c r="Q310" s="2"/>
      <c r="R310" s="6">
        <f t="shared" si="128"/>
        <v>3.6229676973634071E-6</v>
      </c>
      <c r="S310" s="2"/>
      <c r="T310" s="7">
        <v>1976.78</v>
      </c>
      <c r="U310" s="2"/>
      <c r="V310" s="6">
        <f t="shared" si="129"/>
        <v>1.3697331507353224E-4</v>
      </c>
      <c r="W310" s="2"/>
      <c r="X310" s="7">
        <f t="shared" si="130"/>
        <v>-1932.87</v>
      </c>
      <c r="Y310" s="2"/>
      <c r="Z310" s="6">
        <f t="shared" si="131"/>
        <v>-0.97778710832768434</v>
      </c>
    </row>
    <row r="311" spans="1:26" s="25" customFormat="1" outlineLevel="1" collapsed="1" x14ac:dyDescent="0.35">
      <c r="A311" s="26"/>
      <c r="B311" s="12" t="str">
        <f>CONCATENATE("     ","Telephone/Data Lines                              ")</f>
        <v xml:space="preserve">     Telephone/Data Lines                              </v>
      </c>
      <c r="C311" s="12"/>
      <c r="D311" s="1">
        <f>SUM(OSRRefD22_21x_0)</f>
        <v>885.99</v>
      </c>
      <c r="E311" s="1"/>
      <c r="F311" s="5">
        <f t="shared" ref="F311:F313" si="132">IF(D$12=0,0,D311/D$12)</f>
        <v>1.3512865109611167E-3</v>
      </c>
      <c r="G311" s="1"/>
      <c r="H311" s="1">
        <f>SUM(OSRRefH22_21x_0)</f>
        <v>3180.76</v>
      </c>
      <c r="I311" s="1"/>
      <c r="J311" s="5">
        <f t="shared" ref="J311:J313" si="133">IF(H$12=0,0,H311/H$12)</f>
        <v>8.1781497392590628E-3</v>
      </c>
      <c r="K311" s="1"/>
      <c r="L311" s="1">
        <f t="shared" ref="L311:L313" si="134">+D311-H311</f>
        <v>-2294.7700000000004</v>
      </c>
      <c r="M311" s="1"/>
      <c r="N311" s="5">
        <f t="shared" ref="N311:N313" si="135">IF(H311=0,0,L311/H311)</f>
        <v>-0.72145336334712462</v>
      </c>
      <c r="O311" s="12"/>
      <c r="P311" s="1">
        <f>SUM(OSRRefP22_21x_0)</f>
        <v>31467.66</v>
      </c>
      <c r="Q311" s="1"/>
      <c r="R311" s="5">
        <f t="shared" ref="R311:R313" si="136">IF(P$12=0,0,P311/P$12)</f>
        <v>2.5963633726170483E-3</v>
      </c>
      <c r="S311" s="1"/>
      <c r="T311" s="1">
        <f>SUM(OSRRefT22_21x_0)</f>
        <v>36894.5</v>
      </c>
      <c r="U311" s="1"/>
      <c r="V311" s="5">
        <f t="shared" ref="V311:V313" si="137">IF(T$12=0,0,T311/T$12)</f>
        <v>2.5564615045581373E-3</v>
      </c>
      <c r="W311" s="1"/>
      <c r="X311" s="1">
        <f t="shared" ref="X311:X313" si="138">+P311-T311</f>
        <v>-5426.84</v>
      </c>
      <c r="Y311" s="1"/>
      <c r="Z311" s="5">
        <f t="shared" ref="Z311:Z313" si="139">IF(T311=0,0,X311/T311)</f>
        <v>-0.14709075878518479</v>
      </c>
    </row>
    <row r="312" spans="1:26" s="24" customFormat="1" hidden="1" outlineLevel="2" x14ac:dyDescent="0.35">
      <c r="A312" s="27"/>
      <c r="B312" s="11" t="str">
        <f>CONCATENATE("          ", "6303", " - ", "DATA PHONE LINES")</f>
        <v xml:space="preserve">          6303 - DATA PHONE LINES</v>
      </c>
      <c r="C312" s="11"/>
      <c r="D312" s="7"/>
      <c r="E312" s="2"/>
      <c r="F312" s="6">
        <f t="shared" si="132"/>
        <v>0</v>
      </c>
      <c r="G312" s="2"/>
      <c r="H312" s="7">
        <v>295</v>
      </c>
      <c r="I312" s="2"/>
      <c r="J312" s="6">
        <f t="shared" si="133"/>
        <v>7.584835615014725E-4</v>
      </c>
      <c r="K312" s="2"/>
      <c r="L312" s="7">
        <f t="shared" si="134"/>
        <v>-295</v>
      </c>
      <c r="M312" s="2"/>
      <c r="N312" s="6">
        <f t="shared" si="135"/>
        <v>-1</v>
      </c>
      <c r="O312" s="11"/>
      <c r="P312" s="7">
        <v>2950</v>
      </c>
      <c r="Q312" s="2"/>
      <c r="R312" s="6">
        <f t="shared" si="136"/>
        <v>2.4340138253750969E-4</v>
      </c>
      <c r="S312" s="2"/>
      <c r="T312" s="7">
        <v>3540</v>
      </c>
      <c r="U312" s="2"/>
      <c r="V312" s="6">
        <f t="shared" si="137"/>
        <v>2.4529059144685E-4</v>
      </c>
      <c r="W312" s="2"/>
      <c r="X312" s="7">
        <f t="shared" si="138"/>
        <v>-590</v>
      </c>
      <c r="Y312" s="2"/>
      <c r="Z312" s="6">
        <f t="shared" si="139"/>
        <v>-0.16666666666666666</v>
      </c>
    </row>
    <row r="313" spans="1:26" s="24" customFormat="1" hidden="1" outlineLevel="2" x14ac:dyDescent="0.35">
      <c r="A313" s="27"/>
      <c r="B313" s="11" t="str">
        <f>CONCATENATE("          ", "6309", " - ", "TELEPHONE")</f>
        <v xml:space="preserve">          6309 - TELEPHONE</v>
      </c>
      <c r="C313" s="11"/>
      <c r="D313" s="7">
        <v>885.99</v>
      </c>
      <c r="E313" s="2"/>
      <c r="F313" s="6">
        <f t="shared" si="132"/>
        <v>1.3512865109611167E-3</v>
      </c>
      <c r="G313" s="2"/>
      <c r="H313" s="7">
        <v>2885.76</v>
      </c>
      <c r="I313" s="2"/>
      <c r="J313" s="6">
        <f t="shared" si="133"/>
        <v>7.4196661777575909E-3</v>
      </c>
      <c r="K313" s="2"/>
      <c r="L313" s="7">
        <f t="shared" si="134"/>
        <v>-1999.7700000000002</v>
      </c>
      <c r="M313" s="2"/>
      <c r="N313" s="6">
        <f t="shared" si="135"/>
        <v>-0.692978626081171</v>
      </c>
      <c r="O313" s="11"/>
      <c r="P313" s="7">
        <v>28517.66</v>
      </c>
      <c r="Q313" s="2"/>
      <c r="R313" s="6">
        <f t="shared" si="136"/>
        <v>2.3529619900795385E-3</v>
      </c>
      <c r="S313" s="2"/>
      <c r="T313" s="7">
        <v>33354.5</v>
      </c>
      <c r="U313" s="2"/>
      <c r="V313" s="6">
        <f t="shared" si="137"/>
        <v>2.3111709131112875E-3</v>
      </c>
      <c r="W313" s="2"/>
      <c r="X313" s="7">
        <f t="shared" si="138"/>
        <v>-4836.84</v>
      </c>
      <c r="Y313" s="2"/>
      <c r="Z313" s="6">
        <f t="shared" si="139"/>
        <v>-0.14501311667091396</v>
      </c>
    </row>
    <row r="314" spans="1:26" s="25" customFormat="1" outlineLevel="1" collapsed="1" x14ac:dyDescent="0.35">
      <c r="A314" s="26"/>
      <c r="B314" s="12" t="str">
        <f>CONCATENATE("     ","Training                                          ")</f>
        <v xml:space="preserve">     Training                                          </v>
      </c>
      <c r="C314" s="12"/>
      <c r="D314" s="1">
        <f>SUM(OSRRefD22_22x_0)</f>
        <v>0</v>
      </c>
      <c r="E314" s="1"/>
      <c r="F314" s="5">
        <f t="shared" ref="F314:F319" si="140">IF(D$12=0,0,D314/D$12)</f>
        <v>0</v>
      </c>
      <c r="G314" s="1"/>
      <c r="H314" s="1">
        <f>SUM(OSRRefH22_22x_0)</f>
        <v>375</v>
      </c>
      <c r="I314" s="1"/>
      <c r="J314" s="5">
        <f t="shared" ref="J314:J319" si="141">IF(H$12=0,0,H314/H$12)</f>
        <v>9.6417401885780392E-4</v>
      </c>
      <c r="K314" s="1"/>
      <c r="L314" s="1">
        <f t="shared" ref="L314:L319" si="142">+D314-H314</f>
        <v>-375</v>
      </c>
      <c r="M314" s="1"/>
      <c r="N314" s="5">
        <f t="shared" ref="N314:N319" si="143">IF(H314=0,0,L314/H314)</f>
        <v>-1</v>
      </c>
      <c r="O314" s="12"/>
      <c r="P314" s="1">
        <f>SUM(OSRRefP22_22x_0)</f>
        <v>25732.76</v>
      </c>
      <c r="Q314" s="1"/>
      <c r="R314" s="5">
        <f t="shared" ref="R314:R319" si="144">IF(P$12=0,0,P314/P$12)</f>
        <v>2.1231828340698062E-3</v>
      </c>
      <c r="S314" s="1"/>
      <c r="T314" s="1">
        <f>SUM(OSRRefT22_22x_0)</f>
        <v>21716.63</v>
      </c>
      <c r="U314" s="1"/>
      <c r="V314" s="5">
        <f t="shared" ref="V314:V319" si="145">IF(T$12=0,0,T314/T$12)</f>
        <v>1.5047697787944649E-3</v>
      </c>
      <c r="W314" s="1"/>
      <c r="X314" s="1">
        <f t="shared" ref="X314:X319" si="146">+P314-T314</f>
        <v>4016.1299999999974</v>
      </c>
      <c r="Y314" s="1"/>
      <c r="Z314" s="5">
        <f t="shared" ref="Z314:Z319" si="147">IF(T314=0,0,X314/T314)</f>
        <v>0.18493338975706622</v>
      </c>
    </row>
    <row r="315" spans="1:26" s="24" customFormat="1" hidden="1" outlineLevel="2" x14ac:dyDescent="0.35">
      <c r="A315" s="27"/>
      <c r="B315" s="11" t="str">
        <f>CONCATENATE("          ", "6376", " - ", "TRAINING")</f>
        <v xml:space="preserve">          6376 - TRAINING</v>
      </c>
      <c r="C315" s="11"/>
      <c r="D315" s="7"/>
      <c r="E315" s="2"/>
      <c r="F315" s="6">
        <f t="shared" si="140"/>
        <v>0</v>
      </c>
      <c r="G315" s="2"/>
      <c r="H315" s="7">
        <v>375</v>
      </c>
      <c r="I315" s="2"/>
      <c r="J315" s="6">
        <f t="shared" si="141"/>
        <v>9.6417401885780392E-4</v>
      </c>
      <c r="K315" s="2"/>
      <c r="L315" s="7">
        <f t="shared" si="142"/>
        <v>-375</v>
      </c>
      <c r="M315" s="2"/>
      <c r="N315" s="6">
        <f t="shared" si="143"/>
        <v>-1</v>
      </c>
      <c r="O315" s="11"/>
      <c r="P315" s="7">
        <v>25732.76</v>
      </c>
      <c r="Q315" s="2"/>
      <c r="R315" s="6">
        <f t="shared" si="144"/>
        <v>2.1231828340698062E-3</v>
      </c>
      <c r="S315" s="2"/>
      <c r="T315" s="7">
        <v>21716.63</v>
      </c>
      <c r="U315" s="2"/>
      <c r="V315" s="6">
        <f t="shared" si="145"/>
        <v>1.5047697787944649E-3</v>
      </c>
      <c r="W315" s="2"/>
      <c r="X315" s="7">
        <f t="shared" si="146"/>
        <v>4016.1299999999974</v>
      </c>
      <c r="Y315" s="2"/>
      <c r="Z315" s="6">
        <f t="shared" si="147"/>
        <v>0.18493338975706622</v>
      </c>
    </row>
    <row r="316" spans="1:26" s="25" customFormat="1" outlineLevel="1" collapsed="1" x14ac:dyDescent="0.35">
      <c r="A316" s="26"/>
      <c r="B316" s="12" t="str">
        <f>CONCATENATE("     ","Travel                                            ")</f>
        <v xml:space="preserve">     Travel                                            </v>
      </c>
      <c r="C316" s="12"/>
      <c r="D316" s="1">
        <f>SUM(OSRRefD22_23x_0)</f>
        <v>0</v>
      </c>
      <c r="E316" s="1"/>
      <c r="F316" s="5">
        <f t="shared" si="140"/>
        <v>0</v>
      </c>
      <c r="G316" s="1"/>
      <c r="H316" s="1">
        <f>SUM(OSRRefH22_23x_0)</f>
        <v>491.27</v>
      </c>
      <c r="I316" s="1"/>
      <c r="J316" s="5">
        <f t="shared" si="141"/>
        <v>1.2631193873180622E-3</v>
      </c>
      <c r="K316" s="1"/>
      <c r="L316" s="1">
        <f t="shared" si="142"/>
        <v>-491.27</v>
      </c>
      <c r="M316" s="1"/>
      <c r="N316" s="5">
        <f t="shared" si="143"/>
        <v>-1</v>
      </c>
      <c r="O316" s="12"/>
      <c r="P316" s="1">
        <f>SUM(OSRRefP22_23x_0)</f>
        <v>1139.73</v>
      </c>
      <c r="Q316" s="1"/>
      <c r="R316" s="5">
        <f t="shared" si="144"/>
        <v>9.4037917871008794E-5</v>
      </c>
      <c r="S316" s="1"/>
      <c r="T316" s="1">
        <f>SUM(OSRRefT22_23x_0)</f>
        <v>5814.5599999999995</v>
      </c>
      <c r="U316" s="1"/>
      <c r="V316" s="5">
        <f t="shared" si="145"/>
        <v>4.0289741847547908E-4</v>
      </c>
      <c r="W316" s="1"/>
      <c r="X316" s="1">
        <f t="shared" si="146"/>
        <v>-4674.83</v>
      </c>
      <c r="Y316" s="1"/>
      <c r="Z316" s="5">
        <f t="shared" si="147"/>
        <v>-0.80398688808783469</v>
      </c>
    </row>
    <row r="317" spans="1:26" s="24" customFormat="1" hidden="1" outlineLevel="2" x14ac:dyDescent="0.35">
      <c r="A317" s="27"/>
      <c r="B317" s="11" t="str">
        <f>CONCATENATE("          ", "6292", " - ", "TRAVEL/CONFERENCE")</f>
        <v xml:space="preserve">          6292 - TRAVEL/CONFERENCE</v>
      </c>
      <c r="C317" s="11"/>
      <c r="D317" s="7"/>
      <c r="E317" s="2"/>
      <c r="F317" s="6">
        <f t="shared" si="140"/>
        <v>0</v>
      </c>
      <c r="G317" s="2"/>
      <c r="H317" s="7">
        <v>326.18</v>
      </c>
      <c r="I317" s="2"/>
      <c r="J317" s="6">
        <f t="shared" si="141"/>
        <v>8.3865141725610265E-4</v>
      </c>
      <c r="K317" s="2"/>
      <c r="L317" s="7">
        <f t="shared" si="142"/>
        <v>-326.18</v>
      </c>
      <c r="M317" s="2"/>
      <c r="N317" s="6">
        <f t="shared" si="143"/>
        <v>-1</v>
      </c>
      <c r="O317" s="11"/>
      <c r="P317" s="7">
        <v>326.60000000000002</v>
      </c>
      <c r="Q317" s="2"/>
      <c r="R317" s="6">
        <f t="shared" si="144"/>
        <v>2.6947420859915482E-5</v>
      </c>
      <c r="S317" s="2"/>
      <c r="T317" s="7">
        <v>4121.28</v>
      </c>
      <c r="U317" s="2"/>
      <c r="V317" s="6">
        <f t="shared" si="145"/>
        <v>2.8556813805595305E-4</v>
      </c>
      <c r="W317" s="2"/>
      <c r="X317" s="7">
        <f t="shared" si="146"/>
        <v>-3794.68</v>
      </c>
      <c r="Y317" s="2"/>
      <c r="Z317" s="6">
        <f t="shared" si="147"/>
        <v>-0.92075277583663329</v>
      </c>
    </row>
    <row r="318" spans="1:26" s="24" customFormat="1" hidden="1" outlineLevel="2" x14ac:dyDescent="0.35">
      <c r="A318" s="27"/>
      <c r="B318" s="11" t="str">
        <f>CONCATENATE("          ", "6294", " - ", "TRAVEL OPERATIONAL")</f>
        <v xml:space="preserve">          6294 - TRAVEL OPERATIONAL</v>
      </c>
      <c r="C318" s="11"/>
      <c r="D318" s="7"/>
      <c r="E318" s="2"/>
      <c r="F318" s="6">
        <f t="shared" si="140"/>
        <v>0</v>
      </c>
      <c r="G318" s="2"/>
      <c r="H318" s="7">
        <v>141.72999999999999</v>
      </c>
      <c r="I318" s="2"/>
      <c r="J318" s="6">
        <f t="shared" si="141"/>
        <v>3.6440635651391079E-4</v>
      </c>
      <c r="K318" s="2"/>
      <c r="L318" s="7">
        <f t="shared" si="142"/>
        <v>-141.72999999999999</v>
      </c>
      <c r="M318" s="2"/>
      <c r="N318" s="6">
        <f t="shared" si="143"/>
        <v>-1</v>
      </c>
      <c r="O318" s="11"/>
      <c r="P318" s="7">
        <v>361.61</v>
      </c>
      <c r="Q318" s="2"/>
      <c r="R318" s="6">
        <f t="shared" si="144"/>
        <v>2.9836058962504709E-5</v>
      </c>
      <c r="S318" s="2"/>
      <c r="T318" s="7">
        <v>1025.69</v>
      </c>
      <c r="U318" s="2"/>
      <c r="V318" s="6">
        <f t="shared" si="145"/>
        <v>7.1071216593536601E-5</v>
      </c>
      <c r="W318" s="2"/>
      <c r="X318" s="7">
        <f t="shared" si="146"/>
        <v>-664.08</v>
      </c>
      <c r="Y318" s="2"/>
      <c r="Z318" s="6">
        <f t="shared" si="147"/>
        <v>-0.64744708440171983</v>
      </c>
    </row>
    <row r="319" spans="1:26" s="24" customFormat="1" hidden="1" outlineLevel="2" x14ac:dyDescent="0.35">
      <c r="A319" s="27"/>
      <c r="B319" s="11" t="str">
        <f>CONCATENATE("          ", "6298", " - ", "VEHICLE MILEAGE")</f>
        <v xml:space="preserve">          6298 - VEHICLE MILEAGE</v>
      </c>
      <c r="C319" s="11"/>
      <c r="D319" s="7"/>
      <c r="E319" s="2"/>
      <c r="F319" s="6">
        <f t="shared" si="140"/>
        <v>0</v>
      </c>
      <c r="G319" s="2"/>
      <c r="H319" s="7">
        <v>23.36</v>
      </c>
      <c r="I319" s="2"/>
      <c r="J319" s="6">
        <f t="shared" si="141"/>
        <v>6.0061613548048799E-5</v>
      </c>
      <c r="K319" s="2"/>
      <c r="L319" s="7">
        <f t="shared" si="142"/>
        <v>-23.36</v>
      </c>
      <c r="M319" s="2"/>
      <c r="N319" s="6">
        <f t="shared" si="143"/>
        <v>-1</v>
      </c>
      <c r="O319" s="11"/>
      <c r="P319" s="7">
        <v>451.52</v>
      </c>
      <c r="Q319" s="2"/>
      <c r="R319" s="6">
        <f t="shared" si="144"/>
        <v>3.7254438048588606E-5</v>
      </c>
      <c r="S319" s="2"/>
      <c r="T319" s="7">
        <v>667.59</v>
      </c>
      <c r="U319" s="2"/>
      <c r="V319" s="6">
        <f t="shared" si="145"/>
        <v>4.6258063825989432E-5</v>
      </c>
      <c r="W319" s="2"/>
      <c r="X319" s="7">
        <f t="shared" si="146"/>
        <v>-216.07000000000005</v>
      </c>
      <c r="Y319" s="2"/>
      <c r="Z319" s="6">
        <f t="shared" si="147"/>
        <v>-0.32365673542144135</v>
      </c>
    </row>
    <row r="320" spans="1:26" s="25" customFormat="1" outlineLevel="1" collapsed="1" x14ac:dyDescent="0.35">
      <c r="A320" s="26"/>
      <c r="B320" s="12" t="str">
        <f>CONCATENATE("     ","Utilities                                         ")</f>
        <v xml:space="preserve">     Utilities                                         </v>
      </c>
      <c r="C320" s="12"/>
      <c r="D320" s="1">
        <f>SUM(OSRRefD22_24x_0)</f>
        <v>6161.8</v>
      </c>
      <c r="E320" s="1"/>
      <c r="F320" s="5">
        <f t="shared" ref="F320:F321" si="148">IF(D$12=0,0,D320/D$12)</f>
        <v>9.3978004528721647E-3</v>
      </c>
      <c r="G320" s="1"/>
      <c r="H320" s="1">
        <f>SUM(OSRRefH22_24x_0)</f>
        <v>5625.24</v>
      </c>
      <c r="I320" s="1"/>
      <c r="J320" s="5">
        <f t="shared" ref="J320:J321" si="149">IF(H$12=0,0,H320/H$12)</f>
        <v>1.4463227354239128E-2</v>
      </c>
      <c r="K320" s="1"/>
      <c r="L320" s="1">
        <f t="shared" ref="L320:L321" si="150">+D320-H320</f>
        <v>536.5600000000004</v>
      </c>
      <c r="M320" s="1"/>
      <c r="N320" s="5">
        <f t="shared" ref="N320:N321" si="151">IF(H320=0,0,L320/H320)</f>
        <v>9.5384374711123515E-2</v>
      </c>
      <c r="O320" s="12"/>
      <c r="P320" s="1">
        <f>SUM(OSRRefP22_24x_0)</f>
        <v>71526.58</v>
      </c>
      <c r="Q320" s="1"/>
      <c r="R320" s="5">
        <f t="shared" ref="R320:R321" si="152">IF(P$12=0,0,P320/P$12)</f>
        <v>5.9015825288745057E-3</v>
      </c>
      <c r="S320" s="1"/>
      <c r="T320" s="1">
        <f>SUM(OSRRefT22_24x_0)</f>
        <v>57715.56</v>
      </c>
      <c r="U320" s="1"/>
      <c r="V320" s="5">
        <f t="shared" ref="V320:V321" si="153">IF(T$12=0,0,T320/T$12)</f>
        <v>3.9991762282729259E-3</v>
      </c>
      <c r="W320" s="1"/>
      <c r="X320" s="1">
        <f t="shared" ref="X320:X321" si="154">+P320-T320</f>
        <v>13811.020000000004</v>
      </c>
      <c r="Y320" s="1"/>
      <c r="Z320" s="5">
        <f t="shared" ref="Z320:Z321" si="155">IF(T320=0,0,X320/T320)</f>
        <v>0.23929456805062629</v>
      </c>
    </row>
    <row r="321" spans="1:26" s="24" customFormat="1" hidden="1" outlineLevel="2" x14ac:dyDescent="0.35">
      <c r="A321" s="27"/>
      <c r="B321" s="11" t="str">
        <f>CONCATENATE("          ", "6274", " - ", "UTILITIES")</f>
        <v xml:space="preserve">          6274 - UTILITIES</v>
      </c>
      <c r="C321" s="11"/>
      <c r="D321" s="7">
        <v>6161.8</v>
      </c>
      <c r="E321" s="2"/>
      <c r="F321" s="6">
        <f t="shared" si="148"/>
        <v>9.3978004528721647E-3</v>
      </c>
      <c r="G321" s="2"/>
      <c r="H321" s="7">
        <v>5625.24</v>
      </c>
      <c r="I321" s="2"/>
      <c r="J321" s="6">
        <f t="shared" si="149"/>
        <v>1.4463227354239128E-2</v>
      </c>
      <c r="K321" s="2"/>
      <c r="L321" s="7">
        <f t="shared" si="150"/>
        <v>536.5600000000004</v>
      </c>
      <c r="M321" s="2"/>
      <c r="N321" s="6">
        <f t="shared" si="151"/>
        <v>9.5384374711123515E-2</v>
      </c>
      <c r="O321" s="11"/>
      <c r="P321" s="7">
        <v>71526.58</v>
      </c>
      <c r="Q321" s="2"/>
      <c r="R321" s="6">
        <f t="shared" si="152"/>
        <v>5.9015825288745057E-3</v>
      </c>
      <c r="S321" s="2"/>
      <c r="T321" s="7">
        <v>57715.56</v>
      </c>
      <c r="U321" s="2"/>
      <c r="V321" s="6">
        <f t="shared" si="153"/>
        <v>3.9991762282729259E-3</v>
      </c>
      <c r="W321" s="2"/>
      <c r="X321" s="7">
        <f t="shared" si="154"/>
        <v>13811.020000000004</v>
      </c>
      <c r="Y321" s="2"/>
      <c r="Z321" s="6">
        <f t="shared" si="155"/>
        <v>0.23929456805062629</v>
      </c>
    </row>
    <row r="322" spans="1:26" s="56" customFormat="1" x14ac:dyDescent="0.35">
      <c r="A322" s="37"/>
      <c r="B322" s="37"/>
      <c r="C322" s="37"/>
      <c r="D322" s="1"/>
      <c r="E322" s="1"/>
      <c r="F322" s="5"/>
      <c r="G322" s="1"/>
      <c r="H322" s="1"/>
      <c r="I322" s="1"/>
      <c r="J322" s="5"/>
      <c r="K322" s="1"/>
      <c r="L322" s="1"/>
      <c r="M322" s="1"/>
      <c r="N322" s="5"/>
      <c r="O322" s="37"/>
      <c r="P322" s="1"/>
      <c r="Q322" s="1"/>
      <c r="R322" s="5"/>
      <c r="S322" s="1"/>
      <c r="T322" s="1"/>
      <c r="U322" s="1"/>
      <c r="V322" s="5"/>
      <c r="W322" s="1"/>
      <c r="X322" s="1"/>
      <c r="Y322" s="1"/>
      <c r="Z322" s="5"/>
    </row>
    <row r="323" spans="1:26" s="23" customFormat="1" collapsed="1" x14ac:dyDescent="0.35">
      <c r="A323" s="10"/>
      <c r="B323" s="29" t="s">
        <v>0</v>
      </c>
      <c r="C323" s="10"/>
      <c r="D323" s="4">
        <f>SUM(OSRRefD25x_0)</f>
        <v>38787.509999999995</v>
      </c>
      <c r="E323" s="4"/>
      <c r="F323" s="13">
        <f t="shared" ref="F323:F335" si="156">IF(D$12=0,0,D323/D$12)</f>
        <v>5.9157596650943479E-2</v>
      </c>
      <c r="G323" s="4"/>
      <c r="H323" s="4">
        <f>SUM(OSRRefH25x_0)</f>
        <v>145868.6</v>
      </c>
      <c r="I323" s="4"/>
      <c r="J323" s="13">
        <f t="shared" ref="J323:J335" si="157">IF(H$12=0,0,H323/H$12)</f>
        <v>0.37504723809909724</v>
      </c>
      <c r="K323" s="4"/>
      <c r="L323" s="4">
        <f t="shared" ref="L323:L335" si="158">+D323-H323</f>
        <v>-107081.09000000001</v>
      </c>
      <c r="M323" s="4"/>
      <c r="N323" s="13">
        <f t="shared" ref="N323:N335" si="159">IF(H323=0,0,L323/H323)</f>
        <v>-0.73409280681380373</v>
      </c>
      <c r="O323" s="10"/>
      <c r="P323" s="4">
        <f>SUM(OSRRefP25x_0)</f>
        <v>1221255.24</v>
      </c>
      <c r="Q323" s="4"/>
      <c r="R323" s="13">
        <f t="shared" ref="R323:R335" si="160">IF(P$12=0,0,P323/P$12)</f>
        <v>0.10076447927022991</v>
      </c>
      <c r="S323" s="4"/>
      <c r="T323" s="4">
        <f>SUM(OSRRefT25x_0)</f>
        <v>1357097.96</v>
      </c>
      <c r="U323" s="4"/>
      <c r="V323" s="13">
        <f t="shared" ref="V323:V335" si="161">IF(T$12=0,0,T323/T$12)</f>
        <v>9.40348478134784E-2</v>
      </c>
      <c r="W323" s="4"/>
      <c r="X323" s="4">
        <f t="shared" ref="X323:X335" si="162">+P323-T323</f>
        <v>-135842.71999999997</v>
      </c>
      <c r="Y323" s="4"/>
      <c r="Z323" s="13">
        <f t="shared" ref="Z323:Z335" si="163">IF(T323=0,0,X323/T323)</f>
        <v>-0.1000979472403009</v>
      </c>
    </row>
    <row r="324" spans="1:26" s="24" customFormat="1" hidden="1" outlineLevel="1" x14ac:dyDescent="0.35">
      <c r="A324" s="44"/>
      <c r="B324" s="11" t="str">
        <f>CONCATENATE("          ", "4098", " - ", "TAXABLE SALES-GRAD RENTALS")</f>
        <v xml:space="preserve">          4098 - TAXABLE SALES-GRAD RENTALS</v>
      </c>
      <c r="C324" s="11"/>
      <c r="D324" s="2">
        <f>0</f>
        <v>0</v>
      </c>
      <c r="E324" s="2"/>
      <c r="F324" s="19">
        <f t="shared" si="156"/>
        <v>0</v>
      </c>
      <c r="G324" s="2"/>
      <c r="H324" s="2">
        <f>--8835</f>
        <v>8835</v>
      </c>
      <c r="I324" s="2"/>
      <c r="J324" s="19">
        <f t="shared" si="157"/>
        <v>2.2715939884289861E-2</v>
      </c>
      <c r="K324" s="2"/>
      <c r="L324" s="2">
        <f t="shared" si="158"/>
        <v>-8835</v>
      </c>
      <c r="M324" s="2"/>
      <c r="N324" s="19">
        <f t="shared" si="159"/>
        <v>-1</v>
      </c>
      <c r="O324" s="11"/>
      <c r="P324" s="2">
        <f>--1946.85</f>
        <v>1946.85</v>
      </c>
      <c r="Q324" s="2"/>
      <c r="R324" s="19">
        <f t="shared" si="160"/>
        <v>1.6063253613327145E-4</v>
      </c>
      <c r="S324" s="2"/>
      <c r="T324" s="2">
        <f>--86267.28</f>
        <v>86267.28</v>
      </c>
      <c r="U324" s="2"/>
      <c r="V324" s="19">
        <f t="shared" si="161"/>
        <v>5.9775570999183649E-3</v>
      </c>
      <c r="W324" s="2"/>
      <c r="X324" s="2">
        <f t="shared" si="162"/>
        <v>-84320.43</v>
      </c>
      <c r="Y324" s="2"/>
      <c r="Z324" s="19">
        <f t="shared" si="163"/>
        <v>-0.9774323474670813</v>
      </c>
    </row>
    <row r="325" spans="1:26" s="24" customFormat="1" hidden="1" outlineLevel="1" x14ac:dyDescent="0.35">
      <c r="A325" s="44"/>
      <c r="B325" s="11" t="str">
        <f>CONCATENATE("          ", "4187", " - ", "NON-TAXABLE SALES-COMPUTER REP")</f>
        <v xml:space="preserve">          4187 - NON-TAXABLE SALES-COMPUTER REP</v>
      </c>
      <c r="C325" s="11"/>
      <c r="D325" s="2">
        <f>--166.52</f>
        <v>166.52</v>
      </c>
      <c r="E325" s="2"/>
      <c r="F325" s="19">
        <f t="shared" si="156"/>
        <v>2.5397152316080897E-4</v>
      </c>
      <c r="G325" s="2"/>
      <c r="H325" s="2">
        <f>--561.46</f>
        <v>561.46</v>
      </c>
      <c r="I325" s="2"/>
      <c r="J325" s="19">
        <f t="shared" si="157"/>
        <v>1.4435870523410738E-3</v>
      </c>
      <c r="K325" s="2"/>
      <c r="L325" s="2">
        <f t="shared" si="158"/>
        <v>-394.94000000000005</v>
      </c>
      <c r="M325" s="2"/>
      <c r="N325" s="19">
        <f t="shared" si="159"/>
        <v>-0.70341609375556591</v>
      </c>
      <c r="O325" s="11"/>
      <c r="P325" s="2">
        <f>--16449.71</f>
        <v>16449.71</v>
      </c>
      <c r="Q325" s="2"/>
      <c r="R325" s="19">
        <f t="shared" si="160"/>
        <v>1.3572481885902028E-3</v>
      </c>
      <c r="S325" s="2"/>
      <c r="T325" s="2">
        <f>--7817.04</f>
        <v>7817.04</v>
      </c>
      <c r="U325" s="2"/>
      <c r="V325" s="19">
        <f t="shared" si="161"/>
        <v>5.4165151552646449E-4</v>
      </c>
      <c r="W325" s="2"/>
      <c r="X325" s="2">
        <f t="shared" si="162"/>
        <v>8632.6699999999983</v>
      </c>
      <c r="Y325" s="2"/>
      <c r="Z325" s="19">
        <f t="shared" si="163"/>
        <v>1.1043400059357504</v>
      </c>
    </row>
    <row r="326" spans="1:26" s="24" customFormat="1" hidden="1" outlineLevel="1" x14ac:dyDescent="0.35">
      <c r="A326" s="44"/>
      <c r="B326" s="11" t="str">
        <f>CONCATENATE("          ", "4197", " - ", "NON-TAXABLE SALES-RETURNED CHE")</f>
        <v xml:space="preserve">          4197 - NON-TAXABLE SALES-RETURNED CHE</v>
      </c>
      <c r="C326" s="11"/>
      <c r="D326" s="2">
        <f t="shared" ref="D326:D329" si="164">0</f>
        <v>0</v>
      </c>
      <c r="E326" s="2"/>
      <c r="F326" s="19">
        <f t="shared" si="156"/>
        <v>0</v>
      </c>
      <c r="G326" s="2"/>
      <c r="H326" s="2">
        <f>0</f>
        <v>0</v>
      </c>
      <c r="I326" s="2"/>
      <c r="J326" s="19">
        <f t="shared" si="157"/>
        <v>0</v>
      </c>
      <c r="K326" s="2"/>
      <c r="L326" s="2">
        <f t="shared" si="158"/>
        <v>0</v>
      </c>
      <c r="M326" s="2"/>
      <c r="N326" s="19">
        <f t="shared" si="159"/>
        <v>0</v>
      </c>
      <c r="O326" s="11"/>
      <c r="P326" s="2">
        <f>--30</f>
        <v>30</v>
      </c>
      <c r="Q326" s="2"/>
      <c r="R326" s="19">
        <f t="shared" si="160"/>
        <v>2.475268296991624E-6</v>
      </c>
      <c r="S326" s="2"/>
      <c r="T326" s="2">
        <f>--335</f>
        <v>335</v>
      </c>
      <c r="U326" s="2"/>
      <c r="V326" s="19">
        <f t="shared" si="161"/>
        <v>2.3212527721665182E-5</v>
      </c>
      <c r="W326" s="2"/>
      <c r="X326" s="2">
        <f t="shared" si="162"/>
        <v>-305</v>
      </c>
      <c r="Y326" s="2"/>
      <c r="Z326" s="19">
        <f t="shared" si="163"/>
        <v>-0.91044776119402981</v>
      </c>
    </row>
    <row r="327" spans="1:26" s="24" customFormat="1" hidden="1" outlineLevel="1" x14ac:dyDescent="0.35">
      <c r="A327" s="44"/>
      <c r="B327" s="11" t="str">
        <f>CONCATENATE("          ", "4198", " - ", "NON-TAXABLE SALES-GRAD RENTALS")</f>
        <v xml:space="preserve">          4198 - NON-TAXABLE SALES-GRAD RENTALS</v>
      </c>
      <c r="C327" s="11"/>
      <c r="D327" s="2">
        <f t="shared" si="164"/>
        <v>0</v>
      </c>
      <c r="E327" s="2"/>
      <c r="F327" s="19">
        <f t="shared" si="156"/>
        <v>0</v>
      </c>
      <c r="G327" s="2"/>
      <c r="H327" s="2">
        <f>--63293.56</f>
        <v>63293.56</v>
      </c>
      <c r="I327" s="2"/>
      <c r="J327" s="19">
        <f t="shared" si="157"/>
        <v>0.16273601630138013</v>
      </c>
      <c r="K327" s="2"/>
      <c r="L327" s="2">
        <f t="shared" si="158"/>
        <v>-63293.56</v>
      </c>
      <c r="M327" s="2"/>
      <c r="N327" s="19">
        <f t="shared" si="159"/>
        <v>-1</v>
      </c>
      <c r="O327" s="11"/>
      <c r="P327" s="2">
        <f>--163.76</f>
        <v>163.76</v>
      </c>
      <c r="Q327" s="2"/>
      <c r="R327" s="19">
        <f t="shared" si="160"/>
        <v>1.3511664543844945E-5</v>
      </c>
      <c r="S327" s="2"/>
      <c r="T327" s="2">
        <f>--449104.41</f>
        <v>449104.41</v>
      </c>
      <c r="U327" s="2"/>
      <c r="V327" s="19">
        <f t="shared" si="161"/>
        <v>3.1118950946409211E-2</v>
      </c>
      <c r="W327" s="2"/>
      <c r="X327" s="2">
        <f t="shared" si="162"/>
        <v>-448940.64999999997</v>
      </c>
      <c r="Y327" s="2"/>
      <c r="Z327" s="19">
        <f t="shared" si="163"/>
        <v>-0.99963536318870705</v>
      </c>
    </row>
    <row r="328" spans="1:26" s="24" customFormat="1" hidden="1" outlineLevel="1" x14ac:dyDescent="0.35">
      <c r="A328" s="44"/>
      <c r="B328" s="11" t="str">
        <f>CONCATENATE("          ", "4387", " - ", "SALES RETURN NON TAXABLE-COMPU")</f>
        <v xml:space="preserve">          4387 - SALES RETURN NON TAXABLE-COMPU</v>
      </c>
      <c r="C328" s="11"/>
      <c r="D328" s="2">
        <f t="shared" si="164"/>
        <v>0</v>
      </c>
      <c r="E328" s="2"/>
      <c r="F328" s="19">
        <f t="shared" si="156"/>
        <v>0</v>
      </c>
      <c r="G328" s="2"/>
      <c r="H328" s="2">
        <f>--95.44</f>
        <v>95.44</v>
      </c>
      <c r="I328" s="2"/>
      <c r="J328" s="19">
        <f t="shared" si="157"/>
        <v>2.4538871562610349E-4</v>
      </c>
      <c r="K328" s="2"/>
      <c r="L328" s="2">
        <f t="shared" si="158"/>
        <v>-95.44</v>
      </c>
      <c r="M328" s="2"/>
      <c r="N328" s="19">
        <f t="shared" si="159"/>
        <v>-1</v>
      </c>
      <c r="O328" s="11"/>
      <c r="P328" s="2">
        <f>-7889</f>
        <v>-7889</v>
      </c>
      <c r="Q328" s="2"/>
      <c r="R328" s="19">
        <f t="shared" si="160"/>
        <v>-6.5091305316556411E-4</v>
      </c>
      <c r="S328" s="2"/>
      <c r="T328" s="2">
        <f>--95.44</f>
        <v>95.44</v>
      </c>
      <c r="U328" s="2"/>
      <c r="V328" s="19">
        <f t="shared" si="161"/>
        <v>6.6131452112111196E-6</v>
      </c>
      <c r="W328" s="2"/>
      <c r="X328" s="2">
        <f t="shared" si="162"/>
        <v>-7984.44</v>
      </c>
      <c r="Y328" s="2"/>
      <c r="Z328" s="19">
        <f t="shared" si="163"/>
        <v>-83.65926236378877</v>
      </c>
    </row>
    <row r="329" spans="1:26" s="24" customFormat="1" hidden="1" outlineLevel="1" x14ac:dyDescent="0.35">
      <c r="A329" s="44"/>
      <c r="B329" s="11" t="str">
        <f>CONCATENATE("          ", "5087", " - ", "PURCHASES @ COST-COMPUTER REPA")</f>
        <v xml:space="preserve">          5087 - PURCHASES @ COST-COMPUTER REPA</v>
      </c>
      <c r="C329" s="11"/>
      <c r="D329" s="2">
        <f t="shared" si="164"/>
        <v>0</v>
      </c>
      <c r="E329" s="2"/>
      <c r="F329" s="19">
        <f t="shared" si="156"/>
        <v>0</v>
      </c>
      <c r="G329" s="2"/>
      <c r="H329" s="2">
        <f>-72.06</f>
        <v>-72.06</v>
      </c>
      <c r="I329" s="2"/>
      <c r="J329" s="19">
        <f t="shared" si="157"/>
        <v>-1.8527567946371562E-4</v>
      </c>
      <c r="K329" s="2"/>
      <c r="L329" s="2">
        <f t="shared" si="158"/>
        <v>72.06</v>
      </c>
      <c r="M329" s="2"/>
      <c r="N329" s="19">
        <f t="shared" si="159"/>
        <v>-1</v>
      </c>
      <c r="O329" s="11"/>
      <c r="P329" s="2">
        <f>-72.06</f>
        <v>-72.06</v>
      </c>
      <c r="Q329" s="2"/>
      <c r="R329" s="19">
        <f t="shared" si="160"/>
        <v>-5.9455944493738812E-6</v>
      </c>
      <c r="S329" s="2"/>
      <c r="T329" s="2">
        <f>-312.26</f>
        <v>-312.26</v>
      </c>
      <c r="U329" s="2"/>
      <c r="V329" s="19">
        <f t="shared" si="161"/>
        <v>-2.1636847481693042E-5</v>
      </c>
      <c r="W329" s="2"/>
      <c r="X329" s="2">
        <f t="shared" si="162"/>
        <v>240.2</v>
      </c>
      <c r="Y329" s="2"/>
      <c r="Z329" s="19">
        <f t="shared" si="163"/>
        <v>-0.76923076923076916</v>
      </c>
    </row>
    <row r="330" spans="1:26" s="24" customFormat="1" hidden="1" outlineLevel="1" x14ac:dyDescent="0.35">
      <c r="A330" s="44"/>
      <c r="B330" s="11" t="str">
        <f>CONCATENATE("          ", "9150", " - ", "MISC. INCOME")</f>
        <v xml:space="preserve">          9150 - MISC. INCOME</v>
      </c>
      <c r="C330" s="11"/>
      <c r="D330" s="2">
        <f>--56556.35</f>
        <v>56556.35</v>
      </c>
      <c r="E330" s="2"/>
      <c r="F330" s="19">
        <f t="shared" si="156"/>
        <v>8.6258121270212693E-2</v>
      </c>
      <c r="G330" s="2"/>
      <c r="H330" s="2">
        <f>--70564.5</f>
        <v>70564.5</v>
      </c>
      <c r="I330" s="2"/>
      <c r="J330" s="19">
        <f t="shared" si="157"/>
        <v>0.18143055347651069</v>
      </c>
      <c r="K330" s="2"/>
      <c r="L330" s="2">
        <f t="shared" si="158"/>
        <v>-14008.150000000001</v>
      </c>
      <c r="M330" s="2"/>
      <c r="N330" s="19">
        <f t="shared" si="159"/>
        <v>-0.19851554251783832</v>
      </c>
      <c r="O330" s="11"/>
      <c r="P330" s="2">
        <f>--537634.91</f>
        <v>537634.91</v>
      </c>
      <c r="Q330" s="2"/>
      <c r="R330" s="19">
        <f t="shared" si="160"/>
        <v>4.4359688269298175E-2</v>
      </c>
      <c r="S330" s="2"/>
      <c r="T330" s="2">
        <f>--690951.7</f>
        <v>690951.7</v>
      </c>
      <c r="U330" s="2"/>
      <c r="V330" s="19">
        <f t="shared" si="161"/>
        <v>4.7876822359945323E-2</v>
      </c>
      <c r="W330" s="2"/>
      <c r="X330" s="2">
        <f t="shared" si="162"/>
        <v>-153316.78999999992</v>
      </c>
      <c r="Y330" s="2"/>
      <c r="Z330" s="19">
        <f t="shared" si="163"/>
        <v>-0.22189219593786358</v>
      </c>
    </row>
    <row r="331" spans="1:26" s="24" customFormat="1" hidden="1" outlineLevel="1" x14ac:dyDescent="0.35">
      <c r="A331" s="44"/>
      <c r="B331" s="11" t="str">
        <f>CONCATENATE("          ", "9151", " - ", "MISC. INCOME")</f>
        <v xml:space="preserve">          9151 - MISC. INCOME</v>
      </c>
      <c r="C331" s="11"/>
      <c r="D331" s="2">
        <f>-18698.07</f>
        <v>-18698.07</v>
      </c>
      <c r="E331" s="2"/>
      <c r="F331" s="19">
        <f t="shared" si="156"/>
        <v>-2.8517759536796947E-2</v>
      </c>
      <c r="G331" s="2"/>
      <c r="H331" s="2">
        <f>0</f>
        <v>0</v>
      </c>
      <c r="I331" s="2"/>
      <c r="J331" s="19">
        <f t="shared" si="157"/>
        <v>0</v>
      </c>
      <c r="K331" s="2"/>
      <c r="L331" s="2">
        <f t="shared" si="158"/>
        <v>-18698.07</v>
      </c>
      <c r="M331" s="2"/>
      <c r="N331" s="19">
        <f t="shared" si="159"/>
        <v>0</v>
      </c>
      <c r="O331" s="11"/>
      <c r="P331" s="2">
        <f>--150694.63</f>
        <v>150694.63</v>
      </c>
      <c r="Q331" s="2"/>
      <c r="R331" s="19">
        <f t="shared" si="160"/>
        <v>1.2433654672196098E-2</v>
      </c>
      <c r="S331" s="2"/>
      <c r="T331" s="2">
        <f>--498.26</f>
        <v>498.26</v>
      </c>
      <c r="U331" s="2"/>
      <c r="V331" s="19">
        <f t="shared" si="161"/>
        <v>3.4524997201781772E-5</v>
      </c>
      <c r="W331" s="2"/>
      <c r="X331" s="2">
        <f t="shared" si="162"/>
        <v>150196.37</v>
      </c>
      <c r="Y331" s="2"/>
      <c r="Z331" s="19">
        <f t="shared" si="163"/>
        <v>301.44175731545778</v>
      </c>
    </row>
    <row r="332" spans="1:26" s="24" customFormat="1" hidden="1" outlineLevel="1" x14ac:dyDescent="0.35">
      <c r="A332" s="44"/>
      <c r="B332" s="11" t="str">
        <f>CONCATENATE("          ", "9152", " - ", "MISC. INCOME")</f>
        <v xml:space="preserve">          9152 - MISC. INCOME</v>
      </c>
      <c r="C332" s="11"/>
      <c r="D332" s="2">
        <f>--762.71</f>
        <v>762.71</v>
      </c>
      <c r="E332" s="2"/>
      <c r="F332" s="19">
        <f t="shared" si="156"/>
        <v>1.1632633943669266E-3</v>
      </c>
      <c r="G332" s="2"/>
      <c r="H332" s="2">
        <f>--2590.7</f>
        <v>2590.6999999999998</v>
      </c>
      <c r="I332" s="2"/>
      <c r="J332" s="19">
        <f t="shared" si="157"/>
        <v>6.6610283484130998E-3</v>
      </c>
      <c r="K332" s="2"/>
      <c r="L332" s="2">
        <f t="shared" si="158"/>
        <v>-1827.9899999999998</v>
      </c>
      <c r="M332" s="2"/>
      <c r="N332" s="19">
        <f t="shared" si="159"/>
        <v>-0.70559694291118225</v>
      </c>
      <c r="O332" s="11"/>
      <c r="P332" s="2">
        <f>--10637.6</f>
        <v>10637.6</v>
      </c>
      <c r="Q332" s="2"/>
      <c r="R332" s="19">
        <f t="shared" si="160"/>
        <v>8.7769713453593674E-4</v>
      </c>
      <c r="S332" s="2"/>
      <c r="T332" s="2">
        <f>--13830.34</f>
        <v>13830.34</v>
      </c>
      <c r="U332" s="2"/>
      <c r="V332" s="19">
        <f t="shared" si="161"/>
        <v>9.5831985268673091E-4</v>
      </c>
      <c r="W332" s="2"/>
      <c r="X332" s="2">
        <f t="shared" si="162"/>
        <v>-3192.74</v>
      </c>
      <c r="Y332" s="2"/>
      <c r="Z332" s="19">
        <f t="shared" si="163"/>
        <v>-0.23085043462416685</v>
      </c>
    </row>
    <row r="333" spans="1:26" s="24" customFormat="1" hidden="1" outlineLevel="1" x14ac:dyDescent="0.35">
      <c r="A333" s="44"/>
      <c r="B333" s="11" t="str">
        <f>CONCATENATE("          ", "9153", " - ", "MISC. INCOME")</f>
        <v xml:space="preserve">          9153 - MISC. INCOME</v>
      </c>
      <c r="C333" s="11"/>
      <c r="D333" s="2">
        <f t="shared" ref="D333:D335" si="165">0</f>
        <v>0</v>
      </c>
      <c r="E333" s="2"/>
      <c r="F333" s="19">
        <f t="shared" si="156"/>
        <v>0</v>
      </c>
      <c r="G333" s="2"/>
      <c r="H333" s="2">
        <f t="shared" ref="H333:H335" si="166">0</f>
        <v>0</v>
      </c>
      <c r="I333" s="2"/>
      <c r="J333" s="19">
        <f t="shared" si="157"/>
        <v>0</v>
      </c>
      <c r="K333" s="2"/>
      <c r="L333" s="2">
        <f t="shared" si="158"/>
        <v>0</v>
      </c>
      <c r="M333" s="2"/>
      <c r="N333" s="19">
        <f t="shared" si="159"/>
        <v>0</v>
      </c>
      <c r="O333" s="11"/>
      <c r="P333" s="2">
        <f>--450</f>
        <v>450</v>
      </c>
      <c r="Q333" s="2"/>
      <c r="R333" s="19">
        <f t="shared" si="160"/>
        <v>3.7129024454874361E-5</v>
      </c>
      <c r="S333" s="2"/>
      <c r="T333" s="2">
        <f>--180</f>
        <v>180</v>
      </c>
      <c r="U333" s="2"/>
      <c r="V333" s="19">
        <f t="shared" si="161"/>
        <v>1.2472402954924575E-5</v>
      </c>
      <c r="W333" s="2"/>
      <c r="X333" s="2">
        <f t="shared" si="162"/>
        <v>270</v>
      </c>
      <c r="Y333" s="2"/>
      <c r="Z333" s="19">
        <f t="shared" si="163"/>
        <v>1.5</v>
      </c>
    </row>
    <row r="334" spans="1:26" s="24" customFormat="1" hidden="1" outlineLevel="1" x14ac:dyDescent="0.35">
      <c r="A334" s="44"/>
      <c r="B334" s="11" t="str">
        <f>CONCATENATE("          ", "9160", " - ", "MISC. INCOME")</f>
        <v xml:space="preserve">          9160 - MISC. INCOME</v>
      </c>
      <c r="C334" s="11"/>
      <c r="D334" s="2">
        <f t="shared" si="165"/>
        <v>0</v>
      </c>
      <c r="E334" s="2"/>
      <c r="F334" s="19">
        <f t="shared" si="156"/>
        <v>0</v>
      </c>
      <c r="G334" s="2"/>
      <c r="H334" s="2">
        <f t="shared" si="166"/>
        <v>0</v>
      </c>
      <c r="I334" s="2"/>
      <c r="J334" s="19">
        <f t="shared" si="157"/>
        <v>0</v>
      </c>
      <c r="K334" s="2"/>
      <c r="L334" s="2">
        <f t="shared" si="158"/>
        <v>0</v>
      </c>
      <c r="M334" s="2"/>
      <c r="N334" s="19">
        <f t="shared" si="159"/>
        <v>0</v>
      </c>
      <c r="O334" s="11"/>
      <c r="P334" s="2">
        <f>--22475</f>
        <v>22475</v>
      </c>
      <c r="Q334" s="2"/>
      <c r="R334" s="19">
        <f t="shared" si="160"/>
        <v>1.8543884991628918E-3</v>
      </c>
      <c r="S334" s="2"/>
      <c r="T334" s="2">
        <f>--40000</f>
        <v>40000</v>
      </c>
      <c r="U334" s="2"/>
      <c r="V334" s="19">
        <f t="shared" si="161"/>
        <v>2.77164510109435E-3</v>
      </c>
      <c r="W334" s="2"/>
      <c r="X334" s="2">
        <f t="shared" si="162"/>
        <v>-17525</v>
      </c>
      <c r="Y334" s="2"/>
      <c r="Z334" s="19">
        <f t="shared" si="163"/>
        <v>-0.43812499999999999</v>
      </c>
    </row>
    <row r="335" spans="1:26" s="24" customFormat="1" hidden="1" outlineLevel="1" x14ac:dyDescent="0.35">
      <c r="A335" s="44"/>
      <c r="B335" s="11" t="str">
        <f>CONCATENATE("          ", "9163", " - ", "MISC. INCOME")</f>
        <v xml:space="preserve">          9163 - MISC. INCOME</v>
      </c>
      <c r="C335" s="11"/>
      <c r="D335" s="2">
        <f t="shared" si="165"/>
        <v>0</v>
      </c>
      <c r="E335" s="2"/>
      <c r="F335" s="19">
        <f t="shared" si="156"/>
        <v>0</v>
      </c>
      <c r="G335" s="2"/>
      <c r="H335" s="2">
        <f t="shared" si="166"/>
        <v>0</v>
      </c>
      <c r="I335" s="2"/>
      <c r="J335" s="19">
        <f t="shared" si="157"/>
        <v>0</v>
      </c>
      <c r="K335" s="2"/>
      <c r="L335" s="2">
        <f t="shared" si="158"/>
        <v>0</v>
      </c>
      <c r="M335" s="2"/>
      <c r="N335" s="19">
        <f t="shared" si="159"/>
        <v>0</v>
      </c>
      <c r="O335" s="11"/>
      <c r="P335" s="2">
        <f>--488733.84</f>
        <v>488733.84</v>
      </c>
      <c r="Q335" s="2"/>
      <c r="R335" s="19">
        <f t="shared" si="160"/>
        <v>4.0324912660632567E-2</v>
      </c>
      <c r="S335" s="2"/>
      <c r="T335" s="2">
        <f>--68330.75</f>
        <v>68330.75</v>
      </c>
      <c r="U335" s="2"/>
      <c r="V335" s="19">
        <f t="shared" si="161"/>
        <v>4.7347147122900691E-3</v>
      </c>
      <c r="W335" s="2"/>
      <c r="X335" s="2">
        <f t="shared" si="162"/>
        <v>420403.09</v>
      </c>
      <c r="Y335" s="2"/>
      <c r="Z335" s="19">
        <f t="shared" si="163"/>
        <v>6.152472934952419</v>
      </c>
    </row>
    <row r="336" spans="1:26" x14ac:dyDescent="0.35">
      <c r="A336" s="9"/>
      <c r="B336" s="10"/>
      <c r="C336" s="10"/>
      <c r="D336" s="3"/>
      <c r="E336" s="3"/>
      <c r="F336" s="8"/>
      <c r="G336" s="3"/>
      <c r="H336" s="3"/>
      <c r="I336" s="3"/>
      <c r="J336" s="8"/>
      <c r="K336" s="3"/>
      <c r="L336" s="3"/>
      <c r="M336" s="3"/>
      <c r="N336" s="8"/>
      <c r="O336" s="10"/>
      <c r="P336" s="3"/>
      <c r="Q336" s="3"/>
      <c r="R336" s="8"/>
      <c r="S336" s="3"/>
      <c r="T336" s="3"/>
      <c r="U336" s="3"/>
      <c r="V336" s="8"/>
      <c r="W336" s="3"/>
      <c r="X336" s="3"/>
      <c r="Y336" s="3"/>
      <c r="Z336" s="8"/>
    </row>
    <row r="337" spans="1:26" s="23" customFormat="1" x14ac:dyDescent="0.35">
      <c r="A337" s="10"/>
      <c r="B337" s="28" t="s">
        <v>3</v>
      </c>
      <c r="C337" s="28"/>
      <c r="D337" s="22">
        <f>+D196-D198+D323</f>
        <v>-156790.56000000023</v>
      </c>
      <c r="E337" s="14"/>
      <c r="F337" s="21">
        <f>IF(D$12=0,0,D337/D$12)</f>
        <v>-0.2391324606079526</v>
      </c>
      <c r="G337" s="14"/>
      <c r="H337" s="22">
        <f>+H196-H198+H323</f>
        <v>-19967.879999999946</v>
      </c>
      <c r="I337" s="14"/>
      <c r="J337" s="21">
        <f>IF(H$12=0,0,H337/H$12)</f>
        <v>-5.1340029620454176E-2</v>
      </c>
      <c r="K337" s="15"/>
      <c r="L337" s="22">
        <f>+D337-H337</f>
        <v>-136822.68000000028</v>
      </c>
      <c r="M337" s="15"/>
      <c r="N337" s="21">
        <f>IF(H337=0,0,L337/H337)</f>
        <v>6.8521385344864179</v>
      </c>
      <c r="O337" s="29"/>
      <c r="P337" s="22">
        <f>+P196-P198+P323</f>
        <v>1014422.7300000002</v>
      </c>
      <c r="Q337" s="14"/>
      <c r="R337" s="21">
        <f>IF(P$12=0,0,P337/P$12)</f>
        <v>8.3698947443889823E-2</v>
      </c>
      <c r="S337" s="14"/>
      <c r="T337" s="22">
        <f>+T196-T198+T323</f>
        <v>1835840.579999988</v>
      </c>
      <c r="U337" s="14"/>
      <c r="V337" s="21">
        <f>IF(T$12=0,0,T337/T$12)</f>
        <v>0.12720746374867942</v>
      </c>
      <c r="W337" s="15"/>
      <c r="X337" s="22">
        <f>+P337-T337</f>
        <v>-821417.84999998775</v>
      </c>
      <c r="Y337" s="15"/>
      <c r="Z337" s="21">
        <f>IF(T337=0,0,X337/T337)</f>
        <v>-0.44743419387754962</v>
      </c>
    </row>
    <row r="338" spans="1:26" x14ac:dyDescent="0.35">
      <c r="A338" s="9"/>
      <c r="B338" s="10"/>
      <c r="C338" s="9"/>
      <c r="D338" s="3"/>
      <c r="E338" s="3"/>
      <c r="F338" s="8"/>
      <c r="G338" s="3"/>
      <c r="H338" s="3"/>
      <c r="I338" s="3"/>
      <c r="J338" s="8"/>
      <c r="K338" s="3"/>
      <c r="L338" s="3"/>
      <c r="M338" s="3"/>
      <c r="N338" s="8"/>
      <c r="P338" s="3"/>
      <c r="Q338" s="3"/>
      <c r="R338" s="8"/>
      <c r="S338" s="3"/>
      <c r="T338" s="3"/>
      <c r="U338" s="3"/>
      <c r="V338" s="8"/>
      <c r="W338" s="3"/>
      <c r="X338" s="3"/>
      <c r="Y338" s="3"/>
      <c r="Z338" s="8"/>
    </row>
    <row r="339" spans="1:26" s="23" customFormat="1" x14ac:dyDescent="0.35">
      <c r="A339" s="51"/>
      <c r="B339" s="10" t="s">
        <v>13</v>
      </c>
      <c r="C339" s="10"/>
      <c r="D339" s="4">
        <v>477821.00999999995</v>
      </c>
      <c r="E339" s="4"/>
      <c r="F339" s="13">
        <f>IF(D$12=0,0,D339/D$12)</f>
        <v>0.72875888606735606</v>
      </c>
      <c r="G339" s="4"/>
      <c r="H339" s="4">
        <v>-432008.06</v>
      </c>
      <c r="I339" s="4"/>
      <c r="J339" s="13">
        <f>IF(H$12=0,0,H339/H$12)</f>
        <v>-1.1107491930377689</v>
      </c>
      <c r="K339" s="4"/>
      <c r="L339" s="4">
        <f>+D339-H339</f>
        <v>909829.07</v>
      </c>
      <c r="M339" s="4"/>
      <c r="N339" s="13">
        <f>IF(H339=0,0,L339/H339)</f>
        <v>-2.1060465168173019</v>
      </c>
      <c r="O339" s="10"/>
      <c r="P339" s="4">
        <v>1835422.21</v>
      </c>
      <c r="Q339" s="4"/>
      <c r="R339" s="13">
        <f>IF(P$12=0,0,P339/P$12)</f>
        <v>0.15143874693357676</v>
      </c>
      <c r="S339" s="4"/>
      <c r="T339" s="4">
        <v>1028661.15</v>
      </c>
      <c r="U339" s="4"/>
      <c r="V339" s="13">
        <f>IF(T$12=0,0,T339/T$12)</f>
        <v>7.1277090927089518E-2</v>
      </c>
      <c r="W339" s="4"/>
      <c r="X339" s="4">
        <f>+P339-T339</f>
        <v>806761.05999999994</v>
      </c>
      <c r="Y339" s="4"/>
      <c r="Z339" s="13">
        <f>IF(T339=0,0,X339/T339)</f>
        <v>0.7842826182363356</v>
      </c>
    </row>
    <row r="340" spans="1:26" x14ac:dyDescent="0.35">
      <c r="A340" s="9"/>
      <c r="B340" s="10"/>
      <c r="C340" s="10"/>
      <c r="D340" s="3"/>
      <c r="E340" s="3"/>
      <c r="F340" s="8"/>
      <c r="G340" s="3"/>
      <c r="H340" s="3"/>
      <c r="I340" s="3"/>
      <c r="J340" s="8"/>
      <c r="K340" s="3"/>
      <c r="L340" s="3"/>
      <c r="M340" s="3"/>
      <c r="N340" s="8"/>
      <c r="O340" s="10"/>
      <c r="P340" s="3"/>
      <c r="Q340" s="3"/>
      <c r="R340" s="8"/>
      <c r="S340" s="3"/>
      <c r="T340" s="3"/>
      <c r="U340" s="3"/>
      <c r="V340" s="8"/>
      <c r="W340" s="3"/>
      <c r="X340" s="3"/>
      <c r="Y340" s="3"/>
      <c r="Z340" s="8"/>
    </row>
    <row r="341" spans="1:26" s="23" customFormat="1" ht="15" thickBot="1" x14ac:dyDescent="0.4">
      <c r="A341" s="10"/>
      <c r="B341" s="28" t="s">
        <v>4</v>
      </c>
      <c r="C341" s="28"/>
      <c r="D341" s="34">
        <f>+D337-D339</f>
        <v>-634611.57000000018</v>
      </c>
      <c r="E341" s="14"/>
      <c r="F341" s="32">
        <f>IF(D$12=0,0,D341/D$12)</f>
        <v>-0.96789134667530863</v>
      </c>
      <c r="G341" s="14"/>
      <c r="H341" s="34">
        <f>+H337-H339</f>
        <v>412040.18000000005</v>
      </c>
      <c r="I341" s="14"/>
      <c r="J341" s="32">
        <f>IF(H$12=0,0,H341/H$12)</f>
        <v>1.0594091634173146</v>
      </c>
      <c r="K341" s="15"/>
      <c r="L341" s="34">
        <f>D341-H341</f>
        <v>-1046651.7500000002</v>
      </c>
      <c r="M341" s="15"/>
      <c r="N341" s="32">
        <f>IF(H341=0,0,L341/H341)</f>
        <v>-2.5401691407862215</v>
      </c>
      <c r="O341" s="29"/>
      <c r="P341" s="34">
        <f>+P337-P339</f>
        <v>-820999.47999999975</v>
      </c>
      <c r="Q341" s="14"/>
      <c r="R341" s="32">
        <f>IF(P$12=0,0,P341/P$12)</f>
        <v>-6.7739799489686947E-2</v>
      </c>
      <c r="S341" s="14"/>
      <c r="T341" s="34">
        <f>+T337-T339</f>
        <v>807179.42999998794</v>
      </c>
      <c r="U341" s="14"/>
      <c r="V341" s="32">
        <f>IF(T$12=0,0,T341/T$12)</f>
        <v>5.5930372821589913E-2</v>
      </c>
      <c r="W341" s="15"/>
      <c r="X341" s="34">
        <f>P341-T341</f>
        <v>-1628178.9099999876</v>
      </c>
      <c r="Y341" s="15"/>
      <c r="Z341" s="32">
        <f>IF(T341=0,0,X341/T341)</f>
        <v>-2.0171214100438757</v>
      </c>
    </row>
    <row r="342" spans="1:26" ht="15" thickTop="1" x14ac:dyDescent="0.35">
      <c r="A342" s="9"/>
      <c r="B342" s="9"/>
      <c r="C342" s="9"/>
      <c r="D342" s="3"/>
      <c r="E342" s="3"/>
      <c r="F342" s="8"/>
      <c r="G342" s="3"/>
      <c r="H342" s="3"/>
      <c r="I342" s="3"/>
      <c r="J342" s="8"/>
      <c r="K342" s="3"/>
      <c r="L342" s="3"/>
      <c r="M342" s="3"/>
      <c r="N342" s="8"/>
      <c r="P342" s="3"/>
      <c r="Q342" s="3"/>
      <c r="R342" s="8"/>
      <c r="S342" s="3"/>
      <c r="T342" s="3"/>
      <c r="U342" s="3"/>
      <c r="V342" s="8"/>
      <c r="W342" s="3"/>
      <c r="X342" s="3"/>
      <c r="Y342" s="3"/>
      <c r="Z342" s="8"/>
    </row>
    <row r="343" spans="1:26" x14ac:dyDescent="0.35">
      <c r="A343" s="9"/>
      <c r="B343" s="9"/>
      <c r="C343" s="9"/>
      <c r="D343" s="3"/>
      <c r="E343" s="3"/>
      <c r="F343" s="8"/>
      <c r="G343" s="3"/>
      <c r="H343" s="3"/>
      <c r="I343" s="3"/>
      <c r="J343" s="8"/>
      <c r="K343" s="3"/>
      <c r="L343" s="3"/>
      <c r="M343" s="3"/>
      <c r="N343" s="8"/>
      <c r="P343" s="3"/>
      <c r="Q343" s="3"/>
      <c r="R343" s="8"/>
      <c r="S343" s="3"/>
      <c r="T343" s="3"/>
      <c r="U343" s="3"/>
      <c r="V343" s="8"/>
      <c r="W343" s="3"/>
      <c r="X343" s="3"/>
      <c r="Y343" s="3"/>
      <c r="Z343" s="8"/>
    </row>
    <row r="344" spans="1:26" s="23" customFormat="1" ht="15" thickBot="1" x14ac:dyDescent="0.4">
      <c r="A344" s="10"/>
      <c r="B344" s="28" t="s">
        <v>5</v>
      </c>
      <c r="C344" s="28"/>
      <c r="D344" s="35">
        <f>SUM(D341:D343)</f>
        <v>-634611.57000000018</v>
      </c>
      <c r="E344" s="14"/>
      <c r="F344" s="33">
        <f>IF(D$12=0,0,D344/D$12)</f>
        <v>-0.96789134667530863</v>
      </c>
      <c r="G344" s="14"/>
      <c r="H344" s="35">
        <f>SUM(H341:H343)</f>
        <v>412040.18000000005</v>
      </c>
      <c r="I344" s="14"/>
      <c r="J344" s="33">
        <f>IF(H$12=0,0,H344/H$12)</f>
        <v>1.0594091634173146</v>
      </c>
      <c r="K344" s="15"/>
      <c r="L344" s="35">
        <f>+D344-H344</f>
        <v>-1046651.7500000002</v>
      </c>
      <c r="M344" s="15"/>
      <c r="N344" s="33">
        <f>IF(H344=0,0,L344/H344)</f>
        <v>-2.5401691407862215</v>
      </c>
      <c r="O344" s="29"/>
      <c r="P344" s="35">
        <f>SUM(P341:P343)</f>
        <v>-820999.47999999975</v>
      </c>
      <c r="Q344" s="14"/>
      <c r="R344" s="33">
        <f>IF(P$12=0,0,P344/P$12)</f>
        <v>-6.7739799489686947E-2</v>
      </c>
      <c r="S344" s="14"/>
      <c r="T344" s="35">
        <f>SUM(T341:T343)</f>
        <v>807179.42999998794</v>
      </c>
      <c r="U344" s="14"/>
      <c r="V344" s="33">
        <f>IF(T$12=0,0,T344/T$12)</f>
        <v>5.5930372821589913E-2</v>
      </c>
      <c r="W344" s="15"/>
      <c r="X344" s="35">
        <f>+P344-T344</f>
        <v>-1628178.9099999876</v>
      </c>
      <c r="Y344" s="15"/>
      <c r="Z344" s="33">
        <f>IF(T344=0,0,X344/T344)</f>
        <v>-2.0171214100438757</v>
      </c>
    </row>
    <row r="345" spans="1:26" ht="15" thickTop="1" x14ac:dyDescent="0.35">
      <c r="A345" s="9"/>
      <c r="C345" s="9"/>
      <c r="D345" s="17"/>
      <c r="E345" s="17"/>
      <c r="G345" s="17"/>
      <c r="H345" s="17"/>
      <c r="I345" s="17"/>
      <c r="J345" s="42"/>
      <c r="K345" s="17"/>
      <c r="L345" s="17"/>
      <c r="M345" s="17"/>
      <c r="P345" s="17"/>
      <c r="Q345" s="17"/>
      <c r="R345" s="42"/>
      <c r="S345" s="17"/>
      <c r="T345" s="17"/>
      <c r="U345" s="17"/>
      <c r="V345" s="42"/>
      <c r="W345" s="17"/>
      <c r="X345" s="17"/>
    </row>
    <row r="346" spans="1:26" x14ac:dyDescent="0.35">
      <c r="A346" s="9"/>
      <c r="B346" s="52">
        <v>44043.522289004628</v>
      </c>
      <c r="D346" s="17"/>
      <c r="E346" s="17"/>
      <c r="G346" s="17"/>
      <c r="H346" s="17"/>
      <c r="I346" s="17"/>
      <c r="J346" s="42"/>
      <c r="K346" s="17"/>
      <c r="L346" s="17"/>
      <c r="M346" s="17"/>
      <c r="P346" s="17"/>
      <c r="Q346" s="17"/>
      <c r="R346" s="42"/>
      <c r="S346" s="17"/>
      <c r="T346" s="17"/>
      <c r="U346" s="17"/>
      <c r="V346" s="42"/>
      <c r="W346" s="17"/>
      <c r="X346" s="17"/>
    </row>
    <row r="347" spans="1:26" x14ac:dyDescent="0.35">
      <c r="A347" s="9"/>
      <c r="B347" s="61" t="s">
        <v>313</v>
      </c>
      <c r="D347" s="17"/>
      <c r="E347" s="17"/>
      <c r="G347" s="17"/>
      <c r="H347" s="17"/>
      <c r="I347" s="17"/>
      <c r="J347" s="42"/>
      <c r="K347" s="17"/>
      <c r="L347" s="17"/>
      <c r="M347" s="17"/>
      <c r="P347" s="17"/>
      <c r="Q347" s="17"/>
      <c r="R347" s="42"/>
      <c r="S347" s="17"/>
      <c r="T347" s="17"/>
      <c r="U347" s="17"/>
      <c r="V347" s="42"/>
      <c r="W347" s="17"/>
      <c r="X347" s="17"/>
    </row>
    <row r="348" spans="1:26" x14ac:dyDescent="0.35">
      <c r="A348" s="9"/>
      <c r="B348" s="54"/>
      <c r="D348" s="17"/>
      <c r="E348" s="17"/>
      <c r="G348" s="17"/>
      <c r="H348" s="17"/>
      <c r="I348" s="17"/>
      <c r="J348" s="42"/>
      <c r="K348" s="17"/>
      <c r="L348" s="17"/>
      <c r="M348" s="17"/>
      <c r="P348" s="17"/>
      <c r="Q348" s="17"/>
      <c r="R348" s="42"/>
      <c r="S348" s="17"/>
      <c r="T348" s="17"/>
      <c r="U348" s="17"/>
      <c r="V348" s="42"/>
      <c r="W348" s="17"/>
      <c r="X348" s="17"/>
    </row>
    <row r="349" spans="1:26" x14ac:dyDescent="0.35">
      <c r="D349" s="17"/>
      <c r="E349" s="17"/>
      <c r="G349" s="17"/>
      <c r="H349" s="17"/>
      <c r="I349" s="17"/>
      <c r="J349" s="42"/>
      <c r="K349" s="17"/>
      <c r="L349" s="17"/>
      <c r="M349" s="17"/>
      <c r="P349" s="17"/>
      <c r="Q349" s="17"/>
      <c r="R349" s="42"/>
      <c r="S349" s="17"/>
      <c r="T349" s="17"/>
      <c r="U349" s="17"/>
      <c r="V349" s="42"/>
      <c r="W349" s="17"/>
      <c r="X349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","301", " - ", "Bookstore Operations")</f>
        <v>Department 301 - Bookstore Operations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5">
      <c r="A14" s="10"/>
      <c r="B14" s="29" t="s">
        <v>8</v>
      </c>
      <c r="C14" s="10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0</v>
      </c>
      <c r="I14" s="4"/>
      <c r="J14" s="13">
        <f t="shared" ref="J14:J15" si="1">IF(H$12=0,0,H14/H$12)</f>
        <v>0</v>
      </c>
      <c r="K14" s="4"/>
      <c r="L14" s="4">
        <f t="shared" ref="L14:L15" si="2">+D14-H14</f>
        <v>0</v>
      </c>
      <c r="M14" s="4"/>
      <c r="N14" s="13">
        <f t="shared" ref="N14:N15" si="3">IF(H14=0,0,L14/H14)</f>
        <v>0</v>
      </c>
      <c r="O14" s="10"/>
      <c r="P14" s="4">
        <f>SUM(OSRRefP16x_0)</f>
        <v>0</v>
      </c>
      <c r="Q14" s="4"/>
      <c r="R14" s="13">
        <f t="shared" ref="R14:R15" si="4">IF(P$12=0,0,P14/P$12)</f>
        <v>0</v>
      </c>
      <c r="S14" s="4"/>
      <c r="T14" s="4">
        <f>SUM(OSRRefT16x_0)</f>
        <v>20</v>
      </c>
      <c r="U14" s="4"/>
      <c r="V14" s="13">
        <f t="shared" ref="V14:V15" si="5">IF(T$12=0,0,T14/T$12)</f>
        <v>0</v>
      </c>
      <c r="W14" s="4"/>
      <c r="X14" s="4">
        <f t="shared" ref="X14:X15" si="6">+P14-T14</f>
        <v>-20</v>
      </c>
      <c r="Y14" s="4"/>
      <c r="Z14" s="13">
        <f t="shared" ref="Z14:Z15" si="7">IF(T14=0,0,X14/T14)</f>
        <v>-1</v>
      </c>
    </row>
    <row r="15" spans="1:26" s="24" customFormat="1" hidden="1" outlineLevel="1" x14ac:dyDescent="0.35">
      <c r="A15" s="44"/>
      <c r="B15" s="11" t="str">
        <f>CONCATENATE("          ", "5000", " - ", "PURCHASES @ COST")</f>
        <v xml:space="preserve">          5000 - PURCHASES @ COST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20</v>
      </c>
      <c r="U15" s="2"/>
      <c r="V15" s="19">
        <f t="shared" si="5"/>
        <v>0</v>
      </c>
      <c r="W15" s="2"/>
      <c r="X15" s="2">
        <f t="shared" si="6"/>
        <v>-20</v>
      </c>
      <c r="Y15" s="2"/>
      <c r="Z15" s="19">
        <f t="shared" si="7"/>
        <v>-1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8" t="s">
        <v>6</v>
      </c>
      <c r="C17" s="28"/>
      <c r="D17" s="22">
        <f>D12-D14</f>
        <v>0</v>
      </c>
      <c r="E17" s="14"/>
      <c r="F17" s="21">
        <f>IF(D$12=0,0,D17/D$12)</f>
        <v>0</v>
      </c>
      <c r="G17" s="14"/>
      <c r="H17" s="22">
        <f>H12-H14</f>
        <v>0</v>
      </c>
      <c r="I17" s="14"/>
      <c r="J17" s="21">
        <f>IF(H$12=0,0,H17/H$12)</f>
        <v>0</v>
      </c>
      <c r="K17" s="15"/>
      <c r="L17" s="22">
        <f>+D17-H17</f>
        <v>0</v>
      </c>
      <c r="M17" s="15"/>
      <c r="N17" s="21">
        <f>IF(H17=0,0,L17/H17)</f>
        <v>0</v>
      </c>
      <c r="O17" s="29"/>
      <c r="P17" s="22">
        <f>P12-P14</f>
        <v>0</v>
      </c>
      <c r="Q17" s="14"/>
      <c r="R17" s="21">
        <f>IF(P$12=0,0,P17/P$12)</f>
        <v>0</v>
      </c>
      <c r="S17" s="14"/>
      <c r="T17" s="22">
        <f>T12-T14</f>
        <v>-20</v>
      </c>
      <c r="U17" s="14"/>
      <c r="V17" s="21">
        <f>IF(T$12=0,0,T17/T$12)</f>
        <v>0</v>
      </c>
      <c r="W17" s="15"/>
      <c r="X17" s="22">
        <f>+P17-T17</f>
        <v>20</v>
      </c>
      <c r="Y17" s="15"/>
      <c r="Z17" s="21">
        <f>IF(T17=0,0,X17/T17)</f>
        <v>-1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9" t="s">
        <v>9</v>
      </c>
      <c r="C19" s="10"/>
      <c r="D19" s="20">
        <f>SUM(OSRRefD22x_0)</f>
        <v>-28568.05000000001</v>
      </c>
      <c r="E19" s="20"/>
      <c r="F19" s="36">
        <f t="shared" ref="F19:F28" si="8">IF(D$12=0,0,D19/D$12)</f>
        <v>0</v>
      </c>
      <c r="G19" s="20"/>
      <c r="H19" s="20">
        <f>SUM(OSRRefH22x_0)</f>
        <v>317896.10999999993</v>
      </c>
      <c r="I19" s="20"/>
      <c r="J19" s="36">
        <f t="shared" ref="J19:J28" si="9">IF(H$12=0,0,H19/H$12)</f>
        <v>0</v>
      </c>
      <c r="K19" s="4"/>
      <c r="L19" s="20">
        <f t="shared" ref="L19:L28" si="10">+D19-H19</f>
        <v>-346464.15999999992</v>
      </c>
      <c r="M19" s="4"/>
      <c r="N19" s="36">
        <f t="shared" ref="N19:N28" si="11">IF(H19=0,0,L19/H19)</f>
        <v>-1.0898659942708957</v>
      </c>
      <c r="O19" s="10"/>
      <c r="P19" s="20">
        <f>SUM(OSRRefP22x_0)</f>
        <v>1189707.6699999992</v>
      </c>
      <c r="Q19" s="20"/>
      <c r="R19" s="36">
        <f t="shared" ref="R19:R28" si="12">IF(P$12=0,0,P19/P$12)</f>
        <v>0</v>
      </c>
      <c r="S19" s="20"/>
      <c r="T19" s="20">
        <f>SUM(OSRRefT22x_0)</f>
        <v>1783735.1</v>
      </c>
      <c r="U19" s="20"/>
      <c r="V19" s="36">
        <f t="shared" ref="V19:V28" si="13">IF(T$12=0,0,T19/T$12)</f>
        <v>0</v>
      </c>
      <c r="W19" s="4"/>
      <c r="X19" s="20">
        <f t="shared" ref="X19:X28" si="14">+P19-T19</f>
        <v>-594027.43000000087</v>
      </c>
      <c r="Y19" s="4"/>
      <c r="Z19" s="36">
        <f t="shared" ref="Z19:Z28" si="15">IF(T19=0,0,X19/T19)</f>
        <v>-0.33302446646926487</v>
      </c>
    </row>
    <row r="20" spans="1:26" s="25" customFormat="1" outlineLevel="1" collapsed="1" x14ac:dyDescent="0.35">
      <c r="A20" s="26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808.92</v>
      </c>
      <c r="E20" s="1"/>
      <c r="F20" s="5">
        <f t="shared" si="8"/>
        <v>0</v>
      </c>
      <c r="G20" s="1"/>
      <c r="H20" s="1">
        <f>SUM(OSRRefH22_0x_0)</f>
        <v>11396.79</v>
      </c>
      <c r="I20" s="1"/>
      <c r="J20" s="5">
        <f t="shared" si="9"/>
        <v>0</v>
      </c>
      <c r="K20" s="1"/>
      <c r="L20" s="1">
        <f t="shared" si="10"/>
        <v>-10587.87</v>
      </c>
      <c r="M20" s="1"/>
      <c r="N20" s="5">
        <f t="shared" si="11"/>
        <v>-0.92902211938624824</v>
      </c>
      <c r="O20" s="12"/>
      <c r="P20" s="1">
        <f>SUM(OSRRefP22_0x_0)</f>
        <v>96872.78</v>
      </c>
      <c r="Q20" s="1"/>
      <c r="R20" s="5">
        <f t="shared" si="12"/>
        <v>0</v>
      </c>
      <c r="S20" s="1"/>
      <c r="T20" s="1">
        <f>SUM(OSRRefT22_0x_0)</f>
        <v>159892.82</v>
      </c>
      <c r="U20" s="1"/>
      <c r="V20" s="5">
        <f t="shared" si="13"/>
        <v>0</v>
      </c>
      <c r="W20" s="1"/>
      <c r="X20" s="1">
        <f t="shared" si="14"/>
        <v>-63020.040000000008</v>
      </c>
      <c r="Y20" s="1"/>
      <c r="Z20" s="5">
        <f t="shared" si="15"/>
        <v>-0.39413927404620175</v>
      </c>
    </row>
    <row r="21" spans="1:26" s="24" customFormat="1" hidden="1" outlineLevel="2" x14ac:dyDescent="0.35">
      <c r="A21" s="27"/>
      <c r="B21" s="11" t="str">
        <f>CONCATENATE("          ", "6111", " - ", "F.I.C.A.")</f>
        <v xml:space="preserve">          6111 - F.I.C.A.</v>
      </c>
      <c r="C21" s="11"/>
      <c r="D21" s="7">
        <v>287.33999999999997</v>
      </c>
      <c r="E21" s="2"/>
      <c r="F21" s="6">
        <f t="shared" si="8"/>
        <v>0</v>
      </c>
      <c r="G21" s="2"/>
      <c r="H21" s="7">
        <v>2540.4299999999998</v>
      </c>
      <c r="I21" s="2"/>
      <c r="J21" s="6">
        <f t="shared" si="9"/>
        <v>0</v>
      </c>
      <c r="K21" s="2"/>
      <c r="L21" s="7">
        <f t="shared" si="10"/>
        <v>-2253.0899999999997</v>
      </c>
      <c r="M21" s="2"/>
      <c r="N21" s="6">
        <f t="shared" si="11"/>
        <v>-0.88689316375574212</v>
      </c>
      <c r="O21" s="11"/>
      <c r="P21" s="7">
        <v>24928.37</v>
      </c>
      <c r="Q21" s="2"/>
      <c r="R21" s="6">
        <f t="shared" si="12"/>
        <v>0</v>
      </c>
      <c r="S21" s="2"/>
      <c r="T21" s="7">
        <v>28289.48</v>
      </c>
      <c r="U21" s="2"/>
      <c r="V21" s="6">
        <f t="shared" si="13"/>
        <v>0</v>
      </c>
      <c r="W21" s="2"/>
      <c r="X21" s="7">
        <f t="shared" si="14"/>
        <v>-3361.1100000000006</v>
      </c>
      <c r="Y21" s="2"/>
      <c r="Z21" s="6">
        <f t="shared" si="15"/>
        <v>-0.11881130370724384</v>
      </c>
    </row>
    <row r="22" spans="1:26" s="24" customFormat="1" hidden="1" outlineLevel="2" x14ac:dyDescent="0.3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12.77</v>
      </c>
      <c r="E22" s="2"/>
      <c r="F22" s="6">
        <f t="shared" si="8"/>
        <v>0</v>
      </c>
      <c r="G22" s="2"/>
      <c r="H22" s="7">
        <v>477.59</v>
      </c>
      <c r="I22" s="2"/>
      <c r="J22" s="6">
        <f t="shared" si="9"/>
        <v>0</v>
      </c>
      <c r="K22" s="2"/>
      <c r="L22" s="7">
        <f t="shared" si="10"/>
        <v>-464.82</v>
      </c>
      <c r="M22" s="2"/>
      <c r="N22" s="6">
        <f t="shared" si="11"/>
        <v>-0.97326158420402442</v>
      </c>
      <c r="O22" s="11"/>
      <c r="P22" s="7">
        <v>6264.96</v>
      </c>
      <c r="Q22" s="2"/>
      <c r="R22" s="6">
        <f t="shared" si="12"/>
        <v>0</v>
      </c>
      <c r="S22" s="2"/>
      <c r="T22" s="7">
        <v>4547.4799999999996</v>
      </c>
      <c r="U22" s="2"/>
      <c r="V22" s="6">
        <f t="shared" si="13"/>
        <v>0</v>
      </c>
      <c r="W22" s="2"/>
      <c r="X22" s="7">
        <f t="shared" si="14"/>
        <v>1717.4800000000005</v>
      </c>
      <c r="Y22" s="2"/>
      <c r="Z22" s="6">
        <f t="shared" si="15"/>
        <v>0.37767730699200452</v>
      </c>
    </row>
    <row r="23" spans="1:26" s="24" customFormat="1" hidden="1" outlineLevel="2" x14ac:dyDescent="0.35">
      <c r="A23" s="27"/>
      <c r="B23" s="11" t="str">
        <f>CONCATENATE("          ", "6113", " - ", "GROUP INSURANCE")</f>
        <v xml:space="preserve">          6113 - GROUP INSURANCE</v>
      </c>
      <c r="C23" s="11"/>
      <c r="D23" s="7">
        <v>905.2</v>
      </c>
      <c r="E23" s="2"/>
      <c r="F23" s="6">
        <f t="shared" si="8"/>
        <v>0</v>
      </c>
      <c r="G23" s="2"/>
      <c r="H23" s="7">
        <v>5472.97</v>
      </c>
      <c r="I23" s="2"/>
      <c r="J23" s="6">
        <f t="shared" si="9"/>
        <v>0</v>
      </c>
      <c r="K23" s="2"/>
      <c r="L23" s="7">
        <f t="shared" si="10"/>
        <v>-4567.7700000000004</v>
      </c>
      <c r="M23" s="2"/>
      <c r="N23" s="6">
        <f t="shared" si="11"/>
        <v>-0.83460534225475391</v>
      </c>
      <c r="O23" s="11"/>
      <c r="P23" s="7">
        <v>39694.700000000004</v>
      </c>
      <c r="Q23" s="2"/>
      <c r="R23" s="6">
        <f t="shared" si="12"/>
        <v>0</v>
      </c>
      <c r="S23" s="2"/>
      <c r="T23" s="7">
        <v>67580.12000000001</v>
      </c>
      <c r="U23" s="2"/>
      <c r="V23" s="6">
        <f t="shared" si="13"/>
        <v>0</v>
      </c>
      <c r="W23" s="2"/>
      <c r="X23" s="7">
        <f t="shared" si="14"/>
        <v>-27885.420000000006</v>
      </c>
      <c r="Y23" s="2"/>
      <c r="Z23" s="6">
        <f t="shared" si="15"/>
        <v>-0.41262755970246873</v>
      </c>
    </row>
    <row r="24" spans="1:26" s="24" customFormat="1" hidden="1" outlineLevel="2" x14ac:dyDescent="0.3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-1316.72</v>
      </c>
      <c r="E24" s="2"/>
      <c r="F24" s="6">
        <f t="shared" si="8"/>
        <v>0</v>
      </c>
      <c r="G24" s="2"/>
      <c r="H24" s="7">
        <v>170.03</v>
      </c>
      <c r="I24" s="2"/>
      <c r="J24" s="6">
        <f t="shared" si="9"/>
        <v>0</v>
      </c>
      <c r="K24" s="2"/>
      <c r="L24" s="7">
        <f t="shared" si="10"/>
        <v>-1486.75</v>
      </c>
      <c r="M24" s="2"/>
      <c r="N24" s="6">
        <f t="shared" si="11"/>
        <v>-8.7440451684996763</v>
      </c>
      <c r="O24" s="11"/>
      <c r="P24" s="7">
        <v>0</v>
      </c>
      <c r="Q24" s="2"/>
      <c r="R24" s="6">
        <f t="shared" si="12"/>
        <v>0</v>
      </c>
      <c r="S24" s="2"/>
      <c r="T24" s="7">
        <v>1611</v>
      </c>
      <c r="U24" s="2"/>
      <c r="V24" s="6">
        <f t="shared" si="13"/>
        <v>0</v>
      </c>
      <c r="W24" s="2"/>
      <c r="X24" s="7">
        <f t="shared" si="14"/>
        <v>-1611</v>
      </c>
      <c r="Y24" s="2"/>
      <c r="Z24" s="6">
        <f t="shared" si="15"/>
        <v>-1</v>
      </c>
    </row>
    <row r="25" spans="1:26" s="24" customFormat="1" hidden="1" outlineLevel="2" x14ac:dyDescent="0.35">
      <c r="A25" s="27"/>
      <c r="B25" s="11" t="str">
        <f>CONCATENATE("          ", "6115", " - ", "P.E.R.S.")</f>
        <v xml:space="preserve">          6115 - P.E.R.S.</v>
      </c>
      <c r="C25" s="11"/>
      <c r="D25" s="7">
        <v>390.79</v>
      </c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390.79</v>
      </c>
      <c r="M25" s="2"/>
      <c r="N25" s="6">
        <f t="shared" si="11"/>
        <v>0</v>
      </c>
      <c r="O25" s="11"/>
      <c r="P25" s="7">
        <v>21242</v>
      </c>
      <c r="Q25" s="2"/>
      <c r="R25" s="6">
        <f t="shared" si="12"/>
        <v>0</v>
      </c>
      <c r="S25" s="2"/>
      <c r="T25" s="7">
        <v>20545.289999999997</v>
      </c>
      <c r="U25" s="2"/>
      <c r="V25" s="6">
        <f t="shared" si="13"/>
        <v>0</v>
      </c>
      <c r="W25" s="2"/>
      <c r="X25" s="7">
        <f t="shared" si="14"/>
        <v>696.71000000000276</v>
      </c>
      <c r="Y25" s="2"/>
      <c r="Z25" s="6">
        <f t="shared" si="15"/>
        <v>3.3910935304393507E-2</v>
      </c>
    </row>
    <row r="26" spans="1:26" s="24" customFormat="1" hidden="1" outlineLevel="2" x14ac:dyDescent="0.35">
      <c r="A26" s="27"/>
      <c r="B26" s="11" t="str">
        <f>CONCATENATE("          ", "6118", " - ", "VACATION")</f>
        <v xml:space="preserve">          6118 - VACATION</v>
      </c>
      <c r="C26" s="11"/>
      <c r="D26" s="7">
        <v>353.19</v>
      </c>
      <c r="E26" s="2"/>
      <c r="F26" s="6">
        <f t="shared" si="8"/>
        <v>0</v>
      </c>
      <c r="G26" s="2"/>
      <c r="H26" s="7">
        <v>1481.18</v>
      </c>
      <c r="I26" s="2"/>
      <c r="J26" s="6">
        <f t="shared" si="9"/>
        <v>0</v>
      </c>
      <c r="K26" s="2"/>
      <c r="L26" s="7">
        <f t="shared" si="10"/>
        <v>-1127.99</v>
      </c>
      <c r="M26" s="2"/>
      <c r="N26" s="6">
        <f t="shared" si="11"/>
        <v>-0.76154822506380049</v>
      </c>
      <c r="O26" s="11"/>
      <c r="P26" s="7">
        <v>16122.9</v>
      </c>
      <c r="Q26" s="2"/>
      <c r="R26" s="6">
        <f t="shared" si="12"/>
        <v>0</v>
      </c>
      <c r="S26" s="2"/>
      <c r="T26" s="7">
        <v>20047.86</v>
      </c>
      <c r="U26" s="2"/>
      <c r="V26" s="6">
        <f t="shared" si="13"/>
        <v>0</v>
      </c>
      <c r="W26" s="2"/>
      <c r="X26" s="7">
        <f t="shared" si="14"/>
        <v>-3924.9600000000009</v>
      </c>
      <c r="Y26" s="2"/>
      <c r="Z26" s="6">
        <f t="shared" si="15"/>
        <v>-0.19577949965732008</v>
      </c>
    </row>
    <row r="27" spans="1:26" s="24" customFormat="1" hidden="1" outlineLevel="2" x14ac:dyDescent="0.35">
      <c r="A27" s="27"/>
      <c r="B27" s="11" t="str">
        <f>CONCATENATE("          ", "6119", " - ", "SICK LEAVE")</f>
        <v xml:space="preserve">          6119 - SICK LEAVE</v>
      </c>
      <c r="C27" s="11"/>
      <c r="D27" s="7">
        <v>176.35</v>
      </c>
      <c r="E27" s="2"/>
      <c r="F27" s="6">
        <f t="shared" si="8"/>
        <v>0</v>
      </c>
      <c r="G27" s="2"/>
      <c r="H27" s="7">
        <v>878.31</v>
      </c>
      <c r="I27" s="2"/>
      <c r="J27" s="6">
        <f t="shared" si="9"/>
        <v>0</v>
      </c>
      <c r="K27" s="2"/>
      <c r="L27" s="7">
        <f t="shared" si="10"/>
        <v>-701.95999999999992</v>
      </c>
      <c r="M27" s="2"/>
      <c r="N27" s="6">
        <f t="shared" si="11"/>
        <v>-0.79921667748289327</v>
      </c>
      <c r="O27" s="11"/>
      <c r="P27" s="7">
        <v>-14372.76</v>
      </c>
      <c r="Q27" s="2"/>
      <c r="R27" s="6">
        <f t="shared" si="12"/>
        <v>0</v>
      </c>
      <c r="S27" s="2"/>
      <c r="T27" s="7">
        <v>12554.12</v>
      </c>
      <c r="U27" s="2"/>
      <c r="V27" s="6">
        <f t="shared" si="13"/>
        <v>0</v>
      </c>
      <c r="W27" s="2"/>
      <c r="X27" s="7">
        <f t="shared" si="14"/>
        <v>-26926.880000000001</v>
      </c>
      <c r="Y27" s="2"/>
      <c r="Z27" s="6">
        <f t="shared" si="15"/>
        <v>-2.1448639968392844</v>
      </c>
    </row>
    <row r="28" spans="1:26" s="24" customFormat="1" hidden="1" outlineLevel="2" x14ac:dyDescent="0.35">
      <c r="A28" s="27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8"/>
        <v>0</v>
      </c>
      <c r="G28" s="2"/>
      <c r="H28" s="7">
        <v>376.28</v>
      </c>
      <c r="I28" s="2"/>
      <c r="J28" s="6">
        <f t="shared" si="9"/>
        <v>0</v>
      </c>
      <c r="K28" s="2"/>
      <c r="L28" s="7">
        <f t="shared" si="10"/>
        <v>-376.28</v>
      </c>
      <c r="M28" s="2"/>
      <c r="N28" s="6">
        <f t="shared" si="11"/>
        <v>-1</v>
      </c>
      <c r="O28" s="11"/>
      <c r="P28" s="7">
        <v>2992.61</v>
      </c>
      <c r="Q28" s="2"/>
      <c r="R28" s="6">
        <f t="shared" si="12"/>
        <v>0</v>
      </c>
      <c r="S28" s="2"/>
      <c r="T28" s="7">
        <v>4717.47</v>
      </c>
      <c r="U28" s="2"/>
      <c r="V28" s="6">
        <f t="shared" si="13"/>
        <v>0</v>
      </c>
      <c r="W28" s="2"/>
      <c r="X28" s="7">
        <f t="shared" si="14"/>
        <v>-1724.8600000000001</v>
      </c>
      <c r="Y28" s="2"/>
      <c r="Z28" s="6">
        <f t="shared" si="15"/>
        <v>-0.36563242585538436</v>
      </c>
    </row>
    <row r="29" spans="1:26" s="25" customFormat="1" outlineLevel="1" collapsed="1" x14ac:dyDescent="0.3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3823.4</v>
      </c>
      <c r="E29" s="1"/>
      <c r="F29" s="5">
        <f t="shared" ref="F29:F36" si="16">IF(D$12=0,0,D29/D$12)</f>
        <v>0</v>
      </c>
      <c r="G29" s="1"/>
      <c r="H29" s="1">
        <f>SUM(OSRRefH22_1x_0)</f>
        <v>29625.54</v>
      </c>
      <c r="I29" s="1"/>
      <c r="J29" s="5">
        <f t="shared" ref="J29:J36" si="17">IF(H$12=0,0,H29/H$12)</f>
        <v>0</v>
      </c>
      <c r="K29" s="1"/>
      <c r="L29" s="1">
        <f t="shared" ref="L29:L36" si="18">+D29-H29</f>
        <v>-25802.14</v>
      </c>
      <c r="M29" s="1"/>
      <c r="N29" s="5">
        <f t="shared" ref="N29:N36" si="19">IF(H29=0,0,L29/H29)</f>
        <v>-0.8709424368298434</v>
      </c>
      <c r="O29" s="12"/>
      <c r="P29" s="1">
        <f>SUM(OSRRefP22_1x_0)</f>
        <v>393621.75</v>
      </c>
      <c r="Q29" s="1"/>
      <c r="R29" s="5">
        <f t="shared" ref="R29:R36" si="20">IF(P$12=0,0,P29/P$12)</f>
        <v>0</v>
      </c>
      <c r="S29" s="1"/>
      <c r="T29" s="1">
        <f>SUM(OSRRefT22_1x_0)</f>
        <v>506551.9</v>
      </c>
      <c r="U29" s="1"/>
      <c r="V29" s="5">
        <f t="shared" ref="V29:V36" si="21">IF(T$12=0,0,T29/T$12)</f>
        <v>0</v>
      </c>
      <c r="W29" s="1"/>
      <c r="X29" s="1">
        <f t="shared" ref="X29:X36" si="22">+P29-T29</f>
        <v>-112930.15000000002</v>
      </c>
      <c r="Y29" s="1"/>
      <c r="Z29" s="5">
        <f t="shared" ref="Z29:Z36" si="23">IF(T29=0,0,X29/T29)</f>
        <v>-0.22293895255352911</v>
      </c>
    </row>
    <row r="30" spans="1:26" s="24" customFormat="1" hidden="1" outlineLevel="2" x14ac:dyDescent="0.3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16"/>
        <v>0</v>
      </c>
      <c r="G30" s="2"/>
      <c r="H30" s="7">
        <v>7283.5</v>
      </c>
      <c r="I30" s="2"/>
      <c r="J30" s="6">
        <f t="shared" si="17"/>
        <v>0</v>
      </c>
      <c r="K30" s="2"/>
      <c r="L30" s="7">
        <f t="shared" si="18"/>
        <v>-7283.5</v>
      </c>
      <c r="M30" s="2"/>
      <c r="N30" s="6">
        <f t="shared" si="19"/>
        <v>-1</v>
      </c>
      <c r="O30" s="11"/>
      <c r="P30" s="7">
        <v>93238.31</v>
      </c>
      <c r="Q30" s="2"/>
      <c r="R30" s="6">
        <f t="shared" si="20"/>
        <v>0</v>
      </c>
      <c r="S30" s="2"/>
      <c r="T30" s="7">
        <v>125900.5</v>
      </c>
      <c r="U30" s="2"/>
      <c r="V30" s="6">
        <f t="shared" si="21"/>
        <v>0</v>
      </c>
      <c r="W30" s="2"/>
      <c r="X30" s="7">
        <f t="shared" si="22"/>
        <v>-32662.190000000002</v>
      </c>
      <c r="Y30" s="2"/>
      <c r="Z30" s="6">
        <f t="shared" si="23"/>
        <v>-0.25942859639159499</v>
      </c>
    </row>
    <row r="31" spans="1:26" s="24" customFormat="1" hidden="1" outlineLevel="2" x14ac:dyDescent="0.35">
      <c r="A31" s="27"/>
      <c r="B31" s="11" t="str">
        <f>CONCATENATE("          ", "6002", " - ", "STAFF SALARIES")</f>
        <v xml:space="preserve">          6002 - STAFF SALARIES</v>
      </c>
      <c r="C31" s="11"/>
      <c r="D31" s="7">
        <v>3823.4</v>
      </c>
      <c r="E31" s="2"/>
      <c r="F31" s="6">
        <f t="shared" si="16"/>
        <v>0</v>
      </c>
      <c r="G31" s="2"/>
      <c r="H31" s="7">
        <v>8124.82</v>
      </c>
      <c r="I31" s="2"/>
      <c r="J31" s="6">
        <f t="shared" si="17"/>
        <v>0</v>
      </c>
      <c r="K31" s="2"/>
      <c r="L31" s="7">
        <f t="shared" si="18"/>
        <v>-4301.42</v>
      </c>
      <c r="M31" s="2"/>
      <c r="N31" s="6">
        <f t="shared" si="19"/>
        <v>-0.52941726709022474</v>
      </c>
      <c r="O31" s="11"/>
      <c r="P31" s="7">
        <v>68657</v>
      </c>
      <c r="Q31" s="2"/>
      <c r="R31" s="6">
        <f t="shared" si="20"/>
        <v>0</v>
      </c>
      <c r="S31" s="2"/>
      <c r="T31" s="7">
        <v>97511.62999999999</v>
      </c>
      <c r="U31" s="2"/>
      <c r="V31" s="6">
        <f t="shared" si="21"/>
        <v>0</v>
      </c>
      <c r="W31" s="2"/>
      <c r="X31" s="7">
        <f t="shared" si="22"/>
        <v>-28854.62999999999</v>
      </c>
      <c r="Y31" s="2"/>
      <c r="Z31" s="6">
        <f t="shared" si="23"/>
        <v>-0.29590962636969553</v>
      </c>
    </row>
    <row r="32" spans="1:26" s="24" customFormat="1" hidden="1" outlineLevel="2" x14ac:dyDescent="0.35">
      <c r="A32" s="27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16"/>
        <v>0</v>
      </c>
      <c r="G32" s="2"/>
      <c r="H32" s="7"/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>
        <v>-1647.01</v>
      </c>
      <c r="Q32" s="2"/>
      <c r="R32" s="6">
        <f t="shared" si="20"/>
        <v>0</v>
      </c>
      <c r="S32" s="2"/>
      <c r="T32" s="7">
        <v>-1220</v>
      </c>
      <c r="U32" s="2"/>
      <c r="V32" s="6">
        <f t="shared" si="21"/>
        <v>0</v>
      </c>
      <c r="W32" s="2"/>
      <c r="X32" s="7">
        <f t="shared" si="22"/>
        <v>-427.01</v>
      </c>
      <c r="Y32" s="2"/>
      <c r="Z32" s="6">
        <f t="shared" si="23"/>
        <v>0.35000819672131145</v>
      </c>
    </row>
    <row r="33" spans="1:26" s="24" customFormat="1" hidden="1" outlineLevel="2" x14ac:dyDescent="0.3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16"/>
        <v>0</v>
      </c>
      <c r="G33" s="2"/>
      <c r="H33" s="7">
        <v>7949.82</v>
      </c>
      <c r="I33" s="2"/>
      <c r="J33" s="6">
        <f t="shared" si="17"/>
        <v>0</v>
      </c>
      <c r="K33" s="2"/>
      <c r="L33" s="7">
        <f t="shared" si="18"/>
        <v>-7949.82</v>
      </c>
      <c r="M33" s="2"/>
      <c r="N33" s="6">
        <f t="shared" si="19"/>
        <v>-1</v>
      </c>
      <c r="O33" s="11"/>
      <c r="P33" s="7">
        <v>59852.88</v>
      </c>
      <c r="Q33" s="2"/>
      <c r="R33" s="6">
        <f t="shared" si="20"/>
        <v>0</v>
      </c>
      <c r="S33" s="2"/>
      <c r="T33" s="7">
        <v>67656.739999999991</v>
      </c>
      <c r="U33" s="2"/>
      <c r="V33" s="6">
        <f t="shared" si="21"/>
        <v>0</v>
      </c>
      <c r="W33" s="2"/>
      <c r="X33" s="7">
        <f t="shared" si="22"/>
        <v>-7803.8599999999933</v>
      </c>
      <c r="Y33" s="2"/>
      <c r="Z33" s="6">
        <f t="shared" si="23"/>
        <v>-0.11534490133577223</v>
      </c>
    </row>
    <row r="34" spans="1:26" s="24" customFormat="1" hidden="1" outlineLevel="2" x14ac:dyDescent="0.35">
      <c r="A34" s="27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16"/>
        <v>0</v>
      </c>
      <c r="G34" s="2"/>
      <c r="H34" s="7">
        <v>1235.5899999999999</v>
      </c>
      <c r="I34" s="2"/>
      <c r="J34" s="6">
        <f t="shared" si="17"/>
        <v>0</v>
      </c>
      <c r="K34" s="2"/>
      <c r="L34" s="7">
        <f t="shared" si="18"/>
        <v>-1235.5899999999999</v>
      </c>
      <c r="M34" s="2"/>
      <c r="N34" s="6">
        <f t="shared" si="19"/>
        <v>-1</v>
      </c>
      <c r="O34" s="11"/>
      <c r="P34" s="7">
        <v>11923.01</v>
      </c>
      <c r="Q34" s="2"/>
      <c r="R34" s="6">
        <f t="shared" si="20"/>
        <v>0</v>
      </c>
      <c r="S34" s="2"/>
      <c r="T34" s="7">
        <v>5238.96</v>
      </c>
      <c r="U34" s="2"/>
      <c r="V34" s="6">
        <f t="shared" si="21"/>
        <v>0</v>
      </c>
      <c r="W34" s="2"/>
      <c r="X34" s="7">
        <f t="shared" si="22"/>
        <v>6684.05</v>
      </c>
      <c r="Y34" s="2"/>
      <c r="Z34" s="6">
        <f t="shared" si="23"/>
        <v>1.2758352802846367</v>
      </c>
    </row>
    <row r="35" spans="1:26" s="24" customFormat="1" hidden="1" outlineLevel="2" x14ac:dyDescent="0.3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16"/>
        <v>0</v>
      </c>
      <c r="G35" s="2"/>
      <c r="H35" s="7">
        <v>5031.8100000000004</v>
      </c>
      <c r="I35" s="2"/>
      <c r="J35" s="6">
        <f t="shared" si="17"/>
        <v>0</v>
      </c>
      <c r="K35" s="2"/>
      <c r="L35" s="7">
        <f t="shared" si="18"/>
        <v>-5031.8100000000004</v>
      </c>
      <c r="M35" s="2"/>
      <c r="N35" s="6">
        <f t="shared" si="19"/>
        <v>-1</v>
      </c>
      <c r="O35" s="11"/>
      <c r="P35" s="7">
        <v>159329.81999999998</v>
      </c>
      <c r="Q35" s="2"/>
      <c r="R35" s="6">
        <f t="shared" si="20"/>
        <v>0</v>
      </c>
      <c r="S35" s="2"/>
      <c r="T35" s="7">
        <v>203710.57</v>
      </c>
      <c r="U35" s="2"/>
      <c r="V35" s="6">
        <f t="shared" si="21"/>
        <v>0</v>
      </c>
      <c r="W35" s="2"/>
      <c r="X35" s="7">
        <f t="shared" si="22"/>
        <v>-44380.750000000029</v>
      </c>
      <c r="Y35" s="2"/>
      <c r="Z35" s="6">
        <f t="shared" si="23"/>
        <v>-0.21786179283676849</v>
      </c>
    </row>
    <row r="36" spans="1:26" s="24" customFormat="1" hidden="1" outlineLevel="2" x14ac:dyDescent="0.3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2267.7399999999998</v>
      </c>
      <c r="Q36" s="2"/>
      <c r="R36" s="6">
        <f t="shared" si="20"/>
        <v>0</v>
      </c>
      <c r="S36" s="2"/>
      <c r="T36" s="7">
        <v>7753.5</v>
      </c>
      <c r="U36" s="2"/>
      <c r="V36" s="6">
        <f t="shared" si="21"/>
        <v>0</v>
      </c>
      <c r="W36" s="2"/>
      <c r="X36" s="7">
        <f t="shared" si="22"/>
        <v>-5485.76</v>
      </c>
      <c r="Y36" s="2"/>
      <c r="Z36" s="6">
        <f t="shared" si="23"/>
        <v>-0.70752047462436318</v>
      </c>
    </row>
    <row r="37" spans="1:26" s="25" customFormat="1" outlineLevel="1" collapsed="1" x14ac:dyDescent="0.35">
      <c r="A37" s="26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-2415.19</v>
      </c>
      <c r="E37" s="1"/>
      <c r="F37" s="5">
        <f t="shared" ref="F37:F41" si="24">IF(D$12=0,0,D37/D$12)</f>
        <v>0</v>
      </c>
      <c r="G37" s="1"/>
      <c r="H37" s="1">
        <f>SUM(OSRRefH22_2x_0)</f>
        <v>1630.98</v>
      </c>
      <c r="I37" s="1"/>
      <c r="J37" s="5">
        <f t="shared" ref="J37:J41" si="25">IF(H$12=0,0,H37/H$12)</f>
        <v>0</v>
      </c>
      <c r="K37" s="1"/>
      <c r="L37" s="1">
        <f t="shared" ref="L37:L41" si="26">+D37-H37</f>
        <v>-4046.17</v>
      </c>
      <c r="M37" s="1"/>
      <c r="N37" s="5">
        <f t="shared" ref="N37:N41" si="27">IF(H37=0,0,L37/H37)</f>
        <v>-2.4808213466750053</v>
      </c>
      <c r="O37" s="12"/>
      <c r="P37" s="1">
        <f>SUM(OSRRefP22_2x_0)</f>
        <v>11799.88</v>
      </c>
      <c r="Q37" s="1"/>
      <c r="R37" s="5">
        <f t="shared" ref="R37:R41" si="28">IF(P$12=0,0,P37/P$12)</f>
        <v>0</v>
      </c>
      <c r="S37" s="1"/>
      <c r="T37" s="1">
        <f>SUM(OSRRefT22_2x_0)</f>
        <v>39873.950000000004</v>
      </c>
      <c r="U37" s="1"/>
      <c r="V37" s="5">
        <f t="shared" ref="V37:V41" si="29">IF(T$12=0,0,T37/T$12)</f>
        <v>0</v>
      </c>
      <c r="W37" s="1"/>
      <c r="X37" s="1">
        <f t="shared" ref="X37:X41" si="30">+P37-T37</f>
        <v>-28074.070000000007</v>
      </c>
      <c r="Y37" s="1"/>
      <c r="Z37" s="5">
        <f t="shared" ref="Z37:Z41" si="31">IF(T37=0,0,X37/T37)</f>
        <v>-0.70407045201190266</v>
      </c>
    </row>
    <row r="38" spans="1:26" s="24" customFormat="1" hidden="1" outlineLevel="2" x14ac:dyDescent="0.35">
      <c r="A38" s="27"/>
      <c r="B38" s="11" t="str">
        <f>CONCATENATE("          ", "6362", " - ", "ADVERTISING EXPENSE")</f>
        <v xml:space="preserve">          6362 - ADVERTISING EXPENSE</v>
      </c>
      <c r="C38" s="11"/>
      <c r="D38" s="7">
        <v>-2415.19</v>
      </c>
      <c r="E38" s="2"/>
      <c r="F38" s="6">
        <f t="shared" si="24"/>
        <v>0</v>
      </c>
      <c r="G38" s="2"/>
      <c r="H38" s="7">
        <v>1630.98</v>
      </c>
      <c r="I38" s="2"/>
      <c r="J38" s="6">
        <f t="shared" si="25"/>
        <v>0</v>
      </c>
      <c r="K38" s="2"/>
      <c r="L38" s="7">
        <f t="shared" si="26"/>
        <v>-4046.17</v>
      </c>
      <c r="M38" s="2"/>
      <c r="N38" s="6">
        <f t="shared" si="27"/>
        <v>-2.4808213466750053</v>
      </c>
      <c r="O38" s="11"/>
      <c r="P38" s="7">
        <v>11799.88</v>
      </c>
      <c r="Q38" s="2"/>
      <c r="R38" s="6">
        <f t="shared" si="28"/>
        <v>0</v>
      </c>
      <c r="S38" s="2"/>
      <c r="T38" s="7">
        <v>39873.950000000004</v>
      </c>
      <c r="U38" s="2"/>
      <c r="V38" s="6">
        <f t="shared" si="29"/>
        <v>0</v>
      </c>
      <c r="W38" s="2"/>
      <c r="X38" s="7">
        <f t="shared" si="30"/>
        <v>-28074.070000000007</v>
      </c>
      <c r="Y38" s="2"/>
      <c r="Z38" s="6">
        <f t="shared" si="31"/>
        <v>-0.70407045201190266</v>
      </c>
    </row>
    <row r="39" spans="1:26" s="25" customFormat="1" outlineLevel="1" collapsed="1" x14ac:dyDescent="0.35">
      <c r="A39" s="26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24"/>
        <v>0</v>
      </c>
      <c r="G39" s="1"/>
      <c r="H39" s="1">
        <f>SUM(OSRRefH22_3x_0)</f>
        <v>41.66</v>
      </c>
      <c r="I39" s="1"/>
      <c r="J39" s="5">
        <f t="shared" si="25"/>
        <v>0</v>
      </c>
      <c r="K39" s="1"/>
      <c r="L39" s="1">
        <f t="shared" si="26"/>
        <v>-41.66</v>
      </c>
      <c r="M39" s="1"/>
      <c r="N39" s="5">
        <f t="shared" si="27"/>
        <v>-1</v>
      </c>
      <c r="O39" s="12"/>
      <c r="P39" s="1">
        <f>SUM(OSRRefP22_3x_0)</f>
        <v>-19.53</v>
      </c>
      <c r="Q39" s="1"/>
      <c r="R39" s="5">
        <f t="shared" si="28"/>
        <v>0</v>
      </c>
      <c r="S39" s="1"/>
      <c r="T39" s="1">
        <f>SUM(OSRRefT22_3x_0)</f>
        <v>148.52000000000001</v>
      </c>
      <c r="U39" s="1"/>
      <c r="V39" s="5">
        <f t="shared" si="29"/>
        <v>0</v>
      </c>
      <c r="W39" s="1"/>
      <c r="X39" s="1">
        <f t="shared" si="30"/>
        <v>-168.05</v>
      </c>
      <c r="Y39" s="1"/>
      <c r="Z39" s="5">
        <f t="shared" si="31"/>
        <v>-1.1314974414220307</v>
      </c>
    </row>
    <row r="40" spans="1:26" s="24" customFormat="1" hidden="1" outlineLevel="2" x14ac:dyDescent="0.35">
      <c r="A40" s="27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24"/>
        <v>0</v>
      </c>
      <c r="G40" s="2"/>
      <c r="H40" s="7">
        <v>41.66</v>
      </c>
      <c r="I40" s="2"/>
      <c r="J40" s="6">
        <f t="shared" si="25"/>
        <v>0</v>
      </c>
      <c r="K40" s="2"/>
      <c r="L40" s="7">
        <f t="shared" si="26"/>
        <v>-41.66</v>
      </c>
      <c r="M40" s="2"/>
      <c r="N40" s="6">
        <f t="shared" si="27"/>
        <v>-1</v>
      </c>
      <c r="O40" s="11"/>
      <c r="P40" s="7">
        <v>-64.33</v>
      </c>
      <c r="Q40" s="2"/>
      <c r="R40" s="6">
        <f t="shared" si="28"/>
        <v>0</v>
      </c>
      <c r="S40" s="2"/>
      <c r="T40" s="7">
        <v>148.52000000000001</v>
      </c>
      <c r="U40" s="2"/>
      <c r="V40" s="6">
        <f t="shared" si="29"/>
        <v>0</v>
      </c>
      <c r="W40" s="2"/>
      <c r="X40" s="7">
        <f t="shared" si="30"/>
        <v>-212.85000000000002</v>
      </c>
      <c r="Y40" s="2"/>
      <c r="Z40" s="6">
        <f t="shared" si="31"/>
        <v>-1.4331403178023163</v>
      </c>
    </row>
    <row r="41" spans="1:26" s="24" customFormat="1" hidden="1" outlineLevel="2" x14ac:dyDescent="0.35">
      <c r="A41" s="27"/>
      <c r="B41" s="11" t="str">
        <f>CONCATENATE("          ", "6342", " - ", "BAD DEBT")</f>
        <v xml:space="preserve">          6342 - BAD DEBT</v>
      </c>
      <c r="C41" s="11"/>
      <c r="D41" s="7"/>
      <c r="E41" s="2"/>
      <c r="F41" s="6">
        <f t="shared" si="24"/>
        <v>0</v>
      </c>
      <c r="G41" s="2"/>
      <c r="H41" s="7"/>
      <c r="I41" s="2"/>
      <c r="J41" s="6">
        <f t="shared" si="25"/>
        <v>0</v>
      </c>
      <c r="K41" s="2"/>
      <c r="L41" s="7">
        <f t="shared" si="26"/>
        <v>0</v>
      </c>
      <c r="M41" s="2"/>
      <c r="N41" s="6">
        <f t="shared" si="27"/>
        <v>0</v>
      </c>
      <c r="O41" s="11"/>
      <c r="P41" s="7">
        <v>44.8</v>
      </c>
      <c r="Q41" s="2"/>
      <c r="R41" s="6">
        <f t="shared" si="28"/>
        <v>0</v>
      </c>
      <c r="S41" s="2"/>
      <c r="T41" s="7"/>
      <c r="U41" s="2"/>
      <c r="V41" s="6">
        <f t="shared" si="29"/>
        <v>0</v>
      </c>
      <c r="W41" s="2"/>
      <c r="X41" s="7">
        <f t="shared" si="30"/>
        <v>44.8</v>
      </c>
      <c r="Y41" s="2"/>
      <c r="Z41" s="6">
        <f t="shared" si="31"/>
        <v>0</v>
      </c>
    </row>
    <row r="42" spans="1:26" s="25" customFormat="1" outlineLevel="1" collapsed="1" x14ac:dyDescent="0.35">
      <c r="A42" s="26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3698.6</v>
      </c>
      <c r="E42" s="1"/>
      <c r="F42" s="5">
        <f t="shared" ref="F42:F46" si="32">IF(D$12=0,0,D42/D$12)</f>
        <v>0</v>
      </c>
      <c r="G42" s="1"/>
      <c r="H42" s="1">
        <f>SUM(OSRRefH22_4x_0)</f>
        <v>4900.3599999999997</v>
      </c>
      <c r="I42" s="1"/>
      <c r="J42" s="5">
        <f t="shared" ref="J42:J46" si="33">IF(H$12=0,0,H42/H$12)</f>
        <v>0</v>
      </c>
      <c r="K42" s="1"/>
      <c r="L42" s="1">
        <f t="shared" ref="L42:L46" si="34">+D42-H42</f>
        <v>-1201.7599999999998</v>
      </c>
      <c r="M42" s="1"/>
      <c r="N42" s="5">
        <f t="shared" ref="N42:N46" si="35">IF(H42=0,0,L42/H42)</f>
        <v>-0.24523912528875427</v>
      </c>
      <c r="O42" s="12"/>
      <c r="P42" s="1">
        <f>SUM(OSRRefP22_4x_0)</f>
        <v>142763.71000000002</v>
      </c>
      <c r="Q42" s="1"/>
      <c r="R42" s="5">
        <f t="shared" ref="R42:R46" si="36">IF(P$12=0,0,P42/P$12)</f>
        <v>0</v>
      </c>
      <c r="S42" s="1"/>
      <c r="T42" s="1">
        <f>SUM(OSRRefT22_4x_0)</f>
        <v>167749.4</v>
      </c>
      <c r="U42" s="1"/>
      <c r="V42" s="5">
        <f t="shared" ref="V42:V46" si="37">IF(T$12=0,0,T42/T$12)</f>
        <v>0</v>
      </c>
      <c r="W42" s="1"/>
      <c r="X42" s="1">
        <f t="shared" ref="X42:X46" si="38">+P42-T42</f>
        <v>-24985.689999999973</v>
      </c>
      <c r="Y42" s="1"/>
      <c r="Z42" s="5">
        <f t="shared" ref="Z42:Z46" si="39">IF(T42=0,0,X42/T42)</f>
        <v>-0.14894652380276754</v>
      </c>
    </row>
    <row r="43" spans="1:26" s="24" customFormat="1" hidden="1" outlineLevel="2" x14ac:dyDescent="0.35">
      <c r="A43" s="27"/>
      <c r="B43" s="11" t="str">
        <f>CONCATENATE("          ", "6381", " - ", "BANK/CREDIT CARD FEES")</f>
        <v xml:space="preserve">          6381 - BANK/CREDIT CARD FEES</v>
      </c>
      <c r="C43" s="11"/>
      <c r="D43" s="7">
        <v>3698.6</v>
      </c>
      <c r="E43" s="2"/>
      <c r="F43" s="6">
        <f t="shared" si="32"/>
        <v>0</v>
      </c>
      <c r="G43" s="2"/>
      <c r="H43" s="7">
        <v>4900.3599999999997</v>
      </c>
      <c r="I43" s="2"/>
      <c r="J43" s="6">
        <f t="shared" si="33"/>
        <v>0</v>
      </c>
      <c r="K43" s="2"/>
      <c r="L43" s="7">
        <f t="shared" si="34"/>
        <v>-1201.7599999999998</v>
      </c>
      <c r="M43" s="2"/>
      <c r="N43" s="6">
        <f t="shared" si="35"/>
        <v>-0.24523912528875427</v>
      </c>
      <c r="O43" s="11"/>
      <c r="P43" s="7">
        <v>142763.71000000002</v>
      </c>
      <c r="Q43" s="2"/>
      <c r="R43" s="6">
        <f t="shared" si="36"/>
        <v>0</v>
      </c>
      <c r="S43" s="2"/>
      <c r="T43" s="7">
        <v>167749.4</v>
      </c>
      <c r="U43" s="2"/>
      <c r="V43" s="6">
        <f t="shared" si="37"/>
        <v>0</v>
      </c>
      <c r="W43" s="2"/>
      <c r="X43" s="7">
        <f t="shared" si="38"/>
        <v>-24985.689999999973</v>
      </c>
      <c r="Y43" s="2"/>
      <c r="Z43" s="6">
        <f t="shared" si="39"/>
        <v>-0.14894652380276754</v>
      </c>
    </row>
    <row r="44" spans="1:26" s="25" customFormat="1" outlineLevel="1" collapsed="1" x14ac:dyDescent="0.35">
      <c r="A44" s="26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30179.309999999998</v>
      </c>
      <c r="E44" s="1"/>
      <c r="F44" s="5">
        <f t="shared" si="32"/>
        <v>0</v>
      </c>
      <c r="G44" s="1"/>
      <c r="H44" s="1">
        <f>SUM(OSRRefH22_5x_0)</f>
        <v>29666.799999999996</v>
      </c>
      <c r="I44" s="1"/>
      <c r="J44" s="5">
        <f t="shared" si="33"/>
        <v>0</v>
      </c>
      <c r="K44" s="1"/>
      <c r="L44" s="1">
        <f t="shared" si="34"/>
        <v>512.51000000000204</v>
      </c>
      <c r="M44" s="1"/>
      <c r="N44" s="5">
        <f t="shared" si="35"/>
        <v>1.7275540334650251E-2</v>
      </c>
      <c r="O44" s="12"/>
      <c r="P44" s="1">
        <f>SUM(OSRRefP22_5x_0)</f>
        <v>358192.45</v>
      </c>
      <c r="Q44" s="1"/>
      <c r="R44" s="5">
        <f t="shared" si="36"/>
        <v>0</v>
      </c>
      <c r="S44" s="1"/>
      <c r="T44" s="1">
        <f>SUM(OSRRefT22_5x_0)</f>
        <v>353174.27</v>
      </c>
      <c r="U44" s="1"/>
      <c r="V44" s="5">
        <f t="shared" si="37"/>
        <v>0</v>
      </c>
      <c r="W44" s="1"/>
      <c r="X44" s="1">
        <f t="shared" si="38"/>
        <v>5018.179999999993</v>
      </c>
      <c r="Y44" s="1"/>
      <c r="Z44" s="5">
        <f t="shared" si="39"/>
        <v>1.420879273000265E-2</v>
      </c>
    </row>
    <row r="45" spans="1:26" s="24" customFormat="1" hidden="1" outlineLevel="2" x14ac:dyDescent="0.35">
      <c r="A45" s="27"/>
      <c r="B45" s="11" t="str">
        <f>CONCATENATE("          ", "6321", " - ", "BUILDING DEPRECIATION")</f>
        <v xml:space="preserve">          6321 - BUILDING DEPRECIATION</v>
      </c>
      <c r="C45" s="11"/>
      <c r="D45" s="7">
        <v>16396.25</v>
      </c>
      <c r="E45" s="2"/>
      <c r="F45" s="6">
        <f t="shared" si="32"/>
        <v>0</v>
      </c>
      <c r="G45" s="2"/>
      <c r="H45" s="7">
        <v>16453.129999999997</v>
      </c>
      <c r="I45" s="2"/>
      <c r="J45" s="6">
        <f t="shared" si="33"/>
        <v>0</v>
      </c>
      <c r="K45" s="2"/>
      <c r="L45" s="7">
        <f t="shared" si="34"/>
        <v>-56.879999999997381</v>
      </c>
      <c r="M45" s="2"/>
      <c r="N45" s="6">
        <f t="shared" si="35"/>
        <v>-3.4570929665053026E-3</v>
      </c>
      <c r="O45" s="11"/>
      <c r="P45" s="7">
        <v>196757.97</v>
      </c>
      <c r="Q45" s="2"/>
      <c r="R45" s="6">
        <f t="shared" si="36"/>
        <v>0</v>
      </c>
      <c r="S45" s="2"/>
      <c r="T45" s="7">
        <v>197440.31</v>
      </c>
      <c r="U45" s="2"/>
      <c r="V45" s="6">
        <f t="shared" si="37"/>
        <v>0</v>
      </c>
      <c r="W45" s="2"/>
      <c r="X45" s="7">
        <f t="shared" si="38"/>
        <v>-682.33999999999651</v>
      </c>
      <c r="Y45" s="2"/>
      <c r="Z45" s="6">
        <f t="shared" si="39"/>
        <v>-3.4559305544039944E-3</v>
      </c>
    </row>
    <row r="46" spans="1:26" s="24" customFormat="1" hidden="1" outlineLevel="2" x14ac:dyDescent="0.3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13783.06</v>
      </c>
      <c r="E46" s="2"/>
      <c r="F46" s="6">
        <f t="shared" si="32"/>
        <v>0</v>
      </c>
      <c r="G46" s="2"/>
      <c r="H46" s="7">
        <v>13213.67</v>
      </c>
      <c r="I46" s="2"/>
      <c r="J46" s="6">
        <f t="shared" si="33"/>
        <v>0</v>
      </c>
      <c r="K46" s="2"/>
      <c r="L46" s="7">
        <f t="shared" si="34"/>
        <v>569.38999999999942</v>
      </c>
      <c r="M46" s="2"/>
      <c r="N46" s="6">
        <f t="shared" si="35"/>
        <v>4.3090980779753048E-2</v>
      </c>
      <c r="O46" s="11"/>
      <c r="P46" s="7">
        <v>161434.48000000001</v>
      </c>
      <c r="Q46" s="2"/>
      <c r="R46" s="6">
        <f t="shared" si="36"/>
        <v>0</v>
      </c>
      <c r="S46" s="2"/>
      <c r="T46" s="7">
        <v>155733.96</v>
      </c>
      <c r="U46" s="2"/>
      <c r="V46" s="6">
        <f t="shared" si="37"/>
        <v>0</v>
      </c>
      <c r="W46" s="2"/>
      <c r="X46" s="7">
        <f t="shared" si="38"/>
        <v>5700.5200000000186</v>
      </c>
      <c r="Y46" s="2"/>
      <c r="Z46" s="6">
        <f t="shared" si="39"/>
        <v>3.6604219143981306E-2</v>
      </c>
    </row>
    <row r="47" spans="1:26" s="25" customFormat="1" outlineLevel="1" collapsed="1" x14ac:dyDescent="0.35">
      <c r="A47" s="26"/>
      <c r="B47" s="12" t="str">
        <f>CONCATENATE("     ","Discounts and Markdowns                           ")</f>
        <v xml:space="preserve">     Discounts and Markdowns                           </v>
      </c>
      <c r="C47" s="12"/>
      <c r="D47" s="1">
        <f>SUM(OSRRefD22_6x_0)</f>
        <v>-2.86</v>
      </c>
      <c r="E47" s="1"/>
      <c r="F47" s="5">
        <f t="shared" ref="F47:F49" si="40">IF(D$12=0,0,D47/D$12)</f>
        <v>0</v>
      </c>
      <c r="G47" s="1"/>
      <c r="H47" s="1">
        <f>SUM(OSRRefH22_6x_0)</f>
        <v>27.43</v>
      </c>
      <c r="I47" s="1"/>
      <c r="J47" s="5">
        <f t="shared" ref="J47:J49" si="41">IF(H$12=0,0,H47/H$12)</f>
        <v>0</v>
      </c>
      <c r="K47" s="1"/>
      <c r="L47" s="1">
        <f t="shared" ref="L47:L49" si="42">+D47-H47</f>
        <v>-30.29</v>
      </c>
      <c r="M47" s="1"/>
      <c r="N47" s="5">
        <f t="shared" ref="N47:N49" si="43">IF(H47=0,0,L47/H47)</f>
        <v>-1.1042654028436019</v>
      </c>
      <c r="O47" s="12"/>
      <c r="P47" s="1">
        <f>SUM(OSRRefP22_6x_0)</f>
        <v>-2405.42</v>
      </c>
      <c r="Q47" s="1"/>
      <c r="R47" s="5">
        <f t="shared" ref="R47:R49" si="44">IF(P$12=0,0,P47/P$12)</f>
        <v>0</v>
      </c>
      <c r="S47" s="1"/>
      <c r="T47" s="1">
        <f>SUM(OSRRefT22_6x_0)</f>
        <v>-4723.87</v>
      </c>
      <c r="U47" s="1"/>
      <c r="V47" s="5">
        <f t="shared" ref="V47:V49" si="45">IF(T$12=0,0,T47/T$12)</f>
        <v>0</v>
      </c>
      <c r="W47" s="1"/>
      <c r="X47" s="1">
        <f t="shared" ref="X47:X49" si="46">+P47-T47</f>
        <v>2318.4499999999998</v>
      </c>
      <c r="Y47" s="1"/>
      <c r="Z47" s="5">
        <f t="shared" ref="Z47:Z49" si="47">IF(T47=0,0,X47/T47)</f>
        <v>-0.4907946238994722</v>
      </c>
    </row>
    <row r="48" spans="1:26" s="24" customFormat="1" hidden="1" outlineLevel="2" x14ac:dyDescent="0.35">
      <c r="A48" s="27"/>
      <c r="B48" s="11" t="str">
        <f>CONCATENATE("          ", "6382", " - ", "DISCOUNTS/MARK DOWNS")</f>
        <v xml:space="preserve">          6382 - DISCOUNTS/MARK DOWNS</v>
      </c>
      <c r="C48" s="11"/>
      <c r="D48" s="7"/>
      <c r="E48" s="2"/>
      <c r="F48" s="6">
        <f t="shared" si="40"/>
        <v>0</v>
      </c>
      <c r="G48" s="2"/>
      <c r="H48" s="7">
        <v>74.5</v>
      </c>
      <c r="I48" s="2"/>
      <c r="J48" s="6">
        <f t="shared" si="41"/>
        <v>0</v>
      </c>
      <c r="K48" s="2"/>
      <c r="L48" s="7">
        <f t="shared" si="42"/>
        <v>-74.5</v>
      </c>
      <c r="M48" s="2"/>
      <c r="N48" s="6">
        <f t="shared" si="43"/>
        <v>-1</v>
      </c>
      <c r="O48" s="11"/>
      <c r="P48" s="7">
        <v>357.4</v>
      </c>
      <c r="Q48" s="2"/>
      <c r="R48" s="6">
        <f t="shared" si="44"/>
        <v>0</v>
      </c>
      <c r="S48" s="2"/>
      <c r="T48" s="7">
        <v>249.09</v>
      </c>
      <c r="U48" s="2"/>
      <c r="V48" s="6">
        <f t="shared" si="45"/>
        <v>0</v>
      </c>
      <c r="W48" s="2"/>
      <c r="X48" s="7">
        <f t="shared" si="46"/>
        <v>108.30999999999997</v>
      </c>
      <c r="Y48" s="2"/>
      <c r="Z48" s="6">
        <f t="shared" si="47"/>
        <v>0.43482275482757227</v>
      </c>
    </row>
    <row r="49" spans="1:26" s="24" customFormat="1" hidden="1" outlineLevel="2" x14ac:dyDescent="0.35">
      <c r="A49" s="27"/>
      <c r="B49" s="11" t="str">
        <f>CONCATENATE("          ", "9175", " - ", "EARNED DISCOUNTS")</f>
        <v xml:space="preserve">          9175 - EARNED DISCOUNTS</v>
      </c>
      <c r="C49" s="11"/>
      <c r="D49" s="7">
        <v>-2.86</v>
      </c>
      <c r="E49" s="2"/>
      <c r="F49" s="6">
        <f t="shared" si="40"/>
        <v>0</v>
      </c>
      <c r="G49" s="2"/>
      <c r="H49" s="7">
        <v>-47.07</v>
      </c>
      <c r="I49" s="2"/>
      <c r="J49" s="6">
        <f t="shared" si="41"/>
        <v>0</v>
      </c>
      <c r="K49" s="2"/>
      <c r="L49" s="7">
        <f t="shared" si="42"/>
        <v>44.21</v>
      </c>
      <c r="M49" s="2"/>
      <c r="N49" s="6">
        <f t="shared" si="43"/>
        <v>-0.93923943063522419</v>
      </c>
      <c r="O49" s="11"/>
      <c r="P49" s="7">
        <v>-2762.82</v>
      </c>
      <c r="Q49" s="2"/>
      <c r="R49" s="6">
        <f t="shared" si="44"/>
        <v>0</v>
      </c>
      <c r="S49" s="2"/>
      <c r="T49" s="7">
        <v>-4972.96</v>
      </c>
      <c r="U49" s="2"/>
      <c r="V49" s="6">
        <f t="shared" si="45"/>
        <v>0</v>
      </c>
      <c r="W49" s="2"/>
      <c r="X49" s="7">
        <f t="shared" si="46"/>
        <v>2210.14</v>
      </c>
      <c r="Y49" s="2"/>
      <c r="Z49" s="6">
        <f t="shared" si="47"/>
        <v>-0.44443148547344036</v>
      </c>
    </row>
    <row r="50" spans="1:26" s="25" customFormat="1" outlineLevel="1" collapsed="1" x14ac:dyDescent="0.35">
      <c r="A50" s="26"/>
      <c r="B50" s="12" t="str">
        <f>CONCATENATE("     ","Donations                                         ")</f>
        <v xml:space="preserve">     Donations                                         </v>
      </c>
      <c r="C50" s="12"/>
      <c r="D50" s="1">
        <f>SUM(OSRRefD22_7x_0)</f>
        <v>0</v>
      </c>
      <c r="E50" s="1"/>
      <c r="F50" s="5">
        <f t="shared" ref="F50:F72" si="48">IF(D$12=0,0,D50/D$12)</f>
        <v>0</v>
      </c>
      <c r="G50" s="1"/>
      <c r="H50" s="1">
        <f>SUM(OSRRefH22_7x_0)</f>
        <v>674.49</v>
      </c>
      <c r="I50" s="1"/>
      <c r="J50" s="5">
        <f t="shared" ref="J50:J72" si="49">IF(H$12=0,0,H50/H$12)</f>
        <v>0</v>
      </c>
      <c r="K50" s="1"/>
      <c r="L50" s="1">
        <f t="shared" ref="L50:L72" si="50">+D50-H50</f>
        <v>-674.49</v>
      </c>
      <c r="M50" s="1"/>
      <c r="N50" s="5">
        <f t="shared" ref="N50:N72" si="51">IF(H50=0,0,L50/H50)</f>
        <v>-1</v>
      </c>
      <c r="O50" s="12"/>
      <c r="P50" s="1">
        <f>SUM(OSRRefP22_7x_0)</f>
        <v>10985.64</v>
      </c>
      <c r="Q50" s="1"/>
      <c r="R50" s="5">
        <f t="shared" ref="R50:R72" si="52">IF(P$12=0,0,P50/P$12)</f>
        <v>0</v>
      </c>
      <c r="S50" s="1"/>
      <c r="T50" s="1">
        <f>SUM(OSRRefT22_7x_0)</f>
        <v>9716.9599999999991</v>
      </c>
      <c r="U50" s="1"/>
      <c r="V50" s="5">
        <f t="shared" ref="V50:V72" si="53">IF(T$12=0,0,T50/T$12)</f>
        <v>0</v>
      </c>
      <c r="W50" s="1"/>
      <c r="X50" s="1">
        <f t="shared" ref="X50:X72" si="54">+P50-T50</f>
        <v>1268.6800000000003</v>
      </c>
      <c r="Y50" s="1"/>
      <c r="Z50" s="5">
        <f t="shared" ref="Z50:Z72" si="55">IF(T50=0,0,X50/T50)</f>
        <v>0.1305634684098731</v>
      </c>
    </row>
    <row r="51" spans="1:26" s="24" customFormat="1" hidden="1" outlineLevel="2" x14ac:dyDescent="0.35">
      <c r="A51" s="27"/>
      <c r="B51" s="11" t="str">
        <f>CONCATENATE("          ", "6399", " - ", "DONATION-ON CAMPUS")</f>
        <v xml:space="preserve">          6399 - DONATION-ON CAMPUS</v>
      </c>
      <c r="C51" s="11"/>
      <c r="D51" s="7"/>
      <c r="E51" s="2"/>
      <c r="F51" s="6">
        <f t="shared" si="48"/>
        <v>0</v>
      </c>
      <c r="G51" s="2"/>
      <c r="H51" s="7">
        <v>674.49</v>
      </c>
      <c r="I51" s="2"/>
      <c r="J51" s="6">
        <f t="shared" si="49"/>
        <v>0</v>
      </c>
      <c r="K51" s="2"/>
      <c r="L51" s="7">
        <f t="shared" si="50"/>
        <v>-674.49</v>
      </c>
      <c r="M51" s="2"/>
      <c r="N51" s="6">
        <f t="shared" si="51"/>
        <v>-1</v>
      </c>
      <c r="O51" s="11"/>
      <c r="P51" s="7">
        <v>10985.64</v>
      </c>
      <c r="Q51" s="2"/>
      <c r="R51" s="6">
        <f t="shared" si="52"/>
        <v>0</v>
      </c>
      <c r="S51" s="2"/>
      <c r="T51" s="7">
        <v>9716.9599999999991</v>
      </c>
      <c r="U51" s="2"/>
      <c r="V51" s="6">
        <f t="shared" si="53"/>
        <v>0</v>
      </c>
      <c r="W51" s="2"/>
      <c r="X51" s="7">
        <f t="shared" si="54"/>
        <v>1268.6800000000003</v>
      </c>
      <c r="Y51" s="2"/>
      <c r="Z51" s="6">
        <f t="shared" si="55"/>
        <v>0.1305634684098731</v>
      </c>
    </row>
    <row r="52" spans="1:26" s="25" customFormat="1" outlineLevel="1" collapsed="1" x14ac:dyDescent="0.35">
      <c r="A52" s="26"/>
      <c r="B52" s="12" t="str">
        <f>CONCATENATE("     ","Employees' Appreciation                           ")</f>
        <v xml:space="preserve">     Employees' Appreciation                           </v>
      </c>
      <c r="C52" s="12"/>
      <c r="D52" s="1">
        <f>SUM(OSRRefD22_8x_0)</f>
        <v>57</v>
      </c>
      <c r="E52" s="1"/>
      <c r="F52" s="5">
        <f t="shared" si="48"/>
        <v>0</v>
      </c>
      <c r="G52" s="1"/>
      <c r="H52" s="1">
        <f>SUM(OSRRefH22_8x_0)</f>
        <v>21.13</v>
      </c>
      <c r="I52" s="1"/>
      <c r="J52" s="5">
        <f t="shared" si="49"/>
        <v>0</v>
      </c>
      <c r="K52" s="1"/>
      <c r="L52" s="1">
        <f t="shared" si="50"/>
        <v>35.870000000000005</v>
      </c>
      <c r="M52" s="1"/>
      <c r="N52" s="5">
        <f t="shared" si="51"/>
        <v>1.6975863700899199</v>
      </c>
      <c r="O52" s="12"/>
      <c r="P52" s="1">
        <f>SUM(OSRRefP22_8x_0)</f>
        <v>1114.72</v>
      </c>
      <c r="Q52" s="1"/>
      <c r="R52" s="5">
        <f t="shared" si="52"/>
        <v>0</v>
      </c>
      <c r="S52" s="1"/>
      <c r="T52" s="1">
        <f>SUM(OSRRefT22_8x_0)</f>
        <v>2649.79</v>
      </c>
      <c r="U52" s="1"/>
      <c r="V52" s="5">
        <f t="shared" si="53"/>
        <v>0</v>
      </c>
      <c r="W52" s="1"/>
      <c r="X52" s="1">
        <f t="shared" si="54"/>
        <v>-1535.07</v>
      </c>
      <c r="Y52" s="1"/>
      <c r="Z52" s="5">
        <f t="shared" si="55"/>
        <v>-0.5793176063008767</v>
      </c>
    </row>
    <row r="53" spans="1:26" s="24" customFormat="1" hidden="1" outlineLevel="2" x14ac:dyDescent="0.35">
      <c r="A53" s="27"/>
      <c r="B53" s="11" t="str">
        <f>CONCATENATE("          ", "6277", " - ", "EMPLOYEE APPRECIATION")</f>
        <v xml:space="preserve">          6277 - EMPLOYEE APPRECIATION</v>
      </c>
      <c r="C53" s="11"/>
      <c r="D53" s="7">
        <v>57</v>
      </c>
      <c r="E53" s="2"/>
      <c r="F53" s="6">
        <f t="shared" si="48"/>
        <v>0</v>
      </c>
      <c r="G53" s="2"/>
      <c r="H53" s="7">
        <v>21.13</v>
      </c>
      <c r="I53" s="2"/>
      <c r="J53" s="6">
        <f t="shared" si="49"/>
        <v>0</v>
      </c>
      <c r="K53" s="2"/>
      <c r="L53" s="7">
        <f t="shared" si="50"/>
        <v>35.870000000000005</v>
      </c>
      <c r="M53" s="2"/>
      <c r="N53" s="6">
        <f t="shared" si="51"/>
        <v>1.6975863700899199</v>
      </c>
      <c r="O53" s="11"/>
      <c r="P53" s="7">
        <v>1114.72</v>
      </c>
      <c r="Q53" s="2"/>
      <c r="R53" s="6">
        <f t="shared" si="52"/>
        <v>0</v>
      </c>
      <c r="S53" s="2"/>
      <c r="T53" s="7">
        <v>2649.79</v>
      </c>
      <c r="U53" s="2"/>
      <c r="V53" s="6">
        <f t="shared" si="53"/>
        <v>0</v>
      </c>
      <c r="W53" s="2"/>
      <c r="X53" s="7">
        <f t="shared" si="54"/>
        <v>-1535.07</v>
      </c>
      <c r="Y53" s="2"/>
      <c r="Z53" s="6">
        <f t="shared" si="55"/>
        <v>-0.5793176063008767</v>
      </c>
    </row>
    <row r="54" spans="1:26" s="25" customFormat="1" outlineLevel="1" collapsed="1" x14ac:dyDescent="0.35">
      <c r="A54" s="26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SUM(OSRRefD22_9x_0)</f>
        <v>0</v>
      </c>
      <c r="E54" s="1"/>
      <c r="F54" s="5">
        <f t="shared" si="48"/>
        <v>0</v>
      </c>
      <c r="G54" s="1"/>
      <c r="H54" s="1">
        <f>SUM(OSRRefH22_9x_0)</f>
        <v>0</v>
      </c>
      <c r="I54" s="1"/>
      <c r="J54" s="5">
        <f t="shared" si="49"/>
        <v>0</v>
      </c>
      <c r="K54" s="1"/>
      <c r="L54" s="1">
        <f t="shared" si="50"/>
        <v>0</v>
      </c>
      <c r="M54" s="1"/>
      <c r="N54" s="5">
        <f t="shared" si="51"/>
        <v>0</v>
      </c>
      <c r="O54" s="12"/>
      <c r="P54" s="1">
        <f>SUM(OSRRefP22_9x_0)</f>
        <v>299.33999999999997</v>
      </c>
      <c r="Q54" s="1"/>
      <c r="R54" s="5">
        <f t="shared" si="52"/>
        <v>0</v>
      </c>
      <c r="S54" s="1"/>
      <c r="T54" s="1">
        <f>SUM(OSRRefT22_9x_0)</f>
        <v>0</v>
      </c>
      <c r="U54" s="1"/>
      <c r="V54" s="5">
        <f t="shared" si="53"/>
        <v>0</v>
      </c>
      <c r="W54" s="1"/>
      <c r="X54" s="1">
        <f t="shared" si="54"/>
        <v>299.33999999999997</v>
      </c>
      <c r="Y54" s="1"/>
      <c r="Z54" s="5">
        <f t="shared" si="55"/>
        <v>0</v>
      </c>
    </row>
    <row r="55" spans="1:26" s="24" customFormat="1" hidden="1" outlineLevel="2" x14ac:dyDescent="0.35">
      <c r="A55" s="27"/>
      <c r="B55" s="11" t="str">
        <f>CONCATENATE("          ", "6351", " - ", "EQUIPMENT RENTAL")</f>
        <v xml:space="preserve">          6351 - EQUIPMENT RENTAL</v>
      </c>
      <c r="C55" s="11"/>
      <c r="D55" s="7"/>
      <c r="E55" s="2"/>
      <c r="F55" s="6">
        <f t="shared" si="48"/>
        <v>0</v>
      </c>
      <c r="G55" s="2"/>
      <c r="H55" s="7"/>
      <c r="I55" s="2"/>
      <c r="J55" s="6">
        <f t="shared" si="49"/>
        <v>0</v>
      </c>
      <c r="K55" s="2"/>
      <c r="L55" s="7">
        <f t="shared" si="50"/>
        <v>0</v>
      </c>
      <c r="M55" s="2"/>
      <c r="N55" s="6">
        <f t="shared" si="51"/>
        <v>0</v>
      </c>
      <c r="O55" s="11"/>
      <c r="P55" s="7">
        <v>299.33999999999997</v>
      </c>
      <c r="Q55" s="2"/>
      <c r="R55" s="6">
        <f t="shared" si="52"/>
        <v>0</v>
      </c>
      <c r="S55" s="2"/>
      <c r="T55" s="7"/>
      <c r="U55" s="2"/>
      <c r="V55" s="6">
        <f t="shared" si="53"/>
        <v>0</v>
      </c>
      <c r="W55" s="2"/>
      <c r="X55" s="7">
        <f t="shared" si="54"/>
        <v>299.33999999999997</v>
      </c>
      <c r="Y55" s="2"/>
      <c r="Z55" s="6">
        <f t="shared" si="55"/>
        <v>0</v>
      </c>
    </row>
    <row r="56" spans="1:26" s="25" customFormat="1" outlineLevel="1" collapsed="1" x14ac:dyDescent="0.35">
      <c r="A56" s="26"/>
      <c r="B56" s="12" t="str">
        <f>CONCATENATE("     ","Freight out/Postage                               ")</f>
        <v xml:space="preserve">     Freight out/Postage                               </v>
      </c>
      <c r="C56" s="12"/>
      <c r="D56" s="1">
        <f>SUM(OSRRefD22_10x_0)</f>
        <v>173.67</v>
      </c>
      <c r="E56" s="1"/>
      <c r="F56" s="5">
        <f t="shared" si="48"/>
        <v>0</v>
      </c>
      <c r="G56" s="1"/>
      <c r="H56" s="1">
        <f>SUM(OSRRefH22_10x_0)</f>
        <v>0</v>
      </c>
      <c r="I56" s="1"/>
      <c r="J56" s="5">
        <f t="shared" si="49"/>
        <v>0</v>
      </c>
      <c r="K56" s="1"/>
      <c r="L56" s="1">
        <f t="shared" si="50"/>
        <v>173.67</v>
      </c>
      <c r="M56" s="1"/>
      <c r="N56" s="5">
        <f t="shared" si="51"/>
        <v>0</v>
      </c>
      <c r="O56" s="12"/>
      <c r="P56" s="1">
        <f>SUM(OSRRefP22_10x_0)</f>
        <v>202.67</v>
      </c>
      <c r="Q56" s="1"/>
      <c r="R56" s="5">
        <f t="shared" si="52"/>
        <v>0</v>
      </c>
      <c r="S56" s="1"/>
      <c r="T56" s="1">
        <f>SUM(OSRRefT22_10x_0)</f>
        <v>34.85</v>
      </c>
      <c r="U56" s="1"/>
      <c r="V56" s="5">
        <f t="shared" si="53"/>
        <v>0</v>
      </c>
      <c r="W56" s="1"/>
      <c r="X56" s="1">
        <f t="shared" si="54"/>
        <v>167.82</v>
      </c>
      <c r="Y56" s="1"/>
      <c r="Z56" s="5">
        <f t="shared" si="55"/>
        <v>4.8154949784791965</v>
      </c>
    </row>
    <row r="57" spans="1:26" s="24" customFormat="1" hidden="1" outlineLevel="2" x14ac:dyDescent="0.35">
      <c r="A57" s="27"/>
      <c r="B57" s="11" t="str">
        <f>CONCATENATE("          ", "6307", " - ", "POSTAGE")</f>
        <v xml:space="preserve">          6307 - POSTAGE</v>
      </c>
      <c r="C57" s="11"/>
      <c r="D57" s="7">
        <v>173.67</v>
      </c>
      <c r="E57" s="2"/>
      <c r="F57" s="6">
        <f t="shared" si="48"/>
        <v>0</v>
      </c>
      <c r="G57" s="2"/>
      <c r="H57" s="7"/>
      <c r="I57" s="2"/>
      <c r="J57" s="6">
        <f t="shared" si="49"/>
        <v>0</v>
      </c>
      <c r="K57" s="2"/>
      <c r="L57" s="7">
        <f t="shared" si="50"/>
        <v>173.67</v>
      </c>
      <c r="M57" s="2"/>
      <c r="N57" s="6">
        <f t="shared" si="51"/>
        <v>0</v>
      </c>
      <c r="O57" s="11"/>
      <c r="P57" s="7">
        <v>202.67</v>
      </c>
      <c r="Q57" s="2"/>
      <c r="R57" s="6">
        <f t="shared" si="52"/>
        <v>0</v>
      </c>
      <c r="S57" s="2"/>
      <c r="T57" s="7">
        <v>34.85</v>
      </c>
      <c r="U57" s="2"/>
      <c r="V57" s="6">
        <f t="shared" si="53"/>
        <v>0</v>
      </c>
      <c r="W57" s="2"/>
      <c r="X57" s="7">
        <f t="shared" si="54"/>
        <v>167.82</v>
      </c>
      <c r="Y57" s="2"/>
      <c r="Z57" s="6">
        <f t="shared" si="55"/>
        <v>4.8154949784791965</v>
      </c>
    </row>
    <row r="58" spans="1:26" s="25" customFormat="1" outlineLevel="1" collapsed="1" x14ac:dyDescent="0.35">
      <c r="A58" s="26"/>
      <c r="B58" s="12" t="str">
        <f>CONCATENATE("     ","General                                           ")</f>
        <v xml:space="preserve">     General                                           </v>
      </c>
      <c r="C58" s="12"/>
      <c r="D58" s="1">
        <f>SUM(OSRRefD22_11x_0)</f>
        <v>0</v>
      </c>
      <c r="E58" s="1"/>
      <c r="F58" s="5">
        <f t="shared" si="48"/>
        <v>0</v>
      </c>
      <c r="G58" s="1"/>
      <c r="H58" s="1">
        <f>SUM(OSRRefH22_11x_0)</f>
        <v>1429.77</v>
      </c>
      <c r="I58" s="1"/>
      <c r="J58" s="5">
        <f t="shared" si="49"/>
        <v>0</v>
      </c>
      <c r="K58" s="1"/>
      <c r="L58" s="1">
        <f t="shared" si="50"/>
        <v>-1429.77</v>
      </c>
      <c r="M58" s="1"/>
      <c r="N58" s="5">
        <f t="shared" si="51"/>
        <v>-1</v>
      </c>
      <c r="O58" s="12"/>
      <c r="P58" s="1">
        <f>SUM(OSRRefP22_11x_0)</f>
        <v>-11754.76</v>
      </c>
      <c r="Q58" s="1"/>
      <c r="R58" s="5">
        <f t="shared" si="52"/>
        <v>0</v>
      </c>
      <c r="S58" s="1"/>
      <c r="T58" s="1">
        <f>SUM(OSRRefT22_11x_0)</f>
        <v>2191.85</v>
      </c>
      <c r="U58" s="1"/>
      <c r="V58" s="5">
        <f t="shared" si="53"/>
        <v>0</v>
      </c>
      <c r="W58" s="1"/>
      <c r="X58" s="1">
        <f t="shared" si="54"/>
        <v>-13946.61</v>
      </c>
      <c r="Y58" s="1"/>
      <c r="Z58" s="5">
        <f t="shared" si="55"/>
        <v>-6.3629399822068118</v>
      </c>
    </row>
    <row r="59" spans="1:26" s="24" customFormat="1" hidden="1" outlineLevel="2" x14ac:dyDescent="0.35">
      <c r="A59" s="27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48"/>
        <v>0</v>
      </c>
      <c r="G59" s="2"/>
      <c r="H59" s="7">
        <v>1429.77</v>
      </c>
      <c r="I59" s="2"/>
      <c r="J59" s="6">
        <f t="shared" si="49"/>
        <v>0</v>
      </c>
      <c r="K59" s="2"/>
      <c r="L59" s="7">
        <f t="shared" si="50"/>
        <v>-1429.77</v>
      </c>
      <c r="M59" s="2"/>
      <c r="N59" s="6">
        <f t="shared" si="51"/>
        <v>-1</v>
      </c>
      <c r="O59" s="11"/>
      <c r="P59" s="7">
        <v>-11754.76</v>
      </c>
      <c r="Q59" s="2"/>
      <c r="R59" s="6">
        <f t="shared" si="52"/>
        <v>0</v>
      </c>
      <c r="S59" s="2"/>
      <c r="T59" s="7">
        <v>2191.85</v>
      </c>
      <c r="U59" s="2"/>
      <c r="V59" s="6">
        <f t="shared" si="53"/>
        <v>0</v>
      </c>
      <c r="W59" s="2"/>
      <c r="X59" s="7">
        <f t="shared" si="54"/>
        <v>-13946.61</v>
      </c>
      <c r="Y59" s="2"/>
      <c r="Z59" s="6">
        <f t="shared" si="55"/>
        <v>-6.3629399822068118</v>
      </c>
    </row>
    <row r="60" spans="1:26" s="25" customFormat="1" outlineLevel="1" collapsed="1" x14ac:dyDescent="0.35">
      <c r="A60" s="26"/>
      <c r="B60" s="12" t="str">
        <f>CONCATENATE("     ","Insurance                                         ")</f>
        <v xml:space="preserve">     Insurance                                         </v>
      </c>
      <c r="C60" s="12"/>
      <c r="D60" s="1">
        <f>SUM(OSRRefD22_12x_0)</f>
        <v>3883.56</v>
      </c>
      <c r="E60" s="1"/>
      <c r="F60" s="5">
        <f t="shared" si="48"/>
        <v>0</v>
      </c>
      <c r="G60" s="1"/>
      <c r="H60" s="1">
        <f>SUM(OSRRefH22_12x_0)</f>
        <v>3658.12</v>
      </c>
      <c r="I60" s="1"/>
      <c r="J60" s="5">
        <f t="shared" si="49"/>
        <v>0</v>
      </c>
      <c r="K60" s="1"/>
      <c r="L60" s="1">
        <f t="shared" si="50"/>
        <v>225.44000000000005</v>
      </c>
      <c r="M60" s="1"/>
      <c r="N60" s="5">
        <f t="shared" si="51"/>
        <v>6.1627283960066934E-2</v>
      </c>
      <c r="O60" s="12"/>
      <c r="P60" s="1">
        <f>SUM(OSRRefP22_12x_0)</f>
        <v>46602.720000000001</v>
      </c>
      <c r="Q60" s="1"/>
      <c r="R60" s="5">
        <f t="shared" si="52"/>
        <v>0</v>
      </c>
      <c r="S60" s="1"/>
      <c r="T60" s="1">
        <f>SUM(OSRRefT22_12x_0)</f>
        <v>37379.619999999995</v>
      </c>
      <c r="U60" s="1"/>
      <c r="V60" s="5">
        <f t="shared" si="53"/>
        <v>0</v>
      </c>
      <c r="W60" s="1"/>
      <c r="X60" s="1">
        <f t="shared" si="54"/>
        <v>9223.1000000000058</v>
      </c>
      <c r="Y60" s="1"/>
      <c r="Z60" s="5">
        <f t="shared" si="55"/>
        <v>0.24674140614591605</v>
      </c>
    </row>
    <row r="61" spans="1:26" s="24" customFormat="1" hidden="1" outlineLevel="2" x14ac:dyDescent="0.35">
      <c r="A61" s="27"/>
      <c r="B61" s="11" t="str">
        <f>CONCATENATE("          ", "6314", " - ", "LIABILITY INSURANCE")</f>
        <v xml:space="preserve">          6314 - LIABILITY INSURANCE</v>
      </c>
      <c r="C61" s="11"/>
      <c r="D61" s="7">
        <v>3883.56</v>
      </c>
      <c r="E61" s="2"/>
      <c r="F61" s="6">
        <f t="shared" si="48"/>
        <v>0</v>
      </c>
      <c r="G61" s="2"/>
      <c r="H61" s="7">
        <v>3658.12</v>
      </c>
      <c r="I61" s="2"/>
      <c r="J61" s="6">
        <f t="shared" si="49"/>
        <v>0</v>
      </c>
      <c r="K61" s="2"/>
      <c r="L61" s="7">
        <f t="shared" si="50"/>
        <v>225.44000000000005</v>
      </c>
      <c r="M61" s="2"/>
      <c r="N61" s="6">
        <f t="shared" si="51"/>
        <v>6.1627283960066934E-2</v>
      </c>
      <c r="O61" s="11"/>
      <c r="P61" s="7">
        <v>46602.720000000001</v>
      </c>
      <c r="Q61" s="2"/>
      <c r="R61" s="6">
        <f t="shared" si="52"/>
        <v>0</v>
      </c>
      <c r="S61" s="2"/>
      <c r="T61" s="7">
        <v>37379.619999999995</v>
      </c>
      <c r="U61" s="2"/>
      <c r="V61" s="6">
        <f t="shared" si="53"/>
        <v>0</v>
      </c>
      <c r="W61" s="2"/>
      <c r="X61" s="7">
        <f t="shared" si="54"/>
        <v>9223.1000000000058</v>
      </c>
      <c r="Y61" s="2"/>
      <c r="Z61" s="6">
        <f t="shared" si="55"/>
        <v>0.24674140614591605</v>
      </c>
    </row>
    <row r="62" spans="1:26" s="25" customFormat="1" outlineLevel="1" collapsed="1" x14ac:dyDescent="0.35">
      <c r="A62" s="26"/>
      <c r="B62" s="12" t="str">
        <f>CONCATENATE("     ","Inventory Adjustment                              ")</f>
        <v xml:space="preserve">     Inventory Adjustment                              </v>
      </c>
      <c r="C62" s="12"/>
      <c r="D62" s="1">
        <f>SUM(OSRRefD22_13x_0)</f>
        <v>-99781</v>
      </c>
      <c r="E62" s="1"/>
      <c r="F62" s="5">
        <f t="shared" si="48"/>
        <v>0</v>
      </c>
      <c r="G62" s="1"/>
      <c r="H62" s="1">
        <f>SUM(OSRRefH22_13x_0)</f>
        <v>166740</v>
      </c>
      <c r="I62" s="1"/>
      <c r="J62" s="5">
        <f t="shared" si="49"/>
        <v>0</v>
      </c>
      <c r="K62" s="1"/>
      <c r="L62" s="1">
        <f t="shared" si="50"/>
        <v>-266521</v>
      </c>
      <c r="M62" s="1"/>
      <c r="N62" s="5">
        <f t="shared" si="51"/>
        <v>-1.5984226940146335</v>
      </c>
      <c r="O62" s="12"/>
      <c r="P62" s="1">
        <f>SUM(OSRRefP22_13x_0)</f>
        <v>-99781</v>
      </c>
      <c r="Q62" s="1"/>
      <c r="R62" s="5">
        <f t="shared" si="52"/>
        <v>0</v>
      </c>
      <c r="S62" s="1"/>
      <c r="T62" s="1">
        <f>SUM(OSRRefT22_13x_0)</f>
        <v>166740</v>
      </c>
      <c r="U62" s="1"/>
      <c r="V62" s="5">
        <f t="shared" si="53"/>
        <v>0</v>
      </c>
      <c r="W62" s="1"/>
      <c r="X62" s="1">
        <f t="shared" si="54"/>
        <v>-266521</v>
      </c>
      <c r="Y62" s="1"/>
      <c r="Z62" s="5">
        <f t="shared" si="55"/>
        <v>-1.5984226940146335</v>
      </c>
    </row>
    <row r="63" spans="1:26" s="24" customFormat="1" hidden="1" outlineLevel="2" x14ac:dyDescent="0.35">
      <c r="A63" s="27"/>
      <c r="B63" s="11" t="str">
        <f>CONCATENATE("          ", "7700", " - ", "INV. SHRINKAGE @ RETAIL-CONTRA")</f>
        <v xml:space="preserve">          7700 - INV. SHRINKAGE @ RETAIL-CONTRA</v>
      </c>
      <c r="C63" s="11"/>
      <c r="D63" s="7">
        <v>-99781</v>
      </c>
      <c r="E63" s="2"/>
      <c r="F63" s="6">
        <f t="shared" si="48"/>
        <v>0</v>
      </c>
      <c r="G63" s="2"/>
      <c r="H63" s="7">
        <v>166740</v>
      </c>
      <c r="I63" s="2"/>
      <c r="J63" s="6">
        <f t="shared" si="49"/>
        <v>0</v>
      </c>
      <c r="K63" s="2"/>
      <c r="L63" s="7">
        <f t="shared" si="50"/>
        <v>-266521</v>
      </c>
      <c r="M63" s="2"/>
      <c r="N63" s="6">
        <f t="shared" si="51"/>
        <v>-1.5984226940146335</v>
      </c>
      <c r="O63" s="11"/>
      <c r="P63" s="7">
        <v>-99781</v>
      </c>
      <c r="Q63" s="2"/>
      <c r="R63" s="6">
        <f t="shared" si="52"/>
        <v>0</v>
      </c>
      <c r="S63" s="2"/>
      <c r="T63" s="7">
        <v>166740</v>
      </c>
      <c r="U63" s="2"/>
      <c r="V63" s="6">
        <f t="shared" si="53"/>
        <v>0</v>
      </c>
      <c r="W63" s="2"/>
      <c r="X63" s="7">
        <f t="shared" si="54"/>
        <v>-266521</v>
      </c>
      <c r="Y63" s="2"/>
      <c r="Z63" s="6">
        <f t="shared" si="55"/>
        <v>-1.5984226940146335</v>
      </c>
    </row>
    <row r="64" spans="1:26" s="25" customFormat="1" outlineLevel="1" collapsed="1" x14ac:dyDescent="0.35">
      <c r="A64" s="26"/>
      <c r="B64" s="12" t="str">
        <f>CONCATENATE("     ","Professional Services                             ")</f>
        <v xml:space="preserve">     Professional Services                             </v>
      </c>
      <c r="C64" s="12"/>
      <c r="D64" s="1">
        <f>SUM(OSRRefD22_14x_0)</f>
        <v>6675.57</v>
      </c>
      <c r="E64" s="1"/>
      <c r="F64" s="5">
        <f t="shared" si="48"/>
        <v>0</v>
      </c>
      <c r="G64" s="1"/>
      <c r="H64" s="1">
        <f>SUM(OSRRefH22_14x_0)</f>
        <v>0</v>
      </c>
      <c r="I64" s="1"/>
      <c r="J64" s="5">
        <f t="shared" si="49"/>
        <v>0</v>
      </c>
      <c r="K64" s="1"/>
      <c r="L64" s="1">
        <f t="shared" si="50"/>
        <v>6675.57</v>
      </c>
      <c r="M64" s="1"/>
      <c r="N64" s="5">
        <f t="shared" si="51"/>
        <v>0</v>
      </c>
      <c r="O64" s="12"/>
      <c r="P64" s="1">
        <f>SUM(OSRRefP22_14x_0)</f>
        <v>11333.98</v>
      </c>
      <c r="Q64" s="1"/>
      <c r="R64" s="5">
        <f t="shared" si="52"/>
        <v>0</v>
      </c>
      <c r="S64" s="1"/>
      <c r="T64" s="1">
        <f>SUM(OSRRefT22_14x_0)</f>
        <v>6776.43</v>
      </c>
      <c r="U64" s="1"/>
      <c r="V64" s="5">
        <f t="shared" si="53"/>
        <v>0</v>
      </c>
      <c r="W64" s="1"/>
      <c r="X64" s="1">
        <f t="shared" si="54"/>
        <v>4557.5499999999993</v>
      </c>
      <c r="Y64" s="1"/>
      <c r="Z64" s="5">
        <f t="shared" si="55"/>
        <v>0.67255914987685239</v>
      </c>
    </row>
    <row r="65" spans="1:26" s="24" customFormat="1" hidden="1" outlineLevel="2" x14ac:dyDescent="0.35">
      <c r="A65" s="27"/>
      <c r="B65" s="11" t="str">
        <f>CONCATENATE("          ", "6336", " - ", "PROFESSIONAL SERVICES")</f>
        <v xml:space="preserve">          6336 - PROFESSIONAL SERVICES</v>
      </c>
      <c r="C65" s="11"/>
      <c r="D65" s="7">
        <v>6675.57</v>
      </c>
      <c r="E65" s="2"/>
      <c r="F65" s="6">
        <f t="shared" si="48"/>
        <v>0</v>
      </c>
      <c r="G65" s="2"/>
      <c r="H65" s="7"/>
      <c r="I65" s="2"/>
      <c r="J65" s="6">
        <f t="shared" si="49"/>
        <v>0</v>
      </c>
      <c r="K65" s="2"/>
      <c r="L65" s="7">
        <f t="shared" si="50"/>
        <v>6675.57</v>
      </c>
      <c r="M65" s="2"/>
      <c r="N65" s="6">
        <f t="shared" si="51"/>
        <v>0</v>
      </c>
      <c r="O65" s="11"/>
      <c r="P65" s="7">
        <v>11333.98</v>
      </c>
      <c r="Q65" s="2"/>
      <c r="R65" s="6">
        <f t="shared" si="52"/>
        <v>0</v>
      </c>
      <c r="S65" s="2"/>
      <c r="T65" s="7">
        <v>6776.43</v>
      </c>
      <c r="U65" s="2"/>
      <c r="V65" s="6">
        <f t="shared" si="53"/>
        <v>0</v>
      </c>
      <c r="W65" s="2"/>
      <c r="X65" s="7">
        <f t="shared" si="54"/>
        <v>4557.5499999999993</v>
      </c>
      <c r="Y65" s="2"/>
      <c r="Z65" s="6">
        <f t="shared" si="55"/>
        <v>0.67255914987685239</v>
      </c>
    </row>
    <row r="66" spans="1:26" s="25" customFormat="1" outlineLevel="1" collapsed="1" x14ac:dyDescent="0.35">
      <c r="A66" s="26"/>
      <c r="B66" s="12" t="str">
        <f>CONCATENATE("     ","Rent                                              ")</f>
        <v xml:space="preserve">     Rent                                              </v>
      </c>
      <c r="C66" s="12"/>
      <c r="D66" s="1">
        <f>SUM(OSRRefD22_15x_0)</f>
        <v>-800</v>
      </c>
      <c r="E66" s="1"/>
      <c r="F66" s="5">
        <f t="shared" si="48"/>
        <v>0</v>
      </c>
      <c r="G66" s="1"/>
      <c r="H66" s="1">
        <f>SUM(OSRRefH22_15x_0)</f>
        <v>-800</v>
      </c>
      <c r="I66" s="1"/>
      <c r="J66" s="5">
        <f t="shared" si="49"/>
        <v>0</v>
      </c>
      <c r="K66" s="1"/>
      <c r="L66" s="1">
        <f t="shared" si="50"/>
        <v>0</v>
      </c>
      <c r="M66" s="1"/>
      <c r="N66" s="5">
        <f t="shared" si="51"/>
        <v>0</v>
      </c>
      <c r="O66" s="12"/>
      <c r="P66" s="1">
        <f>SUM(OSRRefP22_15x_0)</f>
        <v>-8000</v>
      </c>
      <c r="Q66" s="1"/>
      <c r="R66" s="5">
        <f t="shared" si="52"/>
        <v>0</v>
      </c>
      <c r="S66" s="1"/>
      <c r="T66" s="1">
        <f>SUM(OSRRefT22_15x_0)</f>
        <v>-8698.92</v>
      </c>
      <c r="U66" s="1"/>
      <c r="V66" s="5">
        <f t="shared" si="53"/>
        <v>0</v>
      </c>
      <c r="W66" s="1"/>
      <c r="X66" s="1">
        <f t="shared" si="54"/>
        <v>698.92000000000007</v>
      </c>
      <c r="Y66" s="1"/>
      <c r="Z66" s="5">
        <f t="shared" si="55"/>
        <v>-8.0345606121219659E-2</v>
      </c>
    </row>
    <row r="67" spans="1:26" s="24" customFormat="1" hidden="1" outlineLevel="2" x14ac:dyDescent="0.35">
      <c r="A67" s="27"/>
      <c r="B67" s="11" t="str">
        <f>CONCATENATE("          ", "6273", " - ", "RENT")</f>
        <v xml:space="preserve">          6273 - RENT</v>
      </c>
      <c r="C67" s="11"/>
      <c r="D67" s="7">
        <v>-800</v>
      </c>
      <c r="E67" s="2"/>
      <c r="F67" s="6">
        <f t="shared" si="48"/>
        <v>0</v>
      </c>
      <c r="G67" s="2"/>
      <c r="H67" s="7">
        <v>-800</v>
      </c>
      <c r="I67" s="2"/>
      <c r="J67" s="6">
        <f t="shared" si="49"/>
        <v>0</v>
      </c>
      <c r="K67" s="2"/>
      <c r="L67" s="7">
        <f t="shared" si="50"/>
        <v>0</v>
      </c>
      <c r="M67" s="2"/>
      <c r="N67" s="6">
        <f t="shared" si="51"/>
        <v>0</v>
      </c>
      <c r="O67" s="11"/>
      <c r="P67" s="7">
        <v>-8000</v>
      </c>
      <c r="Q67" s="2"/>
      <c r="R67" s="6">
        <f t="shared" si="52"/>
        <v>0</v>
      </c>
      <c r="S67" s="2"/>
      <c r="T67" s="7">
        <v>-8698.92</v>
      </c>
      <c r="U67" s="2"/>
      <c r="V67" s="6">
        <f t="shared" si="53"/>
        <v>0</v>
      </c>
      <c r="W67" s="2"/>
      <c r="X67" s="7">
        <f t="shared" si="54"/>
        <v>698.92000000000007</v>
      </c>
      <c r="Y67" s="2"/>
      <c r="Z67" s="6">
        <f t="shared" si="55"/>
        <v>-8.0345606121219659E-2</v>
      </c>
    </row>
    <row r="68" spans="1:26" s="25" customFormat="1" outlineLevel="1" collapsed="1" x14ac:dyDescent="0.35">
      <c r="A68" s="26"/>
      <c r="B68" s="12" t="str">
        <f>CONCATENATE("     ","Repair and Maintenance                            ")</f>
        <v xml:space="preserve">     Repair and Maintenance                            </v>
      </c>
      <c r="C68" s="12"/>
      <c r="D68" s="1">
        <f>SUM(OSRRefD22_16x_0)</f>
        <v>5878.92</v>
      </c>
      <c r="E68" s="1"/>
      <c r="F68" s="5">
        <f t="shared" si="48"/>
        <v>0</v>
      </c>
      <c r="G68" s="1"/>
      <c r="H68" s="1">
        <f>SUM(OSRRefH22_16x_0)</f>
        <v>48299.479999999996</v>
      </c>
      <c r="I68" s="1"/>
      <c r="J68" s="5">
        <f t="shared" si="49"/>
        <v>0</v>
      </c>
      <c r="K68" s="1"/>
      <c r="L68" s="1">
        <f t="shared" si="50"/>
        <v>-42420.56</v>
      </c>
      <c r="M68" s="1"/>
      <c r="N68" s="5">
        <f t="shared" si="51"/>
        <v>-0.87828191939126465</v>
      </c>
      <c r="O68" s="12"/>
      <c r="P68" s="1">
        <f>SUM(OSRRefP22_16x_0)</f>
        <v>71633.09</v>
      </c>
      <c r="Q68" s="1"/>
      <c r="R68" s="5">
        <f t="shared" si="52"/>
        <v>0</v>
      </c>
      <c r="S68" s="1"/>
      <c r="T68" s="1">
        <f>SUM(OSRRefT22_16x_0)</f>
        <v>143178.41</v>
      </c>
      <c r="U68" s="1"/>
      <c r="V68" s="5">
        <f t="shared" si="53"/>
        <v>0</v>
      </c>
      <c r="W68" s="1"/>
      <c r="X68" s="1">
        <f t="shared" si="54"/>
        <v>-71545.320000000007</v>
      </c>
      <c r="Y68" s="1"/>
      <c r="Z68" s="5">
        <f t="shared" si="55"/>
        <v>-0.49969349429149273</v>
      </c>
    </row>
    <row r="69" spans="1:26" s="24" customFormat="1" hidden="1" outlineLevel="2" x14ac:dyDescent="0.35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631.04999999999995</v>
      </c>
      <c r="E69" s="2"/>
      <c r="F69" s="6">
        <f t="shared" si="48"/>
        <v>0</v>
      </c>
      <c r="G69" s="2"/>
      <c r="H69" s="7">
        <v>42745</v>
      </c>
      <c r="I69" s="2"/>
      <c r="J69" s="6">
        <f t="shared" si="49"/>
        <v>0</v>
      </c>
      <c r="K69" s="2"/>
      <c r="L69" s="7">
        <f t="shared" si="50"/>
        <v>-42113.95</v>
      </c>
      <c r="M69" s="2"/>
      <c r="N69" s="6">
        <f t="shared" si="51"/>
        <v>-0.98523686980933434</v>
      </c>
      <c r="O69" s="11"/>
      <c r="P69" s="7">
        <v>17048.550000000003</v>
      </c>
      <c r="Q69" s="2"/>
      <c r="R69" s="6">
        <f t="shared" si="52"/>
        <v>0</v>
      </c>
      <c r="S69" s="2"/>
      <c r="T69" s="7">
        <v>95000.25</v>
      </c>
      <c r="U69" s="2"/>
      <c r="V69" s="6">
        <f t="shared" si="53"/>
        <v>0</v>
      </c>
      <c r="W69" s="2"/>
      <c r="X69" s="7">
        <f t="shared" si="54"/>
        <v>-77951.7</v>
      </c>
      <c r="Y69" s="2"/>
      <c r="Z69" s="6">
        <f t="shared" si="55"/>
        <v>-0.82054205120512835</v>
      </c>
    </row>
    <row r="70" spans="1:26" s="24" customFormat="1" hidden="1" outlineLevel="2" x14ac:dyDescent="0.35">
      <c r="A70" s="27"/>
      <c r="B70" s="11" t="str">
        <f>CONCATENATE("          ", "6372", " - ", "COMPUTER HARDWARE MAINTENANCE")</f>
        <v xml:space="preserve">          6372 - COMPUTER HARDWARE MAINTENANCE</v>
      </c>
      <c r="C70" s="11"/>
      <c r="D70" s="7">
        <v>-2</v>
      </c>
      <c r="E70" s="2"/>
      <c r="F70" s="6">
        <f t="shared" si="48"/>
        <v>0</v>
      </c>
      <c r="G70" s="2"/>
      <c r="H70" s="7"/>
      <c r="I70" s="2"/>
      <c r="J70" s="6">
        <f t="shared" si="49"/>
        <v>0</v>
      </c>
      <c r="K70" s="2"/>
      <c r="L70" s="7">
        <f t="shared" si="50"/>
        <v>-2</v>
      </c>
      <c r="M70" s="2"/>
      <c r="N70" s="6">
        <f t="shared" si="51"/>
        <v>0</v>
      </c>
      <c r="O70" s="11"/>
      <c r="P70" s="7">
        <v>50.32</v>
      </c>
      <c r="Q70" s="2"/>
      <c r="R70" s="6">
        <f t="shared" si="52"/>
        <v>0</v>
      </c>
      <c r="S70" s="2"/>
      <c r="T70" s="7">
        <v>51.79</v>
      </c>
      <c r="U70" s="2"/>
      <c r="V70" s="6">
        <f t="shared" si="53"/>
        <v>0</v>
      </c>
      <c r="W70" s="2"/>
      <c r="X70" s="7">
        <f t="shared" si="54"/>
        <v>-1.4699999999999989</v>
      </c>
      <c r="Y70" s="2"/>
      <c r="Z70" s="6">
        <f t="shared" si="55"/>
        <v>-2.8383857887623071E-2</v>
      </c>
    </row>
    <row r="71" spans="1:26" s="24" customFormat="1" hidden="1" outlineLevel="2" x14ac:dyDescent="0.35">
      <c r="A71" s="27"/>
      <c r="B71" s="11" t="str">
        <f>CONCATENATE("          ", "6373", " - ", "MAINTENANCE CONTRACTS")</f>
        <v xml:space="preserve">          6373 - MAINTENANCE CONTRACTS</v>
      </c>
      <c r="C71" s="11"/>
      <c r="D71" s="7">
        <v>3596.58</v>
      </c>
      <c r="E71" s="2"/>
      <c r="F71" s="6">
        <f t="shared" si="48"/>
        <v>0</v>
      </c>
      <c r="G71" s="2"/>
      <c r="H71" s="7">
        <v>1958.21</v>
      </c>
      <c r="I71" s="2"/>
      <c r="J71" s="6">
        <f t="shared" si="49"/>
        <v>0</v>
      </c>
      <c r="K71" s="2"/>
      <c r="L71" s="7">
        <f t="shared" si="50"/>
        <v>1638.37</v>
      </c>
      <c r="M71" s="2"/>
      <c r="N71" s="6">
        <f t="shared" si="51"/>
        <v>0.83666716031477717</v>
      </c>
      <c r="O71" s="11"/>
      <c r="P71" s="7">
        <v>16291.630000000001</v>
      </c>
      <c r="Q71" s="2"/>
      <c r="R71" s="6">
        <f t="shared" si="52"/>
        <v>0</v>
      </c>
      <c r="S71" s="2"/>
      <c r="T71" s="7">
        <v>19275.390000000003</v>
      </c>
      <c r="U71" s="2"/>
      <c r="V71" s="6">
        <f t="shared" si="53"/>
        <v>0</v>
      </c>
      <c r="W71" s="2"/>
      <c r="X71" s="7">
        <f t="shared" si="54"/>
        <v>-2983.760000000002</v>
      </c>
      <c r="Y71" s="2"/>
      <c r="Z71" s="6">
        <f t="shared" si="55"/>
        <v>-0.15479634912704757</v>
      </c>
    </row>
    <row r="72" spans="1:26" s="24" customFormat="1" hidden="1" outlineLevel="2" x14ac:dyDescent="0.35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7">
        <v>1653.29</v>
      </c>
      <c r="E72" s="2"/>
      <c r="F72" s="6">
        <f t="shared" si="48"/>
        <v>0</v>
      </c>
      <c r="G72" s="2"/>
      <c r="H72" s="7">
        <v>3596.27</v>
      </c>
      <c r="I72" s="2"/>
      <c r="J72" s="6">
        <f t="shared" si="49"/>
        <v>0</v>
      </c>
      <c r="K72" s="2"/>
      <c r="L72" s="7">
        <f t="shared" si="50"/>
        <v>-1942.98</v>
      </c>
      <c r="M72" s="2"/>
      <c r="N72" s="6">
        <f t="shared" si="51"/>
        <v>-0.54027645310279815</v>
      </c>
      <c r="O72" s="11"/>
      <c r="P72" s="7">
        <v>38242.590000000004</v>
      </c>
      <c r="Q72" s="2"/>
      <c r="R72" s="6">
        <f t="shared" si="52"/>
        <v>0</v>
      </c>
      <c r="S72" s="2"/>
      <c r="T72" s="7">
        <v>28850.98</v>
      </c>
      <c r="U72" s="2"/>
      <c r="V72" s="6">
        <f t="shared" si="53"/>
        <v>0</v>
      </c>
      <c r="W72" s="2"/>
      <c r="X72" s="7">
        <f t="shared" si="54"/>
        <v>9391.6100000000042</v>
      </c>
      <c r="Y72" s="2"/>
      <c r="Z72" s="6">
        <f t="shared" si="55"/>
        <v>0.32552135144109506</v>
      </c>
    </row>
    <row r="73" spans="1:26" s="25" customFormat="1" outlineLevel="1" collapsed="1" x14ac:dyDescent="0.35">
      <c r="A73" s="26"/>
      <c r="B73" s="12" t="str">
        <f>CONCATENATE("     ","Royalty &amp; Commissions                             ")</f>
        <v xml:space="preserve">     Royalty &amp; Commissions                             </v>
      </c>
      <c r="C73" s="12"/>
      <c r="D73" s="1">
        <f>SUM(OSRRefD22_17x_0)</f>
        <v>0</v>
      </c>
      <c r="E73" s="1"/>
      <c r="F73" s="5">
        <f t="shared" ref="F73:F78" si="56">IF(D$12=0,0,D73/D$12)</f>
        <v>0</v>
      </c>
      <c r="G73" s="1"/>
      <c r="H73" s="1">
        <f>SUM(OSRRefH22_17x_0)</f>
        <v>0</v>
      </c>
      <c r="I73" s="1"/>
      <c r="J73" s="5">
        <f t="shared" ref="J73:J78" si="57">IF(H$12=0,0,H73/H$12)</f>
        <v>0</v>
      </c>
      <c r="K73" s="1"/>
      <c r="L73" s="1">
        <f t="shared" ref="L73:L78" si="58">+D73-H73</f>
        <v>0</v>
      </c>
      <c r="M73" s="1"/>
      <c r="N73" s="5">
        <f t="shared" ref="N73:N78" si="59">IF(H73=0,0,L73/H73)</f>
        <v>0</v>
      </c>
      <c r="O73" s="12"/>
      <c r="P73" s="1">
        <f>SUM(OSRRefP22_17x_0)</f>
        <v>0</v>
      </c>
      <c r="Q73" s="1"/>
      <c r="R73" s="5">
        <f t="shared" ref="R73:R78" si="60">IF(P$12=0,0,P73/P$12)</f>
        <v>0</v>
      </c>
      <c r="S73" s="1"/>
      <c r="T73" s="1">
        <f>SUM(OSRRefT22_17x_0)</f>
        <v>61</v>
      </c>
      <c r="U73" s="1"/>
      <c r="V73" s="5">
        <f t="shared" ref="V73:V78" si="61">IF(T$12=0,0,T73/T$12)</f>
        <v>0</v>
      </c>
      <c r="W73" s="1"/>
      <c r="X73" s="1">
        <f t="shared" ref="X73:X78" si="62">+P73-T73</f>
        <v>-61</v>
      </c>
      <c r="Y73" s="1"/>
      <c r="Z73" s="5">
        <f t="shared" ref="Z73:Z78" si="63">IF(T73=0,0,X73/T73)</f>
        <v>-1</v>
      </c>
    </row>
    <row r="74" spans="1:26" s="24" customFormat="1" hidden="1" outlineLevel="2" x14ac:dyDescent="0.35">
      <c r="A74" s="27"/>
      <c r="B74" s="11" t="str">
        <f>CONCATENATE("          ", "6254", " - ", "ROYALTY &amp; COMMISSIONS")</f>
        <v xml:space="preserve">          6254 - ROYALTY &amp; COMMISSIONS</v>
      </c>
      <c r="C74" s="11"/>
      <c r="D74" s="7"/>
      <c r="E74" s="2"/>
      <c r="F74" s="6">
        <f t="shared" si="56"/>
        <v>0</v>
      </c>
      <c r="G74" s="2"/>
      <c r="H74" s="7"/>
      <c r="I74" s="2"/>
      <c r="J74" s="6">
        <f t="shared" si="57"/>
        <v>0</v>
      </c>
      <c r="K74" s="2"/>
      <c r="L74" s="7">
        <f t="shared" si="58"/>
        <v>0</v>
      </c>
      <c r="M74" s="2"/>
      <c r="N74" s="6">
        <f t="shared" si="59"/>
        <v>0</v>
      </c>
      <c r="O74" s="11"/>
      <c r="P74" s="7"/>
      <c r="Q74" s="2"/>
      <c r="R74" s="6">
        <f t="shared" si="60"/>
        <v>0</v>
      </c>
      <c r="S74" s="2"/>
      <c r="T74" s="7">
        <v>61</v>
      </c>
      <c r="U74" s="2"/>
      <c r="V74" s="6">
        <f t="shared" si="61"/>
        <v>0</v>
      </c>
      <c r="W74" s="2"/>
      <c r="X74" s="7">
        <f t="shared" si="62"/>
        <v>-61</v>
      </c>
      <c r="Y74" s="2"/>
      <c r="Z74" s="6">
        <f t="shared" si="63"/>
        <v>-1</v>
      </c>
    </row>
    <row r="75" spans="1:26" s="25" customFormat="1" outlineLevel="1" collapsed="1" x14ac:dyDescent="0.35">
      <c r="A75" s="26"/>
      <c r="B75" s="12" t="str">
        <f>CONCATENATE("     ","Services                                          ")</f>
        <v xml:space="preserve">     Services                                          </v>
      </c>
      <c r="C75" s="12"/>
      <c r="D75" s="1">
        <f>SUM(OSRRefD22_18x_0)</f>
        <v>7166.0199999999995</v>
      </c>
      <c r="E75" s="1"/>
      <c r="F75" s="5">
        <f t="shared" si="56"/>
        <v>0</v>
      </c>
      <c r="G75" s="1"/>
      <c r="H75" s="1">
        <f>SUM(OSRRefH22_18x_0)</f>
        <v>4168.04</v>
      </c>
      <c r="I75" s="1"/>
      <c r="J75" s="5">
        <f t="shared" si="57"/>
        <v>0</v>
      </c>
      <c r="K75" s="1"/>
      <c r="L75" s="1">
        <f t="shared" si="58"/>
        <v>2997.9799999999996</v>
      </c>
      <c r="M75" s="1"/>
      <c r="N75" s="5">
        <f t="shared" si="59"/>
        <v>0.71927812592969342</v>
      </c>
      <c r="O75" s="12"/>
      <c r="P75" s="1">
        <f>SUM(OSRRefP22_18x_0)</f>
        <v>52755.83</v>
      </c>
      <c r="Q75" s="1"/>
      <c r="R75" s="5">
        <f t="shared" si="60"/>
        <v>0</v>
      </c>
      <c r="S75" s="1"/>
      <c r="T75" s="1">
        <f>SUM(OSRRefT22_18x_0)</f>
        <v>48661.009999999995</v>
      </c>
      <c r="U75" s="1"/>
      <c r="V75" s="5">
        <f t="shared" si="61"/>
        <v>0</v>
      </c>
      <c r="W75" s="1"/>
      <c r="X75" s="1">
        <f t="shared" si="62"/>
        <v>4094.820000000007</v>
      </c>
      <c r="Y75" s="1"/>
      <c r="Z75" s="5">
        <f t="shared" si="63"/>
        <v>8.4149917973342675E-2</v>
      </c>
    </row>
    <row r="76" spans="1:26" s="24" customFormat="1" hidden="1" outlineLevel="2" x14ac:dyDescent="0.35">
      <c r="A76" s="27"/>
      <c r="B76" s="11" t="str">
        <f>CONCATENATE("          ", "6282", " - ", "JANITORIAL/EXTERMINATOR EXPENS")</f>
        <v xml:space="preserve">          6282 - JANITORIAL/EXTERMINATOR EXPENS</v>
      </c>
      <c r="C76" s="11"/>
      <c r="D76" s="7">
        <v>728.86</v>
      </c>
      <c r="E76" s="2"/>
      <c r="F76" s="6">
        <f t="shared" si="56"/>
        <v>0</v>
      </c>
      <c r="G76" s="2"/>
      <c r="H76" s="7">
        <v>210.5</v>
      </c>
      <c r="I76" s="2"/>
      <c r="J76" s="6">
        <f t="shared" si="57"/>
        <v>0</v>
      </c>
      <c r="K76" s="2"/>
      <c r="L76" s="7">
        <f t="shared" si="58"/>
        <v>518.36</v>
      </c>
      <c r="M76" s="2"/>
      <c r="N76" s="6">
        <f t="shared" si="59"/>
        <v>2.4625178147268407</v>
      </c>
      <c r="O76" s="11"/>
      <c r="P76" s="7">
        <v>2953.86</v>
      </c>
      <c r="Q76" s="2"/>
      <c r="R76" s="6">
        <f t="shared" si="60"/>
        <v>0</v>
      </c>
      <c r="S76" s="2"/>
      <c r="T76" s="7">
        <v>2419.5</v>
      </c>
      <c r="U76" s="2"/>
      <c r="V76" s="6">
        <f t="shared" si="61"/>
        <v>0</v>
      </c>
      <c r="W76" s="2"/>
      <c r="X76" s="7">
        <f t="shared" si="62"/>
        <v>534.36000000000013</v>
      </c>
      <c r="Y76" s="2"/>
      <c r="Z76" s="6">
        <f t="shared" si="63"/>
        <v>0.22085554866708001</v>
      </c>
    </row>
    <row r="77" spans="1:26" s="24" customFormat="1" hidden="1" outlineLevel="2" x14ac:dyDescent="0.35">
      <c r="A77" s="27"/>
      <c r="B77" s="11" t="str">
        <f>CONCATENATE("          ", "6283", " - ", "PLANT SERVICE")</f>
        <v xml:space="preserve">          6283 - PLANT SERVICE</v>
      </c>
      <c r="C77" s="11"/>
      <c r="D77" s="7"/>
      <c r="E77" s="2"/>
      <c r="F77" s="6">
        <f t="shared" si="56"/>
        <v>0</v>
      </c>
      <c r="G77" s="2"/>
      <c r="H77" s="7">
        <v>121.11</v>
      </c>
      <c r="I77" s="2"/>
      <c r="J77" s="6">
        <f t="shared" si="57"/>
        <v>0</v>
      </c>
      <c r="K77" s="2"/>
      <c r="L77" s="7">
        <f t="shared" si="58"/>
        <v>-121.11</v>
      </c>
      <c r="M77" s="2"/>
      <c r="N77" s="6">
        <f t="shared" si="59"/>
        <v>-1</v>
      </c>
      <c r="O77" s="11"/>
      <c r="P77" s="7">
        <v>363.33</v>
      </c>
      <c r="Q77" s="2"/>
      <c r="R77" s="6">
        <f t="shared" si="60"/>
        <v>0</v>
      </c>
      <c r="S77" s="2"/>
      <c r="T77" s="7">
        <v>1530.61</v>
      </c>
      <c r="U77" s="2"/>
      <c r="V77" s="6">
        <f t="shared" si="61"/>
        <v>0</v>
      </c>
      <c r="W77" s="2"/>
      <c r="X77" s="7">
        <f t="shared" si="62"/>
        <v>-1167.28</v>
      </c>
      <c r="Y77" s="2"/>
      <c r="Z77" s="6">
        <f t="shared" si="63"/>
        <v>-0.76262405184860937</v>
      </c>
    </row>
    <row r="78" spans="1:26" s="24" customFormat="1" hidden="1" outlineLevel="2" x14ac:dyDescent="0.35">
      <c r="A78" s="27"/>
      <c r="B78" s="11" t="str">
        <f>CONCATENATE("          ", "6285", " - ", "JANITORIAL SERVICES")</f>
        <v xml:space="preserve">          6285 - JANITORIAL SERVICES</v>
      </c>
      <c r="C78" s="11"/>
      <c r="D78" s="7">
        <v>6437.16</v>
      </c>
      <c r="E78" s="2"/>
      <c r="F78" s="6">
        <f t="shared" si="56"/>
        <v>0</v>
      </c>
      <c r="G78" s="2"/>
      <c r="H78" s="7">
        <v>3836.43</v>
      </c>
      <c r="I78" s="2"/>
      <c r="J78" s="6">
        <f t="shared" si="57"/>
        <v>0</v>
      </c>
      <c r="K78" s="2"/>
      <c r="L78" s="7">
        <f t="shared" si="58"/>
        <v>2600.73</v>
      </c>
      <c r="M78" s="2"/>
      <c r="N78" s="6">
        <f t="shared" si="59"/>
        <v>0.67790367607384994</v>
      </c>
      <c r="O78" s="11"/>
      <c r="P78" s="7">
        <v>49438.64</v>
      </c>
      <c r="Q78" s="2"/>
      <c r="R78" s="6">
        <f t="shared" si="60"/>
        <v>0</v>
      </c>
      <c r="S78" s="2"/>
      <c r="T78" s="7">
        <v>44710.899999999994</v>
      </c>
      <c r="U78" s="2"/>
      <c r="V78" s="6">
        <f t="shared" si="61"/>
        <v>0</v>
      </c>
      <c r="W78" s="2"/>
      <c r="X78" s="7">
        <f t="shared" si="62"/>
        <v>4727.7400000000052</v>
      </c>
      <c r="Y78" s="2"/>
      <c r="Z78" s="6">
        <f t="shared" si="63"/>
        <v>0.10574021100000237</v>
      </c>
    </row>
    <row r="79" spans="1:26" s="25" customFormat="1" outlineLevel="1" collapsed="1" x14ac:dyDescent="0.35">
      <c r="A79" s="26"/>
      <c r="B79" s="12" t="str">
        <f>CONCATENATE("     ","Subscriptions &amp; Dues                              ")</f>
        <v xml:space="preserve">     Subscriptions &amp; Dues                              </v>
      </c>
      <c r="C79" s="12"/>
      <c r="D79" s="1">
        <f>SUM(OSRRefD22_19x_0)</f>
        <v>0</v>
      </c>
      <c r="E79" s="1"/>
      <c r="F79" s="5">
        <f t="shared" ref="F79:F81" si="64">IF(D$12=0,0,D79/D$12)</f>
        <v>0</v>
      </c>
      <c r="G79" s="1"/>
      <c r="H79" s="1">
        <f>SUM(OSRRefH22_19x_0)</f>
        <v>7379.98</v>
      </c>
      <c r="I79" s="1"/>
      <c r="J79" s="5">
        <f t="shared" ref="J79:J81" si="65">IF(H$12=0,0,H79/H$12)</f>
        <v>0</v>
      </c>
      <c r="K79" s="1"/>
      <c r="L79" s="1">
        <f t="shared" ref="L79:L81" si="66">+D79-H79</f>
        <v>-7379.98</v>
      </c>
      <c r="M79" s="1"/>
      <c r="N79" s="5">
        <f t="shared" ref="N79:N81" si="67">IF(H79=0,0,L79/H79)</f>
        <v>-1</v>
      </c>
      <c r="O79" s="12"/>
      <c r="P79" s="1">
        <f>SUM(OSRRefP22_19x_0)</f>
        <v>1280.3</v>
      </c>
      <c r="Q79" s="1"/>
      <c r="R79" s="5">
        <f t="shared" ref="R79:R81" si="68">IF(P$12=0,0,P79/P$12)</f>
        <v>0</v>
      </c>
      <c r="S79" s="1"/>
      <c r="T79" s="1">
        <f>SUM(OSRRefT22_19x_0)</f>
        <v>13368.61</v>
      </c>
      <c r="U79" s="1"/>
      <c r="V79" s="5">
        <f t="shared" ref="V79:V81" si="69">IF(T$12=0,0,T79/T$12)</f>
        <v>0</v>
      </c>
      <c r="W79" s="1"/>
      <c r="X79" s="1">
        <f t="shared" ref="X79:X81" si="70">+P79-T79</f>
        <v>-12088.310000000001</v>
      </c>
      <c r="Y79" s="1"/>
      <c r="Z79" s="5">
        <f t="shared" ref="Z79:Z81" si="71">IF(T79=0,0,X79/T79)</f>
        <v>-0.90423088114620753</v>
      </c>
    </row>
    <row r="80" spans="1:26" s="24" customFormat="1" hidden="1" outlineLevel="2" x14ac:dyDescent="0.35">
      <c r="A80" s="27"/>
      <c r="B80" s="11" t="str">
        <f>CONCATENATE("          ", "6258", " - ", "MEMBERSHIP DUES")</f>
        <v xml:space="preserve">          6258 - MEMBERSHIP DUES</v>
      </c>
      <c r="C80" s="11"/>
      <c r="D80" s="7"/>
      <c r="E80" s="2"/>
      <c r="F80" s="6">
        <f t="shared" si="64"/>
        <v>0</v>
      </c>
      <c r="G80" s="2"/>
      <c r="H80" s="7">
        <v>7220</v>
      </c>
      <c r="I80" s="2"/>
      <c r="J80" s="6">
        <f t="shared" si="65"/>
        <v>0</v>
      </c>
      <c r="K80" s="2"/>
      <c r="L80" s="7">
        <f t="shared" si="66"/>
        <v>-7220</v>
      </c>
      <c r="M80" s="2"/>
      <c r="N80" s="6">
        <f t="shared" si="67"/>
        <v>-1</v>
      </c>
      <c r="O80" s="11"/>
      <c r="P80" s="7">
        <v>875</v>
      </c>
      <c r="Q80" s="2"/>
      <c r="R80" s="6">
        <f t="shared" si="68"/>
        <v>0</v>
      </c>
      <c r="S80" s="2"/>
      <c r="T80" s="7">
        <v>8039.85</v>
      </c>
      <c r="U80" s="2"/>
      <c r="V80" s="6">
        <f t="shared" si="69"/>
        <v>0</v>
      </c>
      <c r="W80" s="2"/>
      <c r="X80" s="7">
        <f t="shared" si="70"/>
        <v>-7164.85</v>
      </c>
      <c r="Y80" s="2"/>
      <c r="Z80" s="6">
        <f t="shared" si="71"/>
        <v>-0.89116712376474683</v>
      </c>
    </row>
    <row r="81" spans="1:26" s="24" customFormat="1" hidden="1" outlineLevel="2" x14ac:dyDescent="0.35">
      <c r="A81" s="27"/>
      <c r="B81" s="11" t="str">
        <f>CONCATENATE("          ", "6275", " - ", "SUBSCRIPTIONS")</f>
        <v xml:space="preserve">          6275 - SUBSCRIPTIONS</v>
      </c>
      <c r="C81" s="11"/>
      <c r="D81" s="7"/>
      <c r="E81" s="2"/>
      <c r="F81" s="6">
        <f t="shared" si="64"/>
        <v>0</v>
      </c>
      <c r="G81" s="2"/>
      <c r="H81" s="7">
        <v>159.97999999999999</v>
      </c>
      <c r="I81" s="2"/>
      <c r="J81" s="6">
        <f t="shared" si="65"/>
        <v>0</v>
      </c>
      <c r="K81" s="2"/>
      <c r="L81" s="7">
        <f t="shared" si="66"/>
        <v>-159.97999999999999</v>
      </c>
      <c r="M81" s="2"/>
      <c r="N81" s="6">
        <f t="shared" si="67"/>
        <v>-1</v>
      </c>
      <c r="O81" s="11"/>
      <c r="P81" s="7">
        <v>405.3</v>
      </c>
      <c r="Q81" s="2"/>
      <c r="R81" s="6">
        <f t="shared" si="68"/>
        <v>0</v>
      </c>
      <c r="S81" s="2"/>
      <c r="T81" s="7">
        <v>5328.76</v>
      </c>
      <c r="U81" s="2"/>
      <c r="V81" s="6">
        <f t="shared" si="69"/>
        <v>0</v>
      </c>
      <c r="W81" s="2"/>
      <c r="X81" s="7">
        <f t="shared" si="70"/>
        <v>-4923.46</v>
      </c>
      <c r="Y81" s="2"/>
      <c r="Z81" s="6">
        <f t="shared" si="71"/>
        <v>-0.92394102943273859</v>
      </c>
    </row>
    <row r="82" spans="1:26" s="25" customFormat="1" outlineLevel="1" collapsed="1" x14ac:dyDescent="0.35">
      <c r="A82" s="26"/>
      <c r="B82" s="12" t="str">
        <f>CONCATENATE("     ","Supplies                                          ")</f>
        <v xml:space="preserve">     Supplies                                          </v>
      </c>
      <c r="C82" s="12"/>
      <c r="D82" s="1">
        <f>SUM(OSRRefD22_20x_0)</f>
        <v>5632.3200000000006</v>
      </c>
      <c r="E82" s="1"/>
      <c r="F82" s="5">
        <f t="shared" ref="F82:F89" si="72">IF(D$12=0,0,D82/D$12)</f>
        <v>0</v>
      </c>
      <c r="G82" s="1"/>
      <c r="H82" s="1">
        <f>SUM(OSRRefH22_20x_0)</f>
        <v>2391.86</v>
      </c>
      <c r="I82" s="1"/>
      <c r="J82" s="5">
        <f t="shared" ref="J82:J89" si="73">IF(H$12=0,0,H82/H$12)</f>
        <v>0</v>
      </c>
      <c r="K82" s="1"/>
      <c r="L82" s="1">
        <f t="shared" ref="L82:L89" si="74">+D82-H82</f>
        <v>3240.4600000000005</v>
      </c>
      <c r="M82" s="1"/>
      <c r="N82" s="5">
        <f t="shared" ref="N82:N89" si="75">IF(H82=0,0,L82/H82)</f>
        <v>1.3547866513926401</v>
      </c>
      <c r="O82" s="12"/>
      <c r="P82" s="1">
        <f>SUM(OSRRefP22_20x_0)</f>
        <v>22697.69</v>
      </c>
      <c r="Q82" s="1"/>
      <c r="R82" s="5">
        <f t="shared" ref="R82:R89" si="76">IF(P$12=0,0,P82/P$12)</f>
        <v>0</v>
      </c>
      <c r="S82" s="1"/>
      <c r="T82" s="1">
        <f>SUM(OSRRefT22_20x_0)</f>
        <v>63161.35</v>
      </c>
      <c r="U82" s="1"/>
      <c r="V82" s="5">
        <f t="shared" ref="V82:V89" si="77">IF(T$12=0,0,T82/T$12)</f>
        <v>0</v>
      </c>
      <c r="W82" s="1"/>
      <c r="X82" s="1">
        <f t="shared" ref="X82:X89" si="78">+P82-T82</f>
        <v>-40463.660000000003</v>
      </c>
      <c r="Y82" s="1"/>
      <c r="Z82" s="5">
        <f t="shared" ref="Z82:Z89" si="79">IF(T82=0,0,X82/T82)</f>
        <v>-0.64063956834361524</v>
      </c>
    </row>
    <row r="83" spans="1:26" s="24" customFormat="1" hidden="1" outlineLevel="2" x14ac:dyDescent="0.35">
      <c r="A83" s="27"/>
      <c r="B83" s="11" t="str">
        <f>CONCATENATE("          ", "6234", " - ", "EXPENDABLE SUPPLIES &amp; EQUIPMEN")</f>
        <v xml:space="preserve">          6234 - EXPENDABLE SUPPLIES &amp; EQUIPMEN</v>
      </c>
      <c r="C83" s="11"/>
      <c r="D83" s="7"/>
      <c r="E83" s="2"/>
      <c r="F83" s="6">
        <f t="shared" si="72"/>
        <v>0</v>
      </c>
      <c r="G83" s="2"/>
      <c r="H83" s="7"/>
      <c r="I83" s="2"/>
      <c r="J83" s="6">
        <f t="shared" si="73"/>
        <v>0</v>
      </c>
      <c r="K83" s="2"/>
      <c r="L83" s="7">
        <f t="shared" si="74"/>
        <v>0</v>
      </c>
      <c r="M83" s="2"/>
      <c r="N83" s="6">
        <f t="shared" si="75"/>
        <v>0</v>
      </c>
      <c r="O83" s="11"/>
      <c r="P83" s="7">
        <v>2149.0500000000002</v>
      </c>
      <c r="Q83" s="2"/>
      <c r="R83" s="6">
        <f t="shared" si="76"/>
        <v>0</v>
      </c>
      <c r="S83" s="2"/>
      <c r="T83" s="7">
        <v>1164.48</v>
      </c>
      <c r="U83" s="2"/>
      <c r="V83" s="6">
        <f t="shared" si="77"/>
        <v>0</v>
      </c>
      <c r="W83" s="2"/>
      <c r="X83" s="7">
        <f t="shared" si="78"/>
        <v>984.57000000000016</v>
      </c>
      <c r="Y83" s="2"/>
      <c r="Z83" s="6">
        <f t="shared" si="79"/>
        <v>0.84550185490519392</v>
      </c>
    </row>
    <row r="84" spans="1:26" s="24" customFormat="1" hidden="1" outlineLevel="2" x14ac:dyDescent="0.35">
      <c r="A84" s="27"/>
      <c r="B84" s="11" t="str">
        <f>CONCATENATE("          ", "6235", " - ", "COVID-19 EXPENSES")</f>
        <v xml:space="preserve">          6235 - COVID-19 EXPENSES</v>
      </c>
      <c r="C84" s="11"/>
      <c r="D84" s="7">
        <v>3511.67</v>
      </c>
      <c r="E84" s="2"/>
      <c r="F84" s="6">
        <f t="shared" si="72"/>
        <v>0</v>
      </c>
      <c r="G84" s="2"/>
      <c r="H84" s="7"/>
      <c r="I84" s="2"/>
      <c r="J84" s="6">
        <f t="shared" si="73"/>
        <v>0</v>
      </c>
      <c r="K84" s="2"/>
      <c r="L84" s="7">
        <f t="shared" si="74"/>
        <v>3511.67</v>
      </c>
      <c r="M84" s="2"/>
      <c r="N84" s="6">
        <f t="shared" si="75"/>
        <v>0</v>
      </c>
      <c r="O84" s="11"/>
      <c r="P84" s="7">
        <v>5061.67</v>
      </c>
      <c r="Q84" s="2"/>
      <c r="R84" s="6">
        <f t="shared" si="76"/>
        <v>0</v>
      </c>
      <c r="S84" s="2"/>
      <c r="T84" s="7"/>
      <c r="U84" s="2"/>
      <c r="V84" s="6">
        <f t="shared" si="77"/>
        <v>0</v>
      </c>
      <c r="W84" s="2"/>
      <c r="X84" s="7">
        <f t="shared" si="78"/>
        <v>5061.67</v>
      </c>
      <c r="Y84" s="2"/>
      <c r="Z84" s="6">
        <f t="shared" si="79"/>
        <v>0</v>
      </c>
    </row>
    <row r="85" spans="1:26" s="24" customFormat="1" hidden="1" outlineLevel="2" x14ac:dyDescent="0.35">
      <c r="A85" s="27"/>
      <c r="B85" s="11" t="str">
        <f>CONCATENATE("          ", "6237", " - ", "JANITORIAL SUPPLIES")</f>
        <v xml:space="preserve">          6237 - JANITORIAL SUPPLIES</v>
      </c>
      <c r="C85" s="11"/>
      <c r="D85" s="7">
        <v>1763.02</v>
      </c>
      <c r="E85" s="2"/>
      <c r="F85" s="6">
        <f t="shared" si="72"/>
        <v>0</v>
      </c>
      <c r="G85" s="2"/>
      <c r="H85" s="7">
        <v>1461.1</v>
      </c>
      <c r="I85" s="2"/>
      <c r="J85" s="6">
        <f t="shared" si="73"/>
        <v>0</v>
      </c>
      <c r="K85" s="2"/>
      <c r="L85" s="7">
        <f t="shared" si="74"/>
        <v>301.92000000000007</v>
      </c>
      <c r="M85" s="2"/>
      <c r="N85" s="6">
        <f t="shared" si="75"/>
        <v>0.20663883375538983</v>
      </c>
      <c r="O85" s="11"/>
      <c r="P85" s="7">
        <v>6170.69</v>
      </c>
      <c r="Q85" s="2"/>
      <c r="R85" s="6">
        <f t="shared" si="76"/>
        <v>0</v>
      </c>
      <c r="S85" s="2"/>
      <c r="T85" s="7">
        <v>7104.67</v>
      </c>
      <c r="U85" s="2"/>
      <c r="V85" s="6">
        <f t="shared" si="77"/>
        <v>0</v>
      </c>
      <c r="W85" s="2"/>
      <c r="X85" s="7">
        <f t="shared" si="78"/>
        <v>-933.98000000000047</v>
      </c>
      <c r="Y85" s="2"/>
      <c r="Z85" s="6">
        <f t="shared" si="79"/>
        <v>-0.13146001151355383</v>
      </c>
    </row>
    <row r="86" spans="1:26" s="24" customFormat="1" hidden="1" outlineLevel="2" x14ac:dyDescent="0.35">
      <c r="A86" s="27"/>
      <c r="B86" s="11" t="str">
        <f>CONCATENATE("          ", "6241", " - ", "OFFICE EXPENSE")</f>
        <v xml:space="preserve">          6241 - OFFICE EXPENSE</v>
      </c>
      <c r="C86" s="11"/>
      <c r="D86" s="7">
        <v>395.27</v>
      </c>
      <c r="E86" s="2"/>
      <c r="F86" s="6">
        <f t="shared" si="72"/>
        <v>0</v>
      </c>
      <c r="G86" s="2"/>
      <c r="H86" s="7">
        <v>845.63</v>
      </c>
      <c r="I86" s="2"/>
      <c r="J86" s="6">
        <f t="shared" si="73"/>
        <v>0</v>
      </c>
      <c r="K86" s="2"/>
      <c r="L86" s="7">
        <f t="shared" si="74"/>
        <v>-450.36</v>
      </c>
      <c r="M86" s="2"/>
      <c r="N86" s="6">
        <f t="shared" si="75"/>
        <v>-0.53257334768161013</v>
      </c>
      <c r="O86" s="11"/>
      <c r="P86" s="7">
        <v>9744.1299999999992</v>
      </c>
      <c r="Q86" s="2"/>
      <c r="R86" s="6">
        <f t="shared" si="76"/>
        <v>0</v>
      </c>
      <c r="S86" s="2"/>
      <c r="T86" s="7">
        <v>18236.54</v>
      </c>
      <c r="U86" s="2"/>
      <c r="V86" s="6">
        <f t="shared" si="77"/>
        <v>0</v>
      </c>
      <c r="W86" s="2"/>
      <c r="X86" s="7">
        <f t="shared" si="78"/>
        <v>-8492.4100000000017</v>
      </c>
      <c r="Y86" s="2"/>
      <c r="Z86" s="6">
        <f t="shared" si="79"/>
        <v>-0.46568098992462392</v>
      </c>
    </row>
    <row r="87" spans="1:26" s="24" customFormat="1" hidden="1" outlineLevel="2" x14ac:dyDescent="0.35">
      <c r="A87" s="27"/>
      <c r="B87" s="11" t="str">
        <f>CONCATENATE("          ", "6245", " - ", "PRINTING")</f>
        <v xml:space="preserve">          6245 - PRINTING</v>
      </c>
      <c r="C87" s="11"/>
      <c r="D87" s="7"/>
      <c r="E87" s="2"/>
      <c r="F87" s="6">
        <f t="shared" si="72"/>
        <v>0</v>
      </c>
      <c r="G87" s="2"/>
      <c r="H87" s="7">
        <v>92.61</v>
      </c>
      <c r="I87" s="2"/>
      <c r="J87" s="6">
        <f t="shared" si="73"/>
        <v>0</v>
      </c>
      <c r="K87" s="2"/>
      <c r="L87" s="7">
        <f t="shared" si="74"/>
        <v>-92.61</v>
      </c>
      <c r="M87" s="2"/>
      <c r="N87" s="6">
        <f t="shared" si="75"/>
        <v>-1</v>
      </c>
      <c r="O87" s="11"/>
      <c r="P87" s="7">
        <v>19.73</v>
      </c>
      <c r="Q87" s="2"/>
      <c r="R87" s="6">
        <f t="shared" si="76"/>
        <v>0</v>
      </c>
      <c r="S87" s="2"/>
      <c r="T87" s="7">
        <v>1984.47</v>
      </c>
      <c r="U87" s="2"/>
      <c r="V87" s="6">
        <f t="shared" si="77"/>
        <v>0</v>
      </c>
      <c r="W87" s="2"/>
      <c r="X87" s="7">
        <f t="shared" si="78"/>
        <v>-1964.74</v>
      </c>
      <c r="Y87" s="2"/>
      <c r="Z87" s="6">
        <f t="shared" si="79"/>
        <v>-0.99005779880774214</v>
      </c>
    </row>
    <row r="88" spans="1:26" s="24" customFormat="1" hidden="1" outlineLevel="2" x14ac:dyDescent="0.35">
      <c r="A88" s="27"/>
      <c r="B88" s="11" t="str">
        <f>CONCATENATE("          ", "6247", " - ", "STORE SUPPLIES")</f>
        <v xml:space="preserve">          6247 - STORE SUPPLIES</v>
      </c>
      <c r="C88" s="11"/>
      <c r="D88" s="7">
        <v>-37.64</v>
      </c>
      <c r="E88" s="2"/>
      <c r="F88" s="6">
        <f t="shared" si="72"/>
        <v>0</v>
      </c>
      <c r="G88" s="2"/>
      <c r="H88" s="7">
        <v>-7.48</v>
      </c>
      <c r="I88" s="2"/>
      <c r="J88" s="6">
        <f t="shared" si="73"/>
        <v>0</v>
      </c>
      <c r="K88" s="2"/>
      <c r="L88" s="7">
        <f t="shared" si="74"/>
        <v>-30.16</v>
      </c>
      <c r="M88" s="2"/>
      <c r="N88" s="6">
        <f t="shared" si="75"/>
        <v>4.0320855614973263</v>
      </c>
      <c r="O88" s="11"/>
      <c r="P88" s="7">
        <v>-491.49</v>
      </c>
      <c r="Q88" s="2"/>
      <c r="R88" s="6">
        <f t="shared" si="76"/>
        <v>0</v>
      </c>
      <c r="S88" s="2"/>
      <c r="T88" s="7">
        <v>33269.689999999995</v>
      </c>
      <c r="U88" s="2"/>
      <c r="V88" s="6">
        <f t="shared" si="77"/>
        <v>0</v>
      </c>
      <c r="W88" s="2"/>
      <c r="X88" s="7">
        <f t="shared" si="78"/>
        <v>-33761.179999999993</v>
      </c>
      <c r="Y88" s="2"/>
      <c r="Z88" s="6">
        <f t="shared" si="79"/>
        <v>-1.0147729059092525</v>
      </c>
    </row>
    <row r="89" spans="1:26" s="24" customFormat="1" hidden="1" outlineLevel="2" x14ac:dyDescent="0.35">
      <c r="A89" s="27"/>
      <c r="B89" s="11" t="str">
        <f>CONCATENATE("          ", "6248", " - ", "UNIFORMS")</f>
        <v xml:space="preserve">          6248 - UNIFORMS</v>
      </c>
      <c r="C89" s="11"/>
      <c r="D89" s="7"/>
      <c r="E89" s="2"/>
      <c r="F89" s="6">
        <f t="shared" si="72"/>
        <v>0</v>
      </c>
      <c r="G89" s="2"/>
      <c r="H89" s="7"/>
      <c r="I89" s="2"/>
      <c r="J89" s="6">
        <f t="shared" si="73"/>
        <v>0</v>
      </c>
      <c r="K89" s="2"/>
      <c r="L89" s="7">
        <f t="shared" si="74"/>
        <v>0</v>
      </c>
      <c r="M89" s="2"/>
      <c r="N89" s="6">
        <f t="shared" si="75"/>
        <v>0</v>
      </c>
      <c r="O89" s="11"/>
      <c r="P89" s="7">
        <v>43.91</v>
      </c>
      <c r="Q89" s="2"/>
      <c r="R89" s="6">
        <f t="shared" si="76"/>
        <v>0</v>
      </c>
      <c r="S89" s="2"/>
      <c r="T89" s="7">
        <v>1401.5</v>
      </c>
      <c r="U89" s="2"/>
      <c r="V89" s="6">
        <f t="shared" si="77"/>
        <v>0</v>
      </c>
      <c r="W89" s="2"/>
      <c r="X89" s="7">
        <f t="shared" si="78"/>
        <v>-1357.59</v>
      </c>
      <c r="Y89" s="2"/>
      <c r="Z89" s="6">
        <f t="shared" si="79"/>
        <v>-0.9686692829111665</v>
      </c>
    </row>
    <row r="90" spans="1:26" s="25" customFormat="1" outlineLevel="1" collapsed="1" x14ac:dyDescent="0.35">
      <c r="A90" s="26"/>
      <c r="B90" s="12" t="str">
        <f>CONCATENATE("     ","Telephone/Data Lines                              ")</f>
        <v xml:space="preserve">     Telephone/Data Lines                              </v>
      </c>
      <c r="C90" s="12"/>
      <c r="D90" s="1">
        <f>SUM(OSRRefD22_21x_0)</f>
        <v>319.70999999999998</v>
      </c>
      <c r="E90" s="1"/>
      <c r="F90" s="5">
        <f t="shared" ref="F90:F97" si="80">IF(D$12=0,0,D90/D$12)</f>
        <v>0</v>
      </c>
      <c r="G90" s="1"/>
      <c r="H90" s="1">
        <f>SUM(OSRRefH22_21x_0)</f>
        <v>511.91</v>
      </c>
      <c r="I90" s="1"/>
      <c r="J90" s="5">
        <f t="shared" ref="J90:J97" si="81">IF(H$12=0,0,H90/H$12)</f>
        <v>0</v>
      </c>
      <c r="K90" s="1"/>
      <c r="L90" s="1">
        <f t="shared" ref="L90:L97" si="82">+D90-H90</f>
        <v>-192.20000000000005</v>
      </c>
      <c r="M90" s="1"/>
      <c r="N90" s="5">
        <f t="shared" ref="N90:N97" si="83">IF(H90=0,0,L90/H90)</f>
        <v>-0.37545662323455303</v>
      </c>
      <c r="O90" s="12"/>
      <c r="P90" s="1">
        <f>SUM(OSRRefP22_21x_0)</f>
        <v>6086.13</v>
      </c>
      <c r="Q90" s="1"/>
      <c r="R90" s="5">
        <f t="shared" ref="R90:R97" si="84">IF(P$12=0,0,P90/P$12)</f>
        <v>0</v>
      </c>
      <c r="S90" s="1"/>
      <c r="T90" s="1">
        <f>SUM(OSRRefT22_21x_0)</f>
        <v>5843.02</v>
      </c>
      <c r="U90" s="1"/>
      <c r="V90" s="5">
        <f t="shared" ref="V90:V97" si="85">IF(T$12=0,0,T90/T$12)</f>
        <v>0</v>
      </c>
      <c r="W90" s="1"/>
      <c r="X90" s="1">
        <f t="shared" ref="X90:X97" si="86">+P90-T90</f>
        <v>243.10999999999967</v>
      </c>
      <c r="Y90" s="1"/>
      <c r="Z90" s="5">
        <f t="shared" ref="Z90:Z97" si="87">IF(T90=0,0,X90/T90)</f>
        <v>4.1606908756088405E-2</v>
      </c>
    </row>
    <row r="91" spans="1:26" s="24" customFormat="1" hidden="1" outlineLevel="2" x14ac:dyDescent="0.35">
      <c r="A91" s="27"/>
      <c r="B91" s="11" t="str">
        <f>CONCATENATE("          ", "6309", " - ", "TELEPHONE")</f>
        <v xml:space="preserve">          6309 - TELEPHONE</v>
      </c>
      <c r="C91" s="11"/>
      <c r="D91" s="7">
        <v>319.70999999999998</v>
      </c>
      <c r="E91" s="2"/>
      <c r="F91" s="6">
        <f t="shared" si="80"/>
        <v>0</v>
      </c>
      <c r="G91" s="2"/>
      <c r="H91" s="7">
        <v>511.91</v>
      </c>
      <c r="I91" s="2"/>
      <c r="J91" s="6">
        <f t="shared" si="81"/>
        <v>0</v>
      </c>
      <c r="K91" s="2"/>
      <c r="L91" s="7">
        <f t="shared" si="82"/>
        <v>-192.20000000000005</v>
      </c>
      <c r="M91" s="2"/>
      <c r="N91" s="6">
        <f t="shared" si="83"/>
        <v>-0.37545662323455303</v>
      </c>
      <c r="O91" s="11"/>
      <c r="P91" s="7">
        <v>6086.13</v>
      </c>
      <c r="Q91" s="2"/>
      <c r="R91" s="6">
        <f t="shared" si="84"/>
        <v>0</v>
      </c>
      <c r="S91" s="2"/>
      <c r="T91" s="7">
        <v>5843.02</v>
      </c>
      <c r="U91" s="2"/>
      <c r="V91" s="6">
        <f t="shared" si="85"/>
        <v>0</v>
      </c>
      <c r="W91" s="2"/>
      <c r="X91" s="7">
        <f t="shared" si="86"/>
        <v>243.10999999999967</v>
      </c>
      <c r="Y91" s="2"/>
      <c r="Z91" s="6">
        <f t="shared" si="87"/>
        <v>4.1606908756088405E-2</v>
      </c>
    </row>
    <row r="92" spans="1:26" s="25" customFormat="1" outlineLevel="1" collapsed="1" x14ac:dyDescent="0.35">
      <c r="A92" s="26"/>
      <c r="B92" s="12" t="str">
        <f>CONCATENATE("     ","Training                                          ")</f>
        <v xml:space="preserve">     Training                                          </v>
      </c>
      <c r="C92" s="12"/>
      <c r="D92" s="1">
        <f>SUM(OSRRefD22_22x_0)</f>
        <v>0</v>
      </c>
      <c r="E92" s="1"/>
      <c r="F92" s="5">
        <f t="shared" si="80"/>
        <v>0</v>
      </c>
      <c r="G92" s="1"/>
      <c r="H92" s="1">
        <f>SUM(OSRRefH22_22x_0)</f>
        <v>375</v>
      </c>
      <c r="I92" s="1"/>
      <c r="J92" s="5">
        <f t="shared" si="81"/>
        <v>0</v>
      </c>
      <c r="K92" s="1"/>
      <c r="L92" s="1">
        <f t="shared" si="82"/>
        <v>-375</v>
      </c>
      <c r="M92" s="1"/>
      <c r="N92" s="5">
        <f t="shared" si="83"/>
        <v>-1</v>
      </c>
      <c r="O92" s="12"/>
      <c r="P92" s="1">
        <f>SUM(OSRRefP22_22x_0)</f>
        <v>13942.81</v>
      </c>
      <c r="Q92" s="1"/>
      <c r="R92" s="5">
        <f t="shared" si="84"/>
        <v>0</v>
      </c>
      <c r="S92" s="1"/>
      <c r="T92" s="1">
        <f>SUM(OSRRefT22_22x_0)</f>
        <v>13564.79</v>
      </c>
      <c r="U92" s="1"/>
      <c r="V92" s="5">
        <f t="shared" si="85"/>
        <v>0</v>
      </c>
      <c r="W92" s="1"/>
      <c r="X92" s="1">
        <f t="shared" si="86"/>
        <v>378.01999999999862</v>
      </c>
      <c r="Y92" s="1"/>
      <c r="Z92" s="5">
        <f t="shared" si="87"/>
        <v>2.7867736986713292E-2</v>
      </c>
    </row>
    <row r="93" spans="1:26" s="24" customFormat="1" hidden="1" outlineLevel="2" x14ac:dyDescent="0.35">
      <c r="A93" s="27"/>
      <c r="B93" s="11" t="str">
        <f>CONCATENATE("          ", "6376", " - ", "TRAINING")</f>
        <v xml:space="preserve">          6376 - TRAINING</v>
      </c>
      <c r="C93" s="11"/>
      <c r="D93" s="7"/>
      <c r="E93" s="2"/>
      <c r="F93" s="6">
        <f t="shared" si="80"/>
        <v>0</v>
      </c>
      <c r="G93" s="2"/>
      <c r="H93" s="7">
        <v>375</v>
      </c>
      <c r="I93" s="2"/>
      <c r="J93" s="6">
        <f t="shared" si="81"/>
        <v>0</v>
      </c>
      <c r="K93" s="2"/>
      <c r="L93" s="7">
        <f t="shared" si="82"/>
        <v>-375</v>
      </c>
      <c r="M93" s="2"/>
      <c r="N93" s="6">
        <f t="shared" si="83"/>
        <v>-1</v>
      </c>
      <c r="O93" s="11"/>
      <c r="P93" s="7">
        <v>13942.81</v>
      </c>
      <c r="Q93" s="2"/>
      <c r="R93" s="6">
        <f t="shared" si="84"/>
        <v>0</v>
      </c>
      <c r="S93" s="2"/>
      <c r="T93" s="7">
        <v>13564.79</v>
      </c>
      <c r="U93" s="2"/>
      <c r="V93" s="6">
        <f t="shared" si="85"/>
        <v>0</v>
      </c>
      <c r="W93" s="2"/>
      <c r="X93" s="7">
        <f t="shared" si="86"/>
        <v>378.01999999999862</v>
      </c>
      <c r="Y93" s="2"/>
      <c r="Z93" s="6">
        <f t="shared" si="87"/>
        <v>2.7867736986713292E-2</v>
      </c>
    </row>
    <row r="94" spans="1:26" s="25" customFormat="1" outlineLevel="1" collapsed="1" x14ac:dyDescent="0.35">
      <c r="A94" s="26"/>
      <c r="B94" s="12" t="str">
        <f>CONCATENATE("     ","Travel                                            ")</f>
        <v xml:space="preserve">     Travel                                            </v>
      </c>
      <c r="C94" s="12"/>
      <c r="D94" s="1">
        <f>SUM(OSRRefD22_23x_0)</f>
        <v>0</v>
      </c>
      <c r="E94" s="1"/>
      <c r="F94" s="5">
        <f t="shared" si="80"/>
        <v>0</v>
      </c>
      <c r="G94" s="1"/>
      <c r="H94" s="1">
        <f>SUM(OSRRefH22_23x_0)</f>
        <v>163.76999999999998</v>
      </c>
      <c r="I94" s="1"/>
      <c r="J94" s="5">
        <f t="shared" si="81"/>
        <v>0</v>
      </c>
      <c r="K94" s="1"/>
      <c r="L94" s="1">
        <f t="shared" si="82"/>
        <v>-163.76999999999998</v>
      </c>
      <c r="M94" s="1"/>
      <c r="N94" s="5">
        <f t="shared" si="83"/>
        <v>-1</v>
      </c>
      <c r="O94" s="12"/>
      <c r="P94" s="1">
        <f>SUM(OSRRefP22_23x_0)</f>
        <v>943.89</v>
      </c>
      <c r="Q94" s="1"/>
      <c r="R94" s="5">
        <f t="shared" si="84"/>
        <v>0</v>
      </c>
      <c r="S94" s="1"/>
      <c r="T94" s="1">
        <f>SUM(OSRRefT22_23x_0)</f>
        <v>2276.34</v>
      </c>
      <c r="U94" s="1"/>
      <c r="V94" s="5">
        <f t="shared" si="85"/>
        <v>0</v>
      </c>
      <c r="W94" s="1"/>
      <c r="X94" s="1">
        <f t="shared" si="86"/>
        <v>-1332.4500000000003</v>
      </c>
      <c r="Y94" s="1"/>
      <c r="Z94" s="5">
        <f t="shared" si="87"/>
        <v>-0.58534753156382624</v>
      </c>
    </row>
    <row r="95" spans="1:26" s="24" customFormat="1" hidden="1" outlineLevel="2" x14ac:dyDescent="0.35">
      <c r="A95" s="27"/>
      <c r="B95" s="11" t="str">
        <f>CONCATENATE("          ", "6292", " - ", "TRAVEL/CONFERENCE")</f>
        <v xml:space="preserve">          6292 - TRAVEL/CONFERENCE</v>
      </c>
      <c r="C95" s="11"/>
      <c r="D95" s="7"/>
      <c r="E95" s="2"/>
      <c r="F95" s="6">
        <f t="shared" si="80"/>
        <v>0</v>
      </c>
      <c r="G95" s="2"/>
      <c r="H95" s="7">
        <v>97.22</v>
      </c>
      <c r="I95" s="2"/>
      <c r="J95" s="6">
        <f t="shared" si="81"/>
        <v>0</v>
      </c>
      <c r="K95" s="2"/>
      <c r="L95" s="7">
        <f t="shared" si="82"/>
        <v>-97.22</v>
      </c>
      <c r="M95" s="2"/>
      <c r="N95" s="6">
        <f t="shared" si="83"/>
        <v>-1</v>
      </c>
      <c r="O95" s="11"/>
      <c r="P95" s="7">
        <v>636.70000000000005</v>
      </c>
      <c r="Q95" s="2"/>
      <c r="R95" s="6">
        <f t="shared" si="84"/>
        <v>0</v>
      </c>
      <c r="S95" s="2"/>
      <c r="T95" s="7">
        <v>1565.56</v>
      </c>
      <c r="U95" s="2"/>
      <c r="V95" s="6">
        <f t="shared" si="85"/>
        <v>0</v>
      </c>
      <c r="W95" s="2"/>
      <c r="X95" s="7">
        <f t="shared" si="86"/>
        <v>-928.8599999999999</v>
      </c>
      <c r="Y95" s="2"/>
      <c r="Z95" s="6">
        <f t="shared" si="87"/>
        <v>-0.59330846470272613</v>
      </c>
    </row>
    <row r="96" spans="1:26" s="24" customFormat="1" hidden="1" outlineLevel="2" x14ac:dyDescent="0.35">
      <c r="A96" s="27"/>
      <c r="B96" s="11" t="str">
        <f>CONCATENATE("          ", "6294", " - ", "TRAVEL OPERATIONAL")</f>
        <v xml:space="preserve">          6294 - TRAVEL OPERATIONAL</v>
      </c>
      <c r="C96" s="11"/>
      <c r="D96" s="7"/>
      <c r="E96" s="2"/>
      <c r="F96" s="6">
        <f t="shared" si="80"/>
        <v>0</v>
      </c>
      <c r="G96" s="2"/>
      <c r="H96" s="7">
        <v>43.19</v>
      </c>
      <c r="I96" s="2"/>
      <c r="J96" s="6">
        <f t="shared" si="81"/>
        <v>0</v>
      </c>
      <c r="K96" s="2"/>
      <c r="L96" s="7">
        <f t="shared" si="82"/>
        <v>-43.19</v>
      </c>
      <c r="M96" s="2"/>
      <c r="N96" s="6">
        <f t="shared" si="83"/>
        <v>-1</v>
      </c>
      <c r="O96" s="11"/>
      <c r="P96" s="7">
        <v>-144.33000000000001</v>
      </c>
      <c r="Q96" s="2"/>
      <c r="R96" s="6">
        <f t="shared" si="84"/>
        <v>0</v>
      </c>
      <c r="S96" s="2"/>
      <c r="T96" s="7">
        <v>43.19</v>
      </c>
      <c r="U96" s="2"/>
      <c r="V96" s="6">
        <f t="shared" si="85"/>
        <v>0</v>
      </c>
      <c r="W96" s="2"/>
      <c r="X96" s="7">
        <f t="shared" si="86"/>
        <v>-187.52</v>
      </c>
      <c r="Y96" s="2"/>
      <c r="Z96" s="6">
        <f t="shared" si="87"/>
        <v>-4.3417457744848349</v>
      </c>
    </row>
    <row r="97" spans="1:26" s="24" customFormat="1" hidden="1" outlineLevel="2" x14ac:dyDescent="0.35">
      <c r="A97" s="27"/>
      <c r="B97" s="11" t="str">
        <f>CONCATENATE("          ", "6298", " - ", "VEHICLE MILEAGE")</f>
        <v xml:space="preserve">          6298 - VEHICLE MILEAGE</v>
      </c>
      <c r="C97" s="11"/>
      <c r="D97" s="7"/>
      <c r="E97" s="2"/>
      <c r="F97" s="6">
        <f t="shared" si="80"/>
        <v>0</v>
      </c>
      <c r="G97" s="2"/>
      <c r="H97" s="7">
        <v>23.36</v>
      </c>
      <c r="I97" s="2"/>
      <c r="J97" s="6">
        <f t="shared" si="81"/>
        <v>0</v>
      </c>
      <c r="K97" s="2"/>
      <c r="L97" s="7">
        <f t="shared" si="82"/>
        <v>-23.36</v>
      </c>
      <c r="M97" s="2"/>
      <c r="N97" s="6">
        <f t="shared" si="83"/>
        <v>-1</v>
      </c>
      <c r="O97" s="11"/>
      <c r="P97" s="7">
        <v>451.52</v>
      </c>
      <c r="Q97" s="2"/>
      <c r="R97" s="6">
        <f t="shared" si="84"/>
        <v>0</v>
      </c>
      <c r="S97" s="2"/>
      <c r="T97" s="7">
        <v>667.59</v>
      </c>
      <c r="U97" s="2"/>
      <c r="V97" s="6">
        <f t="shared" si="85"/>
        <v>0</v>
      </c>
      <c r="W97" s="2"/>
      <c r="X97" s="7">
        <f t="shared" si="86"/>
        <v>-216.07000000000005</v>
      </c>
      <c r="Y97" s="2"/>
      <c r="Z97" s="6">
        <f t="shared" si="87"/>
        <v>-0.32365673542144135</v>
      </c>
    </row>
    <row r="98" spans="1:26" s="25" customFormat="1" outlineLevel="1" collapsed="1" x14ac:dyDescent="0.35">
      <c r="A98" s="26"/>
      <c r="B98" s="12" t="str">
        <f>CONCATENATE("     ","Utilities                                         ")</f>
        <v xml:space="preserve">     Utilities                                         </v>
      </c>
      <c r="C98" s="12"/>
      <c r="D98" s="1">
        <f>SUM(OSRRefD22_24x_0)</f>
        <v>6134</v>
      </c>
      <c r="E98" s="1"/>
      <c r="F98" s="5">
        <f t="shared" ref="F98:F99" si="88">IF(D$12=0,0,D98/D$12)</f>
        <v>0</v>
      </c>
      <c r="G98" s="1"/>
      <c r="H98" s="1">
        <f>SUM(OSRRefH22_24x_0)</f>
        <v>5593</v>
      </c>
      <c r="I98" s="1"/>
      <c r="J98" s="5">
        <f t="shared" ref="J98:J99" si="89">IF(H$12=0,0,H98/H$12)</f>
        <v>0</v>
      </c>
      <c r="K98" s="1"/>
      <c r="L98" s="1">
        <f t="shared" ref="L98:L99" si="90">+D98-H98</f>
        <v>541</v>
      </c>
      <c r="M98" s="1"/>
      <c r="N98" s="5">
        <f t="shared" ref="N98:N99" si="91">IF(H98=0,0,L98/H98)</f>
        <v>9.6728052923296975E-2</v>
      </c>
      <c r="O98" s="12"/>
      <c r="P98" s="1">
        <f>SUM(OSRRefP22_24x_0)</f>
        <v>68539</v>
      </c>
      <c r="Q98" s="1"/>
      <c r="R98" s="5">
        <f t="shared" ref="R98:R99" si="92">IF(P$12=0,0,P98/P$12)</f>
        <v>0</v>
      </c>
      <c r="S98" s="1"/>
      <c r="T98" s="1">
        <f>SUM(OSRRefT22_24x_0)</f>
        <v>54163</v>
      </c>
      <c r="U98" s="1"/>
      <c r="V98" s="5">
        <f t="shared" ref="V98:V99" si="93">IF(T$12=0,0,T98/T$12)</f>
        <v>0</v>
      </c>
      <c r="W98" s="1"/>
      <c r="X98" s="1">
        <f t="shared" ref="X98:X99" si="94">+P98-T98</f>
        <v>14376</v>
      </c>
      <c r="Y98" s="1"/>
      <c r="Z98" s="5">
        <f t="shared" ref="Z98:Z99" si="95">IF(T98=0,0,X98/T98)</f>
        <v>0.26542104388604765</v>
      </c>
    </row>
    <row r="99" spans="1:26" s="24" customFormat="1" hidden="1" outlineLevel="2" x14ac:dyDescent="0.35">
      <c r="A99" s="27"/>
      <c r="B99" s="11" t="str">
        <f>CONCATENATE("          ", "6274", " - ", "UTILITIES")</f>
        <v xml:space="preserve">          6274 - UTILITIES</v>
      </c>
      <c r="C99" s="11"/>
      <c r="D99" s="7">
        <v>6134</v>
      </c>
      <c r="E99" s="2"/>
      <c r="F99" s="6">
        <f t="shared" si="88"/>
        <v>0</v>
      </c>
      <c r="G99" s="2"/>
      <c r="H99" s="7">
        <v>5593</v>
      </c>
      <c r="I99" s="2"/>
      <c r="J99" s="6">
        <f t="shared" si="89"/>
        <v>0</v>
      </c>
      <c r="K99" s="2"/>
      <c r="L99" s="7">
        <f t="shared" si="90"/>
        <v>541</v>
      </c>
      <c r="M99" s="2"/>
      <c r="N99" s="6">
        <f t="shared" si="91"/>
        <v>9.6728052923296975E-2</v>
      </c>
      <c r="O99" s="11"/>
      <c r="P99" s="7">
        <v>68539</v>
      </c>
      <c r="Q99" s="2"/>
      <c r="R99" s="6">
        <f t="shared" si="92"/>
        <v>0</v>
      </c>
      <c r="S99" s="2"/>
      <c r="T99" s="7">
        <v>54163</v>
      </c>
      <c r="U99" s="2"/>
      <c r="V99" s="6">
        <f t="shared" si="93"/>
        <v>0</v>
      </c>
      <c r="W99" s="2"/>
      <c r="X99" s="7">
        <f t="shared" si="94"/>
        <v>14376</v>
      </c>
      <c r="Y99" s="2"/>
      <c r="Z99" s="6">
        <f t="shared" si="95"/>
        <v>0.26542104388604765</v>
      </c>
    </row>
    <row r="100" spans="1:26" s="56" customFormat="1" x14ac:dyDescent="0.3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35">
      <c r="A101" s="10"/>
      <c r="B101" s="29" t="s">
        <v>0</v>
      </c>
      <c r="C101" s="10"/>
      <c r="D101" s="4">
        <f>SUM(OSRRefD25x_0)</f>
        <v>48960.65</v>
      </c>
      <c r="E101" s="4"/>
      <c r="F101" s="13">
        <f t="shared" ref="F101:F104" si="96">IF(D$12=0,0,D101/D$12)</f>
        <v>0</v>
      </c>
      <c r="G101" s="4"/>
      <c r="H101" s="4">
        <f>SUM(OSRRefH25x_0)</f>
        <v>31443.1</v>
      </c>
      <c r="I101" s="4"/>
      <c r="J101" s="13">
        <f t="shared" ref="J101:J104" si="97">IF(H$12=0,0,H101/H$12)</f>
        <v>0</v>
      </c>
      <c r="K101" s="4"/>
      <c r="L101" s="4">
        <f t="shared" ref="L101:L104" si="98">+D101-H101</f>
        <v>17517.550000000003</v>
      </c>
      <c r="M101" s="4"/>
      <c r="N101" s="13">
        <f t="shared" ref="N101:N104" si="99">IF(H101=0,0,L101/H101)</f>
        <v>0.55711904996644745</v>
      </c>
      <c r="O101" s="10"/>
      <c r="P101" s="4">
        <f>SUM(OSRRefP25x_0)</f>
        <v>269200.71000000002</v>
      </c>
      <c r="Q101" s="4"/>
      <c r="R101" s="13">
        <f t="shared" ref="R101:R104" si="100">IF(P$12=0,0,P101/P$12)</f>
        <v>0</v>
      </c>
      <c r="S101" s="4"/>
      <c r="T101" s="4">
        <f>SUM(OSRRefT25x_0)</f>
        <v>304902.18</v>
      </c>
      <c r="U101" s="4"/>
      <c r="V101" s="13">
        <f t="shared" ref="V101:V104" si="101">IF(T$12=0,0,T101/T$12)</f>
        <v>0</v>
      </c>
      <c r="W101" s="4"/>
      <c r="X101" s="4">
        <f t="shared" ref="X101:X104" si="102">+P101-T101</f>
        <v>-35701.469999999972</v>
      </c>
      <c r="Y101" s="4"/>
      <c r="Z101" s="13">
        <f t="shared" ref="Z101:Z104" si="103">IF(T101=0,0,X101/T101)</f>
        <v>-0.11709155375668345</v>
      </c>
    </row>
    <row r="102" spans="1:26" s="24" customFormat="1" hidden="1" outlineLevel="1" x14ac:dyDescent="0.35">
      <c r="A102" s="44"/>
      <c r="B102" s="11" t="str">
        <f>CONCATENATE("          ", "9150", " - ", "MISC. INCOME")</f>
        <v xml:space="preserve">          9150 - MISC. INCOME</v>
      </c>
      <c r="C102" s="11"/>
      <c r="D102" s="2">
        <f>--48960.65</f>
        <v>48960.65</v>
      </c>
      <c r="E102" s="2"/>
      <c r="F102" s="19">
        <f t="shared" si="96"/>
        <v>0</v>
      </c>
      <c r="G102" s="2"/>
      <c r="H102" s="2">
        <f>--31443.1</f>
        <v>31443.1</v>
      </c>
      <c r="I102" s="2"/>
      <c r="J102" s="19">
        <f t="shared" si="97"/>
        <v>0</v>
      </c>
      <c r="K102" s="2"/>
      <c r="L102" s="2">
        <f t="shared" si="98"/>
        <v>17517.550000000003</v>
      </c>
      <c r="M102" s="2"/>
      <c r="N102" s="19">
        <f t="shared" si="99"/>
        <v>0.55711904996644745</v>
      </c>
      <c r="O102" s="11"/>
      <c r="P102" s="2">
        <f>--262102.31</f>
        <v>262102.31</v>
      </c>
      <c r="Q102" s="2"/>
      <c r="R102" s="19">
        <f t="shared" si="100"/>
        <v>0</v>
      </c>
      <c r="S102" s="2"/>
      <c r="T102" s="2">
        <f>--304223.92</f>
        <v>304223.92</v>
      </c>
      <c r="U102" s="2"/>
      <c r="V102" s="19">
        <f t="shared" si="101"/>
        <v>0</v>
      </c>
      <c r="W102" s="2"/>
      <c r="X102" s="2">
        <f t="shared" si="102"/>
        <v>-42121.609999999986</v>
      </c>
      <c r="Y102" s="2"/>
      <c r="Z102" s="19">
        <f t="shared" si="103"/>
        <v>-0.13845594389816548</v>
      </c>
    </row>
    <row r="103" spans="1:26" s="24" customFormat="1" hidden="1" outlineLevel="1" x14ac:dyDescent="0.35">
      <c r="A103" s="44"/>
      <c r="B103" s="11" t="str">
        <f>CONCATENATE("          ", "9151", " - ", "MISC. INCOME")</f>
        <v xml:space="preserve">          9151 - MISC. INCOME</v>
      </c>
      <c r="C103" s="11"/>
      <c r="D103" s="2">
        <f t="shared" ref="D103:D104" si="104">0</f>
        <v>0</v>
      </c>
      <c r="E103" s="2"/>
      <c r="F103" s="19">
        <f t="shared" si="96"/>
        <v>0</v>
      </c>
      <c r="G103" s="2"/>
      <c r="H103" s="2">
        <f t="shared" ref="H103:H104" si="105">0</f>
        <v>0</v>
      </c>
      <c r="I103" s="2"/>
      <c r="J103" s="19">
        <f t="shared" si="97"/>
        <v>0</v>
      </c>
      <c r="K103" s="2"/>
      <c r="L103" s="2">
        <f t="shared" si="98"/>
        <v>0</v>
      </c>
      <c r="M103" s="2"/>
      <c r="N103" s="19">
        <f t="shared" si="99"/>
        <v>0</v>
      </c>
      <c r="O103" s="11"/>
      <c r="P103" s="2">
        <f>--6648.4</f>
        <v>6648.4</v>
      </c>
      <c r="Q103" s="2"/>
      <c r="R103" s="19">
        <f t="shared" si="100"/>
        <v>0</v>
      </c>
      <c r="S103" s="2"/>
      <c r="T103" s="2">
        <f>--498.26</f>
        <v>498.26</v>
      </c>
      <c r="U103" s="2"/>
      <c r="V103" s="19">
        <f t="shared" si="101"/>
        <v>0</v>
      </c>
      <c r="W103" s="2"/>
      <c r="X103" s="2">
        <f t="shared" si="102"/>
        <v>6150.1399999999994</v>
      </c>
      <c r="Y103" s="2"/>
      <c r="Z103" s="19">
        <f t="shared" si="103"/>
        <v>12.343234455906554</v>
      </c>
    </row>
    <row r="104" spans="1:26" s="24" customFormat="1" hidden="1" outlineLevel="1" x14ac:dyDescent="0.35">
      <c r="A104" s="44"/>
      <c r="B104" s="11" t="str">
        <f>CONCATENATE("          ", "9153", " - ", "MISC. INCOME")</f>
        <v xml:space="preserve">          9153 - MISC. INCOME</v>
      </c>
      <c r="C104" s="11"/>
      <c r="D104" s="2">
        <f t="shared" si="104"/>
        <v>0</v>
      </c>
      <c r="E104" s="2"/>
      <c r="F104" s="19">
        <f t="shared" si="96"/>
        <v>0</v>
      </c>
      <c r="G104" s="2"/>
      <c r="H104" s="2">
        <f t="shared" si="105"/>
        <v>0</v>
      </c>
      <c r="I104" s="2"/>
      <c r="J104" s="19">
        <f t="shared" si="97"/>
        <v>0</v>
      </c>
      <c r="K104" s="2"/>
      <c r="L104" s="2">
        <f t="shared" si="98"/>
        <v>0</v>
      </c>
      <c r="M104" s="2"/>
      <c r="N104" s="19">
        <f t="shared" si="99"/>
        <v>0</v>
      </c>
      <c r="O104" s="11"/>
      <c r="P104" s="2">
        <f>--450</f>
        <v>450</v>
      </c>
      <c r="Q104" s="2"/>
      <c r="R104" s="19">
        <f t="shared" si="100"/>
        <v>0</v>
      </c>
      <c r="S104" s="2"/>
      <c r="T104" s="2">
        <f>--180</f>
        <v>180</v>
      </c>
      <c r="U104" s="2"/>
      <c r="V104" s="19">
        <f t="shared" si="101"/>
        <v>0</v>
      </c>
      <c r="W104" s="2"/>
      <c r="X104" s="2">
        <f t="shared" si="102"/>
        <v>270</v>
      </c>
      <c r="Y104" s="2"/>
      <c r="Z104" s="19">
        <f t="shared" si="103"/>
        <v>1.5</v>
      </c>
    </row>
    <row r="105" spans="1:26" x14ac:dyDescent="0.3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35">
      <c r="A106" s="10"/>
      <c r="B106" s="28" t="s">
        <v>3</v>
      </c>
      <c r="C106" s="28"/>
      <c r="D106" s="22">
        <f>+D17-D19+D101</f>
        <v>77528.700000000012</v>
      </c>
      <c r="E106" s="14"/>
      <c r="F106" s="21">
        <f>IF(D$12=0,0,D106/D$12)</f>
        <v>0</v>
      </c>
      <c r="G106" s="14"/>
      <c r="H106" s="22">
        <f>+H17-H19+H101</f>
        <v>-286453.00999999995</v>
      </c>
      <c r="I106" s="14"/>
      <c r="J106" s="21">
        <f>IF(H$12=0,0,H106/H$12)</f>
        <v>0</v>
      </c>
      <c r="K106" s="15"/>
      <c r="L106" s="22">
        <f>+D106-H106</f>
        <v>363981.70999999996</v>
      </c>
      <c r="M106" s="15"/>
      <c r="N106" s="21">
        <f>IF(H106=0,0,L106/H106)</f>
        <v>-1.2706506732116378</v>
      </c>
      <c r="O106" s="29"/>
      <c r="P106" s="22">
        <f>+P17-P19+P101</f>
        <v>-920506.95999999926</v>
      </c>
      <c r="Q106" s="14"/>
      <c r="R106" s="21">
        <f>IF(P$12=0,0,P106/P$12)</f>
        <v>0</v>
      </c>
      <c r="S106" s="14"/>
      <c r="T106" s="22">
        <f>+T17-T19+T101</f>
        <v>-1478852.9200000002</v>
      </c>
      <c r="U106" s="14"/>
      <c r="V106" s="21">
        <f>IF(T$12=0,0,T106/T$12)</f>
        <v>0</v>
      </c>
      <c r="W106" s="15"/>
      <c r="X106" s="22">
        <f>+P106-T106</f>
        <v>558345.96000000089</v>
      </c>
      <c r="Y106" s="15"/>
      <c r="Z106" s="21">
        <f>IF(T106=0,0,X106/T106)</f>
        <v>-0.37755340808334126</v>
      </c>
    </row>
    <row r="107" spans="1:26" x14ac:dyDescent="0.3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35">
      <c r="A108" s="51"/>
      <c r="B108" s="10" t="s">
        <v>13</v>
      </c>
      <c r="C108" s="10"/>
      <c r="D108" s="4"/>
      <c r="E108" s="4"/>
      <c r="F108" s="13">
        <f>IF(D$12=0,0,D108/D$12)</f>
        <v>0</v>
      </c>
      <c r="G108" s="4"/>
      <c r="H108" s="4"/>
      <c r="I108" s="4"/>
      <c r="J108" s="13">
        <f>IF(H$12=0,0,H108/H$12)</f>
        <v>0</v>
      </c>
      <c r="K108" s="4"/>
      <c r="L108" s="4">
        <f>+D108-H108</f>
        <v>0</v>
      </c>
      <c r="M108" s="4"/>
      <c r="N108" s="13">
        <f>IF(H108=0,0,L108/H108)</f>
        <v>0</v>
      </c>
      <c r="O108" s="10"/>
      <c r="P108" s="4"/>
      <c r="Q108" s="4"/>
      <c r="R108" s="13">
        <f>IF(P$12=0,0,P108/P$12)</f>
        <v>0</v>
      </c>
      <c r="S108" s="4"/>
      <c r="T108" s="4"/>
      <c r="U108" s="4"/>
      <c r="V108" s="13">
        <f>IF(T$12=0,0,T108/T$12)</f>
        <v>0</v>
      </c>
      <c r="W108" s="4"/>
      <c r="X108" s="4">
        <f>+P108-T108</f>
        <v>0</v>
      </c>
      <c r="Y108" s="4"/>
      <c r="Z108" s="13">
        <f>IF(T108=0,0,X108/T108)</f>
        <v>0</v>
      </c>
    </row>
    <row r="109" spans="1:26" x14ac:dyDescent="0.3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" thickBot="1" x14ac:dyDescent="0.4">
      <c r="A110" s="10"/>
      <c r="B110" s="28" t="s">
        <v>4</v>
      </c>
      <c r="C110" s="28"/>
      <c r="D110" s="34">
        <f>+D106-D108</f>
        <v>77528.700000000012</v>
      </c>
      <c r="E110" s="14"/>
      <c r="F110" s="32">
        <f>IF(D$12=0,0,D110/D$12)</f>
        <v>0</v>
      </c>
      <c r="G110" s="14"/>
      <c r="H110" s="34">
        <f>+H106-H108</f>
        <v>-286453.00999999995</v>
      </c>
      <c r="I110" s="14"/>
      <c r="J110" s="32">
        <f>IF(H$12=0,0,H110/H$12)</f>
        <v>0</v>
      </c>
      <c r="K110" s="15"/>
      <c r="L110" s="34">
        <f>D110-H110</f>
        <v>363981.70999999996</v>
      </c>
      <c r="M110" s="15"/>
      <c r="N110" s="32">
        <f>IF(H110=0,0,L110/H110)</f>
        <v>-1.2706506732116378</v>
      </c>
      <c r="O110" s="29"/>
      <c r="P110" s="34">
        <f>+P106-P108</f>
        <v>-920506.95999999926</v>
      </c>
      <c r="Q110" s="14"/>
      <c r="R110" s="32">
        <f>IF(P$12=0,0,P110/P$12)</f>
        <v>0</v>
      </c>
      <c r="S110" s="14"/>
      <c r="T110" s="34">
        <f>+T106-T108</f>
        <v>-1478852.9200000002</v>
      </c>
      <c r="U110" s="14"/>
      <c r="V110" s="32">
        <f>IF(T$12=0,0,T110/T$12)</f>
        <v>0</v>
      </c>
      <c r="W110" s="15"/>
      <c r="X110" s="34">
        <f>P110-T110</f>
        <v>558345.96000000089</v>
      </c>
      <c r="Y110" s="15"/>
      <c r="Z110" s="32">
        <f>IF(T110=0,0,X110/T110)</f>
        <v>-0.37755340808334126</v>
      </c>
    </row>
    <row r="111" spans="1:26" ht="15" thickTop="1" x14ac:dyDescent="0.3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3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" thickBot="1" x14ac:dyDescent="0.4">
      <c r="A113" s="10"/>
      <c r="B113" s="28" t="s">
        <v>5</v>
      </c>
      <c r="C113" s="28"/>
      <c r="D113" s="35">
        <f>SUM(D110:D112)</f>
        <v>77528.700000000012</v>
      </c>
      <c r="E113" s="14"/>
      <c r="F113" s="33">
        <f>IF(D$12=0,0,D113/D$12)</f>
        <v>0</v>
      </c>
      <c r="G113" s="14"/>
      <c r="H113" s="35">
        <f>SUM(H110:H112)</f>
        <v>-286453.00999999995</v>
      </c>
      <c r="I113" s="14"/>
      <c r="J113" s="33">
        <f>IF(H$12=0,0,H113/H$12)</f>
        <v>0</v>
      </c>
      <c r="K113" s="15"/>
      <c r="L113" s="35">
        <f>+D113-H113</f>
        <v>363981.70999999996</v>
      </c>
      <c r="M113" s="15"/>
      <c r="N113" s="33">
        <f>IF(H113=0,0,L113/H113)</f>
        <v>-1.2706506732116378</v>
      </c>
      <c r="O113" s="29"/>
      <c r="P113" s="35">
        <f>SUM(P110:P112)</f>
        <v>-920506.95999999926</v>
      </c>
      <c r="Q113" s="14"/>
      <c r="R113" s="33">
        <f>IF(P$12=0,0,P113/P$12)</f>
        <v>0</v>
      </c>
      <c r="S113" s="14"/>
      <c r="T113" s="35">
        <f>SUM(T110:T112)</f>
        <v>-1478852.9200000002</v>
      </c>
      <c r="U113" s="14"/>
      <c r="V113" s="33">
        <f>IF(T$12=0,0,T113/T$12)</f>
        <v>0</v>
      </c>
      <c r="W113" s="15"/>
      <c r="X113" s="35">
        <f>+P113-T113</f>
        <v>558345.96000000089</v>
      </c>
      <c r="Y113" s="15"/>
      <c r="Z113" s="33">
        <f>IF(T113=0,0,X113/T113)</f>
        <v>-0.37755340808334126</v>
      </c>
    </row>
    <row r="114" spans="1:26" ht="15" thickTop="1" x14ac:dyDescent="0.35">
      <c r="A114" s="9"/>
      <c r="C114" s="9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6" x14ac:dyDescent="0.35">
      <c r="A115" s="9"/>
      <c r="B115" s="52">
        <v>44043.52270721065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35">
      <c r="A116" s="9"/>
      <c r="B116" s="61" t="s">
        <v>313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35">
      <c r="A117" s="9"/>
      <c r="B117" s="54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35"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","306", " - ", "Warehouse")</f>
        <v>Department 306 - Warehouse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46589.19</v>
      </c>
      <c r="E18" s="20"/>
      <c r="F18" s="36">
        <f t="shared" ref="F18:F28" si="0">IF(D$12=0,0,D18/D$12)</f>
        <v>0</v>
      </c>
      <c r="G18" s="20"/>
      <c r="H18" s="20">
        <f>SUM(OSRRefH22x_0)</f>
        <v>30933.859999999997</v>
      </c>
      <c r="I18" s="20"/>
      <c r="J18" s="36">
        <f t="shared" ref="J18:J28" si="1">IF(H$12=0,0,H18/H$12)</f>
        <v>0</v>
      </c>
      <c r="K18" s="4"/>
      <c r="L18" s="20">
        <f t="shared" ref="L18:L28" si="2">+D18-H18</f>
        <v>15655.330000000005</v>
      </c>
      <c r="M18" s="4"/>
      <c r="N18" s="36">
        <f t="shared" ref="N18:N28" si="3">IF(H18=0,0,L18/H18)</f>
        <v>0.50609041354683859</v>
      </c>
      <c r="O18" s="10"/>
      <c r="P18" s="20">
        <f>SUM(OSRRefP22x_0)</f>
        <v>519485.78</v>
      </c>
      <c r="Q18" s="20"/>
      <c r="R18" s="36">
        <f t="shared" ref="R18:R28" si="4">IF(P$12=0,0,P18/P$12)</f>
        <v>0</v>
      </c>
      <c r="S18" s="20"/>
      <c r="T18" s="20">
        <f>SUM(OSRRefT22x_0)</f>
        <v>511766.62</v>
      </c>
      <c r="U18" s="20"/>
      <c r="V18" s="36">
        <f t="shared" ref="V18:V28" si="5">IF(T$12=0,0,T18/T$12)</f>
        <v>0</v>
      </c>
      <c r="W18" s="4"/>
      <c r="X18" s="20">
        <f t="shared" ref="X18:X28" si="6">+P18-T18</f>
        <v>7719.1600000000326</v>
      </c>
      <c r="Y18" s="4"/>
      <c r="Z18" s="36">
        <f t="shared" ref="Z18:Z28" si="7">IF(T18=0,0,X18/T18)</f>
        <v>1.5083359676721458E-2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5075</v>
      </c>
      <c r="E19" s="1"/>
      <c r="F19" s="5">
        <f t="shared" si="0"/>
        <v>0</v>
      </c>
      <c r="G19" s="1"/>
      <c r="H19" s="1">
        <f>SUM(OSRRefH22_0x_0)</f>
        <v>5262.51</v>
      </c>
      <c r="I19" s="1"/>
      <c r="J19" s="5">
        <f t="shared" si="1"/>
        <v>0</v>
      </c>
      <c r="K19" s="1"/>
      <c r="L19" s="1">
        <f t="shared" si="2"/>
        <v>-187.51000000000022</v>
      </c>
      <c r="M19" s="1"/>
      <c r="N19" s="5">
        <f t="shared" si="3"/>
        <v>-3.5631286211332658E-2</v>
      </c>
      <c r="O19" s="12"/>
      <c r="P19" s="1">
        <f>SUM(OSRRefP22_0x_0)</f>
        <v>53527.07</v>
      </c>
      <c r="Q19" s="1"/>
      <c r="R19" s="5">
        <f t="shared" si="4"/>
        <v>0</v>
      </c>
      <c r="S19" s="1"/>
      <c r="T19" s="1">
        <f>SUM(OSRRefT22_0x_0)</f>
        <v>73797.509999999995</v>
      </c>
      <c r="U19" s="1"/>
      <c r="V19" s="5">
        <f t="shared" si="5"/>
        <v>0</v>
      </c>
      <c r="W19" s="1"/>
      <c r="X19" s="1">
        <f t="shared" si="6"/>
        <v>-20270.439999999995</v>
      </c>
      <c r="Y19" s="1"/>
      <c r="Z19" s="5">
        <f t="shared" si="7"/>
        <v>-0.27467647621173119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>
        <v>2972.15</v>
      </c>
      <c r="E20" s="2"/>
      <c r="F20" s="6">
        <f t="shared" si="0"/>
        <v>0</v>
      </c>
      <c r="G20" s="2"/>
      <c r="H20" s="7">
        <v>1839.94</v>
      </c>
      <c r="I20" s="2"/>
      <c r="J20" s="6">
        <f t="shared" si="1"/>
        <v>0</v>
      </c>
      <c r="K20" s="2"/>
      <c r="L20" s="7">
        <f t="shared" si="2"/>
        <v>1132.21</v>
      </c>
      <c r="M20" s="2"/>
      <c r="N20" s="6">
        <f t="shared" si="3"/>
        <v>0.615351587551768</v>
      </c>
      <c r="O20" s="11"/>
      <c r="P20" s="7">
        <v>19409.289999999997</v>
      </c>
      <c r="Q20" s="2"/>
      <c r="R20" s="6">
        <f t="shared" si="4"/>
        <v>0</v>
      </c>
      <c r="S20" s="2"/>
      <c r="T20" s="7">
        <v>19123.11</v>
      </c>
      <c r="U20" s="2"/>
      <c r="V20" s="6">
        <f t="shared" si="5"/>
        <v>0</v>
      </c>
      <c r="W20" s="2"/>
      <c r="X20" s="7">
        <f t="shared" si="6"/>
        <v>286.17999999999665</v>
      </c>
      <c r="Y20" s="2"/>
      <c r="Z20" s="6">
        <f t="shared" si="7"/>
        <v>1.4965139038576708E-2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921.85</v>
      </c>
      <c r="E21" s="2"/>
      <c r="F21" s="6">
        <f t="shared" si="0"/>
        <v>0</v>
      </c>
      <c r="G21" s="2"/>
      <c r="H21" s="7">
        <v>459.73</v>
      </c>
      <c r="I21" s="2"/>
      <c r="J21" s="6">
        <f t="shared" si="1"/>
        <v>0</v>
      </c>
      <c r="K21" s="2"/>
      <c r="L21" s="7">
        <f t="shared" si="2"/>
        <v>462.12</v>
      </c>
      <c r="M21" s="2"/>
      <c r="N21" s="6">
        <f t="shared" si="3"/>
        <v>1.0051987035868879</v>
      </c>
      <c r="O21" s="11"/>
      <c r="P21" s="7">
        <v>8372.41</v>
      </c>
      <c r="Q21" s="2"/>
      <c r="R21" s="6">
        <f t="shared" si="4"/>
        <v>0</v>
      </c>
      <c r="S21" s="2"/>
      <c r="T21" s="7">
        <v>4879.92</v>
      </c>
      <c r="U21" s="2"/>
      <c r="V21" s="6">
        <f t="shared" si="5"/>
        <v>0</v>
      </c>
      <c r="W21" s="2"/>
      <c r="X21" s="7">
        <f t="shared" si="6"/>
        <v>3492.49</v>
      </c>
      <c r="Y21" s="2"/>
      <c r="Z21" s="6">
        <f t="shared" si="7"/>
        <v>0.71568591288381767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696.78</v>
      </c>
      <c r="E22" s="2"/>
      <c r="F22" s="6">
        <f t="shared" si="0"/>
        <v>0</v>
      </c>
      <c r="G22" s="2"/>
      <c r="H22" s="7">
        <v>1949.27</v>
      </c>
      <c r="I22" s="2"/>
      <c r="J22" s="6">
        <f t="shared" si="1"/>
        <v>0</v>
      </c>
      <c r="K22" s="2"/>
      <c r="L22" s="7">
        <f t="shared" si="2"/>
        <v>-1252.49</v>
      </c>
      <c r="M22" s="2"/>
      <c r="N22" s="6">
        <f t="shared" si="3"/>
        <v>-0.64254310588066299</v>
      </c>
      <c r="O22" s="11"/>
      <c r="P22" s="7">
        <v>19979.009999999998</v>
      </c>
      <c r="Q22" s="2"/>
      <c r="R22" s="6">
        <f t="shared" si="4"/>
        <v>0</v>
      </c>
      <c r="S22" s="2"/>
      <c r="T22" s="7">
        <v>23007.59</v>
      </c>
      <c r="U22" s="2"/>
      <c r="V22" s="6">
        <f t="shared" si="5"/>
        <v>0</v>
      </c>
      <c r="W22" s="2"/>
      <c r="X22" s="7">
        <f t="shared" si="6"/>
        <v>-3028.5800000000017</v>
      </c>
      <c r="Y22" s="2"/>
      <c r="Z22" s="6">
        <f t="shared" si="7"/>
        <v>-0.13163395210015486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-1120.3</v>
      </c>
      <c r="E23" s="2"/>
      <c r="F23" s="6">
        <f t="shared" si="0"/>
        <v>0</v>
      </c>
      <c r="G23" s="2"/>
      <c r="H23" s="7">
        <v>100.44</v>
      </c>
      <c r="I23" s="2"/>
      <c r="J23" s="6">
        <f t="shared" si="1"/>
        <v>0</v>
      </c>
      <c r="K23" s="2"/>
      <c r="L23" s="7">
        <f t="shared" si="2"/>
        <v>-1220.74</v>
      </c>
      <c r="M23" s="2"/>
      <c r="N23" s="6">
        <f t="shared" si="3"/>
        <v>-12.153922739944246</v>
      </c>
      <c r="O23" s="11"/>
      <c r="P23" s="7">
        <v>0</v>
      </c>
      <c r="Q23" s="2"/>
      <c r="R23" s="6">
        <f t="shared" si="4"/>
        <v>0</v>
      </c>
      <c r="S23" s="2"/>
      <c r="T23" s="7">
        <v>1238.25</v>
      </c>
      <c r="U23" s="2"/>
      <c r="V23" s="6">
        <f t="shared" si="5"/>
        <v>0</v>
      </c>
      <c r="W23" s="2"/>
      <c r="X23" s="7">
        <f t="shared" si="6"/>
        <v>-1238.25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>
        <v>298.81</v>
      </c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298.81</v>
      </c>
      <c r="M24" s="2"/>
      <c r="N24" s="6">
        <f t="shared" si="3"/>
        <v>0</v>
      </c>
      <c r="O24" s="11"/>
      <c r="P24" s="7">
        <v>7876.9</v>
      </c>
      <c r="Q24" s="2"/>
      <c r="R24" s="6">
        <f t="shared" si="4"/>
        <v>0</v>
      </c>
      <c r="S24" s="2"/>
      <c r="T24" s="7">
        <v>7846.26</v>
      </c>
      <c r="U24" s="2"/>
      <c r="V24" s="6">
        <f t="shared" si="5"/>
        <v>0</v>
      </c>
      <c r="W24" s="2"/>
      <c r="X24" s="7">
        <f t="shared" si="6"/>
        <v>30.639999999999418</v>
      </c>
      <c r="Y24" s="2"/>
      <c r="Z24" s="6">
        <f t="shared" si="7"/>
        <v>3.9050452062510568E-3</v>
      </c>
    </row>
    <row r="25" spans="1:26" s="24" customFormat="1" hidden="1" outlineLevel="2" x14ac:dyDescent="0.35">
      <c r="A25" s="27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302.08</v>
      </c>
      <c r="U25" s="2"/>
      <c r="V25" s="6">
        <f t="shared" si="5"/>
        <v>0</v>
      </c>
      <c r="W25" s="2"/>
      <c r="X25" s="7">
        <f t="shared" si="6"/>
        <v>-302.08</v>
      </c>
      <c r="Y25" s="2"/>
      <c r="Z25" s="6">
        <f t="shared" si="7"/>
        <v>-1</v>
      </c>
    </row>
    <row r="26" spans="1:26" s="24" customFormat="1" hidden="1" outlineLevel="2" x14ac:dyDescent="0.35">
      <c r="A26" s="27"/>
      <c r="B26" s="11" t="str">
        <f>CONCATENATE("          ", "6118", " - ", "VACATION")</f>
        <v xml:space="preserve">          6118 - VACATION</v>
      </c>
      <c r="C26" s="11"/>
      <c r="D26" s="7">
        <v>953.08</v>
      </c>
      <c r="E26" s="2"/>
      <c r="F26" s="6">
        <f t="shared" si="0"/>
        <v>0</v>
      </c>
      <c r="G26" s="2"/>
      <c r="H26" s="7">
        <v>263.47000000000003</v>
      </c>
      <c r="I26" s="2"/>
      <c r="J26" s="6">
        <f t="shared" si="1"/>
        <v>0</v>
      </c>
      <c r="K26" s="2"/>
      <c r="L26" s="7">
        <f t="shared" si="2"/>
        <v>689.61</v>
      </c>
      <c r="M26" s="2"/>
      <c r="N26" s="6">
        <f t="shared" si="3"/>
        <v>2.6174137472957071</v>
      </c>
      <c r="O26" s="11"/>
      <c r="P26" s="7">
        <v>4661.3</v>
      </c>
      <c r="Q26" s="2"/>
      <c r="R26" s="6">
        <f t="shared" si="4"/>
        <v>0</v>
      </c>
      <c r="S26" s="2"/>
      <c r="T26" s="7">
        <v>6688.68</v>
      </c>
      <c r="U26" s="2"/>
      <c r="V26" s="6">
        <f t="shared" si="5"/>
        <v>0</v>
      </c>
      <c r="W26" s="2"/>
      <c r="X26" s="7">
        <f t="shared" si="6"/>
        <v>-2027.38</v>
      </c>
      <c r="Y26" s="2"/>
      <c r="Z26" s="6">
        <f t="shared" si="7"/>
        <v>-0.30310614351411641</v>
      </c>
    </row>
    <row r="27" spans="1:26" s="24" customFormat="1" hidden="1" outlineLevel="2" x14ac:dyDescent="0.35">
      <c r="A27" s="27"/>
      <c r="B27" s="11" t="str">
        <f>CONCATENATE("          ", "6119", " - ", "SICK LEAVE")</f>
        <v xml:space="preserve">          6119 - SICK LEAVE</v>
      </c>
      <c r="C27" s="11"/>
      <c r="D27" s="7">
        <v>312.63</v>
      </c>
      <c r="E27" s="2"/>
      <c r="F27" s="6">
        <f t="shared" si="0"/>
        <v>0</v>
      </c>
      <c r="G27" s="2"/>
      <c r="H27" s="7">
        <v>368.68</v>
      </c>
      <c r="I27" s="2"/>
      <c r="J27" s="6">
        <f t="shared" si="1"/>
        <v>0</v>
      </c>
      <c r="K27" s="2"/>
      <c r="L27" s="7">
        <f t="shared" si="2"/>
        <v>-56.050000000000011</v>
      </c>
      <c r="M27" s="2"/>
      <c r="N27" s="6">
        <f t="shared" si="3"/>
        <v>-0.15202885971574268</v>
      </c>
      <c r="O27" s="11"/>
      <c r="P27" s="7">
        <v>-9617.31</v>
      </c>
      <c r="Q27" s="2"/>
      <c r="R27" s="6">
        <f t="shared" si="4"/>
        <v>0</v>
      </c>
      <c r="S27" s="2"/>
      <c r="T27" s="7">
        <v>7591.06</v>
      </c>
      <c r="U27" s="2"/>
      <c r="V27" s="6">
        <f t="shared" si="5"/>
        <v>0</v>
      </c>
      <c r="W27" s="2"/>
      <c r="X27" s="7">
        <f t="shared" si="6"/>
        <v>-17208.37</v>
      </c>
      <c r="Y27" s="2"/>
      <c r="Z27" s="6">
        <f t="shared" si="7"/>
        <v>-2.2669258311750924</v>
      </c>
    </row>
    <row r="28" spans="1:26" s="24" customFormat="1" hidden="1" outlineLevel="2" x14ac:dyDescent="0.35">
      <c r="A28" s="27"/>
      <c r="B28" s="11" t="str">
        <f>CONCATENATE("          ", "6156", " - ", "EMPLOYEE MEALS")</f>
        <v xml:space="preserve">          6156 - EMPLOYEE MEALS</v>
      </c>
      <c r="C28" s="11"/>
      <c r="D28" s="7">
        <v>40</v>
      </c>
      <c r="E28" s="2"/>
      <c r="F28" s="6">
        <f t="shared" si="0"/>
        <v>0</v>
      </c>
      <c r="G28" s="2"/>
      <c r="H28" s="7">
        <v>280.98</v>
      </c>
      <c r="I28" s="2"/>
      <c r="J28" s="6">
        <f t="shared" si="1"/>
        <v>0</v>
      </c>
      <c r="K28" s="2"/>
      <c r="L28" s="7">
        <f t="shared" si="2"/>
        <v>-240.98000000000002</v>
      </c>
      <c r="M28" s="2"/>
      <c r="N28" s="6">
        <f t="shared" si="3"/>
        <v>-0.85764111324649439</v>
      </c>
      <c r="O28" s="11"/>
      <c r="P28" s="7">
        <v>2845.47</v>
      </c>
      <c r="Q28" s="2"/>
      <c r="R28" s="6">
        <f t="shared" si="4"/>
        <v>0</v>
      </c>
      <c r="S28" s="2"/>
      <c r="T28" s="7">
        <v>3120.56</v>
      </c>
      <c r="U28" s="2"/>
      <c r="V28" s="6">
        <f t="shared" si="5"/>
        <v>0</v>
      </c>
      <c r="W28" s="2"/>
      <c r="X28" s="7">
        <f t="shared" si="6"/>
        <v>-275.09000000000015</v>
      </c>
      <c r="Y28" s="2"/>
      <c r="Z28" s="6">
        <f t="shared" si="7"/>
        <v>-8.8154049273207427E-2</v>
      </c>
    </row>
    <row r="29" spans="1:26" s="25" customFormat="1" outlineLevel="1" collapsed="1" x14ac:dyDescent="0.3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39913.72</v>
      </c>
      <c r="E29" s="1"/>
      <c r="F29" s="5">
        <f t="shared" ref="F29:F35" si="8">IF(D$12=0,0,D29/D$12)</f>
        <v>0</v>
      </c>
      <c r="G29" s="1"/>
      <c r="H29" s="1">
        <f>SUM(OSRRefH22_1x_0)</f>
        <v>24051.11</v>
      </c>
      <c r="I29" s="1"/>
      <c r="J29" s="5">
        <f t="shared" ref="J29:J35" si="9">IF(H$12=0,0,H29/H$12)</f>
        <v>0</v>
      </c>
      <c r="K29" s="1"/>
      <c r="L29" s="1">
        <f t="shared" ref="L29:L35" si="10">+D29-H29</f>
        <v>15862.61</v>
      </c>
      <c r="M29" s="1"/>
      <c r="N29" s="5">
        <f t="shared" ref="N29:N35" si="11">IF(H29=0,0,L29/H29)</f>
        <v>0.65953754317368307</v>
      </c>
      <c r="O29" s="12"/>
      <c r="P29" s="1">
        <f>SUM(OSRRefP22_1x_0)</f>
        <v>452215.37999999995</v>
      </c>
      <c r="Q29" s="1"/>
      <c r="R29" s="5">
        <f t="shared" ref="R29:R35" si="12">IF(P$12=0,0,P29/P$12)</f>
        <v>0</v>
      </c>
      <c r="S29" s="1"/>
      <c r="T29" s="1">
        <f>SUM(OSRRefT22_1x_0)</f>
        <v>424909.3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27306.079999999958</v>
      </c>
      <c r="Y29" s="1"/>
      <c r="Z29" s="5">
        <f t="shared" ref="Z29:Z35" si="15">IF(T29=0,0,X29/T29)</f>
        <v>6.4263314547363309E-2</v>
      </c>
    </row>
    <row r="30" spans="1:26" s="24" customFormat="1" hidden="1" outlineLevel="2" x14ac:dyDescent="0.35">
      <c r="A30" s="27"/>
      <c r="B30" s="11" t="str">
        <f>CONCATENATE("          ", "6002", " - ", "STAFF SALARIES")</f>
        <v xml:space="preserve">          6002 - STAFF SALARIES</v>
      </c>
      <c r="C30" s="11"/>
      <c r="D30" s="7">
        <v>4277.84</v>
      </c>
      <c r="E30" s="2"/>
      <c r="F30" s="6">
        <f t="shared" si="8"/>
        <v>0</v>
      </c>
      <c r="G30" s="2"/>
      <c r="H30" s="7">
        <v>7993.24</v>
      </c>
      <c r="I30" s="2"/>
      <c r="J30" s="6">
        <f t="shared" si="9"/>
        <v>0</v>
      </c>
      <c r="K30" s="2"/>
      <c r="L30" s="7">
        <f t="shared" si="10"/>
        <v>-3715.3999999999996</v>
      </c>
      <c r="M30" s="2"/>
      <c r="N30" s="6">
        <f t="shared" si="11"/>
        <v>-0.4648177710165089</v>
      </c>
      <c r="O30" s="11"/>
      <c r="P30" s="7">
        <v>94654.399999999994</v>
      </c>
      <c r="Q30" s="2"/>
      <c r="R30" s="6">
        <f t="shared" si="12"/>
        <v>0</v>
      </c>
      <c r="S30" s="2"/>
      <c r="T30" s="7">
        <v>96687.97</v>
      </c>
      <c r="U30" s="2"/>
      <c r="V30" s="6">
        <f t="shared" si="13"/>
        <v>0</v>
      </c>
      <c r="W30" s="2"/>
      <c r="X30" s="7">
        <f t="shared" si="14"/>
        <v>-2033.570000000007</v>
      </c>
      <c r="Y30" s="2"/>
      <c r="Z30" s="6">
        <f t="shared" si="15"/>
        <v>-2.1032295951606047E-2</v>
      </c>
    </row>
    <row r="31" spans="1:26" s="24" customFormat="1" hidden="1" outlineLevel="2" x14ac:dyDescent="0.35">
      <c r="A31" s="27"/>
      <c r="B31" s="11" t="str">
        <f>CONCATENATE("          ", "6004", " - ", "STAFF HOURLY")</f>
        <v xml:space="preserve">          6004 - STAFF HOURLY</v>
      </c>
      <c r="C31" s="11"/>
      <c r="D31" s="7">
        <v>8856.15</v>
      </c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8856.15</v>
      </c>
      <c r="M31" s="2"/>
      <c r="N31" s="6">
        <f t="shared" si="11"/>
        <v>0</v>
      </c>
      <c r="O31" s="11"/>
      <c r="P31" s="7">
        <v>10606.15</v>
      </c>
      <c r="Q31" s="2"/>
      <c r="R31" s="6">
        <f t="shared" si="12"/>
        <v>0</v>
      </c>
      <c r="S31" s="2"/>
      <c r="T31" s="7"/>
      <c r="U31" s="2"/>
      <c r="V31" s="6">
        <f t="shared" si="13"/>
        <v>0</v>
      </c>
      <c r="W31" s="2"/>
      <c r="X31" s="7">
        <f t="shared" si="14"/>
        <v>10606.15</v>
      </c>
      <c r="Y31" s="2"/>
      <c r="Z31" s="6">
        <f t="shared" si="15"/>
        <v>0</v>
      </c>
    </row>
    <row r="32" spans="1:26" s="24" customFormat="1" hidden="1" outlineLevel="2" x14ac:dyDescent="0.35">
      <c r="A32" s="27"/>
      <c r="B32" s="11" t="str">
        <f>CONCATENATE("          ", "6005", " - ", "TEMPORARY WAGES-HOURLY")</f>
        <v xml:space="preserve">          6005 - TEMPORARY WAGES-HOURLY</v>
      </c>
      <c r="C32" s="11"/>
      <c r="D32" s="7">
        <v>10511.13</v>
      </c>
      <c r="E32" s="2"/>
      <c r="F32" s="6">
        <f t="shared" si="8"/>
        <v>0</v>
      </c>
      <c r="G32" s="2"/>
      <c r="H32" s="7">
        <v>2833.6</v>
      </c>
      <c r="I32" s="2"/>
      <c r="J32" s="6">
        <f t="shared" si="9"/>
        <v>0</v>
      </c>
      <c r="K32" s="2"/>
      <c r="L32" s="7">
        <f t="shared" si="10"/>
        <v>7677.5299999999988</v>
      </c>
      <c r="M32" s="2"/>
      <c r="N32" s="6">
        <f t="shared" si="11"/>
        <v>2.7094614624505926</v>
      </c>
      <c r="O32" s="11"/>
      <c r="P32" s="7">
        <v>46909.49</v>
      </c>
      <c r="Q32" s="2"/>
      <c r="R32" s="6">
        <f t="shared" si="12"/>
        <v>0</v>
      </c>
      <c r="S32" s="2"/>
      <c r="T32" s="7">
        <v>39718.25</v>
      </c>
      <c r="U32" s="2"/>
      <c r="V32" s="6">
        <f t="shared" si="13"/>
        <v>0</v>
      </c>
      <c r="W32" s="2"/>
      <c r="X32" s="7">
        <f t="shared" si="14"/>
        <v>7191.239999999998</v>
      </c>
      <c r="Y32" s="2"/>
      <c r="Z32" s="6">
        <f t="shared" si="15"/>
        <v>0.18105631542175191</v>
      </c>
    </row>
    <row r="33" spans="1:26" s="24" customFormat="1" hidden="1" outlineLevel="2" x14ac:dyDescent="0.35">
      <c r="A33" s="27"/>
      <c r="B33" s="11" t="str">
        <f>CONCATENATE("          ", "6006", " - ", "TEMPORARY PART TIME")</f>
        <v xml:space="preserve">          6006 - TEMPORARY PART TIME</v>
      </c>
      <c r="C33" s="11"/>
      <c r="D33" s="7">
        <v>1347.41</v>
      </c>
      <c r="E33" s="2"/>
      <c r="F33" s="6">
        <f t="shared" si="8"/>
        <v>0</v>
      </c>
      <c r="G33" s="2"/>
      <c r="H33" s="7">
        <v>2922</v>
      </c>
      <c r="I33" s="2"/>
      <c r="J33" s="6">
        <f t="shared" si="9"/>
        <v>0</v>
      </c>
      <c r="K33" s="2"/>
      <c r="L33" s="7">
        <f t="shared" si="10"/>
        <v>-1574.59</v>
      </c>
      <c r="M33" s="2"/>
      <c r="N33" s="6">
        <f t="shared" si="11"/>
        <v>-0.53887405886379192</v>
      </c>
      <c r="O33" s="11"/>
      <c r="P33" s="7">
        <v>15402.92</v>
      </c>
      <c r="Q33" s="2"/>
      <c r="R33" s="6">
        <f t="shared" si="12"/>
        <v>0</v>
      </c>
      <c r="S33" s="2"/>
      <c r="T33" s="7">
        <v>27739.05</v>
      </c>
      <c r="U33" s="2"/>
      <c r="V33" s="6">
        <f t="shared" si="13"/>
        <v>0</v>
      </c>
      <c r="W33" s="2"/>
      <c r="X33" s="7">
        <f t="shared" si="14"/>
        <v>-12336.13</v>
      </c>
      <c r="Y33" s="2"/>
      <c r="Z33" s="6">
        <f t="shared" si="15"/>
        <v>-0.44472070961334292</v>
      </c>
    </row>
    <row r="34" spans="1:26" s="24" customFormat="1" hidden="1" outlineLevel="2" x14ac:dyDescent="0.35">
      <c r="A34" s="27"/>
      <c r="B34" s="11" t="str">
        <f>CONCATENATE("          ", "6007", " - ", "STUDENT HOURLY")</f>
        <v xml:space="preserve">          6007 - STUDENT HOURLY</v>
      </c>
      <c r="C34" s="11"/>
      <c r="D34" s="7">
        <v>14921.190000000002</v>
      </c>
      <c r="E34" s="2"/>
      <c r="F34" s="6">
        <f t="shared" si="8"/>
        <v>0</v>
      </c>
      <c r="G34" s="2"/>
      <c r="H34" s="7">
        <v>10302.27</v>
      </c>
      <c r="I34" s="2"/>
      <c r="J34" s="6">
        <f t="shared" si="9"/>
        <v>0</v>
      </c>
      <c r="K34" s="2"/>
      <c r="L34" s="7">
        <f t="shared" si="10"/>
        <v>4618.9200000000019</v>
      </c>
      <c r="M34" s="2"/>
      <c r="N34" s="6">
        <f t="shared" si="11"/>
        <v>0.44834002603309775</v>
      </c>
      <c r="O34" s="11"/>
      <c r="P34" s="7">
        <v>271625.24</v>
      </c>
      <c r="Q34" s="2"/>
      <c r="R34" s="6">
        <f t="shared" si="12"/>
        <v>0</v>
      </c>
      <c r="S34" s="2"/>
      <c r="T34" s="7">
        <v>243640.83</v>
      </c>
      <c r="U34" s="2"/>
      <c r="V34" s="6">
        <f t="shared" si="13"/>
        <v>0</v>
      </c>
      <c r="W34" s="2"/>
      <c r="X34" s="7">
        <f t="shared" si="14"/>
        <v>27984.410000000003</v>
      </c>
      <c r="Y34" s="2"/>
      <c r="Z34" s="6">
        <f t="shared" si="15"/>
        <v>0.11485927871777488</v>
      </c>
    </row>
    <row r="35" spans="1:26" s="24" customFormat="1" hidden="1" outlineLevel="2" x14ac:dyDescent="0.35">
      <c r="A35" s="27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13017.18</v>
      </c>
      <c r="Q35" s="2"/>
      <c r="R35" s="6">
        <f t="shared" si="12"/>
        <v>0</v>
      </c>
      <c r="S35" s="2"/>
      <c r="T35" s="7">
        <v>17123.2</v>
      </c>
      <c r="U35" s="2"/>
      <c r="V35" s="6">
        <f t="shared" si="13"/>
        <v>0</v>
      </c>
      <c r="W35" s="2"/>
      <c r="X35" s="7">
        <f t="shared" si="14"/>
        <v>-4106.0200000000004</v>
      </c>
      <c r="Y35" s="2"/>
      <c r="Z35" s="6">
        <f t="shared" si="15"/>
        <v>-0.23979279573911419</v>
      </c>
    </row>
    <row r="36" spans="1:26" s="25" customFormat="1" outlineLevel="1" collapsed="1" x14ac:dyDescent="0.3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8" si="16">IF(D$12=0,0,D36/D$12)</f>
        <v>0</v>
      </c>
      <c r="G36" s="1"/>
      <c r="H36" s="1">
        <f>SUM(OSRRefH22_2x_0)</f>
        <v>0</v>
      </c>
      <c r="I36" s="1"/>
      <c r="J36" s="5">
        <f t="shared" ref="J36:J48" si="17">IF(H$12=0,0,H36/H$12)</f>
        <v>0</v>
      </c>
      <c r="K36" s="1"/>
      <c r="L36" s="1">
        <f t="shared" ref="L36:L48" si="18">+D36-H36</f>
        <v>0</v>
      </c>
      <c r="M36" s="1"/>
      <c r="N36" s="5">
        <f t="shared" ref="N36:N48" si="19">IF(H36=0,0,L36/H36)</f>
        <v>0</v>
      </c>
      <c r="O36" s="12"/>
      <c r="P36" s="1">
        <f>SUM(OSRRefP22_2x_0)</f>
        <v>360</v>
      </c>
      <c r="Q36" s="1"/>
      <c r="R36" s="5">
        <f t="shared" ref="R36:R48" si="20">IF(P$12=0,0,P36/P$12)</f>
        <v>0</v>
      </c>
      <c r="S36" s="1"/>
      <c r="T36" s="1">
        <f>SUM(OSRRefT22_2x_0)</f>
        <v>834</v>
      </c>
      <c r="U36" s="1"/>
      <c r="V36" s="5">
        <f t="shared" ref="V36:V48" si="21">IF(T$12=0,0,T36/T$12)</f>
        <v>0</v>
      </c>
      <c r="W36" s="1"/>
      <c r="X36" s="1">
        <f t="shared" ref="X36:X48" si="22">+P36-T36</f>
        <v>-474</v>
      </c>
      <c r="Y36" s="1"/>
      <c r="Z36" s="5">
        <f t="shared" ref="Z36:Z48" si="23">IF(T36=0,0,X36/T36)</f>
        <v>-0.56834532374100721</v>
      </c>
    </row>
    <row r="37" spans="1:26" s="24" customFormat="1" hidden="1" outlineLevel="2" x14ac:dyDescent="0.3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/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>
        <v>360</v>
      </c>
      <c r="Q37" s="2"/>
      <c r="R37" s="6">
        <f t="shared" si="20"/>
        <v>0</v>
      </c>
      <c r="S37" s="2"/>
      <c r="T37" s="7">
        <v>834</v>
      </c>
      <c r="U37" s="2"/>
      <c r="V37" s="6">
        <f t="shared" si="21"/>
        <v>0</v>
      </c>
      <c r="W37" s="2"/>
      <c r="X37" s="7">
        <f t="shared" si="22"/>
        <v>-474</v>
      </c>
      <c r="Y37" s="2"/>
      <c r="Z37" s="6">
        <f t="shared" si="23"/>
        <v>-0.56834532374100721</v>
      </c>
    </row>
    <row r="38" spans="1:26" s="25" customFormat="1" outlineLevel="1" collapsed="1" x14ac:dyDescent="0.35">
      <c r="A38" s="26"/>
      <c r="B38" s="12" t="str">
        <f>CONCATENATE("     ","Employees' Appreciation                           ")</f>
        <v xml:space="preserve">     Employees' Appreciation                           </v>
      </c>
      <c r="C38" s="12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2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19.07</v>
      </c>
      <c r="U38" s="1"/>
      <c r="V38" s="5">
        <f t="shared" si="21"/>
        <v>0</v>
      </c>
      <c r="W38" s="1"/>
      <c r="X38" s="1">
        <f t="shared" si="22"/>
        <v>-19.07</v>
      </c>
      <c r="Y38" s="1"/>
      <c r="Z38" s="5">
        <f t="shared" si="23"/>
        <v>-1</v>
      </c>
    </row>
    <row r="39" spans="1:26" s="24" customFormat="1" hidden="1" outlineLevel="2" x14ac:dyDescent="0.35">
      <c r="A39" s="27"/>
      <c r="B39" s="11" t="str">
        <f>CONCATENATE("          ", "6277", " - ", "EMPLOYEE APPRECIATION")</f>
        <v xml:space="preserve">          6277 - EMPLOYEE APPRECIATION</v>
      </c>
      <c r="C39" s="11"/>
      <c r="D39" s="7"/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/>
      <c r="Q39" s="2"/>
      <c r="R39" s="6">
        <f t="shared" si="20"/>
        <v>0</v>
      </c>
      <c r="S39" s="2"/>
      <c r="T39" s="7">
        <v>19.07</v>
      </c>
      <c r="U39" s="2"/>
      <c r="V39" s="6">
        <f t="shared" si="21"/>
        <v>0</v>
      </c>
      <c r="W39" s="2"/>
      <c r="X39" s="7">
        <f t="shared" si="22"/>
        <v>-19.07</v>
      </c>
      <c r="Y39" s="2"/>
      <c r="Z39" s="6">
        <f t="shared" si="23"/>
        <v>-1</v>
      </c>
    </row>
    <row r="40" spans="1:26" s="25" customFormat="1" outlineLevel="1" collapsed="1" x14ac:dyDescent="0.35">
      <c r="A40" s="26"/>
      <c r="B40" s="12" t="str">
        <f>CONCATENATE("     ","Equipment Rental                                  ")</f>
        <v xml:space="preserve">     Equipment Rental                                  </v>
      </c>
      <c r="C40" s="12"/>
      <c r="D40" s="1">
        <f>SUM(OSRRefD22_4x_0)</f>
        <v>91.26</v>
      </c>
      <c r="E40" s="1"/>
      <c r="F40" s="5">
        <f t="shared" si="16"/>
        <v>0</v>
      </c>
      <c r="G40" s="1"/>
      <c r="H40" s="1">
        <f>SUM(OSRRefH22_4x_0)</f>
        <v>161.32</v>
      </c>
      <c r="I40" s="1"/>
      <c r="J40" s="5">
        <f t="shared" si="17"/>
        <v>0</v>
      </c>
      <c r="K40" s="1"/>
      <c r="L40" s="1">
        <f t="shared" si="18"/>
        <v>-70.059999999999988</v>
      </c>
      <c r="M40" s="1"/>
      <c r="N40" s="5">
        <f t="shared" si="19"/>
        <v>-0.43429209025539295</v>
      </c>
      <c r="O40" s="12"/>
      <c r="P40" s="1">
        <f>SUM(OSRRefP22_4x_0)</f>
        <v>1157.98</v>
      </c>
      <c r="Q40" s="1"/>
      <c r="R40" s="5">
        <f t="shared" si="20"/>
        <v>0</v>
      </c>
      <c r="S40" s="1"/>
      <c r="T40" s="1">
        <f>SUM(OSRRefT22_4x_0)</f>
        <v>1329.16</v>
      </c>
      <c r="U40" s="1"/>
      <c r="V40" s="5">
        <f t="shared" si="21"/>
        <v>0</v>
      </c>
      <c r="W40" s="1"/>
      <c r="X40" s="1">
        <f t="shared" si="22"/>
        <v>-171.18000000000006</v>
      </c>
      <c r="Y40" s="1"/>
      <c r="Z40" s="5">
        <f t="shared" si="23"/>
        <v>-0.1287881067742033</v>
      </c>
    </row>
    <row r="41" spans="1:26" s="24" customFormat="1" hidden="1" outlineLevel="2" x14ac:dyDescent="0.35">
      <c r="A41" s="27"/>
      <c r="B41" s="11" t="str">
        <f>CONCATENATE("          ", "6351", " - ", "EQUIPMENT RENTAL")</f>
        <v xml:space="preserve">          6351 - EQUIPMENT RENTAL</v>
      </c>
      <c r="C41" s="11"/>
      <c r="D41" s="7">
        <v>91.26</v>
      </c>
      <c r="E41" s="2"/>
      <c r="F41" s="6">
        <f t="shared" si="16"/>
        <v>0</v>
      </c>
      <c r="G41" s="2"/>
      <c r="H41" s="7">
        <v>161.32</v>
      </c>
      <c r="I41" s="2"/>
      <c r="J41" s="6">
        <f t="shared" si="17"/>
        <v>0</v>
      </c>
      <c r="K41" s="2"/>
      <c r="L41" s="7">
        <f t="shared" si="18"/>
        <v>-70.059999999999988</v>
      </c>
      <c r="M41" s="2"/>
      <c r="N41" s="6">
        <f t="shared" si="19"/>
        <v>-0.43429209025539295</v>
      </c>
      <c r="O41" s="11"/>
      <c r="P41" s="7">
        <v>1157.98</v>
      </c>
      <c r="Q41" s="2"/>
      <c r="R41" s="6">
        <f t="shared" si="20"/>
        <v>0</v>
      </c>
      <c r="S41" s="2"/>
      <c r="T41" s="7">
        <v>1329.16</v>
      </c>
      <c r="U41" s="2"/>
      <c r="V41" s="6">
        <f t="shared" si="21"/>
        <v>0</v>
      </c>
      <c r="W41" s="2"/>
      <c r="X41" s="7">
        <f t="shared" si="22"/>
        <v>-171.18000000000006</v>
      </c>
      <c r="Y41" s="2"/>
      <c r="Z41" s="6">
        <f t="shared" si="23"/>
        <v>-0.1287881067742033</v>
      </c>
    </row>
    <row r="42" spans="1:26" s="25" customFormat="1" outlineLevel="1" collapsed="1" x14ac:dyDescent="0.35">
      <c r="A42" s="26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315.95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315.95</v>
      </c>
      <c r="M42" s="1"/>
      <c r="N42" s="5">
        <f t="shared" si="19"/>
        <v>0</v>
      </c>
      <c r="O42" s="12"/>
      <c r="P42" s="1">
        <f>SUM(OSRRefP22_5x_0)</f>
        <v>4545.7</v>
      </c>
      <c r="Q42" s="1"/>
      <c r="R42" s="5">
        <f t="shared" si="20"/>
        <v>0</v>
      </c>
      <c r="S42" s="1"/>
      <c r="T42" s="1">
        <f>SUM(OSRRefT22_5x_0)</f>
        <v>62.63</v>
      </c>
      <c r="U42" s="1"/>
      <c r="V42" s="5">
        <f t="shared" si="21"/>
        <v>0</v>
      </c>
      <c r="W42" s="1"/>
      <c r="X42" s="1">
        <f t="shared" si="22"/>
        <v>4483.07</v>
      </c>
      <c r="Y42" s="1"/>
      <c r="Z42" s="5">
        <f t="shared" si="23"/>
        <v>71.580233115120535</v>
      </c>
    </row>
    <row r="43" spans="1:26" s="24" customFormat="1" hidden="1" outlineLevel="2" x14ac:dyDescent="0.35">
      <c r="A43" s="27"/>
      <c r="B43" s="11" t="str">
        <f>CONCATENATE("          ", "6307", " - ", "POSTAGE")</f>
        <v xml:space="preserve">          6307 - POSTAGE</v>
      </c>
      <c r="C43" s="11"/>
      <c r="D43" s="7">
        <v>315.95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315.95</v>
      </c>
      <c r="M43" s="2"/>
      <c r="N43" s="6">
        <f t="shared" si="19"/>
        <v>0</v>
      </c>
      <c r="O43" s="11"/>
      <c r="P43" s="7">
        <v>4545.7</v>
      </c>
      <c r="Q43" s="2"/>
      <c r="R43" s="6">
        <f t="shared" si="20"/>
        <v>0</v>
      </c>
      <c r="S43" s="2"/>
      <c r="T43" s="7">
        <v>62.63</v>
      </c>
      <c r="U43" s="2"/>
      <c r="V43" s="6">
        <f t="shared" si="21"/>
        <v>0</v>
      </c>
      <c r="W43" s="2"/>
      <c r="X43" s="7">
        <f t="shared" si="22"/>
        <v>4483.07</v>
      </c>
      <c r="Y43" s="2"/>
      <c r="Z43" s="6">
        <f t="shared" si="23"/>
        <v>71.580233115120535</v>
      </c>
    </row>
    <row r="44" spans="1:26" s="25" customFormat="1" outlineLevel="1" collapsed="1" x14ac:dyDescent="0.35">
      <c r="A44" s="26"/>
      <c r="B44" s="12" t="str">
        <f>CONCATENATE("     ","General                                           ")</f>
        <v xml:space="preserve">     General                                           </v>
      </c>
      <c r="C44" s="12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2"/>
      <c r="P44" s="1">
        <f>SUM(OSRRefP22_6x_0)</f>
        <v>89.45</v>
      </c>
      <c r="Q44" s="1"/>
      <c r="R44" s="5">
        <f t="shared" si="20"/>
        <v>0</v>
      </c>
      <c r="S44" s="1"/>
      <c r="T44" s="1">
        <f>SUM(OSRRefT22_6x_0)</f>
        <v>0</v>
      </c>
      <c r="U44" s="1"/>
      <c r="V44" s="5">
        <f t="shared" si="21"/>
        <v>0</v>
      </c>
      <c r="W44" s="1"/>
      <c r="X44" s="1">
        <f t="shared" si="22"/>
        <v>89.45</v>
      </c>
      <c r="Y44" s="1"/>
      <c r="Z44" s="5">
        <f t="shared" si="23"/>
        <v>0</v>
      </c>
    </row>
    <row r="45" spans="1:26" s="24" customFormat="1" hidden="1" outlineLevel="2" x14ac:dyDescent="0.35">
      <c r="A45" s="27"/>
      <c r="B45" s="11" t="str">
        <f>CONCATENATE("          ", "6279", " - ", "GENERAL EXPENSE")</f>
        <v xml:space="preserve">          6279 - GENERAL EXPENSE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>
        <v>89.45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89.45</v>
      </c>
      <c r="Y45" s="2"/>
      <c r="Z45" s="6">
        <f t="shared" si="23"/>
        <v>0</v>
      </c>
    </row>
    <row r="46" spans="1:26" s="25" customFormat="1" outlineLevel="1" collapsed="1" x14ac:dyDescent="0.35">
      <c r="A46" s="26"/>
      <c r="B46" s="12" t="str">
        <f>CONCATENATE("     ","Repair and Maintenance                            ")</f>
        <v xml:space="preserve">     Repair and Maintenance                            </v>
      </c>
      <c r="C46" s="12"/>
      <c r="D46" s="1">
        <f>SUM(OSRRefD22_7x_0)</f>
        <v>27.86</v>
      </c>
      <c r="E46" s="1"/>
      <c r="F46" s="5">
        <f t="shared" si="16"/>
        <v>0</v>
      </c>
      <c r="G46" s="1"/>
      <c r="H46" s="1">
        <f>SUM(OSRRefH22_7x_0)</f>
        <v>67.709999999999994</v>
      </c>
      <c r="I46" s="1"/>
      <c r="J46" s="5">
        <f t="shared" si="17"/>
        <v>0</v>
      </c>
      <c r="K46" s="1"/>
      <c r="L46" s="1">
        <f t="shared" si="18"/>
        <v>-39.849999999999994</v>
      </c>
      <c r="M46" s="1"/>
      <c r="N46" s="5">
        <f t="shared" si="19"/>
        <v>-0.58853935903116228</v>
      </c>
      <c r="O46" s="12"/>
      <c r="P46" s="1">
        <f>SUM(OSRRefP22_7x_0)</f>
        <v>533.03</v>
      </c>
      <c r="Q46" s="1"/>
      <c r="R46" s="5">
        <f t="shared" si="20"/>
        <v>0</v>
      </c>
      <c r="S46" s="1"/>
      <c r="T46" s="1">
        <f>SUM(OSRRefT22_7x_0)</f>
        <v>638.14</v>
      </c>
      <c r="U46" s="1"/>
      <c r="V46" s="5">
        <f t="shared" si="21"/>
        <v>0</v>
      </c>
      <c r="W46" s="1"/>
      <c r="X46" s="1">
        <f t="shared" si="22"/>
        <v>-105.11000000000001</v>
      </c>
      <c r="Y46" s="1"/>
      <c r="Z46" s="5">
        <f t="shared" si="23"/>
        <v>-0.16471307236656535</v>
      </c>
    </row>
    <row r="47" spans="1:26" s="24" customFormat="1" hidden="1" outlineLevel="2" x14ac:dyDescent="0.35">
      <c r="A47" s="27"/>
      <c r="B47" s="11" t="str">
        <f>CONCATENATE("          ", "6373", " - ", "MAINTENANCE CONTRACTS")</f>
        <v xml:space="preserve">          6373 - MAINTENANCE CONTRACTS</v>
      </c>
      <c r="C47" s="11"/>
      <c r="D47" s="7">
        <v>27.86</v>
      </c>
      <c r="E47" s="2"/>
      <c r="F47" s="6">
        <f t="shared" si="16"/>
        <v>0</v>
      </c>
      <c r="G47" s="2"/>
      <c r="H47" s="7">
        <v>67.709999999999994</v>
      </c>
      <c r="I47" s="2"/>
      <c r="J47" s="6">
        <f t="shared" si="17"/>
        <v>0</v>
      </c>
      <c r="K47" s="2"/>
      <c r="L47" s="7">
        <f t="shared" si="18"/>
        <v>-39.849999999999994</v>
      </c>
      <c r="M47" s="2"/>
      <c r="N47" s="6">
        <f t="shared" si="19"/>
        <v>-0.58853935903116228</v>
      </c>
      <c r="O47" s="11"/>
      <c r="P47" s="7">
        <v>220.7</v>
      </c>
      <c r="Q47" s="2"/>
      <c r="R47" s="6">
        <f t="shared" si="20"/>
        <v>0</v>
      </c>
      <c r="S47" s="2"/>
      <c r="T47" s="7">
        <v>638.14</v>
      </c>
      <c r="U47" s="2"/>
      <c r="V47" s="6">
        <f t="shared" si="21"/>
        <v>0</v>
      </c>
      <c r="W47" s="2"/>
      <c r="X47" s="7">
        <f t="shared" si="22"/>
        <v>-417.44</v>
      </c>
      <c r="Y47" s="2"/>
      <c r="Z47" s="6">
        <f t="shared" si="23"/>
        <v>-0.65415112671200681</v>
      </c>
    </row>
    <row r="48" spans="1:26" s="24" customFormat="1" hidden="1" outlineLevel="2" x14ac:dyDescent="0.35">
      <c r="A48" s="27"/>
      <c r="B48" s="11" t="str">
        <f>CONCATENATE("          ", "6375", " - ", "OUTSIDE REPAIRS &amp; MAINTENANCE")</f>
        <v xml:space="preserve">          6375 - OUTSIDE REPAIRS &amp; MAINTENANCE</v>
      </c>
      <c r="C48" s="11"/>
      <c r="D48" s="7"/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0</v>
      </c>
      <c r="M48" s="2"/>
      <c r="N48" s="6">
        <f t="shared" si="19"/>
        <v>0</v>
      </c>
      <c r="O48" s="11"/>
      <c r="P48" s="7">
        <v>312.33</v>
      </c>
      <c r="Q48" s="2"/>
      <c r="R48" s="6">
        <f t="shared" si="20"/>
        <v>0</v>
      </c>
      <c r="S48" s="2"/>
      <c r="T48" s="7"/>
      <c r="U48" s="2"/>
      <c r="V48" s="6">
        <f t="shared" si="21"/>
        <v>0</v>
      </c>
      <c r="W48" s="2"/>
      <c r="X48" s="7">
        <f t="shared" si="22"/>
        <v>312.33</v>
      </c>
      <c r="Y48" s="2"/>
      <c r="Z48" s="6">
        <f t="shared" si="23"/>
        <v>0</v>
      </c>
    </row>
    <row r="49" spans="1:26" s="25" customFormat="1" outlineLevel="1" collapsed="1" x14ac:dyDescent="0.35">
      <c r="A49" s="26"/>
      <c r="B49" s="12" t="str">
        <f>CONCATENATE("     ","Supplies                                          ")</f>
        <v xml:space="preserve">     Supplies                                          </v>
      </c>
      <c r="C49" s="12"/>
      <c r="D49" s="1">
        <f>SUM(OSRRefD22_8x_0)</f>
        <v>1089.2</v>
      </c>
      <c r="E49" s="1"/>
      <c r="F49" s="5">
        <f t="shared" ref="F49:F54" si="24">IF(D$12=0,0,D49/D$12)</f>
        <v>0</v>
      </c>
      <c r="G49" s="1"/>
      <c r="H49" s="1">
        <f>SUM(OSRRefH22_8x_0)</f>
        <v>1246.71</v>
      </c>
      <c r="I49" s="1"/>
      <c r="J49" s="5">
        <f t="shared" ref="J49:J54" si="25">IF(H$12=0,0,H49/H$12)</f>
        <v>0</v>
      </c>
      <c r="K49" s="1"/>
      <c r="L49" s="1">
        <f t="shared" ref="L49:L54" si="26">+D49-H49</f>
        <v>-157.51</v>
      </c>
      <c r="M49" s="1"/>
      <c r="N49" s="5">
        <f t="shared" ref="N49:N54" si="27">IF(H49=0,0,L49/H49)</f>
        <v>-0.1263405282704077</v>
      </c>
      <c r="O49" s="12"/>
      <c r="P49" s="1">
        <f>SUM(OSRRefP22_8x_0)</f>
        <v>5208.9699999999993</v>
      </c>
      <c r="Q49" s="1"/>
      <c r="R49" s="5">
        <f t="shared" ref="R49:R54" si="28">IF(P$12=0,0,P49/P$12)</f>
        <v>0</v>
      </c>
      <c r="S49" s="1"/>
      <c r="T49" s="1">
        <f>SUM(OSRRefT22_8x_0)</f>
        <v>7307.09</v>
      </c>
      <c r="U49" s="1"/>
      <c r="V49" s="5">
        <f t="shared" ref="V49:V54" si="29">IF(T$12=0,0,T49/T$12)</f>
        <v>0</v>
      </c>
      <c r="W49" s="1"/>
      <c r="X49" s="1">
        <f t="shared" ref="X49:X54" si="30">+P49-T49</f>
        <v>-2098.1200000000008</v>
      </c>
      <c r="Y49" s="1"/>
      <c r="Z49" s="5">
        <f t="shared" ref="Z49:Z54" si="31">IF(T49=0,0,X49/T49)</f>
        <v>-0.28713482384916578</v>
      </c>
    </row>
    <row r="50" spans="1:26" s="24" customFormat="1" hidden="1" outlineLevel="2" x14ac:dyDescent="0.35">
      <c r="A50" s="27"/>
      <c r="B50" s="11" t="str">
        <f>CONCATENATE("          ", "6234", " - ", "EXPENDABLE SUPPLIES &amp; EQUIPMEN")</f>
        <v xml:space="preserve">          6234 - EXPENDABLE SUPPLIES &amp; EQUIPMEN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/>
      <c r="Q50" s="2"/>
      <c r="R50" s="6">
        <f t="shared" si="28"/>
        <v>0</v>
      </c>
      <c r="S50" s="2"/>
      <c r="T50" s="7">
        <v>858</v>
      </c>
      <c r="U50" s="2"/>
      <c r="V50" s="6">
        <f t="shared" si="29"/>
        <v>0</v>
      </c>
      <c r="W50" s="2"/>
      <c r="X50" s="7">
        <f t="shared" si="30"/>
        <v>-858</v>
      </c>
      <c r="Y50" s="2"/>
      <c r="Z50" s="6">
        <f t="shared" si="31"/>
        <v>-1</v>
      </c>
    </row>
    <row r="51" spans="1:26" s="24" customFormat="1" hidden="1" outlineLevel="2" x14ac:dyDescent="0.35">
      <c r="A51" s="27"/>
      <c r="B51" s="11" t="str">
        <f>CONCATENATE("          ", "6237", " - ", "JANITORIAL SUPPLIES")</f>
        <v xml:space="preserve">          6237 - JANITORIAL SUPPLIES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226.95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226.95</v>
      </c>
      <c r="Y51" s="2"/>
      <c r="Z51" s="6">
        <f t="shared" si="31"/>
        <v>0</v>
      </c>
    </row>
    <row r="52" spans="1:26" s="24" customFormat="1" hidden="1" outlineLevel="2" x14ac:dyDescent="0.35">
      <c r="A52" s="27"/>
      <c r="B52" s="11" t="str">
        <f>CONCATENATE("          ", "6241", " - ", "OFFICE EXPENSE")</f>
        <v xml:space="preserve">          6241 - OFFICE EXPENSE</v>
      </c>
      <c r="C52" s="11"/>
      <c r="D52" s="7">
        <v>190.44</v>
      </c>
      <c r="E52" s="2"/>
      <c r="F52" s="6">
        <f t="shared" si="24"/>
        <v>0</v>
      </c>
      <c r="G52" s="2"/>
      <c r="H52" s="7">
        <v>958.84</v>
      </c>
      <c r="I52" s="2"/>
      <c r="J52" s="6">
        <f t="shared" si="25"/>
        <v>0</v>
      </c>
      <c r="K52" s="2"/>
      <c r="L52" s="7">
        <f t="shared" si="26"/>
        <v>-768.40000000000009</v>
      </c>
      <c r="M52" s="2"/>
      <c r="N52" s="6">
        <f t="shared" si="27"/>
        <v>-0.80138500688331737</v>
      </c>
      <c r="O52" s="11"/>
      <c r="P52" s="7">
        <v>2500.04</v>
      </c>
      <c r="Q52" s="2"/>
      <c r="R52" s="6">
        <f t="shared" si="28"/>
        <v>0</v>
      </c>
      <c r="S52" s="2"/>
      <c r="T52" s="7">
        <v>4399.88</v>
      </c>
      <c r="U52" s="2"/>
      <c r="V52" s="6">
        <f t="shared" si="29"/>
        <v>0</v>
      </c>
      <c r="W52" s="2"/>
      <c r="X52" s="7">
        <f t="shared" si="30"/>
        <v>-1899.8400000000001</v>
      </c>
      <c r="Y52" s="2"/>
      <c r="Z52" s="6">
        <f t="shared" si="31"/>
        <v>-0.4317935943707556</v>
      </c>
    </row>
    <row r="53" spans="1:26" s="24" customFormat="1" hidden="1" outlineLevel="2" x14ac:dyDescent="0.35">
      <c r="A53" s="27"/>
      <c r="B53" s="11" t="str">
        <f>CONCATENATE("          ", "6245", " - ", "PRINTING")</f>
        <v xml:space="preserve">          6245 - PRINTING</v>
      </c>
      <c r="C53" s="11"/>
      <c r="D53" s="7"/>
      <c r="E53" s="2"/>
      <c r="F53" s="6">
        <f t="shared" si="24"/>
        <v>0</v>
      </c>
      <c r="G53" s="2"/>
      <c r="H53" s="7">
        <v>3.09</v>
      </c>
      <c r="I53" s="2"/>
      <c r="J53" s="6">
        <f t="shared" si="25"/>
        <v>0</v>
      </c>
      <c r="K53" s="2"/>
      <c r="L53" s="7">
        <f t="shared" si="26"/>
        <v>-3.09</v>
      </c>
      <c r="M53" s="2"/>
      <c r="N53" s="6">
        <f t="shared" si="27"/>
        <v>-1</v>
      </c>
      <c r="O53" s="11"/>
      <c r="P53" s="7"/>
      <c r="Q53" s="2"/>
      <c r="R53" s="6">
        <f t="shared" si="28"/>
        <v>0</v>
      </c>
      <c r="S53" s="2"/>
      <c r="T53" s="7">
        <v>98.66</v>
      </c>
      <c r="U53" s="2"/>
      <c r="V53" s="6">
        <f t="shared" si="29"/>
        <v>0</v>
      </c>
      <c r="W53" s="2"/>
      <c r="X53" s="7">
        <f t="shared" si="30"/>
        <v>-98.66</v>
      </c>
      <c r="Y53" s="2"/>
      <c r="Z53" s="6">
        <f t="shared" si="31"/>
        <v>-1</v>
      </c>
    </row>
    <row r="54" spans="1:26" s="24" customFormat="1" hidden="1" outlineLevel="2" x14ac:dyDescent="0.35">
      <c r="A54" s="27"/>
      <c r="B54" s="11" t="str">
        <f>CONCATENATE("          ", "6247", " - ", "STORE SUPPLIES")</f>
        <v xml:space="preserve">          6247 - STORE SUPPLIES</v>
      </c>
      <c r="C54" s="11"/>
      <c r="D54" s="7">
        <v>898.76</v>
      </c>
      <c r="E54" s="2"/>
      <c r="F54" s="6">
        <f t="shared" si="24"/>
        <v>0</v>
      </c>
      <c r="G54" s="2"/>
      <c r="H54" s="7">
        <v>284.77999999999997</v>
      </c>
      <c r="I54" s="2"/>
      <c r="J54" s="6">
        <f t="shared" si="25"/>
        <v>0</v>
      </c>
      <c r="K54" s="2"/>
      <c r="L54" s="7">
        <f t="shared" si="26"/>
        <v>613.98</v>
      </c>
      <c r="M54" s="2"/>
      <c r="N54" s="6">
        <f t="shared" si="27"/>
        <v>2.1559800547791279</v>
      </c>
      <c r="O54" s="11"/>
      <c r="P54" s="7">
        <v>2481.98</v>
      </c>
      <c r="Q54" s="2"/>
      <c r="R54" s="6">
        <f t="shared" si="28"/>
        <v>0</v>
      </c>
      <c r="S54" s="2"/>
      <c r="T54" s="7">
        <v>1950.55</v>
      </c>
      <c r="U54" s="2"/>
      <c r="V54" s="6">
        <f t="shared" si="29"/>
        <v>0</v>
      </c>
      <c r="W54" s="2"/>
      <c r="X54" s="7">
        <f t="shared" si="30"/>
        <v>531.43000000000006</v>
      </c>
      <c r="Y54" s="2"/>
      <c r="Z54" s="6">
        <f t="shared" si="31"/>
        <v>0.2724513598728564</v>
      </c>
    </row>
    <row r="55" spans="1:26" s="25" customFormat="1" outlineLevel="1" collapsed="1" x14ac:dyDescent="0.35">
      <c r="A55" s="26"/>
      <c r="B55" s="12" t="str">
        <f>CONCATENATE("     ","Telephone/Data Lines                              ")</f>
        <v xml:space="preserve">     Telephone/Data Lines                              </v>
      </c>
      <c r="C55" s="12"/>
      <c r="D55" s="1">
        <f>SUM(OSRRefD22_9x_0)</f>
        <v>76.2</v>
      </c>
      <c r="E55" s="1"/>
      <c r="F55" s="5">
        <f t="shared" ref="F55:F58" si="32">IF(D$12=0,0,D55/D$12)</f>
        <v>0</v>
      </c>
      <c r="G55" s="1"/>
      <c r="H55" s="1">
        <f>SUM(OSRRefH22_9x_0)</f>
        <v>144.5</v>
      </c>
      <c r="I55" s="1"/>
      <c r="J55" s="5">
        <f t="shared" ref="J55:J58" si="33">IF(H$12=0,0,H55/H$12)</f>
        <v>0</v>
      </c>
      <c r="K55" s="1"/>
      <c r="L55" s="1">
        <f t="shared" ref="L55:L58" si="34">+D55-H55</f>
        <v>-68.3</v>
      </c>
      <c r="M55" s="1"/>
      <c r="N55" s="5">
        <f t="shared" ref="N55:N58" si="35">IF(H55=0,0,L55/H55)</f>
        <v>-0.47266435986159167</v>
      </c>
      <c r="O55" s="12"/>
      <c r="P55" s="1">
        <f>SUM(OSRRefP22_9x_0)</f>
        <v>1768.2</v>
      </c>
      <c r="Q55" s="1"/>
      <c r="R55" s="5">
        <f t="shared" ref="R55:R58" si="36">IF(P$12=0,0,P55/P$12)</f>
        <v>0</v>
      </c>
      <c r="S55" s="1"/>
      <c r="T55" s="1">
        <f>SUM(OSRRefT22_9x_0)</f>
        <v>1871.63</v>
      </c>
      <c r="U55" s="1"/>
      <c r="V55" s="5">
        <f t="shared" ref="V55:V58" si="37">IF(T$12=0,0,T55/T$12)</f>
        <v>0</v>
      </c>
      <c r="W55" s="1"/>
      <c r="X55" s="1">
        <f t="shared" ref="X55:X58" si="38">+P55-T55</f>
        <v>-103.43000000000006</v>
      </c>
      <c r="Y55" s="1"/>
      <c r="Z55" s="5">
        <f t="shared" ref="Z55:Z58" si="39">IF(T55=0,0,X55/T55)</f>
        <v>-5.5261990884950582E-2</v>
      </c>
    </row>
    <row r="56" spans="1:26" s="24" customFormat="1" hidden="1" outlineLevel="2" x14ac:dyDescent="0.35">
      <c r="A56" s="27"/>
      <c r="B56" s="11" t="str">
        <f>CONCATENATE("          ", "6309", " - ", "TELEPHONE")</f>
        <v xml:space="preserve">          6309 - TELEPHONE</v>
      </c>
      <c r="C56" s="11"/>
      <c r="D56" s="7">
        <v>76.2</v>
      </c>
      <c r="E56" s="2"/>
      <c r="F56" s="6">
        <f t="shared" si="32"/>
        <v>0</v>
      </c>
      <c r="G56" s="2"/>
      <c r="H56" s="7">
        <v>144.5</v>
      </c>
      <c r="I56" s="2"/>
      <c r="J56" s="6">
        <f t="shared" si="33"/>
        <v>0</v>
      </c>
      <c r="K56" s="2"/>
      <c r="L56" s="7">
        <f t="shared" si="34"/>
        <v>-68.3</v>
      </c>
      <c r="M56" s="2"/>
      <c r="N56" s="6">
        <f t="shared" si="35"/>
        <v>-0.47266435986159167</v>
      </c>
      <c r="O56" s="11"/>
      <c r="P56" s="7">
        <v>1768.2</v>
      </c>
      <c r="Q56" s="2"/>
      <c r="R56" s="6">
        <f t="shared" si="36"/>
        <v>0</v>
      </c>
      <c r="S56" s="2"/>
      <c r="T56" s="7">
        <v>1871.63</v>
      </c>
      <c r="U56" s="2"/>
      <c r="V56" s="6">
        <f t="shared" si="37"/>
        <v>0</v>
      </c>
      <c r="W56" s="2"/>
      <c r="X56" s="7">
        <f t="shared" si="38"/>
        <v>-103.43000000000006</v>
      </c>
      <c r="Y56" s="2"/>
      <c r="Z56" s="6">
        <f t="shared" si="39"/>
        <v>-5.5261990884950582E-2</v>
      </c>
    </row>
    <row r="57" spans="1:26" s="25" customFormat="1" outlineLevel="1" collapsed="1" x14ac:dyDescent="0.35">
      <c r="A57" s="26"/>
      <c r="B57" s="12" t="str">
        <f>CONCATENATE("     ","Training                                          ")</f>
        <v xml:space="preserve">     Training                                          </v>
      </c>
      <c r="C57" s="12"/>
      <c r="D57" s="1">
        <f>SUM(OSRRefD22_10x_0)</f>
        <v>0</v>
      </c>
      <c r="E57" s="1"/>
      <c r="F57" s="5">
        <f t="shared" si="32"/>
        <v>0</v>
      </c>
      <c r="G57" s="1"/>
      <c r="H57" s="1">
        <f>SUM(OSRRefH22_10x_0)</f>
        <v>0</v>
      </c>
      <c r="I57" s="1"/>
      <c r="J57" s="5">
        <f t="shared" si="33"/>
        <v>0</v>
      </c>
      <c r="K57" s="1"/>
      <c r="L57" s="1">
        <f t="shared" si="34"/>
        <v>0</v>
      </c>
      <c r="M57" s="1"/>
      <c r="N57" s="5">
        <f t="shared" si="35"/>
        <v>0</v>
      </c>
      <c r="O57" s="12"/>
      <c r="P57" s="1">
        <f>SUM(OSRRefP22_10x_0)</f>
        <v>80</v>
      </c>
      <c r="Q57" s="1"/>
      <c r="R57" s="5">
        <f t="shared" si="36"/>
        <v>0</v>
      </c>
      <c r="S57" s="1"/>
      <c r="T57" s="1">
        <f>SUM(OSRRefT22_10x_0)</f>
        <v>998.09</v>
      </c>
      <c r="U57" s="1"/>
      <c r="V57" s="5">
        <f t="shared" si="37"/>
        <v>0</v>
      </c>
      <c r="W57" s="1"/>
      <c r="X57" s="1">
        <f t="shared" si="38"/>
        <v>-918.09</v>
      </c>
      <c r="Y57" s="1"/>
      <c r="Z57" s="5">
        <f t="shared" si="39"/>
        <v>-0.91984690759350363</v>
      </c>
    </row>
    <row r="58" spans="1:26" s="24" customFormat="1" hidden="1" outlineLevel="2" x14ac:dyDescent="0.35">
      <c r="A58" s="27"/>
      <c r="B58" s="11" t="str">
        <f>CONCATENATE("          ", "6376", " - ", "TRAINING")</f>
        <v xml:space="preserve">          6376 - TRAINING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80</v>
      </c>
      <c r="Q58" s="2"/>
      <c r="R58" s="6">
        <f t="shared" si="36"/>
        <v>0</v>
      </c>
      <c r="S58" s="2"/>
      <c r="T58" s="7">
        <v>998.09</v>
      </c>
      <c r="U58" s="2"/>
      <c r="V58" s="6">
        <f t="shared" si="37"/>
        <v>0</v>
      </c>
      <c r="W58" s="2"/>
      <c r="X58" s="7">
        <f t="shared" si="38"/>
        <v>-918.09</v>
      </c>
      <c r="Y58" s="2"/>
      <c r="Z58" s="6">
        <f t="shared" si="39"/>
        <v>-0.91984690759350363</v>
      </c>
    </row>
    <row r="59" spans="1:26" s="56" customFormat="1" x14ac:dyDescent="0.3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35">
      <c r="A60" s="10"/>
      <c r="B60" s="29" t="s">
        <v>0</v>
      </c>
      <c r="C60" s="10"/>
      <c r="D60" s="4">
        <f>SUM(0)</f>
        <v>0</v>
      </c>
      <c r="E60" s="4"/>
      <c r="F60" s="13">
        <f>IF(D$12=0,0,D60/D$12)</f>
        <v>0</v>
      </c>
      <c r="G60" s="4"/>
      <c r="H60" s="4">
        <f>SUM(0)</f>
        <v>0</v>
      </c>
      <c r="I60" s="4"/>
      <c r="J60" s="13">
        <f>IF(H$12=0,0,H60/H$12)</f>
        <v>0</v>
      </c>
      <c r="K60" s="4"/>
      <c r="L60" s="4">
        <f>+D60-H60</f>
        <v>0</v>
      </c>
      <c r="M60" s="4"/>
      <c r="N60" s="13">
        <f>IF(H60=0,0,L60/H60)</f>
        <v>0</v>
      </c>
      <c r="O60" s="10"/>
      <c r="P60" s="4">
        <f>SUM(0)</f>
        <v>0</v>
      </c>
      <c r="Q60" s="4"/>
      <c r="R60" s="13">
        <f>IF(P$12=0,0,P60/P$12)</f>
        <v>0</v>
      </c>
      <c r="S60" s="4"/>
      <c r="T60" s="4">
        <f>SUM(0)</f>
        <v>0</v>
      </c>
      <c r="U60" s="4"/>
      <c r="V60" s="13">
        <f>IF(T$12=0,0,T60/T$12)</f>
        <v>0</v>
      </c>
      <c r="W60" s="4"/>
      <c r="X60" s="4">
        <f>+P60-T60</f>
        <v>0</v>
      </c>
      <c r="Y60" s="4"/>
      <c r="Z60" s="13">
        <f>IF(T60=0,0,X60/T60)</f>
        <v>0</v>
      </c>
    </row>
    <row r="61" spans="1:26" x14ac:dyDescent="0.3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5">
      <c r="A62" s="10"/>
      <c r="B62" s="28" t="s">
        <v>3</v>
      </c>
      <c r="C62" s="28"/>
      <c r="D62" s="22">
        <f>+D16-D18+D60</f>
        <v>-46589.19</v>
      </c>
      <c r="E62" s="14"/>
      <c r="F62" s="21">
        <f>IF(D$12=0,0,D62/D$12)</f>
        <v>0</v>
      </c>
      <c r="G62" s="14"/>
      <c r="H62" s="22">
        <f>+H16-H18+H60</f>
        <v>-30933.859999999997</v>
      </c>
      <c r="I62" s="14"/>
      <c r="J62" s="21">
        <f>IF(H$12=0,0,H62/H$12)</f>
        <v>0</v>
      </c>
      <c r="K62" s="15"/>
      <c r="L62" s="22">
        <f>+D62-H62</f>
        <v>-15655.330000000005</v>
      </c>
      <c r="M62" s="15"/>
      <c r="N62" s="21">
        <f>IF(H62=0,0,L62/H62)</f>
        <v>0.50609041354683859</v>
      </c>
      <c r="O62" s="29"/>
      <c r="P62" s="22">
        <f>+P16-P18+P60</f>
        <v>-519485.78</v>
      </c>
      <c r="Q62" s="14"/>
      <c r="R62" s="21">
        <f>IF(P$12=0,0,P62/P$12)</f>
        <v>0</v>
      </c>
      <c r="S62" s="14"/>
      <c r="T62" s="22">
        <f>+T16-T18+T60</f>
        <v>-511766.62</v>
      </c>
      <c r="U62" s="14"/>
      <c r="V62" s="21">
        <f>IF(T$12=0,0,T62/T$12)</f>
        <v>0</v>
      </c>
      <c r="W62" s="15"/>
      <c r="X62" s="22">
        <f>+P62-T62</f>
        <v>-7719.1600000000326</v>
      </c>
      <c r="Y62" s="15"/>
      <c r="Z62" s="21">
        <f>IF(T62=0,0,X62/T62)</f>
        <v>1.5083359676721458E-2</v>
      </c>
    </row>
    <row r="63" spans="1:26" x14ac:dyDescent="0.3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35">
      <c r="A64" s="51"/>
      <c r="B64" s="10" t="s">
        <v>13</v>
      </c>
      <c r="C64" s="10"/>
      <c r="D64" s="4"/>
      <c r="E64" s="4"/>
      <c r="F64" s="13">
        <f>IF(D$12=0,0,D64/D$12)</f>
        <v>0</v>
      </c>
      <c r="G64" s="4"/>
      <c r="H64" s="4"/>
      <c r="I64" s="4"/>
      <c r="J64" s="13">
        <f>IF(H$12=0,0,H64/H$12)</f>
        <v>0</v>
      </c>
      <c r="K64" s="4"/>
      <c r="L64" s="4">
        <f>+D64-H64</f>
        <v>0</v>
      </c>
      <c r="M64" s="4"/>
      <c r="N64" s="13">
        <f>IF(H64=0,0,L64/H64)</f>
        <v>0</v>
      </c>
      <c r="O64" s="10"/>
      <c r="P64" s="4"/>
      <c r="Q64" s="4"/>
      <c r="R64" s="13">
        <f>IF(P$12=0,0,P64/P$12)</f>
        <v>0</v>
      </c>
      <c r="S64" s="4"/>
      <c r="T64" s="4"/>
      <c r="U64" s="4"/>
      <c r="V64" s="13">
        <f>IF(T$12=0,0,T64/T$12)</f>
        <v>0</v>
      </c>
      <c r="W64" s="4"/>
      <c r="X64" s="4">
        <f>+P64-T64</f>
        <v>0</v>
      </c>
      <c r="Y64" s="4"/>
      <c r="Z64" s="13">
        <f>IF(T64=0,0,X64/T64)</f>
        <v>0</v>
      </c>
    </row>
    <row r="65" spans="1:26" x14ac:dyDescent="0.3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" thickBot="1" x14ac:dyDescent="0.4">
      <c r="A66" s="10"/>
      <c r="B66" s="28" t="s">
        <v>4</v>
      </c>
      <c r="C66" s="28"/>
      <c r="D66" s="34">
        <f>+D62-D64</f>
        <v>-46589.19</v>
      </c>
      <c r="E66" s="14"/>
      <c r="F66" s="32">
        <f>IF(D$12=0,0,D66/D$12)</f>
        <v>0</v>
      </c>
      <c r="G66" s="14"/>
      <c r="H66" s="34">
        <f>+H62-H64</f>
        <v>-30933.859999999997</v>
      </c>
      <c r="I66" s="14"/>
      <c r="J66" s="32">
        <f>IF(H$12=0,0,H66/H$12)</f>
        <v>0</v>
      </c>
      <c r="K66" s="15"/>
      <c r="L66" s="34">
        <f>D66-H66</f>
        <v>-15655.330000000005</v>
      </c>
      <c r="M66" s="15"/>
      <c r="N66" s="32">
        <f>IF(H66=0,0,L66/H66)</f>
        <v>0.50609041354683859</v>
      </c>
      <c r="O66" s="29"/>
      <c r="P66" s="34">
        <f>+P62-P64</f>
        <v>-519485.78</v>
      </c>
      <c r="Q66" s="14"/>
      <c r="R66" s="32">
        <f>IF(P$12=0,0,P66/P$12)</f>
        <v>0</v>
      </c>
      <c r="S66" s="14"/>
      <c r="T66" s="34">
        <f>+T62-T64</f>
        <v>-511766.62</v>
      </c>
      <c r="U66" s="14"/>
      <c r="V66" s="32">
        <f>IF(T$12=0,0,T66/T$12)</f>
        <v>0</v>
      </c>
      <c r="W66" s="15"/>
      <c r="X66" s="34">
        <f>P66-T66</f>
        <v>-7719.1600000000326</v>
      </c>
      <c r="Y66" s="15"/>
      <c r="Z66" s="32">
        <f>IF(T66=0,0,X66/T66)</f>
        <v>1.5083359676721458E-2</v>
      </c>
    </row>
    <row r="67" spans="1:26" ht="15" thickTop="1" x14ac:dyDescent="0.3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3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" thickBot="1" x14ac:dyDescent="0.4">
      <c r="A69" s="10"/>
      <c r="B69" s="28" t="s">
        <v>5</v>
      </c>
      <c r="C69" s="28"/>
      <c r="D69" s="35">
        <f>SUM(D66:D68)</f>
        <v>-46589.19</v>
      </c>
      <c r="E69" s="14"/>
      <c r="F69" s="33">
        <f>IF(D$12=0,0,D69/D$12)</f>
        <v>0</v>
      </c>
      <c r="G69" s="14"/>
      <c r="H69" s="35">
        <f>SUM(H66:H68)</f>
        <v>-30933.859999999997</v>
      </c>
      <c r="I69" s="14"/>
      <c r="J69" s="33">
        <f>IF(H$12=0,0,H69/H$12)</f>
        <v>0</v>
      </c>
      <c r="K69" s="15"/>
      <c r="L69" s="35">
        <f>+D69-H69</f>
        <v>-15655.330000000005</v>
      </c>
      <c r="M69" s="15"/>
      <c r="N69" s="33">
        <f>IF(H69=0,0,L69/H69)</f>
        <v>0.50609041354683859</v>
      </c>
      <c r="O69" s="29"/>
      <c r="P69" s="35">
        <f>SUM(P66:P68)</f>
        <v>-519485.78</v>
      </c>
      <c r="Q69" s="14"/>
      <c r="R69" s="33">
        <f>IF(P$12=0,0,P69/P$12)</f>
        <v>0</v>
      </c>
      <c r="S69" s="14"/>
      <c r="T69" s="35">
        <f>SUM(T66:T68)</f>
        <v>-511766.62</v>
      </c>
      <c r="U69" s="14"/>
      <c r="V69" s="33">
        <f>IF(T$12=0,0,T69/T$12)</f>
        <v>0</v>
      </c>
      <c r="W69" s="15"/>
      <c r="X69" s="35">
        <f>+P69-T69</f>
        <v>-7719.1600000000326</v>
      </c>
      <c r="Y69" s="15"/>
      <c r="Z69" s="33">
        <f>IF(T69=0,0,X69/T69)</f>
        <v>1.5083359676721458E-2</v>
      </c>
    </row>
    <row r="70" spans="1:26" ht="15" thickTop="1" x14ac:dyDescent="0.35">
      <c r="A70" s="9"/>
      <c r="C70" s="9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35">
      <c r="A71" s="9"/>
      <c r="B71" s="52">
        <v>44043.522769328702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35">
      <c r="A72" s="9"/>
      <c r="B72" s="61" t="s">
        <v>313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35">
      <c r="A73" s="9"/>
      <c r="B73" s="54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35"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304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10535.519999999999</v>
      </c>
      <c r="E12" s="4"/>
      <c r="F12" s="13"/>
      <c r="G12" s="4"/>
      <c r="H12" s="4">
        <f>SUM(OSRRefH13x_0)</f>
        <v>24056.16</v>
      </c>
      <c r="I12" s="4"/>
      <c r="J12" s="13"/>
      <c r="K12" s="4"/>
      <c r="L12" s="4">
        <f t="shared" ref="L12:L55" si="0">+D12-H12</f>
        <v>-13520.640000000001</v>
      </c>
      <c r="M12" s="4"/>
      <c r="N12" s="13">
        <f t="shared" ref="N12:N55" si="1">IF(H12=0,0,L12/H12)</f>
        <v>-0.56204481513258975</v>
      </c>
      <c r="O12" s="10"/>
      <c r="P12" s="4">
        <f>SUM(OSRRefP13x_0)</f>
        <v>832217.70999999985</v>
      </c>
      <c r="Q12" s="4"/>
      <c r="R12" s="13"/>
      <c r="S12" s="4"/>
      <c r="T12" s="4">
        <f>SUM(OSRRefT13x_0)</f>
        <v>954544.68000000017</v>
      </c>
      <c r="U12" s="4"/>
      <c r="V12" s="13"/>
      <c r="W12" s="4"/>
      <c r="X12" s="4">
        <f t="shared" ref="X12:X55" si="2">+P12-T12</f>
        <v>-122326.97000000032</v>
      </c>
      <c r="Y12" s="4"/>
      <c r="Z12" s="13">
        <f t="shared" ref="Z12:Z55" si="3">IF(T12=0,0,X12/T12)</f>
        <v>-0.12815216779585456</v>
      </c>
    </row>
    <row r="13" spans="1:26" s="24" customFormat="1" hidden="1" outlineLevel="1" x14ac:dyDescent="0.3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 t="shared" ref="D13:D15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--109.2</f>
        <v>109.2</v>
      </c>
      <c r="U13" s="2"/>
      <c r="V13" s="19"/>
      <c r="W13" s="2"/>
      <c r="X13" s="2">
        <f t="shared" si="2"/>
        <v>-109.2</v>
      </c>
      <c r="Y13" s="2"/>
      <c r="Z13" s="19">
        <f t="shared" si="3"/>
        <v>-1</v>
      </c>
    </row>
    <row r="14" spans="1:26" s="24" customFormat="1" hidden="1" outlineLevel="1" x14ac:dyDescent="0.3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>--293.01</f>
        <v>293.01</v>
      </c>
      <c r="I14" s="2"/>
      <c r="J14" s="19"/>
      <c r="K14" s="2"/>
      <c r="L14" s="2">
        <f t="shared" si="0"/>
        <v>-293.01</v>
      </c>
      <c r="M14" s="2"/>
      <c r="N14" s="19">
        <f t="shared" si="1"/>
        <v>-1</v>
      </c>
      <c r="O14" s="11"/>
      <c r="P14" s="2">
        <f>--347.52</f>
        <v>347.52</v>
      </c>
      <c r="Q14" s="2"/>
      <c r="R14" s="19"/>
      <c r="S14" s="2"/>
      <c r="T14" s="2">
        <f>--1055.55</f>
        <v>1055.55</v>
      </c>
      <c r="U14" s="2"/>
      <c r="V14" s="19"/>
      <c r="W14" s="2"/>
      <c r="X14" s="2">
        <f t="shared" si="2"/>
        <v>-708.03</v>
      </c>
      <c r="Y14" s="2"/>
      <c r="Z14" s="19">
        <f t="shared" si="3"/>
        <v>-0.67076879351996588</v>
      </c>
    </row>
    <row r="15" spans="1:26" s="24" customFormat="1" hidden="1" outlineLevel="1" x14ac:dyDescent="0.3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>
        <f>--81.89</f>
        <v>81.89</v>
      </c>
      <c r="U15" s="2"/>
      <c r="V15" s="19"/>
      <c r="W15" s="2"/>
      <c r="X15" s="2">
        <f t="shared" si="2"/>
        <v>-39.04</v>
      </c>
      <c r="Y15" s="2"/>
      <c r="Z15" s="19">
        <f t="shared" si="3"/>
        <v>-0.47673708633532785</v>
      </c>
    </row>
    <row r="16" spans="1:26" s="24" customFormat="1" hidden="1" outlineLevel="1" x14ac:dyDescent="0.3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--3099.74</f>
        <v>3099.74</v>
      </c>
      <c r="E16" s="2"/>
      <c r="F16" s="19"/>
      <c r="G16" s="2"/>
      <c r="H16" s="2">
        <f>--1050.08</f>
        <v>1050.08</v>
      </c>
      <c r="I16" s="2"/>
      <c r="J16" s="19"/>
      <c r="K16" s="2"/>
      <c r="L16" s="2">
        <f t="shared" si="0"/>
        <v>2049.66</v>
      </c>
      <c r="M16" s="2"/>
      <c r="N16" s="19">
        <f t="shared" si="1"/>
        <v>1.9519084260246837</v>
      </c>
      <c r="O16" s="11"/>
      <c r="P16" s="2">
        <f>--57806.23</f>
        <v>57806.23</v>
      </c>
      <c r="Q16" s="2"/>
      <c r="R16" s="19"/>
      <c r="S16" s="2"/>
      <c r="T16" s="2">
        <f>--61206.57</f>
        <v>61206.57</v>
      </c>
      <c r="U16" s="2"/>
      <c r="V16" s="19"/>
      <c r="W16" s="2"/>
      <c r="X16" s="2">
        <f t="shared" si="2"/>
        <v>-3400.3399999999965</v>
      </c>
      <c r="Y16" s="2"/>
      <c r="Z16" s="19">
        <f t="shared" si="3"/>
        <v>-5.5555147102672092E-2</v>
      </c>
    </row>
    <row r="17" spans="1:26" s="24" customFormat="1" hidden="1" outlineLevel="1" x14ac:dyDescent="0.3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--2531.99</f>
        <v>2531.9899999999998</v>
      </c>
      <c r="E17" s="2"/>
      <c r="F17" s="19"/>
      <c r="G17" s="2"/>
      <c r="H17" s="2">
        <f>--3038.92</f>
        <v>3038.92</v>
      </c>
      <c r="I17" s="2"/>
      <c r="J17" s="19"/>
      <c r="K17" s="2"/>
      <c r="L17" s="2">
        <f t="shared" si="0"/>
        <v>-506.93000000000029</v>
      </c>
      <c r="M17" s="2"/>
      <c r="N17" s="19">
        <f t="shared" si="1"/>
        <v>-0.16681255182762306</v>
      </c>
      <c r="O17" s="11"/>
      <c r="P17" s="2">
        <f>--83111.97</f>
        <v>83111.97</v>
      </c>
      <c r="Q17" s="2"/>
      <c r="R17" s="19"/>
      <c r="S17" s="2"/>
      <c r="T17" s="2">
        <f>--83996.03</f>
        <v>83996.03</v>
      </c>
      <c r="U17" s="2"/>
      <c r="V17" s="19"/>
      <c r="W17" s="2"/>
      <c r="X17" s="2">
        <f t="shared" si="2"/>
        <v>-884.05999999999767</v>
      </c>
      <c r="Y17" s="2"/>
      <c r="Z17" s="19">
        <f t="shared" si="3"/>
        <v>-1.0525021242075341E-2</v>
      </c>
    </row>
    <row r="18" spans="1:26" s="24" customFormat="1" hidden="1" outlineLevel="1" x14ac:dyDescent="0.3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--4073.06</f>
        <v>4073.06</v>
      </c>
      <c r="E18" s="2"/>
      <c r="F18" s="19"/>
      <c r="G18" s="2"/>
      <c r="H18" s="2">
        <f>--17477.08</f>
        <v>17477.080000000002</v>
      </c>
      <c r="I18" s="2"/>
      <c r="J18" s="19"/>
      <c r="K18" s="2"/>
      <c r="L18" s="2">
        <f t="shared" si="0"/>
        <v>-13404.020000000002</v>
      </c>
      <c r="M18" s="2"/>
      <c r="N18" s="19">
        <f t="shared" si="1"/>
        <v>-0.76694848338509647</v>
      </c>
      <c r="O18" s="11"/>
      <c r="P18" s="2">
        <f>--280688.54</f>
        <v>280688.53999999998</v>
      </c>
      <c r="Q18" s="2"/>
      <c r="R18" s="19"/>
      <c r="S18" s="2"/>
      <c r="T18" s="2">
        <f>--308687</f>
        <v>308687</v>
      </c>
      <c r="U18" s="2"/>
      <c r="V18" s="19"/>
      <c r="W18" s="2"/>
      <c r="X18" s="2">
        <f t="shared" si="2"/>
        <v>-27998.460000000021</v>
      </c>
      <c r="Y18" s="2"/>
      <c r="Z18" s="19">
        <f t="shared" si="3"/>
        <v>-9.0701778824505155E-2</v>
      </c>
    </row>
    <row r="19" spans="1:26" s="24" customFormat="1" hidden="1" outlineLevel="1" x14ac:dyDescent="0.3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--386.59</f>
        <v>386.59</v>
      </c>
      <c r="E19" s="2"/>
      <c r="F19" s="19"/>
      <c r="G19" s="2"/>
      <c r="H19" s="2">
        <f>--1510.21</f>
        <v>1510.21</v>
      </c>
      <c r="I19" s="2"/>
      <c r="J19" s="19"/>
      <c r="K19" s="2"/>
      <c r="L19" s="2">
        <f t="shared" si="0"/>
        <v>-1123.6200000000001</v>
      </c>
      <c r="M19" s="2"/>
      <c r="N19" s="19">
        <f t="shared" si="1"/>
        <v>-0.74401573291131706</v>
      </c>
      <c r="O19" s="11"/>
      <c r="P19" s="2">
        <f>--293577.64</f>
        <v>293577.64</v>
      </c>
      <c r="Q19" s="2"/>
      <c r="R19" s="19"/>
      <c r="S19" s="2"/>
      <c r="T19" s="2">
        <f>--346880.65</f>
        <v>346880.65</v>
      </c>
      <c r="U19" s="2"/>
      <c r="V19" s="19"/>
      <c r="W19" s="2"/>
      <c r="X19" s="2">
        <f t="shared" si="2"/>
        <v>-53303.010000000009</v>
      </c>
      <c r="Y19" s="2"/>
      <c r="Z19" s="19">
        <f t="shared" si="3"/>
        <v>-0.15366383221433655</v>
      </c>
    </row>
    <row r="20" spans="1:26" s="24" customFormat="1" hidden="1" outlineLevel="1" x14ac:dyDescent="0.3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ref="D20:D32" si="5">0</f>
        <v>0</v>
      </c>
      <c r="E20" s="2"/>
      <c r="F20" s="19"/>
      <c r="G20" s="2"/>
      <c r="H20" s="2">
        <f>--140.23</f>
        <v>140.22999999999999</v>
      </c>
      <c r="I20" s="2"/>
      <c r="J20" s="19"/>
      <c r="K20" s="2"/>
      <c r="L20" s="2">
        <f t="shared" si="0"/>
        <v>-140.22999999999999</v>
      </c>
      <c r="M20" s="2"/>
      <c r="N20" s="19">
        <f t="shared" si="1"/>
        <v>-1</v>
      </c>
      <c r="O20" s="11"/>
      <c r="P20" s="2">
        <f>--486.34</f>
        <v>486.34</v>
      </c>
      <c r="Q20" s="2"/>
      <c r="R20" s="19"/>
      <c r="S20" s="2"/>
      <c r="T20" s="2">
        <f>--834.06</f>
        <v>834.06</v>
      </c>
      <c r="U20" s="2"/>
      <c r="V20" s="19"/>
      <c r="W20" s="2"/>
      <c r="X20" s="2">
        <f t="shared" si="2"/>
        <v>-347.71999999999997</v>
      </c>
      <c r="Y20" s="2"/>
      <c r="Z20" s="19">
        <f t="shared" si="3"/>
        <v>-0.4169004627964415</v>
      </c>
    </row>
    <row r="21" spans="1:26" s="24" customFormat="1" hidden="1" outlineLevel="1" x14ac:dyDescent="0.3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5"/>
        <v>0</v>
      </c>
      <c r="E21" s="2"/>
      <c r="F21" s="19"/>
      <c r="G21" s="2"/>
      <c r="H21" s="2">
        <f>--0.34</f>
        <v>0.34</v>
      </c>
      <c r="I21" s="2"/>
      <c r="J21" s="19"/>
      <c r="K21" s="2"/>
      <c r="L21" s="2">
        <f t="shared" si="0"/>
        <v>-0.34</v>
      </c>
      <c r="M21" s="2"/>
      <c r="N21" s="19">
        <f t="shared" si="1"/>
        <v>-1</v>
      </c>
      <c r="O21" s="11"/>
      <c r="P21" s="2">
        <f>--1905.06</f>
        <v>1905.06</v>
      </c>
      <c r="Q21" s="2"/>
      <c r="R21" s="19"/>
      <c r="S21" s="2"/>
      <c r="T21" s="2">
        <f>--498.84</f>
        <v>498.84</v>
      </c>
      <c r="U21" s="2"/>
      <c r="V21" s="19"/>
      <c r="W21" s="2"/>
      <c r="X21" s="2">
        <f t="shared" si="2"/>
        <v>1406.22</v>
      </c>
      <c r="Y21" s="2"/>
      <c r="Z21" s="19">
        <f t="shared" si="3"/>
        <v>2.8189800336781334</v>
      </c>
    </row>
    <row r="22" spans="1:26" s="24" customFormat="1" hidden="1" outlineLevel="1" x14ac:dyDescent="0.3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5"/>
        <v>0</v>
      </c>
      <c r="E22" s="2"/>
      <c r="F22" s="19"/>
      <c r="G22" s="2"/>
      <c r="H22" s="2">
        <f>--0.3</f>
        <v>0.3</v>
      </c>
      <c r="I22" s="2"/>
      <c r="J22" s="19"/>
      <c r="K22" s="2"/>
      <c r="L22" s="2">
        <f t="shared" si="0"/>
        <v>-0.3</v>
      </c>
      <c r="M22" s="2"/>
      <c r="N22" s="19">
        <f t="shared" si="1"/>
        <v>-1</v>
      </c>
      <c r="O22" s="11"/>
      <c r="P22" s="2">
        <f>--205.53</f>
        <v>205.53</v>
      </c>
      <c r="Q22" s="2"/>
      <c r="R22" s="19"/>
      <c r="S22" s="2"/>
      <c r="T22" s="2">
        <f>--264.15</f>
        <v>264.14999999999998</v>
      </c>
      <c r="U22" s="2"/>
      <c r="V22" s="19"/>
      <c r="W22" s="2"/>
      <c r="X22" s="2">
        <f t="shared" si="2"/>
        <v>-58.619999999999976</v>
      </c>
      <c r="Y22" s="2"/>
      <c r="Z22" s="19">
        <f t="shared" si="3"/>
        <v>-0.22191936399772849</v>
      </c>
    </row>
    <row r="23" spans="1:26" s="24" customFormat="1" hidden="1" outlineLevel="1" x14ac:dyDescent="0.3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5"/>
        <v>0</v>
      </c>
      <c r="E23" s="2"/>
      <c r="F23" s="19"/>
      <c r="G23" s="2"/>
      <c r="H23" s="2">
        <f>--422.25</f>
        <v>422.25</v>
      </c>
      <c r="I23" s="2"/>
      <c r="J23" s="19"/>
      <c r="K23" s="2"/>
      <c r="L23" s="2">
        <f t="shared" si="0"/>
        <v>-422.25</v>
      </c>
      <c r="M23" s="2"/>
      <c r="N23" s="19">
        <f t="shared" si="1"/>
        <v>-1</v>
      </c>
      <c r="O23" s="11"/>
      <c r="P23" s="2">
        <f>--7803.51</f>
        <v>7803.51</v>
      </c>
      <c r="Q23" s="2"/>
      <c r="R23" s="19"/>
      <c r="S23" s="2"/>
      <c r="T23" s="2">
        <f>--9229.07</f>
        <v>9229.07</v>
      </c>
      <c r="U23" s="2"/>
      <c r="V23" s="19"/>
      <c r="W23" s="2"/>
      <c r="X23" s="2">
        <f t="shared" si="2"/>
        <v>-1425.5599999999995</v>
      </c>
      <c r="Y23" s="2"/>
      <c r="Z23" s="19">
        <f t="shared" si="3"/>
        <v>-0.15446410093324675</v>
      </c>
    </row>
    <row r="24" spans="1:26" s="24" customFormat="1" hidden="1" outlineLevel="1" x14ac:dyDescent="0.3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5"/>
        <v>0</v>
      </c>
      <c r="E24" s="2"/>
      <c r="F24" s="19"/>
      <c r="G24" s="2"/>
      <c r="H24" s="2">
        <f>--5.47</f>
        <v>5.47</v>
      </c>
      <c r="I24" s="2"/>
      <c r="J24" s="19"/>
      <c r="K24" s="2"/>
      <c r="L24" s="2">
        <f t="shared" si="0"/>
        <v>-5.47</v>
      </c>
      <c r="M24" s="2"/>
      <c r="N24" s="19">
        <f t="shared" si="1"/>
        <v>-1</v>
      </c>
      <c r="O24" s="11"/>
      <c r="P24" s="2">
        <f>--1981.84</f>
        <v>1981.84</v>
      </c>
      <c r="Q24" s="2"/>
      <c r="R24" s="19"/>
      <c r="S24" s="2"/>
      <c r="T24" s="2">
        <f>--2675.56</f>
        <v>2675.56</v>
      </c>
      <c r="U24" s="2"/>
      <c r="V24" s="19"/>
      <c r="W24" s="2"/>
      <c r="X24" s="2">
        <f t="shared" si="2"/>
        <v>-693.72</v>
      </c>
      <c r="Y24" s="2"/>
      <c r="Z24" s="19">
        <f t="shared" si="3"/>
        <v>-0.25928030019883691</v>
      </c>
    </row>
    <row r="25" spans="1:26" s="24" customFormat="1" hidden="1" outlineLevel="1" x14ac:dyDescent="0.3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5"/>
        <v>0</v>
      </c>
      <c r="E25" s="2"/>
      <c r="F25" s="19"/>
      <c r="G25" s="2"/>
      <c r="H25" s="2">
        <f>--11.04</f>
        <v>11.04</v>
      </c>
      <c r="I25" s="2"/>
      <c r="J25" s="19"/>
      <c r="K25" s="2"/>
      <c r="L25" s="2">
        <f t="shared" si="0"/>
        <v>-11.04</v>
      </c>
      <c r="M25" s="2"/>
      <c r="N25" s="19">
        <f t="shared" si="1"/>
        <v>-1</v>
      </c>
      <c r="O25" s="11"/>
      <c r="P25" s="2">
        <f>--513.51</f>
        <v>513.51</v>
      </c>
      <c r="Q25" s="2"/>
      <c r="R25" s="19"/>
      <c r="S25" s="2"/>
      <c r="T25" s="2">
        <f>--881.19</f>
        <v>881.19</v>
      </c>
      <c r="U25" s="2"/>
      <c r="V25" s="19"/>
      <c r="W25" s="2"/>
      <c r="X25" s="2">
        <f t="shared" si="2"/>
        <v>-367.68000000000006</v>
      </c>
      <c r="Y25" s="2"/>
      <c r="Z25" s="19">
        <f t="shared" si="3"/>
        <v>-0.41725394069383454</v>
      </c>
    </row>
    <row r="26" spans="1:26" s="24" customFormat="1" hidden="1" outlineLevel="1" x14ac:dyDescent="0.3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 t="shared" si="5"/>
        <v>0</v>
      </c>
      <c r="E26" s="2"/>
      <c r="F26" s="19"/>
      <c r="G26" s="2"/>
      <c r="H26" s="2">
        <f t="shared" ref="H26:H28" si="6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3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 t="shared" si="5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--583.7</f>
        <v>583.70000000000005</v>
      </c>
      <c r="Q27" s="2"/>
      <c r="R27" s="19"/>
      <c r="S27" s="2"/>
      <c r="T27" s="2">
        <f>--736.93</f>
        <v>736.93</v>
      </c>
      <c r="U27" s="2"/>
      <c r="V27" s="19"/>
      <c r="W27" s="2"/>
      <c r="X27" s="2">
        <f t="shared" si="2"/>
        <v>-153.2299999999999</v>
      </c>
      <c r="Y27" s="2"/>
      <c r="Z27" s="19">
        <f t="shared" si="3"/>
        <v>-0.20793019689794134</v>
      </c>
    </row>
    <row r="28" spans="1:26" s="24" customFormat="1" hidden="1" outlineLevel="1" x14ac:dyDescent="0.3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 t="shared" si="5"/>
        <v>0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3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 t="shared" si="5"/>
        <v>0</v>
      </c>
      <c r="E29" s="2"/>
      <c r="F29" s="19"/>
      <c r="G29" s="2"/>
      <c r="H29" s="2">
        <f>--22.97</f>
        <v>22.97</v>
      </c>
      <c r="I29" s="2"/>
      <c r="J29" s="19"/>
      <c r="K29" s="2"/>
      <c r="L29" s="2">
        <f t="shared" si="0"/>
        <v>-22.97</v>
      </c>
      <c r="M29" s="2"/>
      <c r="N29" s="19">
        <f t="shared" si="1"/>
        <v>-1</v>
      </c>
      <c r="O29" s="11"/>
      <c r="P29" s="2">
        <f>--3174.93</f>
        <v>3174.93</v>
      </c>
      <c r="Q29" s="2"/>
      <c r="R29" s="19"/>
      <c r="S29" s="2"/>
      <c r="T29" s="2">
        <f>--4426.51</f>
        <v>4426.51</v>
      </c>
      <c r="U29" s="2"/>
      <c r="V29" s="19"/>
      <c r="W29" s="2"/>
      <c r="X29" s="2">
        <f t="shared" si="2"/>
        <v>-1251.5800000000004</v>
      </c>
      <c r="Y29" s="2"/>
      <c r="Z29" s="19">
        <f t="shared" si="3"/>
        <v>-0.28274645262294684</v>
      </c>
    </row>
    <row r="30" spans="1:26" s="24" customFormat="1" hidden="1" outlineLevel="1" x14ac:dyDescent="0.3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 t="shared" si="5"/>
        <v>0</v>
      </c>
      <c r="E30" s="2"/>
      <c r="F30" s="19"/>
      <c r="G30" s="2"/>
      <c r="H30" s="2">
        <f t="shared" ref="H30:H32" si="7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--363.94</f>
        <v>363.94</v>
      </c>
      <c r="Q30" s="2"/>
      <c r="R30" s="19"/>
      <c r="S30" s="2"/>
      <c r="T30" s="2">
        <f>--1650</f>
        <v>1650</v>
      </c>
      <c r="U30" s="2"/>
      <c r="V30" s="19"/>
      <c r="W30" s="2"/>
      <c r="X30" s="2">
        <f t="shared" si="2"/>
        <v>-1286.06</v>
      </c>
      <c r="Y30" s="2"/>
      <c r="Z30" s="19">
        <f t="shared" si="3"/>
        <v>-0.77943030303030303</v>
      </c>
    </row>
    <row r="31" spans="1:26" s="24" customFormat="1" hidden="1" outlineLevel="1" x14ac:dyDescent="0.3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 t="shared" si="5"/>
        <v>0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--914.33</f>
        <v>914.33</v>
      </c>
      <c r="Q31" s="2"/>
      <c r="R31" s="19"/>
      <c r="S31" s="2"/>
      <c r="T31" s="2">
        <f>--1403.83</f>
        <v>1403.83</v>
      </c>
      <c r="U31" s="2"/>
      <c r="V31" s="19"/>
      <c r="W31" s="2"/>
      <c r="X31" s="2">
        <f t="shared" si="2"/>
        <v>-489.49999999999989</v>
      </c>
      <c r="Y31" s="2"/>
      <c r="Z31" s="19">
        <f t="shared" si="3"/>
        <v>-0.3486889438179836</v>
      </c>
    </row>
    <row r="32" spans="1:26" s="24" customFormat="1" hidden="1" outlineLevel="1" x14ac:dyDescent="0.3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 t="shared" si="5"/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--813.74</f>
        <v>813.74</v>
      </c>
      <c r="Q32" s="2"/>
      <c r="R32" s="19"/>
      <c r="S32" s="2"/>
      <c r="T32" s="2">
        <f>--2115.11</f>
        <v>2115.11</v>
      </c>
      <c r="U32" s="2"/>
      <c r="V32" s="19"/>
      <c r="W32" s="2"/>
      <c r="X32" s="2">
        <f t="shared" si="2"/>
        <v>-1301.3700000000001</v>
      </c>
      <c r="Y32" s="2"/>
      <c r="Z32" s="19">
        <f t="shared" si="3"/>
        <v>-0.61527296452666769</v>
      </c>
    </row>
    <row r="33" spans="1:26" s="24" customFormat="1" hidden="1" outlineLevel="1" x14ac:dyDescent="0.35">
      <c r="A33" s="44"/>
      <c r="B33" s="11" t="str">
        <f>CONCATENATE("          ", "4125", " - ", "NON-TAXABLE SALES-TEST FORMS")</f>
        <v xml:space="preserve">          4125 - NON-TAXABLE SALES-TEST FORMS</v>
      </c>
      <c r="C33" s="11"/>
      <c r="D33" s="2">
        <f>--185</f>
        <v>185</v>
      </c>
      <c r="E33" s="2"/>
      <c r="F33" s="19"/>
      <c r="G33" s="2"/>
      <c r="H33" s="2">
        <f>--12.94</f>
        <v>12.94</v>
      </c>
      <c r="I33" s="2"/>
      <c r="J33" s="19"/>
      <c r="K33" s="2"/>
      <c r="L33" s="2">
        <f t="shared" si="0"/>
        <v>172.06</v>
      </c>
      <c r="M33" s="2"/>
      <c r="N33" s="19">
        <f t="shared" si="1"/>
        <v>13.2967542503864</v>
      </c>
      <c r="O33" s="11"/>
      <c r="P33" s="2">
        <f>--452.61</f>
        <v>452.61</v>
      </c>
      <c r="Q33" s="2"/>
      <c r="R33" s="19"/>
      <c r="S33" s="2"/>
      <c r="T33" s="2">
        <f>--331.15</f>
        <v>331.15</v>
      </c>
      <c r="U33" s="2"/>
      <c r="V33" s="19"/>
      <c r="W33" s="2"/>
      <c r="X33" s="2">
        <f t="shared" si="2"/>
        <v>121.46000000000004</v>
      </c>
      <c r="Y33" s="2"/>
      <c r="Z33" s="19">
        <f t="shared" si="3"/>
        <v>0.36678242488298368</v>
      </c>
    </row>
    <row r="34" spans="1:26" s="24" customFormat="1" hidden="1" outlineLevel="1" x14ac:dyDescent="0.35">
      <c r="A34" s="44"/>
      <c r="B34" s="11" t="str">
        <f>CONCATENATE("          ", "4126", " - ", "NON-TAXABLE SALES-WRITING INST")</f>
        <v xml:space="preserve">          4126 - NON-TAXABLE SALES-WRITING INST</v>
      </c>
      <c r="C34" s="11"/>
      <c r="D34" s="2">
        <f>--168.02</f>
        <v>168.02</v>
      </c>
      <c r="E34" s="2"/>
      <c r="F34" s="19"/>
      <c r="G34" s="2"/>
      <c r="H34" s="2">
        <f>--160.46</f>
        <v>160.46</v>
      </c>
      <c r="I34" s="2"/>
      <c r="J34" s="19"/>
      <c r="K34" s="2"/>
      <c r="L34" s="2">
        <f t="shared" si="0"/>
        <v>7.5600000000000023</v>
      </c>
      <c r="M34" s="2"/>
      <c r="N34" s="19">
        <f t="shared" si="1"/>
        <v>4.7114545681166659E-2</v>
      </c>
      <c r="O34" s="11"/>
      <c r="P34" s="2">
        <f>--3301.44</f>
        <v>3301.44</v>
      </c>
      <c r="Q34" s="2"/>
      <c r="R34" s="19"/>
      <c r="S34" s="2"/>
      <c r="T34" s="2">
        <f>--4171.98</f>
        <v>4171.9799999999996</v>
      </c>
      <c r="U34" s="2"/>
      <c r="V34" s="19"/>
      <c r="W34" s="2"/>
      <c r="X34" s="2">
        <f t="shared" si="2"/>
        <v>-870.53999999999951</v>
      </c>
      <c r="Y34" s="2"/>
      <c r="Z34" s="19">
        <f t="shared" si="3"/>
        <v>-0.2086635122891288</v>
      </c>
    </row>
    <row r="35" spans="1:26" s="24" customFormat="1" hidden="1" outlineLevel="1" x14ac:dyDescent="0.35">
      <c r="A35" s="44"/>
      <c r="B35" s="11" t="str">
        <f>CONCATENATE("          ", "4127", " - ", "NON-TAXABLE SALES-SCHOOL SUPPL")</f>
        <v xml:space="preserve">          4127 - NON-TAXABLE SALES-SCHOOL SUPPL</v>
      </c>
      <c r="C35" s="11"/>
      <c r="D35" s="2">
        <f>--97.62</f>
        <v>97.62</v>
      </c>
      <c r="E35" s="2"/>
      <c r="F35" s="19"/>
      <c r="G35" s="2"/>
      <c r="H35" s="2">
        <f>--83.39</f>
        <v>83.39</v>
      </c>
      <c r="I35" s="2"/>
      <c r="J35" s="19"/>
      <c r="K35" s="2"/>
      <c r="L35" s="2">
        <f t="shared" si="0"/>
        <v>14.230000000000004</v>
      </c>
      <c r="M35" s="2"/>
      <c r="N35" s="19">
        <f t="shared" si="1"/>
        <v>0.17064396210576813</v>
      </c>
      <c r="O35" s="11"/>
      <c r="P35" s="2">
        <f>--6471.33</f>
        <v>6471.33</v>
      </c>
      <c r="Q35" s="2"/>
      <c r="R35" s="19"/>
      <c r="S35" s="2"/>
      <c r="T35" s="2">
        <f>--12627.65</f>
        <v>12627.65</v>
      </c>
      <c r="U35" s="2"/>
      <c r="V35" s="19"/>
      <c r="W35" s="2"/>
      <c r="X35" s="2">
        <f t="shared" si="2"/>
        <v>-6156.32</v>
      </c>
      <c r="Y35" s="2"/>
      <c r="Z35" s="19">
        <f t="shared" si="3"/>
        <v>-0.48752697453603799</v>
      </c>
    </row>
    <row r="36" spans="1:26" s="24" customFormat="1" hidden="1" outlineLevel="1" x14ac:dyDescent="0.35">
      <c r="A36" s="44"/>
      <c r="B36" s="11" t="str">
        <f>CONCATENATE("          ", "4128", " - ", "NON-TAXABLE SALES-ART/TECH")</f>
        <v xml:space="preserve">          4128 - NON-TAXABLE SALES-ART/TECH</v>
      </c>
      <c r="C36" s="11"/>
      <c r="D36" s="2">
        <f>--0.74</f>
        <v>0.74</v>
      </c>
      <c r="E36" s="2"/>
      <c r="F36" s="19"/>
      <c r="G36" s="2"/>
      <c r="H36" s="2">
        <f>--16.55</f>
        <v>16.55</v>
      </c>
      <c r="I36" s="2"/>
      <c r="J36" s="19"/>
      <c r="K36" s="2"/>
      <c r="L36" s="2">
        <f t="shared" si="0"/>
        <v>-15.81</v>
      </c>
      <c r="M36" s="2"/>
      <c r="N36" s="19">
        <f t="shared" si="1"/>
        <v>-0.9552870090634441</v>
      </c>
      <c r="O36" s="11"/>
      <c r="P36" s="2">
        <f>--731.36</f>
        <v>731.36</v>
      </c>
      <c r="Q36" s="2"/>
      <c r="R36" s="19"/>
      <c r="S36" s="2"/>
      <c r="T36" s="2">
        <f>--894.51</f>
        <v>894.51</v>
      </c>
      <c r="U36" s="2"/>
      <c r="V36" s="19"/>
      <c r="W36" s="2"/>
      <c r="X36" s="2">
        <f t="shared" si="2"/>
        <v>-163.14999999999998</v>
      </c>
      <c r="Y36" s="2"/>
      <c r="Z36" s="19">
        <f t="shared" si="3"/>
        <v>-0.18239035896747938</v>
      </c>
    </row>
    <row r="37" spans="1:26" s="24" customFormat="1" hidden="1" outlineLevel="1" x14ac:dyDescent="0.35">
      <c r="A37" s="44"/>
      <c r="B37" s="11" t="str">
        <f>CONCATENATE("          ", "4131", " - ", "NON-TAXABLE SALES-FOOD")</f>
        <v xml:space="preserve">          4131 - NON-TAXABLE SALES-FOOD</v>
      </c>
      <c r="C37" s="11"/>
      <c r="D37" s="2">
        <f>--64.14</f>
        <v>64.14</v>
      </c>
      <c r="E37" s="2"/>
      <c r="F37" s="19"/>
      <c r="G37" s="2"/>
      <c r="H37" s="2">
        <f>--182.35</f>
        <v>182.35</v>
      </c>
      <c r="I37" s="2"/>
      <c r="J37" s="19"/>
      <c r="K37" s="2"/>
      <c r="L37" s="2">
        <f t="shared" si="0"/>
        <v>-118.21</v>
      </c>
      <c r="M37" s="2"/>
      <c r="N37" s="19">
        <f t="shared" si="1"/>
        <v>-0.64825884288456259</v>
      </c>
      <c r="O37" s="11"/>
      <c r="P37" s="2">
        <f>--57957.84</f>
        <v>57957.84</v>
      </c>
      <c r="Q37" s="2"/>
      <c r="R37" s="19"/>
      <c r="S37" s="2"/>
      <c r="T37" s="2">
        <f>--74222.68</f>
        <v>74222.679999999993</v>
      </c>
      <c r="U37" s="2"/>
      <c r="V37" s="19"/>
      <c r="W37" s="2"/>
      <c r="X37" s="2">
        <f t="shared" si="2"/>
        <v>-16264.839999999997</v>
      </c>
      <c r="Y37" s="2"/>
      <c r="Z37" s="19">
        <f t="shared" si="3"/>
        <v>-0.21913571431266021</v>
      </c>
    </row>
    <row r="38" spans="1:26" s="24" customFormat="1" hidden="1" outlineLevel="1" x14ac:dyDescent="0.35">
      <c r="A38" s="44"/>
      <c r="B38" s="11" t="str">
        <f>CONCATENATE("          ", "4132", " - ", "NON-TAXABLE SALES-JUICE")</f>
        <v xml:space="preserve">          4132 - NON-TAXABLE SALES-JUICE</v>
      </c>
      <c r="C38" s="11"/>
      <c r="D38" s="2">
        <f>0</f>
        <v>0</v>
      </c>
      <c r="E38" s="2"/>
      <c r="F38" s="19"/>
      <c r="G38" s="2"/>
      <c r="H38" s="2">
        <f>--50.31</f>
        <v>50.31</v>
      </c>
      <c r="I38" s="2"/>
      <c r="J38" s="19"/>
      <c r="K38" s="2"/>
      <c r="L38" s="2">
        <f t="shared" si="0"/>
        <v>-50.31</v>
      </c>
      <c r="M38" s="2"/>
      <c r="N38" s="19">
        <f t="shared" si="1"/>
        <v>-1</v>
      </c>
      <c r="O38" s="11"/>
      <c r="P38" s="2">
        <f>--16199.63</f>
        <v>16199.63</v>
      </c>
      <c r="Q38" s="2"/>
      <c r="R38" s="19"/>
      <c r="S38" s="2"/>
      <c r="T38" s="2">
        <f>--18307.55</f>
        <v>18307.55</v>
      </c>
      <c r="U38" s="2"/>
      <c r="V38" s="19"/>
      <c r="W38" s="2"/>
      <c r="X38" s="2">
        <f t="shared" si="2"/>
        <v>-2107.92</v>
      </c>
      <c r="Y38" s="2"/>
      <c r="Z38" s="19">
        <f t="shared" si="3"/>
        <v>-0.11513938238595553</v>
      </c>
    </row>
    <row r="39" spans="1:26" s="24" customFormat="1" hidden="1" outlineLevel="1" x14ac:dyDescent="0.35">
      <c r="A39" s="44"/>
      <c r="B39" s="11" t="str">
        <f>CONCATENATE("          ", "4133", " - ", "NON-TAXABLE SALES-CANDY")</f>
        <v xml:space="preserve">          4133 - NON-TAXABLE SALES-CANDY</v>
      </c>
      <c r="C39" s="11"/>
      <c r="D39" s="2">
        <f>--13.47</f>
        <v>13.47</v>
      </c>
      <c r="E39" s="2"/>
      <c r="F39" s="19"/>
      <c r="G39" s="2"/>
      <c r="H39" s="2">
        <f>--294.41</f>
        <v>294.41000000000003</v>
      </c>
      <c r="I39" s="2"/>
      <c r="J39" s="19"/>
      <c r="K39" s="2"/>
      <c r="L39" s="2">
        <f t="shared" si="0"/>
        <v>-280.94</v>
      </c>
      <c r="M39" s="2"/>
      <c r="N39" s="19">
        <f t="shared" si="1"/>
        <v>-0.95424747800686105</v>
      </c>
      <c r="O39" s="11"/>
      <c r="P39" s="2">
        <f>--18150.2</f>
        <v>18150.2</v>
      </c>
      <c r="Q39" s="2"/>
      <c r="R39" s="19"/>
      <c r="S39" s="2"/>
      <c r="T39" s="2">
        <f>--23768.73</f>
        <v>23768.73</v>
      </c>
      <c r="U39" s="2"/>
      <c r="V39" s="19"/>
      <c r="W39" s="2"/>
      <c r="X39" s="2">
        <f t="shared" si="2"/>
        <v>-5618.5299999999988</v>
      </c>
      <c r="Y39" s="2"/>
      <c r="Z39" s="19">
        <f t="shared" si="3"/>
        <v>-0.236383264903089</v>
      </c>
    </row>
    <row r="40" spans="1:26" s="24" customFormat="1" hidden="1" outlineLevel="1" x14ac:dyDescent="0.35">
      <c r="A40" s="44"/>
      <c r="B40" s="11" t="str">
        <f>CONCATENATE("          ", "4134", " - ", "NON-TAXABLE SALES-SODA")</f>
        <v xml:space="preserve">          4134 - NON-TAXABLE SALES-SODA</v>
      </c>
      <c r="C40" s="11"/>
      <c r="D40" s="2">
        <f t="shared" ref="D40:D46" si="8">0</f>
        <v>0</v>
      </c>
      <c r="E40" s="2"/>
      <c r="F40" s="19"/>
      <c r="G40" s="2"/>
      <c r="H40" s="2">
        <f t="shared" ref="H40:H41" si="9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--1.89</f>
        <v>1.89</v>
      </c>
      <c r="Q40" s="2"/>
      <c r="R40" s="19"/>
      <c r="S40" s="2"/>
      <c r="T40" s="2">
        <f>--111.36</f>
        <v>111.36</v>
      </c>
      <c r="U40" s="2"/>
      <c r="V40" s="19"/>
      <c r="W40" s="2"/>
      <c r="X40" s="2">
        <f t="shared" si="2"/>
        <v>-109.47</v>
      </c>
      <c r="Y40" s="2"/>
      <c r="Z40" s="19">
        <f t="shared" si="3"/>
        <v>-0.98302801724137934</v>
      </c>
    </row>
    <row r="41" spans="1:26" s="24" customFormat="1" hidden="1" outlineLevel="1" x14ac:dyDescent="0.35">
      <c r="A41" s="44"/>
      <c r="B41" s="11" t="str">
        <f>CONCATENATE("          ", "4135", " - ", "NON-TAXABLE SALES")</f>
        <v xml:space="preserve">          4135 - NON-TAXABLE SALES</v>
      </c>
      <c r="C41" s="11"/>
      <c r="D41" s="2">
        <f t="shared" si="8"/>
        <v>0</v>
      </c>
      <c r="E41" s="2"/>
      <c r="F41" s="19"/>
      <c r="G41" s="2"/>
      <c r="H41" s="2">
        <f t="shared" si="9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--161.4</f>
        <v>161.4</v>
      </c>
      <c r="Q41" s="2"/>
      <c r="R41" s="19"/>
      <c r="S41" s="2"/>
      <c r="T41" s="2">
        <f>--383.81</f>
        <v>383.81</v>
      </c>
      <c r="U41" s="2"/>
      <c r="V41" s="19"/>
      <c r="W41" s="2"/>
      <c r="X41" s="2">
        <f t="shared" si="2"/>
        <v>-222.41</v>
      </c>
      <c r="Y41" s="2"/>
      <c r="Z41" s="19">
        <f t="shared" si="3"/>
        <v>-0.57947942992626555</v>
      </c>
    </row>
    <row r="42" spans="1:26" s="24" customFormat="1" hidden="1" outlineLevel="1" x14ac:dyDescent="0.35">
      <c r="A42" s="44"/>
      <c r="B42" s="11" t="str">
        <f>CONCATENATE("          ", "4137", " - ", "NON-TAXABLE SALES-WATER")</f>
        <v xml:space="preserve">          4137 - NON-TAXABLE SALES-WATER</v>
      </c>
      <c r="C42" s="11"/>
      <c r="D42" s="2">
        <f t="shared" si="8"/>
        <v>0</v>
      </c>
      <c r="E42" s="2"/>
      <c r="F42" s="19"/>
      <c r="G42" s="2"/>
      <c r="H42" s="2">
        <f>--30.37</f>
        <v>30.37</v>
      </c>
      <c r="I42" s="2"/>
      <c r="J42" s="19"/>
      <c r="K42" s="2"/>
      <c r="L42" s="2">
        <f t="shared" si="0"/>
        <v>-30.37</v>
      </c>
      <c r="M42" s="2"/>
      <c r="N42" s="19">
        <f t="shared" si="1"/>
        <v>-1</v>
      </c>
      <c r="O42" s="11"/>
      <c r="P42" s="2">
        <f>--8396.06</f>
        <v>8396.06</v>
      </c>
      <c r="Q42" s="2"/>
      <c r="R42" s="19"/>
      <c r="S42" s="2"/>
      <c r="T42" s="2">
        <f>--10056.76</f>
        <v>10056.76</v>
      </c>
      <c r="U42" s="2"/>
      <c r="V42" s="19"/>
      <c r="W42" s="2"/>
      <c r="X42" s="2">
        <f t="shared" si="2"/>
        <v>-1660.7000000000007</v>
      </c>
      <c r="Y42" s="2"/>
      <c r="Z42" s="19">
        <f t="shared" si="3"/>
        <v>-0.16513270675645045</v>
      </c>
    </row>
    <row r="43" spans="1:26" s="24" customFormat="1" hidden="1" outlineLevel="1" x14ac:dyDescent="0.35">
      <c r="A43" s="44"/>
      <c r="B43" s="11" t="str">
        <f>CONCATENATE("          ", "4186", " - ", "NON-TAXABLE SALES-COMPUTER SUP")</f>
        <v xml:space="preserve">          4186 - NON-TAXABLE SALES-COMPUTER SUP</v>
      </c>
      <c r="C43" s="11"/>
      <c r="D43" s="2">
        <f t="shared" si="8"/>
        <v>0</v>
      </c>
      <c r="E43" s="2"/>
      <c r="F43" s="19"/>
      <c r="G43" s="2"/>
      <c r="H43" s="2">
        <f t="shared" ref="H43:H44" si="10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-30.97</f>
        <v>-30.97</v>
      </c>
      <c r="Q43" s="2"/>
      <c r="R43" s="19"/>
      <c r="S43" s="2"/>
      <c r="T43" s="2">
        <f>-174.68</f>
        <v>-174.68</v>
      </c>
      <c r="U43" s="2"/>
      <c r="V43" s="19"/>
      <c r="W43" s="2"/>
      <c r="X43" s="2">
        <f t="shared" si="2"/>
        <v>143.71</v>
      </c>
      <c r="Y43" s="2"/>
      <c r="Z43" s="19">
        <f t="shared" si="3"/>
        <v>-0.82270437371193039</v>
      </c>
    </row>
    <row r="44" spans="1:26" s="24" customFormat="1" hidden="1" outlineLevel="1" x14ac:dyDescent="0.35">
      <c r="A44" s="44"/>
      <c r="B44" s="11" t="str">
        <f>CONCATENATE("          ", "4217", " - ", "NON-TAXABLE SALES-DORM/HOUSEWA")</f>
        <v xml:space="preserve">          4217 - NON-TAXABLE SALES-DORM/HOUSEWA</v>
      </c>
      <c r="C44" s="11"/>
      <c r="D44" s="2">
        <f t="shared" si="8"/>
        <v>0</v>
      </c>
      <c r="E44" s="2"/>
      <c r="F44" s="19"/>
      <c r="G44" s="2"/>
      <c r="H44" s="2">
        <f t="shared" si="10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-2.98</f>
        <v>-2.98</v>
      </c>
      <c r="Q44" s="2"/>
      <c r="R44" s="19"/>
      <c r="S44" s="2"/>
      <c r="T44" s="2">
        <f>-2.99</f>
        <v>-2.99</v>
      </c>
      <c r="U44" s="2"/>
      <c r="V44" s="19"/>
      <c r="W44" s="2"/>
      <c r="X44" s="2">
        <f t="shared" si="2"/>
        <v>1.0000000000000231E-2</v>
      </c>
      <c r="Y44" s="2"/>
      <c r="Z44" s="19">
        <f t="shared" si="3"/>
        <v>-3.3444816053512477E-3</v>
      </c>
    </row>
    <row r="45" spans="1:26" s="24" customFormat="1" hidden="1" outlineLevel="1" x14ac:dyDescent="0.35">
      <c r="A45" s="44"/>
      <c r="B45" s="11" t="str">
        <f>CONCATENATE("          ", "4225", " - ", "SALES RETURN TAXABLE-TEST FORM")</f>
        <v xml:space="preserve">          4225 - SALES RETURN TAXABLE-TEST FORM</v>
      </c>
      <c r="C45" s="11"/>
      <c r="D45" s="2">
        <f t="shared" si="8"/>
        <v>0</v>
      </c>
      <c r="E45" s="2"/>
      <c r="F45" s="19"/>
      <c r="G45" s="2"/>
      <c r="H45" s="2">
        <f>-3.39</f>
        <v>-3.39</v>
      </c>
      <c r="I45" s="2"/>
      <c r="J45" s="19"/>
      <c r="K45" s="2"/>
      <c r="L45" s="2">
        <f t="shared" si="0"/>
        <v>3.39</v>
      </c>
      <c r="M45" s="2"/>
      <c r="N45" s="19">
        <f t="shared" si="1"/>
        <v>-1</v>
      </c>
      <c r="O45" s="11"/>
      <c r="P45" s="2">
        <f>-205.91</f>
        <v>-205.91</v>
      </c>
      <c r="Q45" s="2"/>
      <c r="R45" s="19"/>
      <c r="S45" s="2"/>
      <c r="T45" s="2">
        <f>-191.21</f>
        <v>-191.21</v>
      </c>
      <c r="U45" s="2"/>
      <c r="V45" s="19"/>
      <c r="W45" s="2"/>
      <c r="X45" s="2">
        <f t="shared" si="2"/>
        <v>-14.699999999999989</v>
      </c>
      <c r="Y45" s="2"/>
      <c r="Z45" s="19">
        <f t="shared" si="3"/>
        <v>7.6878824329271414E-2</v>
      </c>
    </row>
    <row r="46" spans="1:26" s="24" customFormat="1" hidden="1" outlineLevel="1" x14ac:dyDescent="0.35">
      <c r="A46" s="44"/>
      <c r="B46" s="11" t="str">
        <f>CONCATENATE("          ", "4226", " - ", "SALES RETURN TAXABLE-WRITING I")</f>
        <v xml:space="preserve">          4226 - SALES RETURN TAXABLE-WRITING I</v>
      </c>
      <c r="C46" s="11"/>
      <c r="D46" s="2">
        <f t="shared" si="8"/>
        <v>0</v>
      </c>
      <c r="E46" s="2"/>
      <c r="F46" s="19"/>
      <c r="G46" s="2"/>
      <c r="H46" s="2">
        <f>-43.82</f>
        <v>-43.82</v>
      </c>
      <c r="I46" s="2"/>
      <c r="J46" s="19"/>
      <c r="K46" s="2"/>
      <c r="L46" s="2">
        <f t="shared" si="0"/>
        <v>43.82</v>
      </c>
      <c r="M46" s="2"/>
      <c r="N46" s="19">
        <f t="shared" si="1"/>
        <v>-1</v>
      </c>
      <c r="O46" s="11"/>
      <c r="P46" s="2">
        <f>-789.64</f>
        <v>-789.64</v>
      </c>
      <c r="Q46" s="2"/>
      <c r="R46" s="19"/>
      <c r="S46" s="2"/>
      <c r="T46" s="2">
        <f>-760.66</f>
        <v>-760.66</v>
      </c>
      <c r="U46" s="2"/>
      <c r="V46" s="19"/>
      <c r="W46" s="2"/>
      <c r="X46" s="2">
        <f t="shared" si="2"/>
        <v>-28.980000000000018</v>
      </c>
      <c r="Y46" s="2"/>
      <c r="Z46" s="19">
        <f t="shared" si="3"/>
        <v>3.8098493413614515E-2</v>
      </c>
    </row>
    <row r="47" spans="1:26" s="24" customFormat="1" hidden="1" outlineLevel="1" x14ac:dyDescent="0.35">
      <c r="A47" s="44"/>
      <c r="B47" s="11" t="str">
        <f>CONCATENATE("          ", "4227", " - ", "SALES RETURN TAXABLE-SCHOOL SU")</f>
        <v xml:space="preserve">          4227 - SALES RETURN TAXABLE-SCHOOL SU</v>
      </c>
      <c r="C47" s="11"/>
      <c r="D47" s="2">
        <f>-81.87</f>
        <v>-81.87</v>
      </c>
      <c r="E47" s="2"/>
      <c r="F47" s="19"/>
      <c r="G47" s="2"/>
      <c r="H47" s="2">
        <f>-179.06</f>
        <v>-179.06</v>
      </c>
      <c r="I47" s="2"/>
      <c r="J47" s="19"/>
      <c r="K47" s="2"/>
      <c r="L47" s="2">
        <f t="shared" si="0"/>
        <v>97.19</v>
      </c>
      <c r="M47" s="2"/>
      <c r="N47" s="19">
        <f t="shared" si="1"/>
        <v>-0.54277895677426558</v>
      </c>
      <c r="O47" s="11"/>
      <c r="P47" s="2">
        <f>-8728.9</f>
        <v>-8728.9</v>
      </c>
      <c r="Q47" s="2"/>
      <c r="R47" s="19"/>
      <c r="S47" s="2"/>
      <c r="T47" s="2">
        <f>-6981.54</f>
        <v>-6981.54</v>
      </c>
      <c r="U47" s="2"/>
      <c r="V47" s="19"/>
      <c r="W47" s="2"/>
      <c r="X47" s="2">
        <f t="shared" si="2"/>
        <v>-1747.3599999999997</v>
      </c>
      <c r="Y47" s="2"/>
      <c r="Z47" s="19">
        <f t="shared" si="3"/>
        <v>0.25028288887552025</v>
      </c>
    </row>
    <row r="48" spans="1:26" s="24" customFormat="1" hidden="1" outlineLevel="1" x14ac:dyDescent="0.35">
      <c r="A48" s="44"/>
      <c r="B48" s="11" t="str">
        <f>CONCATENATE("          ", "4228", " - ", "SALES RETURN TAXABLE-ART/TECH")</f>
        <v xml:space="preserve">          4228 - SALES RETURN TAXABLE-ART/TECH</v>
      </c>
      <c r="C48" s="11"/>
      <c r="D48" s="2">
        <f t="shared" ref="D48:D51" si="11">0</f>
        <v>0</v>
      </c>
      <c r="E48" s="2"/>
      <c r="F48" s="19"/>
      <c r="G48" s="2"/>
      <c r="H48" s="2">
        <f>-17.45</f>
        <v>-17.45</v>
      </c>
      <c r="I48" s="2"/>
      <c r="J48" s="19"/>
      <c r="K48" s="2"/>
      <c r="L48" s="2">
        <f t="shared" si="0"/>
        <v>17.45</v>
      </c>
      <c r="M48" s="2"/>
      <c r="N48" s="19">
        <f t="shared" si="1"/>
        <v>-1</v>
      </c>
      <c r="O48" s="11"/>
      <c r="P48" s="2">
        <f>-4739.1</f>
        <v>-4739.1000000000004</v>
      </c>
      <c r="Q48" s="2"/>
      <c r="R48" s="19"/>
      <c r="S48" s="2"/>
      <c r="T48" s="2">
        <f>-8342.73</f>
        <v>-8342.73</v>
      </c>
      <c r="U48" s="2"/>
      <c r="V48" s="19"/>
      <c r="W48" s="2"/>
      <c r="X48" s="2">
        <f t="shared" si="2"/>
        <v>3603.6299999999992</v>
      </c>
      <c r="Y48" s="2"/>
      <c r="Z48" s="19">
        <f t="shared" si="3"/>
        <v>-0.4319485348321232</v>
      </c>
    </row>
    <row r="49" spans="1:26" s="24" customFormat="1" hidden="1" outlineLevel="1" x14ac:dyDescent="0.35">
      <c r="A49" s="44"/>
      <c r="B49" s="11" t="str">
        <f>CONCATENATE("          ", "4233", " - ", "SALES RETURN TAXABLE-CANDY")</f>
        <v xml:space="preserve">          4233 - SALES RETURN TAXABLE-CANDY</v>
      </c>
      <c r="C49" s="11"/>
      <c r="D49" s="2">
        <f t="shared" si="11"/>
        <v>0</v>
      </c>
      <c r="E49" s="2"/>
      <c r="F49" s="19"/>
      <c r="G49" s="2"/>
      <c r="H49" s="2">
        <f>-139.92</f>
        <v>-139.91999999999999</v>
      </c>
      <c r="I49" s="2"/>
      <c r="J49" s="19"/>
      <c r="K49" s="2"/>
      <c r="L49" s="2">
        <f t="shared" si="0"/>
        <v>139.91999999999999</v>
      </c>
      <c r="M49" s="2"/>
      <c r="N49" s="19">
        <f t="shared" si="1"/>
        <v>-1</v>
      </c>
      <c r="O49" s="11"/>
      <c r="P49" s="2">
        <f>-8.25</f>
        <v>-8.25</v>
      </c>
      <c r="Q49" s="2"/>
      <c r="R49" s="19"/>
      <c r="S49" s="2"/>
      <c r="T49" s="2">
        <f>-143.5</f>
        <v>-143.5</v>
      </c>
      <c r="U49" s="2"/>
      <c r="V49" s="19"/>
      <c r="W49" s="2"/>
      <c r="X49" s="2">
        <f t="shared" si="2"/>
        <v>135.25</v>
      </c>
      <c r="Y49" s="2"/>
      <c r="Z49" s="19">
        <f t="shared" si="3"/>
        <v>-0.94250871080139376</v>
      </c>
    </row>
    <row r="50" spans="1:26" s="24" customFormat="1" hidden="1" outlineLevel="1" x14ac:dyDescent="0.35">
      <c r="A50" s="44"/>
      <c r="B50" s="11" t="str">
        <f>CONCATENATE("          ", "4234", " - ", "SALES RETURN TAXABLE-SODA")</f>
        <v xml:space="preserve">          4234 - SALES RETURN TAXABLE-SODA</v>
      </c>
      <c r="C50" s="11"/>
      <c r="D50" s="2">
        <f t="shared" si="11"/>
        <v>0</v>
      </c>
      <c r="E50" s="2"/>
      <c r="F50" s="19"/>
      <c r="G50" s="2"/>
      <c r="H50" s="2">
        <f>-362.88</f>
        <v>-362.88</v>
      </c>
      <c r="I50" s="2"/>
      <c r="J50" s="19"/>
      <c r="K50" s="2"/>
      <c r="L50" s="2">
        <f t="shared" si="0"/>
        <v>362.88</v>
      </c>
      <c r="M50" s="2"/>
      <c r="N50" s="19">
        <f t="shared" si="1"/>
        <v>-1</v>
      </c>
      <c r="O50" s="11"/>
      <c r="P50" s="2">
        <f>0</f>
        <v>0</v>
      </c>
      <c r="Q50" s="2"/>
      <c r="R50" s="19"/>
      <c r="S50" s="2"/>
      <c r="T50" s="2">
        <f>-368.16</f>
        <v>-368.16</v>
      </c>
      <c r="U50" s="2"/>
      <c r="V50" s="19"/>
      <c r="W50" s="2"/>
      <c r="X50" s="2">
        <f t="shared" si="2"/>
        <v>368.16</v>
      </c>
      <c r="Y50" s="2"/>
      <c r="Z50" s="19">
        <f t="shared" si="3"/>
        <v>-1</v>
      </c>
    </row>
    <row r="51" spans="1:26" s="24" customFormat="1" hidden="1" outlineLevel="1" x14ac:dyDescent="0.35">
      <c r="A51" s="44"/>
      <c r="B51" s="11" t="str">
        <f>CONCATENATE("          ", "4281", " - ", "SALES RETURN TAXABLE-ELECTRONI")</f>
        <v xml:space="preserve">          4281 - SALES RETURN TAXABLE-ELECTRONI</v>
      </c>
      <c r="C51" s="11"/>
      <c r="D51" s="2">
        <f t="shared" si="11"/>
        <v>0</v>
      </c>
      <c r="E51" s="2"/>
      <c r="F51" s="19"/>
      <c r="G51" s="2"/>
      <c r="H51" s="2">
        <f t="shared" ref="H51:H55" si="12"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-54.97</f>
        <v>-54.97</v>
      </c>
      <c r="Q51" s="2"/>
      <c r="R51" s="19"/>
      <c r="S51" s="2"/>
      <c r="T51" s="2">
        <f>-64.95</f>
        <v>-64.95</v>
      </c>
      <c r="U51" s="2"/>
      <c r="V51" s="19"/>
      <c r="W51" s="2"/>
      <c r="X51" s="2">
        <f t="shared" si="2"/>
        <v>9.980000000000004</v>
      </c>
      <c r="Y51" s="2"/>
      <c r="Z51" s="19">
        <f t="shared" si="3"/>
        <v>-0.1536566589684373</v>
      </c>
    </row>
    <row r="52" spans="1:26" s="24" customFormat="1" hidden="1" outlineLevel="1" x14ac:dyDescent="0.35">
      <c r="A52" s="44"/>
      <c r="B52" s="11" t="str">
        <f>CONCATENATE("          ", "4326", " - ", "SALES RETURN NON TAXABLE-WRITI")</f>
        <v xml:space="preserve">          4326 - SALES RETURN NON TAXABLE-WRITI</v>
      </c>
      <c r="C52" s="11"/>
      <c r="D52" s="2">
        <f>-2.98</f>
        <v>-2.98</v>
      </c>
      <c r="E52" s="2"/>
      <c r="F52" s="19"/>
      <c r="G52" s="2"/>
      <c r="H52" s="2">
        <f t="shared" si="12"/>
        <v>0</v>
      </c>
      <c r="I52" s="2"/>
      <c r="J52" s="19"/>
      <c r="K52" s="2"/>
      <c r="L52" s="2">
        <f t="shared" si="0"/>
        <v>-2.98</v>
      </c>
      <c r="M52" s="2"/>
      <c r="N52" s="19">
        <f t="shared" si="1"/>
        <v>0</v>
      </c>
      <c r="O52" s="11"/>
      <c r="P52" s="2">
        <f>-2.98</f>
        <v>-2.98</v>
      </c>
      <c r="Q52" s="2"/>
      <c r="R52" s="19"/>
      <c r="S52" s="2"/>
      <c r="T52" s="2">
        <f>-28.23</f>
        <v>-28.23</v>
      </c>
      <c r="U52" s="2"/>
      <c r="V52" s="19"/>
      <c r="W52" s="2"/>
      <c r="X52" s="2">
        <f t="shared" si="2"/>
        <v>25.25</v>
      </c>
      <c r="Y52" s="2"/>
      <c r="Z52" s="19">
        <f t="shared" si="3"/>
        <v>-0.8944385405596883</v>
      </c>
    </row>
    <row r="53" spans="1:26" s="24" customFormat="1" hidden="1" outlineLevel="1" x14ac:dyDescent="0.35">
      <c r="A53" s="44"/>
      <c r="B53" s="11" t="str">
        <f>CONCATENATE("          ", "4327", " - ", "SALES RETURN NON TAXABLE-SCHOO")</f>
        <v xml:space="preserve">          4327 - SALES RETURN NON TAXABLE-SCHOO</v>
      </c>
      <c r="C53" s="11"/>
      <c r="D53" s="2">
        <f t="shared" ref="D53:D55" si="13">0</f>
        <v>0</v>
      </c>
      <c r="E53" s="2"/>
      <c r="F53" s="19"/>
      <c r="G53" s="2"/>
      <c r="H53" s="2">
        <f t="shared" si="12"/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-21.87</f>
        <v>-21.87</v>
      </c>
      <c r="Q53" s="2"/>
      <c r="R53" s="19"/>
      <c r="S53" s="2"/>
      <c r="T53" s="2">
        <f>-4.99</f>
        <v>-4.99</v>
      </c>
      <c r="U53" s="2"/>
      <c r="V53" s="19"/>
      <c r="W53" s="2"/>
      <c r="X53" s="2">
        <f t="shared" si="2"/>
        <v>-16.880000000000003</v>
      </c>
      <c r="Y53" s="2"/>
      <c r="Z53" s="19">
        <f t="shared" si="3"/>
        <v>3.3827655310621245</v>
      </c>
    </row>
    <row r="54" spans="1:26" s="24" customFormat="1" hidden="1" outlineLevel="1" x14ac:dyDescent="0.35">
      <c r="A54" s="44"/>
      <c r="B54" s="11" t="str">
        <f>CONCATENATE("          ", "4331", " - ", "SALES RETURN NON TAXABLE-FOOD")</f>
        <v xml:space="preserve">          4331 - SALES RETURN NON TAXABLE-FOOD</v>
      </c>
      <c r="C54" s="11"/>
      <c r="D54" s="2">
        <f t="shared" si="13"/>
        <v>0</v>
      </c>
      <c r="E54" s="2"/>
      <c r="F54" s="19"/>
      <c r="G54" s="2"/>
      <c r="H54" s="2">
        <f t="shared" si="12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-12.57</f>
        <v>-12.57</v>
      </c>
      <c r="Q54" s="2"/>
      <c r="R54" s="19"/>
      <c r="S54" s="2"/>
      <c r="T54" s="2">
        <f t="shared" ref="T54:T55" si="14">0</f>
        <v>0</v>
      </c>
      <c r="U54" s="2"/>
      <c r="V54" s="19"/>
      <c r="W54" s="2"/>
      <c r="X54" s="2">
        <f t="shared" si="2"/>
        <v>-12.57</v>
      </c>
      <c r="Y54" s="2"/>
      <c r="Z54" s="19">
        <f t="shared" si="3"/>
        <v>0</v>
      </c>
    </row>
    <row r="55" spans="1:26" s="24" customFormat="1" hidden="1" outlineLevel="1" x14ac:dyDescent="0.35">
      <c r="A55" s="44"/>
      <c r="B55" s="11" t="str">
        <f>CONCATENATE("          ", "4332", " - ", "SALES RETURN NON TAXABLE-JUICE")</f>
        <v xml:space="preserve">          4332 - SALES RETURN NON TAXABLE-JUICE</v>
      </c>
      <c r="C55" s="11"/>
      <c r="D55" s="2">
        <f t="shared" si="13"/>
        <v>0</v>
      </c>
      <c r="E55" s="2"/>
      <c r="F55" s="19"/>
      <c r="G55" s="2"/>
      <c r="H55" s="2">
        <f t="shared" si="12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-2.79</f>
        <v>-2.79</v>
      </c>
      <c r="Q55" s="2"/>
      <c r="R55" s="19"/>
      <c r="S55" s="2"/>
      <c r="T55" s="2">
        <f t="shared" si="14"/>
        <v>0</v>
      </c>
      <c r="U55" s="2"/>
      <c r="V55" s="19"/>
      <c r="W55" s="2"/>
      <c r="X55" s="2">
        <f t="shared" si="2"/>
        <v>-2.79</v>
      </c>
      <c r="Y55" s="2"/>
      <c r="Z55" s="19">
        <f t="shared" si="3"/>
        <v>0</v>
      </c>
    </row>
    <row r="56" spans="1:26" x14ac:dyDescent="0.3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collapsed="1" x14ac:dyDescent="0.35">
      <c r="A57" s="10"/>
      <c r="B57" s="29" t="s">
        <v>8</v>
      </c>
      <c r="C57" s="10"/>
      <c r="D57" s="4">
        <f>SUM(OSRRefD16x_0)</f>
        <v>43360.53</v>
      </c>
      <c r="E57" s="4"/>
      <c r="F57" s="13">
        <f t="shared" ref="F57:F81" si="15">IF(D$12=0,0,D57/D$12)</f>
        <v>4.1156516242197823</v>
      </c>
      <c r="G57" s="4"/>
      <c r="H57" s="4">
        <f>SUM(OSRRefH16x_0)</f>
        <v>11296.749999999998</v>
      </c>
      <c r="I57" s="4"/>
      <c r="J57" s="13">
        <f t="shared" ref="J57:J81" si="16">IF(H$12=0,0,H57/H$12)</f>
        <v>0.46959905487825149</v>
      </c>
      <c r="K57" s="4"/>
      <c r="L57" s="4">
        <f t="shared" ref="L57:L81" si="17">+D57-H57</f>
        <v>32063.78</v>
      </c>
      <c r="M57" s="4"/>
      <c r="N57" s="13">
        <f t="shared" ref="N57:N81" si="18">IF(H57=0,0,L57/H57)</f>
        <v>2.8383189855489412</v>
      </c>
      <c r="O57" s="10"/>
      <c r="P57" s="4">
        <f>SUM(OSRRefP16x_0)</f>
        <v>457478.95</v>
      </c>
      <c r="Q57" s="4"/>
      <c r="R57" s="13">
        <f t="shared" ref="R57:R81" si="19">IF(P$12=0,0,P57/P$12)</f>
        <v>0.54971066405207847</v>
      </c>
      <c r="S57" s="4"/>
      <c r="T57" s="4">
        <f>SUM(OSRRefT16x_0)</f>
        <v>496429.59000000008</v>
      </c>
      <c r="U57" s="4"/>
      <c r="V57" s="13">
        <f t="shared" ref="V57:V81" si="20">IF(T$12=0,0,T57/T$12)</f>
        <v>0.52006951628497888</v>
      </c>
      <c r="W57" s="4"/>
      <c r="X57" s="4">
        <f t="shared" ref="X57:X81" si="21">+P57-T57</f>
        <v>-38950.640000000072</v>
      </c>
      <c r="Y57" s="4"/>
      <c r="Z57" s="13">
        <f t="shared" ref="Z57:Z81" si="22">IF(T57=0,0,X57/T57)</f>
        <v>-7.8461559875993819E-2</v>
      </c>
    </row>
    <row r="58" spans="1:26" s="24" customFormat="1" hidden="1" outlineLevel="1" x14ac:dyDescent="0.35">
      <c r="A58" s="44"/>
      <c r="B58" s="11" t="str">
        <f>CONCATENATE("          ", "5014", " - ", "PURCHASES @ COST-REMAINDERS")</f>
        <v xml:space="preserve">          5014 - PURCHASES @ COST-REMAINDERS</v>
      </c>
      <c r="C58" s="11"/>
      <c r="D58" s="2"/>
      <c r="E58" s="2"/>
      <c r="F58" s="19">
        <f t="shared" si="15"/>
        <v>0</v>
      </c>
      <c r="G58" s="2"/>
      <c r="H58" s="2"/>
      <c r="I58" s="2"/>
      <c r="J58" s="19">
        <f t="shared" si="16"/>
        <v>0</v>
      </c>
      <c r="K58" s="2"/>
      <c r="L58" s="2">
        <f t="shared" si="17"/>
        <v>0</v>
      </c>
      <c r="M58" s="2"/>
      <c r="N58" s="19">
        <f t="shared" si="18"/>
        <v>0</v>
      </c>
      <c r="O58" s="11"/>
      <c r="P58" s="2">
        <v>14.46</v>
      </c>
      <c r="Q58" s="2"/>
      <c r="R58" s="19">
        <f t="shared" si="19"/>
        <v>1.7375261096041809E-5</v>
      </c>
      <c r="S58" s="2"/>
      <c r="T58" s="2"/>
      <c r="U58" s="2"/>
      <c r="V58" s="19">
        <f t="shared" si="20"/>
        <v>0</v>
      </c>
      <c r="W58" s="2"/>
      <c r="X58" s="2">
        <f t="shared" si="21"/>
        <v>14.46</v>
      </c>
      <c r="Y58" s="2"/>
      <c r="Z58" s="19">
        <f t="shared" si="22"/>
        <v>0</v>
      </c>
    </row>
    <row r="59" spans="1:26" s="24" customFormat="1" hidden="1" outlineLevel="1" x14ac:dyDescent="0.35">
      <c r="A59" s="44"/>
      <c r="B59" s="11" t="str">
        <f>CONCATENATE("          ", "5017", " - ", "PURCHASES @ COST-DORM/HOUSEWAR")</f>
        <v xml:space="preserve">          5017 - PURCHASES @ COST-DORM/HOUSEWAR</v>
      </c>
      <c r="C59" s="11"/>
      <c r="D59" s="2"/>
      <c r="E59" s="2"/>
      <c r="F59" s="19">
        <f t="shared" si="15"/>
        <v>0</v>
      </c>
      <c r="G59" s="2"/>
      <c r="H59" s="2"/>
      <c r="I59" s="2"/>
      <c r="J59" s="19">
        <f t="shared" si="16"/>
        <v>0</v>
      </c>
      <c r="K59" s="2"/>
      <c r="L59" s="2">
        <f t="shared" si="17"/>
        <v>0</v>
      </c>
      <c r="M59" s="2"/>
      <c r="N59" s="19">
        <f t="shared" si="18"/>
        <v>0</v>
      </c>
      <c r="O59" s="11"/>
      <c r="P59" s="2">
        <v>14.46</v>
      </c>
      <c r="Q59" s="2"/>
      <c r="R59" s="19">
        <f t="shared" si="19"/>
        <v>1.7375261096041809E-5</v>
      </c>
      <c r="S59" s="2"/>
      <c r="T59" s="2">
        <v>239.9</v>
      </c>
      <c r="U59" s="2"/>
      <c r="V59" s="19">
        <f t="shared" si="20"/>
        <v>2.5132401345529469E-4</v>
      </c>
      <c r="W59" s="2"/>
      <c r="X59" s="2">
        <f t="shared" si="21"/>
        <v>-225.44</v>
      </c>
      <c r="Y59" s="2"/>
      <c r="Z59" s="19">
        <f t="shared" si="22"/>
        <v>-0.93972488536890364</v>
      </c>
    </row>
    <row r="60" spans="1:26" s="24" customFormat="1" hidden="1" outlineLevel="1" x14ac:dyDescent="0.35">
      <c r="A60" s="44"/>
      <c r="B60" s="11" t="str">
        <f>CONCATENATE("          ", "5025", " - ", "PURCHASES @ COST-TEST FORMS")</f>
        <v xml:space="preserve">          5025 - PURCHASES @ COST-TEST FORMS</v>
      </c>
      <c r="C60" s="11"/>
      <c r="D60" s="2"/>
      <c r="E60" s="2"/>
      <c r="F60" s="19">
        <f t="shared" si="15"/>
        <v>0</v>
      </c>
      <c r="G60" s="2"/>
      <c r="H60" s="2">
        <v>13</v>
      </c>
      <c r="I60" s="2"/>
      <c r="J60" s="19">
        <f t="shared" si="16"/>
        <v>5.4040212569254615E-4</v>
      </c>
      <c r="K60" s="2"/>
      <c r="L60" s="2">
        <f t="shared" si="17"/>
        <v>-13</v>
      </c>
      <c r="M60" s="2"/>
      <c r="N60" s="19">
        <f t="shared" si="18"/>
        <v>-1</v>
      </c>
      <c r="O60" s="11"/>
      <c r="P60" s="2">
        <v>26394.329999999998</v>
      </c>
      <c r="Q60" s="2"/>
      <c r="R60" s="19">
        <f t="shared" si="19"/>
        <v>3.1715655270061489E-2</v>
      </c>
      <c r="S60" s="2"/>
      <c r="T60" s="2">
        <v>21276.449999999997</v>
      </c>
      <c r="U60" s="2"/>
      <c r="V60" s="19">
        <f t="shared" si="20"/>
        <v>2.2289632372158832E-2</v>
      </c>
      <c r="W60" s="2"/>
      <c r="X60" s="2">
        <f t="shared" si="21"/>
        <v>5117.880000000001</v>
      </c>
      <c r="Y60" s="2"/>
      <c r="Z60" s="19">
        <f t="shared" si="22"/>
        <v>0.24054200771275291</v>
      </c>
    </row>
    <row r="61" spans="1:26" s="24" customFormat="1" hidden="1" outlineLevel="1" x14ac:dyDescent="0.35">
      <c r="A61" s="44"/>
      <c r="B61" s="11" t="str">
        <f>CONCATENATE("          ", "5026", " - ", "PURCHASES @ COST-WRITING INSTR")</f>
        <v xml:space="preserve">          5026 - PURCHASES @ COST-WRITING INSTR</v>
      </c>
      <c r="C61" s="11"/>
      <c r="D61" s="2"/>
      <c r="E61" s="2"/>
      <c r="F61" s="19">
        <f t="shared" si="15"/>
        <v>0</v>
      </c>
      <c r="G61" s="2"/>
      <c r="H61" s="2">
        <v>934.22</v>
      </c>
      <c r="I61" s="2"/>
      <c r="J61" s="19">
        <f t="shared" si="16"/>
        <v>3.8834959528037727E-2</v>
      </c>
      <c r="K61" s="2"/>
      <c r="L61" s="2">
        <f t="shared" si="17"/>
        <v>-934.22</v>
      </c>
      <c r="M61" s="2"/>
      <c r="N61" s="19">
        <f t="shared" si="18"/>
        <v>-1</v>
      </c>
      <c r="O61" s="11"/>
      <c r="P61" s="2">
        <v>42992.76</v>
      </c>
      <c r="Q61" s="2"/>
      <c r="R61" s="19">
        <f t="shared" si="19"/>
        <v>5.1660472354043044E-2</v>
      </c>
      <c r="S61" s="2"/>
      <c r="T61" s="2">
        <v>54394.04</v>
      </c>
      <c r="U61" s="2"/>
      <c r="V61" s="19">
        <f t="shared" si="20"/>
        <v>5.6984278619624164E-2</v>
      </c>
      <c r="W61" s="2"/>
      <c r="X61" s="2">
        <f t="shared" si="21"/>
        <v>-11401.279999999999</v>
      </c>
      <c r="Y61" s="2"/>
      <c r="Z61" s="19">
        <f t="shared" si="22"/>
        <v>-0.2096053170531183</v>
      </c>
    </row>
    <row r="62" spans="1:26" s="24" customFormat="1" hidden="1" outlineLevel="1" x14ac:dyDescent="0.35">
      <c r="A62" s="44"/>
      <c r="B62" s="11" t="str">
        <f>CONCATENATE("          ", "5027", " - ", "PURCHASES @ COST-SCHOOL SUPPLI")</f>
        <v xml:space="preserve">          5027 - PURCHASES @ COST-SCHOOL SUPPLI</v>
      </c>
      <c r="C62" s="11"/>
      <c r="D62" s="2">
        <v>11947.58</v>
      </c>
      <c r="E62" s="2"/>
      <c r="F62" s="19">
        <f t="shared" si="15"/>
        <v>1.1340285054748129</v>
      </c>
      <c r="G62" s="2"/>
      <c r="H62" s="2">
        <v>12673.15</v>
      </c>
      <c r="I62" s="2"/>
      <c r="J62" s="19">
        <f t="shared" si="16"/>
        <v>0.52681516917080695</v>
      </c>
      <c r="K62" s="2"/>
      <c r="L62" s="2">
        <f t="shared" si="17"/>
        <v>-725.56999999999971</v>
      </c>
      <c r="M62" s="2"/>
      <c r="N62" s="19">
        <f t="shared" si="18"/>
        <v>-5.7252537845760502E-2</v>
      </c>
      <c r="O62" s="11"/>
      <c r="P62" s="2">
        <v>152856.47</v>
      </c>
      <c r="Q62" s="2"/>
      <c r="R62" s="19">
        <f t="shared" si="19"/>
        <v>0.18367365674061423</v>
      </c>
      <c r="S62" s="2"/>
      <c r="T62" s="2">
        <v>168298.71</v>
      </c>
      <c r="U62" s="2"/>
      <c r="V62" s="19">
        <f t="shared" si="20"/>
        <v>0.17631307735118273</v>
      </c>
      <c r="W62" s="2"/>
      <c r="X62" s="2">
        <f t="shared" si="21"/>
        <v>-15442.239999999991</v>
      </c>
      <c r="Y62" s="2"/>
      <c r="Z62" s="19">
        <f t="shared" si="22"/>
        <v>-9.1754951657086331E-2</v>
      </c>
    </row>
    <row r="63" spans="1:26" s="24" customFormat="1" hidden="1" outlineLevel="1" x14ac:dyDescent="0.35">
      <c r="A63" s="44"/>
      <c r="B63" s="11" t="str">
        <f>CONCATENATE("          ", "5028", " - ", "PURCHASES @ COST-ART/TECH")</f>
        <v xml:space="preserve">          5028 - PURCHASES @ COST-ART/TECH</v>
      </c>
      <c r="C63" s="11"/>
      <c r="D63" s="2">
        <v>-1073.3800000000001</v>
      </c>
      <c r="E63" s="2"/>
      <c r="F63" s="19">
        <f t="shared" si="15"/>
        <v>-0.10188201436663784</v>
      </c>
      <c r="G63" s="2"/>
      <c r="H63" s="2">
        <v>598.71</v>
      </c>
      <c r="I63" s="2"/>
      <c r="J63" s="19">
        <f t="shared" si="16"/>
        <v>2.4888012051798792E-2</v>
      </c>
      <c r="K63" s="2"/>
      <c r="L63" s="2">
        <f t="shared" si="17"/>
        <v>-1672.0900000000001</v>
      </c>
      <c r="M63" s="2"/>
      <c r="N63" s="19">
        <f t="shared" si="18"/>
        <v>-2.7928212323161463</v>
      </c>
      <c r="O63" s="11"/>
      <c r="P63" s="2">
        <v>158554.31</v>
      </c>
      <c r="Q63" s="2"/>
      <c r="R63" s="19">
        <f t="shared" si="19"/>
        <v>0.19052023057764539</v>
      </c>
      <c r="S63" s="2"/>
      <c r="T63" s="2">
        <v>178081.3</v>
      </c>
      <c r="U63" s="2"/>
      <c r="V63" s="19">
        <f t="shared" si="20"/>
        <v>0.18656151328610407</v>
      </c>
      <c r="W63" s="2"/>
      <c r="X63" s="2">
        <f t="shared" si="21"/>
        <v>-19526.989999999991</v>
      </c>
      <c r="Y63" s="2"/>
      <c r="Z63" s="19">
        <f t="shared" si="22"/>
        <v>-0.10965210833478861</v>
      </c>
    </row>
    <row r="64" spans="1:26" s="24" customFormat="1" hidden="1" outlineLevel="1" x14ac:dyDescent="0.35">
      <c r="A64" s="44"/>
      <c r="B64" s="11" t="str">
        <f>CONCATENATE("          ", "5031", " - ", "PURCHASES @ COST-FOOD")</f>
        <v xml:space="preserve">          5031 - PURCHASES @ COST-FOOD</v>
      </c>
      <c r="C64" s="11"/>
      <c r="D64" s="2"/>
      <c r="E64" s="2"/>
      <c r="F64" s="19">
        <f t="shared" si="15"/>
        <v>0</v>
      </c>
      <c r="G64" s="2"/>
      <c r="H64" s="2">
        <v>100.95</v>
      </c>
      <c r="I64" s="2"/>
      <c r="J64" s="19">
        <f t="shared" si="16"/>
        <v>4.1964303529740407E-3</v>
      </c>
      <c r="K64" s="2"/>
      <c r="L64" s="2">
        <f t="shared" si="17"/>
        <v>-100.95</v>
      </c>
      <c r="M64" s="2"/>
      <c r="N64" s="19">
        <f t="shared" si="18"/>
        <v>-1</v>
      </c>
      <c r="O64" s="11"/>
      <c r="P64" s="2">
        <v>33239.879999999997</v>
      </c>
      <c r="Q64" s="2"/>
      <c r="R64" s="19">
        <f t="shared" si="19"/>
        <v>3.9941327372136799E-2</v>
      </c>
      <c r="S64" s="2"/>
      <c r="T64" s="2">
        <v>39394.630000000005</v>
      </c>
      <c r="U64" s="2"/>
      <c r="V64" s="19">
        <f t="shared" si="20"/>
        <v>4.1270598250047343E-2</v>
      </c>
      <c r="W64" s="2"/>
      <c r="X64" s="2">
        <f t="shared" si="21"/>
        <v>-6154.7500000000073</v>
      </c>
      <c r="Y64" s="2"/>
      <c r="Z64" s="19">
        <f t="shared" si="22"/>
        <v>-0.15623322264988926</v>
      </c>
    </row>
    <row r="65" spans="1:26" s="24" customFormat="1" hidden="1" outlineLevel="1" x14ac:dyDescent="0.35">
      <c r="A65" s="44"/>
      <c r="B65" s="11" t="str">
        <f>CONCATENATE("          ", "5032", " - ", "PURCHASES @ COST-JUICE")</f>
        <v xml:space="preserve">          5032 - PURCHASES @ COST-JUICE</v>
      </c>
      <c r="C65" s="11"/>
      <c r="D65" s="2"/>
      <c r="E65" s="2"/>
      <c r="F65" s="19">
        <f t="shared" si="15"/>
        <v>0</v>
      </c>
      <c r="G65" s="2"/>
      <c r="H65" s="2">
        <v>469.57</v>
      </c>
      <c r="I65" s="2"/>
      <c r="J65" s="19">
        <f t="shared" si="16"/>
        <v>1.9519740473957607E-2</v>
      </c>
      <c r="K65" s="2"/>
      <c r="L65" s="2">
        <f t="shared" si="17"/>
        <v>-469.57</v>
      </c>
      <c r="M65" s="2"/>
      <c r="N65" s="19">
        <f t="shared" si="18"/>
        <v>-1</v>
      </c>
      <c r="O65" s="11"/>
      <c r="P65" s="2">
        <v>7802.45</v>
      </c>
      <c r="Q65" s="2"/>
      <c r="R65" s="19">
        <f t="shared" si="19"/>
        <v>9.3754914203880626E-3</v>
      </c>
      <c r="S65" s="2"/>
      <c r="T65" s="2">
        <v>10038.59</v>
      </c>
      <c r="U65" s="2"/>
      <c r="V65" s="19">
        <f t="shared" si="20"/>
        <v>1.0516626628729415E-2</v>
      </c>
      <c r="W65" s="2"/>
      <c r="X65" s="2">
        <f t="shared" si="21"/>
        <v>-2236.1400000000003</v>
      </c>
      <c r="Y65" s="2"/>
      <c r="Z65" s="19">
        <f t="shared" si="22"/>
        <v>-0.22275439080588014</v>
      </c>
    </row>
    <row r="66" spans="1:26" s="24" customFormat="1" hidden="1" outlineLevel="1" x14ac:dyDescent="0.35">
      <c r="A66" s="44"/>
      <c r="B66" s="11" t="str">
        <f>CONCATENATE("          ", "5033", " - ", "PURCHASES @ COST-CANDY")</f>
        <v xml:space="preserve">          5033 - PURCHASES @ COST-CANDY</v>
      </c>
      <c r="C66" s="11"/>
      <c r="D66" s="2"/>
      <c r="E66" s="2"/>
      <c r="F66" s="19">
        <f t="shared" si="15"/>
        <v>0</v>
      </c>
      <c r="G66" s="2"/>
      <c r="H66" s="2">
        <v>550.99</v>
      </c>
      <c r="I66" s="2"/>
      <c r="J66" s="19">
        <f t="shared" si="16"/>
        <v>2.2904320556564307E-2</v>
      </c>
      <c r="K66" s="2"/>
      <c r="L66" s="2">
        <f t="shared" si="17"/>
        <v>-550.99</v>
      </c>
      <c r="M66" s="2"/>
      <c r="N66" s="19">
        <f t="shared" si="18"/>
        <v>-1</v>
      </c>
      <c r="O66" s="11"/>
      <c r="P66" s="2">
        <v>9998.41</v>
      </c>
      <c r="Q66" s="2"/>
      <c r="R66" s="19">
        <f t="shared" si="19"/>
        <v>1.2014175954030109E-2</v>
      </c>
      <c r="S66" s="2"/>
      <c r="T66" s="2">
        <v>10043.27</v>
      </c>
      <c r="U66" s="2"/>
      <c r="V66" s="19">
        <f t="shared" si="20"/>
        <v>1.0521529489850594E-2</v>
      </c>
      <c r="W66" s="2"/>
      <c r="X66" s="2">
        <f t="shared" si="21"/>
        <v>-44.860000000000582</v>
      </c>
      <c r="Y66" s="2"/>
      <c r="Z66" s="19">
        <f t="shared" si="22"/>
        <v>-4.466672707196021E-3</v>
      </c>
    </row>
    <row r="67" spans="1:26" s="24" customFormat="1" hidden="1" outlineLevel="1" x14ac:dyDescent="0.35">
      <c r="A67" s="44"/>
      <c r="B67" s="11" t="str">
        <f>CONCATENATE("          ", "5034", " - ", "PURCHASES @ COST-SODA")</f>
        <v xml:space="preserve">          5034 - PURCHASES @ COST-SODA</v>
      </c>
      <c r="C67" s="11"/>
      <c r="D67" s="2"/>
      <c r="E67" s="2"/>
      <c r="F67" s="19">
        <f t="shared" si="15"/>
        <v>0</v>
      </c>
      <c r="G67" s="2"/>
      <c r="H67" s="2">
        <v>140.63999999999999</v>
      </c>
      <c r="I67" s="2"/>
      <c r="J67" s="19">
        <f t="shared" si="16"/>
        <v>5.8463196121076675E-3</v>
      </c>
      <c r="K67" s="2"/>
      <c r="L67" s="2">
        <f t="shared" si="17"/>
        <v>-140.63999999999999</v>
      </c>
      <c r="M67" s="2"/>
      <c r="N67" s="19">
        <f t="shared" si="18"/>
        <v>-1</v>
      </c>
      <c r="O67" s="11"/>
      <c r="P67" s="2">
        <v>4033.88</v>
      </c>
      <c r="Q67" s="2"/>
      <c r="R67" s="19">
        <f t="shared" si="19"/>
        <v>4.8471451058161221E-3</v>
      </c>
      <c r="S67" s="2"/>
      <c r="T67" s="2">
        <v>3978.33</v>
      </c>
      <c r="U67" s="2"/>
      <c r="V67" s="19">
        <f t="shared" si="20"/>
        <v>4.1677776675681641E-3</v>
      </c>
      <c r="W67" s="2"/>
      <c r="X67" s="2">
        <f t="shared" si="21"/>
        <v>55.550000000000182</v>
      </c>
      <c r="Y67" s="2"/>
      <c r="Z67" s="19">
        <f t="shared" si="22"/>
        <v>1.396314533987884E-2</v>
      </c>
    </row>
    <row r="68" spans="1:26" s="24" customFormat="1" hidden="1" outlineLevel="1" x14ac:dyDescent="0.35">
      <c r="A68" s="44"/>
      <c r="B68" s="11" t="str">
        <f>CONCATENATE("          ", "5035", " - ", "PURCHASES @ COST-HEALTH &amp; BEAU")</f>
        <v xml:space="preserve">          5035 - PURCHASES @ COST-HEALTH &amp; BEAU</v>
      </c>
      <c r="C68" s="11"/>
      <c r="D68" s="2"/>
      <c r="E68" s="2"/>
      <c r="F68" s="19">
        <f t="shared" si="15"/>
        <v>0</v>
      </c>
      <c r="G68" s="2"/>
      <c r="H68" s="2"/>
      <c r="I68" s="2"/>
      <c r="J68" s="19">
        <f t="shared" si="16"/>
        <v>0</v>
      </c>
      <c r="K68" s="2"/>
      <c r="L68" s="2">
        <f t="shared" si="17"/>
        <v>0</v>
      </c>
      <c r="M68" s="2"/>
      <c r="N68" s="19">
        <f t="shared" si="18"/>
        <v>0</v>
      </c>
      <c r="O68" s="11"/>
      <c r="P68" s="2">
        <v>1117.6500000000001</v>
      </c>
      <c r="Q68" s="2"/>
      <c r="R68" s="19">
        <f t="shared" si="19"/>
        <v>1.3429779089897044E-3</v>
      </c>
      <c r="S68" s="2"/>
      <c r="T68" s="2">
        <v>1219.07</v>
      </c>
      <c r="U68" s="2"/>
      <c r="V68" s="19">
        <f t="shared" si="20"/>
        <v>1.277121988674223E-3</v>
      </c>
      <c r="W68" s="2"/>
      <c r="X68" s="2">
        <f t="shared" si="21"/>
        <v>-101.41999999999985</v>
      </c>
      <c r="Y68" s="2"/>
      <c r="Z68" s="19">
        <f t="shared" si="22"/>
        <v>-8.3194566349758303E-2</v>
      </c>
    </row>
    <row r="69" spans="1:26" s="24" customFormat="1" hidden="1" outlineLevel="1" x14ac:dyDescent="0.35">
      <c r="A69" s="44"/>
      <c r="B69" s="11" t="str">
        <f>CONCATENATE("          ", "5037", " - ", "PURCHASES @ COST-WATER")</f>
        <v xml:space="preserve">          5037 - PURCHASES @ COST-WATER</v>
      </c>
      <c r="C69" s="11"/>
      <c r="D69" s="2"/>
      <c r="E69" s="2"/>
      <c r="F69" s="19">
        <f t="shared" si="15"/>
        <v>0</v>
      </c>
      <c r="G69" s="2"/>
      <c r="H69" s="2">
        <v>418.26</v>
      </c>
      <c r="I69" s="2"/>
      <c r="J69" s="19">
        <f t="shared" si="16"/>
        <v>1.738681485324341E-2</v>
      </c>
      <c r="K69" s="2"/>
      <c r="L69" s="2">
        <f t="shared" si="17"/>
        <v>-418.26</v>
      </c>
      <c r="M69" s="2"/>
      <c r="N69" s="19">
        <f t="shared" si="18"/>
        <v>-1</v>
      </c>
      <c r="O69" s="11"/>
      <c r="P69" s="2">
        <v>5663.81</v>
      </c>
      <c r="Q69" s="2"/>
      <c r="R69" s="19">
        <f t="shared" si="19"/>
        <v>6.8056830946315733E-3</v>
      </c>
      <c r="S69" s="2"/>
      <c r="T69" s="2">
        <v>6222.5</v>
      </c>
      <c r="U69" s="2"/>
      <c r="V69" s="19">
        <f t="shared" si="20"/>
        <v>6.5188148133621142E-3</v>
      </c>
      <c r="W69" s="2"/>
      <c r="X69" s="2">
        <f t="shared" si="21"/>
        <v>-558.6899999999996</v>
      </c>
      <c r="Y69" s="2"/>
      <c r="Z69" s="19">
        <f t="shared" si="22"/>
        <v>-8.9785456006428219E-2</v>
      </c>
    </row>
    <row r="70" spans="1:26" s="24" customFormat="1" hidden="1" outlineLevel="1" x14ac:dyDescent="0.35">
      <c r="A70" s="44"/>
      <c r="B70" s="11" t="str">
        <f>CONCATENATE("          ", "5042", " - ", "PURCHASES @ COST-EVERYDAY GIFT")</f>
        <v xml:space="preserve">          5042 - PURCHASES @ COST-EVERYDAY GIFT</v>
      </c>
      <c r="C70" s="11"/>
      <c r="D70" s="2"/>
      <c r="E70" s="2"/>
      <c r="F70" s="19">
        <f t="shared" si="15"/>
        <v>0</v>
      </c>
      <c r="G70" s="2"/>
      <c r="H70" s="2"/>
      <c r="I70" s="2"/>
      <c r="J70" s="19">
        <f t="shared" si="16"/>
        <v>0</v>
      </c>
      <c r="K70" s="2"/>
      <c r="L70" s="2">
        <f t="shared" si="17"/>
        <v>0</v>
      </c>
      <c r="M70" s="2"/>
      <c r="N70" s="19">
        <f t="shared" si="18"/>
        <v>0</v>
      </c>
      <c r="O70" s="11"/>
      <c r="P70" s="2"/>
      <c r="Q70" s="2"/>
      <c r="R70" s="19">
        <f t="shared" si="19"/>
        <v>0</v>
      </c>
      <c r="S70" s="2"/>
      <c r="T70" s="2">
        <v>-126</v>
      </c>
      <c r="U70" s="2"/>
      <c r="V70" s="19">
        <f t="shared" si="20"/>
        <v>-1.3200010710865832E-4</v>
      </c>
      <c r="W70" s="2"/>
      <c r="X70" s="2">
        <f t="shared" si="21"/>
        <v>126</v>
      </c>
      <c r="Y70" s="2"/>
      <c r="Z70" s="19">
        <f t="shared" si="22"/>
        <v>-1</v>
      </c>
    </row>
    <row r="71" spans="1:26" s="24" customFormat="1" hidden="1" outlineLevel="1" x14ac:dyDescent="0.35">
      <c r="A71" s="44"/>
      <c r="B71" s="11" t="str">
        <f>CONCATENATE("          ", "5081", " - ", "PURCHASES @ COST-ELECTRONICS")</f>
        <v xml:space="preserve">          5081 - PURCHASES @ COST-ELECTRONICS</v>
      </c>
      <c r="C71" s="11"/>
      <c r="D71" s="2"/>
      <c r="E71" s="2"/>
      <c r="F71" s="19">
        <f t="shared" si="15"/>
        <v>0</v>
      </c>
      <c r="G71" s="2"/>
      <c r="H71" s="2">
        <v>-5.89</v>
      </c>
      <c r="I71" s="2"/>
      <c r="J71" s="19">
        <f t="shared" si="16"/>
        <v>-2.448437323330074E-4</v>
      </c>
      <c r="K71" s="2"/>
      <c r="L71" s="2">
        <f t="shared" si="17"/>
        <v>5.89</v>
      </c>
      <c r="M71" s="2"/>
      <c r="N71" s="19">
        <f t="shared" si="18"/>
        <v>-1</v>
      </c>
      <c r="O71" s="11"/>
      <c r="P71" s="2">
        <v>2008.03</v>
      </c>
      <c r="Q71" s="2"/>
      <c r="R71" s="19">
        <f t="shared" si="19"/>
        <v>2.4128662198260602E-3</v>
      </c>
      <c r="S71" s="2"/>
      <c r="T71" s="2">
        <v>2676.75</v>
      </c>
      <c r="U71" s="2"/>
      <c r="V71" s="19">
        <f t="shared" si="20"/>
        <v>2.8042165611357234E-3</v>
      </c>
      <c r="W71" s="2"/>
      <c r="X71" s="2">
        <f t="shared" si="21"/>
        <v>-668.72</v>
      </c>
      <c r="Y71" s="2"/>
      <c r="Z71" s="19">
        <f t="shared" si="22"/>
        <v>-0.24982534790324087</v>
      </c>
    </row>
    <row r="72" spans="1:26" s="24" customFormat="1" hidden="1" outlineLevel="1" x14ac:dyDescent="0.35">
      <c r="A72" s="44"/>
      <c r="B72" s="11" t="str">
        <f>CONCATENATE("          ", "5082", " - ", "PURCHASES @ COST-COMPUTER HARD")</f>
        <v xml:space="preserve">          5082 - PURCHASES @ COST-COMPUTER HARD</v>
      </c>
      <c r="C72" s="11"/>
      <c r="D72" s="2"/>
      <c r="E72" s="2"/>
      <c r="F72" s="19">
        <f t="shared" si="15"/>
        <v>0</v>
      </c>
      <c r="G72" s="2"/>
      <c r="H72" s="2"/>
      <c r="I72" s="2"/>
      <c r="J72" s="19">
        <f t="shared" si="16"/>
        <v>0</v>
      </c>
      <c r="K72" s="2"/>
      <c r="L72" s="2">
        <f t="shared" si="17"/>
        <v>0</v>
      </c>
      <c r="M72" s="2"/>
      <c r="N72" s="19">
        <f t="shared" si="18"/>
        <v>0</v>
      </c>
      <c r="O72" s="11"/>
      <c r="P72" s="2">
        <v>349.6</v>
      </c>
      <c r="Q72" s="2"/>
      <c r="R72" s="19">
        <f t="shared" si="19"/>
        <v>4.2008238445202046E-4</v>
      </c>
      <c r="S72" s="2"/>
      <c r="T72" s="2">
        <v>1118</v>
      </c>
      <c r="U72" s="2"/>
      <c r="V72" s="19">
        <f t="shared" si="20"/>
        <v>1.1712390456149206E-3</v>
      </c>
      <c r="W72" s="2"/>
      <c r="X72" s="2">
        <f t="shared" si="21"/>
        <v>-768.4</v>
      </c>
      <c r="Y72" s="2"/>
      <c r="Z72" s="19">
        <f t="shared" si="22"/>
        <v>-0.68729874776386402</v>
      </c>
    </row>
    <row r="73" spans="1:26" s="24" customFormat="1" hidden="1" outlineLevel="1" x14ac:dyDescent="0.35">
      <c r="A73" s="44"/>
      <c r="B73" s="11" t="str">
        <f>CONCATENATE("          ", "5083", " - ", "PURCHASES @ COST-COMPUTER EQUI")</f>
        <v xml:space="preserve">          5083 - PURCHASES @ COST-COMPUTER EQUI</v>
      </c>
      <c r="C73" s="11"/>
      <c r="D73" s="2"/>
      <c r="E73" s="2"/>
      <c r="F73" s="19">
        <f t="shared" si="15"/>
        <v>0</v>
      </c>
      <c r="G73" s="2"/>
      <c r="H73" s="2"/>
      <c r="I73" s="2"/>
      <c r="J73" s="19">
        <f t="shared" si="16"/>
        <v>0</v>
      </c>
      <c r="K73" s="2"/>
      <c r="L73" s="2">
        <f t="shared" si="17"/>
        <v>0</v>
      </c>
      <c r="M73" s="2"/>
      <c r="N73" s="19">
        <f t="shared" si="18"/>
        <v>0</v>
      </c>
      <c r="O73" s="11"/>
      <c r="P73" s="2">
        <v>304.70999999999998</v>
      </c>
      <c r="Q73" s="2"/>
      <c r="R73" s="19">
        <f t="shared" si="19"/>
        <v>3.6614217210061541E-4</v>
      </c>
      <c r="S73" s="2"/>
      <c r="T73" s="2">
        <v>637.39</v>
      </c>
      <c r="U73" s="2"/>
      <c r="V73" s="19">
        <f t="shared" si="20"/>
        <v>6.677424465872041E-4</v>
      </c>
      <c r="W73" s="2"/>
      <c r="X73" s="2">
        <f t="shared" si="21"/>
        <v>-332.68</v>
      </c>
      <c r="Y73" s="2"/>
      <c r="Z73" s="19">
        <f t="shared" si="22"/>
        <v>-0.52194104080704129</v>
      </c>
    </row>
    <row r="74" spans="1:26" s="24" customFormat="1" hidden="1" outlineLevel="1" x14ac:dyDescent="0.35">
      <c r="A74" s="44"/>
      <c r="B74" s="11" t="str">
        <f>CONCATENATE("          ", "5086", " - ", "PURCHASES @ COST-COMPUTER SUPP")</f>
        <v xml:space="preserve">          5086 - PURCHASES @ COST-COMPUTER SUPP</v>
      </c>
      <c r="C74" s="11"/>
      <c r="D74" s="2"/>
      <c r="E74" s="2"/>
      <c r="F74" s="19">
        <f t="shared" si="15"/>
        <v>0</v>
      </c>
      <c r="G74" s="2"/>
      <c r="H74" s="2"/>
      <c r="I74" s="2"/>
      <c r="J74" s="19">
        <f t="shared" si="16"/>
        <v>0</v>
      </c>
      <c r="K74" s="2"/>
      <c r="L74" s="2">
        <f t="shared" si="17"/>
        <v>0</v>
      </c>
      <c r="M74" s="2"/>
      <c r="N74" s="19">
        <f t="shared" si="18"/>
        <v>0</v>
      </c>
      <c r="O74" s="11"/>
      <c r="P74" s="2">
        <v>426.22</v>
      </c>
      <c r="Q74" s="2"/>
      <c r="R74" s="19">
        <f t="shared" si="19"/>
        <v>5.1214963930532086E-4</v>
      </c>
      <c r="S74" s="2"/>
      <c r="T74" s="2">
        <v>971.76</v>
      </c>
      <c r="U74" s="2"/>
      <c r="V74" s="19">
        <f t="shared" si="20"/>
        <v>1.018035111777062E-3</v>
      </c>
      <c r="W74" s="2"/>
      <c r="X74" s="2">
        <f t="shared" si="21"/>
        <v>-545.54</v>
      </c>
      <c r="Y74" s="2"/>
      <c r="Z74" s="19">
        <f t="shared" si="22"/>
        <v>-0.56139375977607642</v>
      </c>
    </row>
    <row r="75" spans="1:26" s="24" customFormat="1" hidden="1" outlineLevel="1" x14ac:dyDescent="0.35">
      <c r="A75" s="44"/>
      <c r="B75" s="11" t="str">
        <f>CONCATENATE("          ", "5200", " - ", "PURCHASES OFFSET")</f>
        <v xml:space="preserve">          5200 - PURCHASES OFFSET</v>
      </c>
      <c r="C75" s="11"/>
      <c r="D75" s="2">
        <v>-10888</v>
      </c>
      <c r="E75" s="2"/>
      <c r="F75" s="19">
        <f t="shared" si="15"/>
        <v>-1.0334563457712578</v>
      </c>
      <c r="G75" s="2"/>
      <c r="H75" s="2">
        <v>-16150</v>
      </c>
      <c r="I75" s="2"/>
      <c r="J75" s="19">
        <f t="shared" si="16"/>
        <v>-0.67134571768727846</v>
      </c>
      <c r="K75" s="2"/>
      <c r="L75" s="2">
        <f t="shared" si="17"/>
        <v>5262</v>
      </c>
      <c r="M75" s="2"/>
      <c r="N75" s="19">
        <f t="shared" si="18"/>
        <v>-0.3258204334365325</v>
      </c>
      <c r="O75" s="11"/>
      <c r="P75" s="2">
        <v>-452309</v>
      </c>
      <c r="Q75" s="2"/>
      <c r="R75" s="19">
        <f t="shared" si="19"/>
        <v>-0.54349840740591793</v>
      </c>
      <c r="S75" s="2"/>
      <c r="T75" s="2">
        <v>-508832</v>
      </c>
      <c r="U75" s="2"/>
      <c r="V75" s="19">
        <f t="shared" si="20"/>
        <v>-0.53306252778026053</v>
      </c>
      <c r="W75" s="2"/>
      <c r="X75" s="2">
        <f t="shared" si="21"/>
        <v>56523</v>
      </c>
      <c r="Y75" s="2"/>
      <c r="Z75" s="19">
        <f t="shared" si="22"/>
        <v>-0.11108381548330294</v>
      </c>
    </row>
    <row r="76" spans="1:26" s="24" customFormat="1" hidden="1" outlineLevel="1" x14ac:dyDescent="0.35">
      <c r="A76" s="44"/>
      <c r="B76" s="11" t="str">
        <f>CONCATENATE("          ", "5300", " - ", "COG$ OFFSET")</f>
        <v xml:space="preserve">          5300 - COG$ OFFSET</v>
      </c>
      <c r="C76" s="11"/>
      <c r="D76" s="2">
        <v>43345</v>
      </c>
      <c r="E76" s="2"/>
      <c r="F76" s="19">
        <f t="shared" si="15"/>
        <v>4.1141775631387922</v>
      </c>
      <c r="G76" s="2"/>
      <c r="H76" s="2">
        <v>11297</v>
      </c>
      <c r="I76" s="2"/>
      <c r="J76" s="19">
        <f t="shared" si="16"/>
        <v>0.46960944722682257</v>
      </c>
      <c r="K76" s="2"/>
      <c r="L76" s="2">
        <f t="shared" si="17"/>
        <v>32048</v>
      </c>
      <c r="M76" s="2"/>
      <c r="N76" s="19">
        <f t="shared" si="18"/>
        <v>2.8368593431884572</v>
      </c>
      <c r="O76" s="11"/>
      <c r="P76" s="2">
        <v>457380</v>
      </c>
      <c r="Q76" s="2"/>
      <c r="R76" s="19">
        <f t="shared" si="19"/>
        <v>0.54959176487604433</v>
      </c>
      <c r="S76" s="2"/>
      <c r="T76" s="2">
        <v>496428</v>
      </c>
      <c r="U76" s="2"/>
      <c r="V76" s="19">
        <f t="shared" si="20"/>
        <v>0.52006785056934146</v>
      </c>
      <c r="W76" s="2"/>
      <c r="X76" s="2">
        <f t="shared" si="21"/>
        <v>-39048</v>
      </c>
      <c r="Y76" s="2"/>
      <c r="Z76" s="19">
        <f t="shared" si="22"/>
        <v>-7.8657932268123468E-2</v>
      </c>
    </row>
    <row r="77" spans="1:26" s="24" customFormat="1" hidden="1" outlineLevel="1" x14ac:dyDescent="0.35">
      <c r="A77" s="44"/>
      <c r="B77" s="11" t="str">
        <f>CONCATENATE("          ", "5500", " - ", "FREIGHT-IN")</f>
        <v xml:space="preserve">          5500 - FREIGHT-IN</v>
      </c>
      <c r="C77" s="11"/>
      <c r="D77" s="2">
        <v>16</v>
      </c>
      <c r="E77" s="2"/>
      <c r="F77" s="19">
        <f t="shared" si="15"/>
        <v>1.5186720731392473E-3</v>
      </c>
      <c r="G77" s="2"/>
      <c r="H77" s="2"/>
      <c r="I77" s="2"/>
      <c r="J77" s="19">
        <f t="shared" si="16"/>
        <v>0</v>
      </c>
      <c r="K77" s="2"/>
      <c r="L77" s="2">
        <f t="shared" si="17"/>
        <v>16</v>
      </c>
      <c r="M77" s="2"/>
      <c r="N77" s="19">
        <f t="shared" si="18"/>
        <v>0</v>
      </c>
      <c r="O77" s="11"/>
      <c r="P77" s="2">
        <v>102</v>
      </c>
      <c r="Q77" s="2"/>
      <c r="R77" s="19">
        <f t="shared" si="19"/>
        <v>1.2256408242021191E-4</v>
      </c>
      <c r="S77" s="2"/>
      <c r="T77" s="2"/>
      <c r="U77" s="2"/>
      <c r="V77" s="19">
        <f t="shared" si="20"/>
        <v>0</v>
      </c>
      <c r="W77" s="2"/>
      <c r="X77" s="2">
        <f t="shared" si="21"/>
        <v>102</v>
      </c>
      <c r="Y77" s="2"/>
      <c r="Z77" s="19">
        <f t="shared" si="22"/>
        <v>0</v>
      </c>
    </row>
    <row r="78" spans="1:26" s="24" customFormat="1" hidden="1" outlineLevel="1" x14ac:dyDescent="0.35">
      <c r="A78" s="44"/>
      <c r="B78" s="11" t="str">
        <f>CONCATENATE("          ", "5525", " - ", "FREIGHT-IN-TEST FORMS")</f>
        <v xml:space="preserve">          5525 - FREIGHT-IN-TEST FORMS</v>
      </c>
      <c r="C78" s="11"/>
      <c r="D78" s="2"/>
      <c r="E78" s="2"/>
      <c r="F78" s="19">
        <f t="shared" si="15"/>
        <v>0</v>
      </c>
      <c r="G78" s="2"/>
      <c r="H78" s="2"/>
      <c r="I78" s="2"/>
      <c r="J78" s="19">
        <f t="shared" si="16"/>
        <v>0</v>
      </c>
      <c r="K78" s="2"/>
      <c r="L78" s="2">
        <f t="shared" si="17"/>
        <v>0</v>
      </c>
      <c r="M78" s="2"/>
      <c r="N78" s="19">
        <f t="shared" si="18"/>
        <v>0</v>
      </c>
      <c r="O78" s="11"/>
      <c r="P78" s="2">
        <v>1614.32</v>
      </c>
      <c r="Q78" s="2"/>
      <c r="R78" s="19">
        <f t="shared" si="19"/>
        <v>1.9397808777705538E-3</v>
      </c>
      <c r="S78" s="2"/>
      <c r="T78" s="2">
        <v>390.96</v>
      </c>
      <c r="U78" s="2"/>
      <c r="V78" s="19">
        <f t="shared" si="20"/>
        <v>4.0957747520000836E-4</v>
      </c>
      <c r="W78" s="2"/>
      <c r="X78" s="2">
        <f t="shared" si="21"/>
        <v>1223.3599999999999</v>
      </c>
      <c r="Y78" s="2"/>
      <c r="Z78" s="19">
        <f t="shared" si="22"/>
        <v>3.1291180683445874</v>
      </c>
    </row>
    <row r="79" spans="1:26" s="24" customFormat="1" hidden="1" outlineLevel="1" x14ac:dyDescent="0.35">
      <c r="A79" s="44"/>
      <c r="B79" s="11" t="str">
        <f>CONCATENATE("          ", "5526", " - ", "FREIGHT-IN-WRITING INSTRUMENTS")</f>
        <v xml:space="preserve">          5526 - FREIGHT-IN-WRITING INSTRUMENTS</v>
      </c>
      <c r="C79" s="11"/>
      <c r="D79" s="2"/>
      <c r="E79" s="2"/>
      <c r="F79" s="19">
        <f t="shared" si="15"/>
        <v>0</v>
      </c>
      <c r="G79" s="2"/>
      <c r="H79" s="2">
        <v>6.5</v>
      </c>
      <c r="I79" s="2"/>
      <c r="J79" s="19">
        <f t="shared" si="16"/>
        <v>2.7020106284627308E-4</v>
      </c>
      <c r="K79" s="2"/>
      <c r="L79" s="2">
        <f t="shared" si="17"/>
        <v>-6.5</v>
      </c>
      <c r="M79" s="2"/>
      <c r="N79" s="19">
        <f t="shared" si="18"/>
        <v>-1</v>
      </c>
      <c r="O79" s="11"/>
      <c r="P79" s="2">
        <v>274.5</v>
      </c>
      <c r="Q79" s="2"/>
      <c r="R79" s="19">
        <f t="shared" si="19"/>
        <v>3.2984157474851147E-4</v>
      </c>
      <c r="S79" s="2"/>
      <c r="T79" s="2">
        <v>262.62</v>
      </c>
      <c r="U79" s="2"/>
      <c r="V79" s="19">
        <f t="shared" si="20"/>
        <v>2.7512593753076069E-4</v>
      </c>
      <c r="W79" s="2"/>
      <c r="X79" s="2">
        <f t="shared" si="21"/>
        <v>11.879999999999995</v>
      </c>
      <c r="Y79" s="2"/>
      <c r="Z79" s="19">
        <f t="shared" si="22"/>
        <v>4.5236463331048644E-2</v>
      </c>
    </row>
    <row r="80" spans="1:26" s="24" customFormat="1" hidden="1" outlineLevel="1" x14ac:dyDescent="0.35">
      <c r="A80" s="44"/>
      <c r="B80" s="11" t="str">
        <f>CONCATENATE("          ", "5527", " - ", "FREIGHT-IN-SCHOOL SUPPLIES")</f>
        <v xml:space="preserve">          5527 - FREIGHT-IN-SCHOOL SUPPLIES</v>
      </c>
      <c r="C80" s="11"/>
      <c r="D80" s="2"/>
      <c r="E80" s="2"/>
      <c r="F80" s="19">
        <f t="shared" si="15"/>
        <v>0</v>
      </c>
      <c r="G80" s="2"/>
      <c r="H80" s="2">
        <v>194.74</v>
      </c>
      <c r="I80" s="2"/>
      <c r="J80" s="19">
        <f t="shared" si="16"/>
        <v>8.0952238428743419E-3</v>
      </c>
      <c r="K80" s="2"/>
      <c r="L80" s="2">
        <f t="shared" si="17"/>
        <v>-194.74</v>
      </c>
      <c r="M80" s="2"/>
      <c r="N80" s="19">
        <f t="shared" si="18"/>
        <v>-1</v>
      </c>
      <c r="O80" s="11"/>
      <c r="P80" s="2">
        <v>1808</v>
      </c>
      <c r="Q80" s="2"/>
      <c r="R80" s="19">
        <f t="shared" si="19"/>
        <v>2.1725084413308153E-3</v>
      </c>
      <c r="S80" s="2"/>
      <c r="T80" s="2">
        <v>2106.8200000000002</v>
      </c>
      <c r="U80" s="2"/>
      <c r="V80" s="19">
        <f t="shared" si="20"/>
        <v>2.207146552846536E-3</v>
      </c>
      <c r="W80" s="2"/>
      <c r="X80" s="2">
        <f t="shared" si="21"/>
        <v>-298.82000000000016</v>
      </c>
      <c r="Y80" s="2"/>
      <c r="Z80" s="19">
        <f t="shared" si="22"/>
        <v>-0.14183461330346217</v>
      </c>
    </row>
    <row r="81" spans="1:26" s="24" customFormat="1" hidden="1" outlineLevel="1" x14ac:dyDescent="0.35">
      <c r="A81" s="44"/>
      <c r="B81" s="11" t="str">
        <f>CONCATENATE("          ", "5528", " - ", "FREIGHT-IN-ART/TECH")</f>
        <v xml:space="preserve">          5528 - FREIGHT-IN-ART/TECH</v>
      </c>
      <c r="C81" s="11"/>
      <c r="D81" s="2">
        <v>13.33</v>
      </c>
      <c r="E81" s="2"/>
      <c r="F81" s="19">
        <f t="shared" si="15"/>
        <v>1.2652436709341354E-3</v>
      </c>
      <c r="G81" s="2"/>
      <c r="H81" s="2">
        <v>54.91</v>
      </c>
      <c r="I81" s="2"/>
      <c r="J81" s="19">
        <f t="shared" si="16"/>
        <v>2.2825754401367467E-3</v>
      </c>
      <c r="K81" s="2"/>
      <c r="L81" s="2">
        <f t="shared" si="17"/>
        <v>-41.58</v>
      </c>
      <c r="M81" s="2"/>
      <c r="N81" s="19">
        <f t="shared" si="18"/>
        <v>-0.75723911855763981</v>
      </c>
      <c r="O81" s="11"/>
      <c r="P81" s="2">
        <v>2837.7</v>
      </c>
      <c r="Q81" s="2"/>
      <c r="R81" s="19">
        <f t="shared" si="19"/>
        <v>3.409804869449366E-3</v>
      </c>
      <c r="S81" s="2"/>
      <c r="T81" s="2">
        <v>7608.5</v>
      </c>
      <c r="U81" s="2"/>
      <c r="V81" s="19">
        <f t="shared" si="20"/>
        <v>7.9708159915573562E-3</v>
      </c>
      <c r="W81" s="2"/>
      <c r="X81" s="2">
        <f t="shared" si="21"/>
        <v>-4770.8</v>
      </c>
      <c r="Y81" s="2"/>
      <c r="Z81" s="19">
        <f t="shared" si="22"/>
        <v>-0.62703555234277453</v>
      </c>
    </row>
    <row r="82" spans="1:26" x14ac:dyDescent="0.3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5">
      <c r="A83" s="10"/>
      <c r="B83" s="28" t="s">
        <v>6</v>
      </c>
      <c r="C83" s="28"/>
      <c r="D83" s="22">
        <f>D12-D57</f>
        <v>-32825.01</v>
      </c>
      <c r="E83" s="14"/>
      <c r="F83" s="21">
        <f>IF(D$12=0,0,D83/D$12)</f>
        <v>-3.1156516242197827</v>
      </c>
      <c r="G83" s="14"/>
      <c r="H83" s="22">
        <f>H12-H57</f>
        <v>12759.410000000002</v>
      </c>
      <c r="I83" s="14"/>
      <c r="J83" s="21">
        <f>IF(H$12=0,0,H83/H$12)</f>
        <v>0.53040094512174851</v>
      </c>
      <c r="K83" s="15"/>
      <c r="L83" s="22">
        <f>+D83-H83</f>
        <v>-45584.420000000006</v>
      </c>
      <c r="M83" s="15"/>
      <c r="N83" s="21">
        <f>IF(H83=0,0,L83/H83)</f>
        <v>-3.572611899766525</v>
      </c>
      <c r="O83" s="29"/>
      <c r="P83" s="22">
        <f>P12-P57</f>
        <v>374738.75999999983</v>
      </c>
      <c r="Q83" s="14"/>
      <c r="R83" s="21">
        <f>IF(P$12=0,0,P83/P$12)</f>
        <v>0.45028933594792148</v>
      </c>
      <c r="S83" s="14"/>
      <c r="T83" s="22">
        <f>T12-T57</f>
        <v>458115.09000000008</v>
      </c>
      <c r="U83" s="14"/>
      <c r="V83" s="21">
        <f>IF(T$12=0,0,T83/T$12)</f>
        <v>0.47993048371502106</v>
      </c>
      <c r="W83" s="15"/>
      <c r="X83" s="22">
        <f>+P83-T83</f>
        <v>-83376.330000000249</v>
      </c>
      <c r="Y83" s="15"/>
      <c r="Z83" s="21">
        <f>IF(T83=0,0,X83/T83)</f>
        <v>-0.18199865453024094</v>
      </c>
    </row>
    <row r="84" spans="1:26" x14ac:dyDescent="0.35">
      <c r="A84" s="9"/>
      <c r="B84" s="10"/>
      <c r="C84" s="9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35">
      <c r="A85" s="10"/>
      <c r="B85" s="29" t="s">
        <v>9</v>
      </c>
      <c r="C85" s="10"/>
      <c r="D85" s="20">
        <f>SUM(OSRRefD22x_0)</f>
        <v>51890.22</v>
      </c>
      <c r="E85" s="20"/>
      <c r="F85" s="36">
        <f t="shared" ref="F85:F95" si="23">IF(D$12=0,0,D85/D$12)</f>
        <v>4.925264248940727</v>
      </c>
      <c r="G85" s="20"/>
      <c r="H85" s="20">
        <f>SUM(OSRRefH22x_0)</f>
        <v>12854.380000000001</v>
      </c>
      <c r="I85" s="20"/>
      <c r="J85" s="36">
        <f t="shared" ref="J85:J95" si="24">IF(H$12=0,0,H85/H$12)</f>
        <v>0.53434879049690398</v>
      </c>
      <c r="K85" s="4"/>
      <c r="L85" s="20">
        <f t="shared" ref="L85:L95" si="25">+D85-H85</f>
        <v>39035.839999999997</v>
      </c>
      <c r="M85" s="4"/>
      <c r="N85" s="36">
        <f t="shared" ref="N85:N95" si="26">IF(H85=0,0,L85/H85)</f>
        <v>3.0367734577630343</v>
      </c>
      <c r="O85" s="10"/>
      <c r="P85" s="20">
        <f>SUM(OSRRefP22x_0)</f>
        <v>268674.05</v>
      </c>
      <c r="Q85" s="20"/>
      <c r="R85" s="36">
        <f t="shared" ref="R85:R95" si="27">IF(P$12=0,0,P85/P$12)</f>
        <v>0.32284106282717778</v>
      </c>
      <c r="S85" s="20"/>
      <c r="T85" s="20">
        <f>SUM(OSRRefT22x_0)</f>
        <v>245362.64</v>
      </c>
      <c r="U85" s="20"/>
      <c r="V85" s="36">
        <f t="shared" ref="V85:V95" si="28">IF(T$12=0,0,T85/T$12)</f>
        <v>0.25704678381319979</v>
      </c>
      <c r="W85" s="4"/>
      <c r="X85" s="20">
        <f t="shared" ref="X85:X95" si="29">+P85-T85</f>
        <v>23311.409999999974</v>
      </c>
      <c r="Y85" s="4"/>
      <c r="Z85" s="36">
        <f t="shared" ref="Z85:Z95" si="30">IF(T85=0,0,X85/T85)</f>
        <v>9.5007984915714855E-2</v>
      </c>
    </row>
    <row r="86" spans="1:26" s="25" customFormat="1" outlineLevel="1" collapsed="1" x14ac:dyDescent="0.35">
      <c r="A86" s="26"/>
      <c r="B86" s="12" t="str">
        <f>CONCATENATE("     ","*Benefits                                         ")</f>
        <v xml:space="preserve">     *Benefits                                         </v>
      </c>
      <c r="C86" s="12"/>
      <c r="D86" s="1">
        <f>SUM(OSRRefD22_0x_0)</f>
        <v>2426.7400000000002</v>
      </c>
      <c r="E86" s="1"/>
      <c r="F86" s="5">
        <f t="shared" si="23"/>
        <v>0.23033889167312108</v>
      </c>
      <c r="G86" s="1"/>
      <c r="H86" s="1">
        <f>SUM(OSRRefH22_0x_0)</f>
        <v>3060.84</v>
      </c>
      <c r="I86" s="1"/>
      <c r="J86" s="5">
        <f t="shared" si="24"/>
        <v>0.12723726480036715</v>
      </c>
      <c r="K86" s="1"/>
      <c r="L86" s="1">
        <f t="shared" si="25"/>
        <v>-634.09999999999991</v>
      </c>
      <c r="M86" s="1"/>
      <c r="N86" s="5">
        <f t="shared" si="26"/>
        <v>-0.20716535330170799</v>
      </c>
      <c r="O86" s="12"/>
      <c r="P86" s="1">
        <f>SUM(OSRRefP22_0x_0)</f>
        <v>36014.420000000006</v>
      </c>
      <c r="Q86" s="1"/>
      <c r="R86" s="5">
        <f t="shared" si="27"/>
        <v>4.3275238639177739E-2</v>
      </c>
      <c r="S86" s="1"/>
      <c r="T86" s="1">
        <f>SUM(OSRRefT22_0x_0)</f>
        <v>41147.279999999999</v>
      </c>
      <c r="U86" s="1"/>
      <c r="V86" s="5">
        <f t="shared" si="28"/>
        <v>4.3106709263729795E-2</v>
      </c>
      <c r="W86" s="1"/>
      <c r="X86" s="1">
        <f t="shared" si="29"/>
        <v>-5132.8599999999933</v>
      </c>
      <c r="Y86" s="1"/>
      <c r="Z86" s="5">
        <f t="shared" si="30"/>
        <v>-0.12474360395146394</v>
      </c>
    </row>
    <row r="87" spans="1:26" s="24" customFormat="1" hidden="1" outlineLevel="2" x14ac:dyDescent="0.35">
      <c r="A87" s="27"/>
      <c r="B87" s="11" t="str">
        <f>CONCATENATE("          ", "6111", " - ", "F.I.C.A.")</f>
        <v xml:space="preserve">          6111 - F.I.C.A.</v>
      </c>
      <c r="C87" s="11"/>
      <c r="D87" s="7">
        <v>318.24</v>
      </c>
      <c r="E87" s="2"/>
      <c r="F87" s="6">
        <f t="shared" si="23"/>
        <v>3.0206387534739629E-2</v>
      </c>
      <c r="G87" s="2"/>
      <c r="H87" s="7">
        <v>737.4</v>
      </c>
      <c r="I87" s="2"/>
      <c r="J87" s="6">
        <f t="shared" si="24"/>
        <v>3.0653271345052576E-2</v>
      </c>
      <c r="K87" s="2"/>
      <c r="L87" s="7">
        <f t="shared" si="25"/>
        <v>-419.15999999999997</v>
      </c>
      <c r="M87" s="2"/>
      <c r="N87" s="6">
        <f t="shared" si="26"/>
        <v>-0.56842961757526445</v>
      </c>
      <c r="O87" s="11"/>
      <c r="P87" s="7">
        <v>6429.07</v>
      </c>
      <c r="Q87" s="2"/>
      <c r="R87" s="6">
        <f t="shared" si="27"/>
        <v>7.7252261310324687E-3</v>
      </c>
      <c r="S87" s="2"/>
      <c r="T87" s="7">
        <v>7262.92</v>
      </c>
      <c r="U87" s="2"/>
      <c r="V87" s="6">
        <f t="shared" si="28"/>
        <v>7.6087795073144183E-3</v>
      </c>
      <c r="W87" s="2"/>
      <c r="X87" s="7">
        <f t="shared" si="29"/>
        <v>-833.85000000000036</v>
      </c>
      <c r="Y87" s="2"/>
      <c r="Z87" s="6">
        <f t="shared" si="30"/>
        <v>-0.11480919519972688</v>
      </c>
    </row>
    <row r="88" spans="1:26" s="24" customFormat="1" hidden="1" outlineLevel="2" x14ac:dyDescent="0.35">
      <c r="A88" s="27"/>
      <c r="B88" s="11" t="str">
        <f>CONCATENATE("          ", "6112", " - ", "COMPENSATION INSURANCE")</f>
        <v xml:space="preserve">          6112 - COMPENSATION INSURANCE</v>
      </c>
      <c r="C88" s="11"/>
      <c r="D88" s="7">
        <v>79.040000000000006</v>
      </c>
      <c r="E88" s="2"/>
      <c r="F88" s="6">
        <f t="shared" si="23"/>
        <v>7.5022400413078819E-3</v>
      </c>
      <c r="G88" s="2"/>
      <c r="H88" s="7">
        <v>188.43</v>
      </c>
      <c r="I88" s="2"/>
      <c r="J88" s="6">
        <f t="shared" si="24"/>
        <v>7.8329209649420362E-3</v>
      </c>
      <c r="K88" s="2"/>
      <c r="L88" s="7">
        <f t="shared" si="25"/>
        <v>-109.39</v>
      </c>
      <c r="M88" s="2"/>
      <c r="N88" s="6">
        <f t="shared" si="26"/>
        <v>-0.58053388526243166</v>
      </c>
      <c r="O88" s="11"/>
      <c r="P88" s="7">
        <v>2835.03</v>
      </c>
      <c r="Q88" s="2"/>
      <c r="R88" s="6">
        <f t="shared" si="27"/>
        <v>3.4065965743507198E-3</v>
      </c>
      <c r="S88" s="2"/>
      <c r="T88" s="7">
        <v>1945.01</v>
      </c>
      <c r="U88" s="2"/>
      <c r="V88" s="6">
        <f t="shared" si="28"/>
        <v>2.0376311772016785E-3</v>
      </c>
      <c r="W88" s="2"/>
      <c r="X88" s="7">
        <f t="shared" si="29"/>
        <v>890.02000000000021</v>
      </c>
      <c r="Y88" s="2"/>
      <c r="Z88" s="6">
        <f t="shared" si="30"/>
        <v>0.45759147767877811</v>
      </c>
    </row>
    <row r="89" spans="1:26" s="24" customFormat="1" hidden="1" outlineLevel="2" x14ac:dyDescent="0.35">
      <c r="A89" s="27"/>
      <c r="B89" s="11" t="str">
        <f>CONCATENATE("          ", "6113", " - ", "GROUP INSURANCE")</f>
        <v xml:space="preserve">          6113 - GROUP INSURANCE</v>
      </c>
      <c r="C89" s="11"/>
      <c r="D89" s="7">
        <v>1367.58</v>
      </c>
      <c r="E89" s="2"/>
      <c r="F89" s="6">
        <f t="shared" si="23"/>
        <v>0.12980659711148573</v>
      </c>
      <c r="G89" s="2"/>
      <c r="H89" s="7">
        <v>1412.76</v>
      </c>
      <c r="I89" s="2"/>
      <c r="J89" s="6">
        <f t="shared" si="24"/>
        <v>5.8727577468723188E-2</v>
      </c>
      <c r="K89" s="2"/>
      <c r="L89" s="7">
        <f t="shared" si="25"/>
        <v>-45.180000000000064</v>
      </c>
      <c r="M89" s="2"/>
      <c r="N89" s="6">
        <f t="shared" si="26"/>
        <v>-3.1979954132336751E-2</v>
      </c>
      <c r="O89" s="11"/>
      <c r="P89" s="7">
        <v>20898.98</v>
      </c>
      <c r="Q89" s="2"/>
      <c r="R89" s="6">
        <f t="shared" si="27"/>
        <v>2.5112395168807453E-2</v>
      </c>
      <c r="S89" s="2"/>
      <c r="T89" s="7">
        <v>16928.86</v>
      </c>
      <c r="U89" s="2"/>
      <c r="V89" s="6">
        <f t="shared" si="28"/>
        <v>1.7735010581170489E-2</v>
      </c>
      <c r="W89" s="2"/>
      <c r="X89" s="7">
        <f t="shared" si="29"/>
        <v>3970.119999999999</v>
      </c>
      <c r="Y89" s="2"/>
      <c r="Z89" s="6">
        <f t="shared" si="30"/>
        <v>0.23451785885168872</v>
      </c>
    </row>
    <row r="90" spans="1:26" s="24" customFormat="1" hidden="1" outlineLevel="2" x14ac:dyDescent="0.35">
      <c r="A90" s="27"/>
      <c r="B90" s="11" t="str">
        <f>CONCATENATE("          ", "6114", " - ", "STATE UNEMPLOYMENT INSURANCE")</f>
        <v xml:space="preserve">          6114 - STATE UNEMPLOYMENT INSURANCE</v>
      </c>
      <c r="C90" s="11"/>
      <c r="D90" s="7">
        <v>-419.11</v>
      </c>
      <c r="E90" s="2"/>
      <c r="F90" s="6">
        <f t="shared" si="23"/>
        <v>-3.9780665785836868E-2</v>
      </c>
      <c r="G90" s="2"/>
      <c r="H90" s="7">
        <v>41.17</v>
      </c>
      <c r="I90" s="2"/>
      <c r="J90" s="6">
        <f t="shared" si="24"/>
        <v>1.7114119626740097E-3</v>
      </c>
      <c r="K90" s="2"/>
      <c r="L90" s="7">
        <f t="shared" si="25"/>
        <v>-460.28000000000003</v>
      </c>
      <c r="M90" s="2"/>
      <c r="N90" s="6">
        <f t="shared" si="26"/>
        <v>-11.179985426281274</v>
      </c>
      <c r="O90" s="11"/>
      <c r="P90" s="7">
        <v>0</v>
      </c>
      <c r="Q90" s="2"/>
      <c r="R90" s="6">
        <f t="shared" si="27"/>
        <v>0</v>
      </c>
      <c r="S90" s="2"/>
      <c r="T90" s="7">
        <v>460.97</v>
      </c>
      <c r="U90" s="2"/>
      <c r="V90" s="6">
        <f t="shared" si="28"/>
        <v>4.829213442371288E-4</v>
      </c>
      <c r="W90" s="2"/>
      <c r="X90" s="7">
        <f t="shared" si="29"/>
        <v>-460.97</v>
      </c>
      <c r="Y90" s="2"/>
      <c r="Z90" s="6">
        <f t="shared" si="30"/>
        <v>-1</v>
      </c>
    </row>
    <row r="91" spans="1:26" s="24" customFormat="1" hidden="1" outlineLevel="2" x14ac:dyDescent="0.35">
      <c r="A91" s="27"/>
      <c r="B91" s="11" t="str">
        <f>CONCATENATE("          ", "6115", " - ", "P.E.R.S.")</f>
        <v xml:space="preserve">          6115 - P.E.R.S.</v>
      </c>
      <c r="C91" s="11"/>
      <c r="D91" s="7">
        <v>425.19</v>
      </c>
      <c r="E91" s="2"/>
      <c r="F91" s="6">
        <f t="shared" si="23"/>
        <v>4.0357761173629783E-2</v>
      </c>
      <c r="G91" s="2"/>
      <c r="H91" s="7"/>
      <c r="I91" s="2"/>
      <c r="J91" s="6">
        <f t="shared" si="24"/>
        <v>0</v>
      </c>
      <c r="K91" s="2"/>
      <c r="L91" s="7">
        <f t="shared" si="25"/>
        <v>425.19</v>
      </c>
      <c r="M91" s="2"/>
      <c r="N91" s="6">
        <f t="shared" si="26"/>
        <v>0</v>
      </c>
      <c r="O91" s="11"/>
      <c r="P91" s="7">
        <v>5052.41</v>
      </c>
      <c r="Q91" s="2"/>
      <c r="R91" s="6">
        <f t="shared" si="27"/>
        <v>6.0710195653010087E-3</v>
      </c>
      <c r="S91" s="2"/>
      <c r="T91" s="7">
        <v>4668.72</v>
      </c>
      <c r="U91" s="2"/>
      <c r="V91" s="6">
        <f t="shared" si="28"/>
        <v>4.89104396873282E-3</v>
      </c>
      <c r="W91" s="2"/>
      <c r="X91" s="7">
        <f t="shared" si="29"/>
        <v>383.6899999999996</v>
      </c>
      <c r="Y91" s="2"/>
      <c r="Z91" s="6">
        <f t="shared" si="30"/>
        <v>8.2183125139224364E-2</v>
      </c>
    </row>
    <row r="92" spans="1:26" s="24" customFormat="1" hidden="1" outlineLevel="2" x14ac:dyDescent="0.35">
      <c r="A92" s="27"/>
      <c r="B92" s="11" t="str">
        <f>CONCATENATE("          ", "6117", " - ", "RETIREMENT STAFF HOURLY")</f>
        <v xml:space="preserve">          6117 - RETIREMENT STAFF HOURLY</v>
      </c>
      <c r="C92" s="11"/>
      <c r="D92" s="7"/>
      <c r="E92" s="2"/>
      <c r="F92" s="6">
        <f t="shared" si="23"/>
        <v>0</v>
      </c>
      <c r="G92" s="2"/>
      <c r="H92" s="7"/>
      <c r="I92" s="2"/>
      <c r="J92" s="6">
        <f t="shared" si="24"/>
        <v>0</v>
      </c>
      <c r="K92" s="2"/>
      <c r="L92" s="7">
        <f t="shared" si="25"/>
        <v>0</v>
      </c>
      <c r="M92" s="2"/>
      <c r="N92" s="6">
        <f t="shared" si="26"/>
        <v>0</v>
      </c>
      <c r="O92" s="11"/>
      <c r="P92" s="7">
        <v>46.65</v>
      </c>
      <c r="Q92" s="2"/>
      <c r="R92" s="6">
        <f t="shared" si="27"/>
        <v>5.6055043577479269E-5</v>
      </c>
      <c r="S92" s="2"/>
      <c r="T92" s="7"/>
      <c r="U92" s="2"/>
      <c r="V92" s="6">
        <f t="shared" si="28"/>
        <v>0</v>
      </c>
      <c r="W92" s="2"/>
      <c r="X92" s="7">
        <f t="shared" si="29"/>
        <v>46.65</v>
      </c>
      <c r="Y92" s="2"/>
      <c r="Z92" s="6">
        <f t="shared" si="30"/>
        <v>0</v>
      </c>
    </row>
    <row r="93" spans="1:26" s="24" customFormat="1" hidden="1" outlineLevel="2" x14ac:dyDescent="0.35">
      <c r="A93" s="27"/>
      <c r="B93" s="11" t="str">
        <f>CONCATENATE("          ", "6118", " - ", "VACATION")</f>
        <v xml:space="preserve">          6118 - VACATION</v>
      </c>
      <c r="C93" s="11"/>
      <c r="D93" s="7">
        <v>335.92</v>
      </c>
      <c r="E93" s="2"/>
      <c r="F93" s="6">
        <f t="shared" si="23"/>
        <v>3.1884520175558498E-2</v>
      </c>
      <c r="G93" s="2"/>
      <c r="H93" s="7">
        <v>312.86</v>
      </c>
      <c r="I93" s="2"/>
      <c r="J93" s="6">
        <f t="shared" si="24"/>
        <v>1.3005400695705384E-2</v>
      </c>
      <c r="K93" s="2"/>
      <c r="L93" s="7">
        <f t="shared" si="25"/>
        <v>23.060000000000002</v>
      </c>
      <c r="M93" s="2"/>
      <c r="N93" s="6">
        <f t="shared" si="26"/>
        <v>7.3707089432973216E-2</v>
      </c>
      <c r="O93" s="11"/>
      <c r="P93" s="7">
        <v>4436.32</v>
      </c>
      <c r="Q93" s="2"/>
      <c r="R93" s="6">
        <f t="shared" si="27"/>
        <v>5.3307204913964163E-3</v>
      </c>
      <c r="S93" s="2"/>
      <c r="T93" s="7">
        <v>4154.51</v>
      </c>
      <c r="U93" s="2"/>
      <c r="V93" s="6">
        <f t="shared" si="28"/>
        <v>4.352347341142794E-3</v>
      </c>
      <c r="W93" s="2"/>
      <c r="X93" s="7">
        <f t="shared" si="29"/>
        <v>281.80999999999949</v>
      </c>
      <c r="Y93" s="2"/>
      <c r="Z93" s="6">
        <f t="shared" si="30"/>
        <v>6.7832307540479975E-2</v>
      </c>
    </row>
    <row r="94" spans="1:26" s="24" customFormat="1" hidden="1" outlineLevel="2" x14ac:dyDescent="0.35">
      <c r="A94" s="27"/>
      <c r="B94" s="11" t="str">
        <f>CONCATENATE("          ", "6119", " - ", "SICK LEAVE")</f>
        <v xml:space="preserve">          6119 - SICK LEAVE</v>
      </c>
      <c r="C94" s="11"/>
      <c r="D94" s="7">
        <v>191.88</v>
      </c>
      <c r="E94" s="2"/>
      <c r="F94" s="6">
        <f t="shared" si="23"/>
        <v>1.8212674837122422E-2</v>
      </c>
      <c r="G94" s="2"/>
      <c r="H94" s="7">
        <v>249.98</v>
      </c>
      <c r="I94" s="2"/>
      <c r="J94" s="6">
        <f t="shared" si="24"/>
        <v>1.039151718312482E-2</v>
      </c>
      <c r="K94" s="2"/>
      <c r="L94" s="7">
        <f t="shared" si="25"/>
        <v>-58.099999999999994</v>
      </c>
      <c r="M94" s="2"/>
      <c r="N94" s="6">
        <f t="shared" si="26"/>
        <v>-0.23241859348747898</v>
      </c>
      <c r="O94" s="11"/>
      <c r="P94" s="7">
        <v>-5598.14</v>
      </c>
      <c r="Q94" s="2"/>
      <c r="R94" s="6">
        <f t="shared" si="27"/>
        <v>-6.7267734545086782E-3</v>
      </c>
      <c r="S94" s="2"/>
      <c r="T94" s="7">
        <v>3961.02</v>
      </c>
      <c r="U94" s="2"/>
      <c r="V94" s="6">
        <f t="shared" si="28"/>
        <v>4.1496433671391886E-3</v>
      </c>
      <c r="W94" s="2"/>
      <c r="X94" s="7">
        <f t="shared" si="29"/>
        <v>-9559.16</v>
      </c>
      <c r="Y94" s="2"/>
      <c r="Z94" s="6">
        <f t="shared" si="30"/>
        <v>-2.4133076833744842</v>
      </c>
    </row>
    <row r="95" spans="1:26" s="24" customFormat="1" hidden="1" outlineLevel="2" x14ac:dyDescent="0.35">
      <c r="A95" s="27"/>
      <c r="B95" s="11" t="str">
        <f>CONCATENATE("          ", "6156", " - ", "EMPLOYEE MEALS")</f>
        <v xml:space="preserve">          6156 - EMPLOYEE MEALS</v>
      </c>
      <c r="C95" s="11"/>
      <c r="D95" s="7">
        <v>128</v>
      </c>
      <c r="E95" s="2"/>
      <c r="F95" s="6">
        <f t="shared" si="23"/>
        <v>1.2149376585113978E-2</v>
      </c>
      <c r="G95" s="2"/>
      <c r="H95" s="7">
        <v>118.24</v>
      </c>
      <c r="I95" s="2"/>
      <c r="J95" s="6">
        <f t="shared" si="24"/>
        <v>4.9151651801451271E-3</v>
      </c>
      <c r="K95" s="2"/>
      <c r="L95" s="7">
        <f t="shared" si="25"/>
        <v>9.7600000000000051</v>
      </c>
      <c r="M95" s="2"/>
      <c r="N95" s="6">
        <f t="shared" si="26"/>
        <v>8.2543978349120486E-2</v>
      </c>
      <c r="O95" s="11"/>
      <c r="P95" s="7">
        <v>1914.1</v>
      </c>
      <c r="Q95" s="2"/>
      <c r="R95" s="6">
        <f t="shared" si="27"/>
        <v>2.2999991192208589E-3</v>
      </c>
      <c r="S95" s="2"/>
      <c r="T95" s="7">
        <v>1765.27</v>
      </c>
      <c r="U95" s="2"/>
      <c r="V95" s="6">
        <f t="shared" si="28"/>
        <v>1.8493319767912799E-3</v>
      </c>
      <c r="W95" s="2"/>
      <c r="X95" s="7">
        <f t="shared" si="29"/>
        <v>148.82999999999993</v>
      </c>
      <c r="Y95" s="2"/>
      <c r="Z95" s="6">
        <f t="shared" si="30"/>
        <v>8.4310048887705519E-2</v>
      </c>
    </row>
    <row r="96" spans="1:26" s="25" customFormat="1" outlineLevel="1" collapsed="1" x14ac:dyDescent="0.35">
      <c r="A96" s="26"/>
      <c r="B96" s="12" t="str">
        <f>CONCATENATE("     ","*Payroll                                          ")</f>
        <v xml:space="preserve">     *Payroll                                          </v>
      </c>
      <c r="C96" s="12"/>
      <c r="D96" s="1">
        <f>SUM(OSRRefD22_1x_0)</f>
        <v>3952</v>
      </c>
      <c r="E96" s="1"/>
      <c r="F96" s="5">
        <f t="shared" ref="F96:F101" si="31">IF(D$12=0,0,D96/D$12)</f>
        <v>0.37511200206539408</v>
      </c>
      <c r="G96" s="1"/>
      <c r="H96" s="1">
        <f>SUM(OSRRefH22_1x_0)</f>
        <v>9001.7800000000007</v>
      </c>
      <c r="I96" s="1"/>
      <c r="J96" s="5">
        <f t="shared" ref="J96:J101" si="32">IF(H$12=0,0,H96/H$12)</f>
        <v>0.37419854207820369</v>
      </c>
      <c r="K96" s="1"/>
      <c r="L96" s="1">
        <f t="shared" ref="L96:L101" si="33">+D96-H96</f>
        <v>-5049.7800000000007</v>
      </c>
      <c r="M96" s="1"/>
      <c r="N96" s="5">
        <f t="shared" ref="N96:N101" si="34">IF(H96=0,0,L96/H96)</f>
        <v>-0.56097571813574654</v>
      </c>
      <c r="O96" s="12"/>
      <c r="P96" s="1">
        <f>SUM(OSRRefP22_1x_0)</f>
        <v>156977.27000000002</v>
      </c>
      <c r="Q96" s="1"/>
      <c r="R96" s="5">
        <f t="shared" ref="R96:R101" si="35">IF(P$12=0,0,P96/P$12)</f>
        <v>0.1886252456703908</v>
      </c>
      <c r="S96" s="1"/>
      <c r="T96" s="1">
        <f>SUM(OSRRefT22_1x_0)</f>
        <v>155696.70000000001</v>
      </c>
      <c r="U96" s="1"/>
      <c r="V96" s="5">
        <f t="shared" ref="V96:V101" si="36">IF(T$12=0,0,T96/T$12)</f>
        <v>0.16311096092432256</v>
      </c>
      <c r="W96" s="1"/>
      <c r="X96" s="1">
        <f t="shared" ref="X96:X101" si="37">+P96-T96</f>
        <v>1280.570000000007</v>
      </c>
      <c r="Y96" s="1"/>
      <c r="Z96" s="5">
        <f t="shared" ref="Z96:Z101" si="38">IF(T96=0,0,X96/T96)</f>
        <v>8.2247729078394529E-3</v>
      </c>
    </row>
    <row r="97" spans="1:26" s="24" customFormat="1" hidden="1" outlineLevel="2" x14ac:dyDescent="0.35">
      <c r="A97" s="27"/>
      <c r="B97" s="11" t="str">
        <f>CONCATENATE("          ", "6002", " - ", "STAFF SALARIES")</f>
        <v xml:space="preserve">          6002 - STAFF SALARIES</v>
      </c>
      <c r="C97" s="11"/>
      <c r="D97" s="7">
        <v>3952</v>
      </c>
      <c r="E97" s="2"/>
      <c r="F97" s="6">
        <f t="shared" si="31"/>
        <v>0.37511200206539408</v>
      </c>
      <c r="G97" s="2"/>
      <c r="H97" s="7">
        <v>4749.2700000000004</v>
      </c>
      <c r="I97" s="2"/>
      <c r="J97" s="6">
        <f t="shared" si="32"/>
        <v>0.1974242771913722</v>
      </c>
      <c r="K97" s="2"/>
      <c r="L97" s="7">
        <f t="shared" si="33"/>
        <v>-797.27000000000044</v>
      </c>
      <c r="M97" s="2"/>
      <c r="N97" s="6">
        <f t="shared" si="34"/>
        <v>-0.16787211508294966</v>
      </c>
      <c r="O97" s="11"/>
      <c r="P97" s="7">
        <v>59695.82</v>
      </c>
      <c r="Q97" s="2"/>
      <c r="R97" s="6">
        <f t="shared" si="35"/>
        <v>7.1731013751197406E-2</v>
      </c>
      <c r="S97" s="2"/>
      <c r="T97" s="7">
        <v>65471.990000000005</v>
      </c>
      <c r="U97" s="2"/>
      <c r="V97" s="6">
        <f t="shared" si="36"/>
        <v>6.8589759465214339E-2</v>
      </c>
      <c r="W97" s="2"/>
      <c r="X97" s="7">
        <f t="shared" si="37"/>
        <v>-5776.1700000000055</v>
      </c>
      <c r="Y97" s="2"/>
      <c r="Z97" s="6">
        <f t="shared" si="38"/>
        <v>-8.8223528870895865E-2</v>
      </c>
    </row>
    <row r="98" spans="1:26" s="24" customFormat="1" hidden="1" outlineLevel="2" x14ac:dyDescent="0.35">
      <c r="A98" s="27"/>
      <c r="B98" s="11" t="str">
        <f>CONCATENATE("          ", "6004", " - ", "STAFF HOURLY")</f>
        <v xml:space="preserve">          6004 - STAFF HOURLY</v>
      </c>
      <c r="C98" s="11"/>
      <c r="D98" s="7"/>
      <c r="E98" s="2"/>
      <c r="F98" s="6">
        <f t="shared" si="31"/>
        <v>0</v>
      </c>
      <c r="G98" s="2"/>
      <c r="H98" s="7"/>
      <c r="I98" s="2"/>
      <c r="J98" s="6">
        <f t="shared" si="32"/>
        <v>0</v>
      </c>
      <c r="K98" s="2"/>
      <c r="L98" s="7">
        <f t="shared" si="33"/>
        <v>0</v>
      </c>
      <c r="M98" s="2"/>
      <c r="N98" s="6">
        <f t="shared" si="34"/>
        <v>0</v>
      </c>
      <c r="O98" s="11"/>
      <c r="P98" s="7">
        <v>-48</v>
      </c>
      <c r="Q98" s="2"/>
      <c r="R98" s="6">
        <f t="shared" si="35"/>
        <v>-5.7677215256570317E-5</v>
      </c>
      <c r="S98" s="2"/>
      <c r="T98" s="7"/>
      <c r="U98" s="2"/>
      <c r="V98" s="6">
        <f t="shared" si="36"/>
        <v>0</v>
      </c>
      <c r="W98" s="2"/>
      <c r="X98" s="7">
        <f t="shared" si="37"/>
        <v>-48</v>
      </c>
      <c r="Y98" s="2"/>
      <c r="Z98" s="6">
        <f t="shared" si="38"/>
        <v>0</v>
      </c>
    </row>
    <row r="99" spans="1:26" s="24" customFormat="1" hidden="1" outlineLevel="2" x14ac:dyDescent="0.35">
      <c r="A99" s="27"/>
      <c r="B99" s="11" t="str">
        <f>CONCATENATE("          ", "6005", " - ", "TEMPORARY WAGES-HOURLY")</f>
        <v xml:space="preserve">          6005 - TEMPORARY WAGES-HOURLY</v>
      </c>
      <c r="C99" s="11"/>
      <c r="D99" s="7"/>
      <c r="E99" s="2"/>
      <c r="F99" s="6">
        <f t="shared" si="31"/>
        <v>0</v>
      </c>
      <c r="G99" s="2"/>
      <c r="H99" s="7"/>
      <c r="I99" s="2"/>
      <c r="J99" s="6">
        <f t="shared" si="32"/>
        <v>0</v>
      </c>
      <c r="K99" s="2"/>
      <c r="L99" s="7">
        <f t="shared" si="33"/>
        <v>0</v>
      </c>
      <c r="M99" s="2"/>
      <c r="N99" s="6">
        <f t="shared" si="34"/>
        <v>0</v>
      </c>
      <c r="O99" s="11"/>
      <c r="P99" s="7">
        <v>7121.65</v>
      </c>
      <c r="Q99" s="2"/>
      <c r="R99" s="6">
        <f t="shared" si="35"/>
        <v>8.5574362506657068E-3</v>
      </c>
      <c r="S99" s="2"/>
      <c r="T99" s="7"/>
      <c r="U99" s="2"/>
      <c r="V99" s="6">
        <f t="shared" si="36"/>
        <v>0</v>
      </c>
      <c r="W99" s="2"/>
      <c r="X99" s="7">
        <f t="shared" si="37"/>
        <v>7121.65</v>
      </c>
      <c r="Y99" s="2"/>
      <c r="Z99" s="6">
        <f t="shared" si="38"/>
        <v>0</v>
      </c>
    </row>
    <row r="100" spans="1:26" s="24" customFormat="1" hidden="1" outlineLevel="2" x14ac:dyDescent="0.35">
      <c r="A100" s="27"/>
      <c r="B100" s="11" t="str">
        <f>CONCATENATE("          ", "6006", " - ", "TEMPORARY PART TIME")</f>
        <v xml:space="preserve">          6006 - TEMPORARY PART TIME</v>
      </c>
      <c r="C100" s="11"/>
      <c r="D100" s="7"/>
      <c r="E100" s="2"/>
      <c r="F100" s="6">
        <f t="shared" si="31"/>
        <v>0</v>
      </c>
      <c r="G100" s="2"/>
      <c r="H100" s="7"/>
      <c r="I100" s="2"/>
      <c r="J100" s="6">
        <f t="shared" si="32"/>
        <v>0</v>
      </c>
      <c r="K100" s="2"/>
      <c r="L100" s="7">
        <f t="shared" si="33"/>
        <v>0</v>
      </c>
      <c r="M100" s="2"/>
      <c r="N100" s="6">
        <f t="shared" si="34"/>
        <v>0</v>
      </c>
      <c r="O100" s="11"/>
      <c r="P100" s="7">
        <v>25.5</v>
      </c>
      <c r="Q100" s="2"/>
      <c r="R100" s="6">
        <f t="shared" si="35"/>
        <v>3.0641020605052976E-5</v>
      </c>
      <c r="S100" s="2"/>
      <c r="T100" s="7">
        <v>4320.25</v>
      </c>
      <c r="U100" s="2"/>
      <c r="V100" s="6">
        <f t="shared" si="36"/>
        <v>4.5259798629855644E-3</v>
      </c>
      <c r="W100" s="2"/>
      <c r="X100" s="7">
        <f t="shared" si="37"/>
        <v>-4294.75</v>
      </c>
      <c r="Y100" s="2"/>
      <c r="Z100" s="6">
        <f t="shared" si="38"/>
        <v>-0.99409756379839131</v>
      </c>
    </row>
    <row r="101" spans="1:26" s="24" customFormat="1" hidden="1" outlineLevel="2" x14ac:dyDescent="0.35">
      <c r="A101" s="27"/>
      <c r="B101" s="11" t="str">
        <f>CONCATENATE("          ", "6007", " - ", "STUDENT HOURLY")</f>
        <v xml:space="preserve">          6007 - STUDENT HOURLY</v>
      </c>
      <c r="C101" s="11"/>
      <c r="D101" s="7"/>
      <c r="E101" s="2"/>
      <c r="F101" s="6">
        <f t="shared" si="31"/>
        <v>0</v>
      </c>
      <c r="G101" s="2"/>
      <c r="H101" s="7">
        <v>4252.51</v>
      </c>
      <c r="I101" s="2"/>
      <c r="J101" s="6">
        <f t="shared" si="32"/>
        <v>0.17677426488683148</v>
      </c>
      <c r="K101" s="2"/>
      <c r="L101" s="7">
        <f t="shared" si="33"/>
        <v>-4252.51</v>
      </c>
      <c r="M101" s="2"/>
      <c r="N101" s="6">
        <f t="shared" si="34"/>
        <v>-1</v>
      </c>
      <c r="O101" s="11"/>
      <c r="P101" s="7">
        <v>90182.3</v>
      </c>
      <c r="Q101" s="2"/>
      <c r="R101" s="6">
        <f t="shared" si="35"/>
        <v>0.10836383186317919</v>
      </c>
      <c r="S101" s="2"/>
      <c r="T101" s="7">
        <v>85904.46</v>
      </c>
      <c r="U101" s="2"/>
      <c r="V101" s="6">
        <f t="shared" si="36"/>
        <v>8.9995221596122651E-2</v>
      </c>
      <c r="W101" s="2"/>
      <c r="X101" s="7">
        <f t="shared" si="37"/>
        <v>4277.8399999999965</v>
      </c>
      <c r="Y101" s="2"/>
      <c r="Z101" s="6">
        <f t="shared" si="38"/>
        <v>4.9797647293283683E-2</v>
      </c>
    </row>
    <row r="102" spans="1:26" s="25" customFormat="1" outlineLevel="1" collapsed="1" x14ac:dyDescent="0.35">
      <c r="A102" s="26"/>
      <c r="B102" s="12" t="str">
        <f>CONCATENATE("     ","Advertising/Promo                                 ")</f>
        <v xml:space="preserve">     Advertising/Promo                                 </v>
      </c>
      <c r="C102" s="12"/>
      <c r="D102" s="1">
        <f>SUM(OSRRefD22_2x_0)</f>
        <v>0</v>
      </c>
      <c r="E102" s="1"/>
      <c r="F102" s="5">
        <f t="shared" ref="F102:F108" si="39">IF(D$12=0,0,D102/D$12)</f>
        <v>0</v>
      </c>
      <c r="G102" s="1"/>
      <c r="H102" s="1">
        <f>SUM(OSRRefH22_2x_0)</f>
        <v>0</v>
      </c>
      <c r="I102" s="1"/>
      <c r="J102" s="5">
        <f t="shared" ref="J102:J108" si="40">IF(H$12=0,0,H102/H$12)</f>
        <v>0</v>
      </c>
      <c r="K102" s="1"/>
      <c r="L102" s="1">
        <f t="shared" ref="L102:L108" si="41">+D102-H102</f>
        <v>0</v>
      </c>
      <c r="M102" s="1"/>
      <c r="N102" s="5">
        <f t="shared" ref="N102:N108" si="42">IF(H102=0,0,L102/H102)</f>
        <v>0</v>
      </c>
      <c r="O102" s="12"/>
      <c r="P102" s="1">
        <f>SUM(OSRRefP22_2x_0)</f>
        <v>2145.38</v>
      </c>
      <c r="Q102" s="1"/>
      <c r="R102" s="5">
        <f t="shared" ref="R102:R108" si="43">IF(P$12=0,0,P102/P$12)</f>
        <v>2.5779071680654339E-3</v>
      </c>
      <c r="S102" s="1"/>
      <c r="T102" s="1">
        <f>SUM(OSRRefT22_2x_0)</f>
        <v>1994.86</v>
      </c>
      <c r="U102" s="1"/>
      <c r="V102" s="5">
        <f t="shared" ref="V102:V108" si="44">IF(T$12=0,0,T102/T$12)</f>
        <v>2.0898550291014138E-3</v>
      </c>
      <c r="W102" s="1"/>
      <c r="X102" s="1">
        <f t="shared" ref="X102:X108" si="45">+P102-T102</f>
        <v>150.52000000000021</v>
      </c>
      <c r="Y102" s="1"/>
      <c r="Z102" s="5">
        <f t="shared" ref="Z102:Z108" si="46">IF(T102=0,0,X102/T102)</f>
        <v>7.5453916565573639E-2</v>
      </c>
    </row>
    <row r="103" spans="1:26" s="24" customFormat="1" hidden="1" outlineLevel="2" x14ac:dyDescent="0.35">
      <c r="A103" s="27"/>
      <c r="B103" s="11" t="str">
        <f>CONCATENATE("          ", "6362", " - ", "ADVERTISING EXPENSE")</f>
        <v xml:space="preserve">          6362 - ADVERTISING EXPENSE</v>
      </c>
      <c r="C103" s="11"/>
      <c r="D103" s="7"/>
      <c r="E103" s="2"/>
      <c r="F103" s="6">
        <f t="shared" si="39"/>
        <v>0</v>
      </c>
      <c r="G103" s="2"/>
      <c r="H103" s="7"/>
      <c r="I103" s="2"/>
      <c r="J103" s="6">
        <f t="shared" si="40"/>
        <v>0</v>
      </c>
      <c r="K103" s="2"/>
      <c r="L103" s="7">
        <f t="shared" si="41"/>
        <v>0</v>
      </c>
      <c r="M103" s="2"/>
      <c r="N103" s="6">
        <f t="shared" si="42"/>
        <v>0</v>
      </c>
      <c r="O103" s="11"/>
      <c r="P103" s="7">
        <v>2145.38</v>
      </c>
      <c r="Q103" s="2"/>
      <c r="R103" s="6">
        <f t="shared" si="43"/>
        <v>2.5779071680654339E-3</v>
      </c>
      <c r="S103" s="2"/>
      <c r="T103" s="7">
        <v>1994.86</v>
      </c>
      <c r="U103" s="2"/>
      <c r="V103" s="6">
        <f t="shared" si="44"/>
        <v>2.0898550291014138E-3</v>
      </c>
      <c r="W103" s="2"/>
      <c r="X103" s="7">
        <f t="shared" si="45"/>
        <v>150.52000000000021</v>
      </c>
      <c r="Y103" s="2"/>
      <c r="Z103" s="6">
        <f t="shared" si="46"/>
        <v>7.5453916565573639E-2</v>
      </c>
    </row>
    <row r="104" spans="1:26" s="25" customFormat="1" outlineLevel="1" collapsed="1" x14ac:dyDescent="0.35">
      <c r="A104" s="26"/>
      <c r="B104" s="12" t="str">
        <f>CONCATENATE("     ","Bad Debts/Over/Short                              ")</f>
        <v xml:space="preserve">     Bad Debts/Over/Short                              </v>
      </c>
      <c r="C104" s="12"/>
      <c r="D104" s="1">
        <f>SUM(OSRRefD22_3x_0)</f>
        <v>0</v>
      </c>
      <c r="E104" s="1"/>
      <c r="F104" s="5">
        <f t="shared" si="39"/>
        <v>0</v>
      </c>
      <c r="G104" s="1"/>
      <c r="H104" s="1">
        <f>SUM(OSRRefH22_3x_0)</f>
        <v>-0.83</v>
      </c>
      <c r="I104" s="1"/>
      <c r="J104" s="5">
        <f t="shared" si="40"/>
        <v>-3.4502597255754865E-5</v>
      </c>
      <c r="K104" s="1"/>
      <c r="L104" s="1">
        <f t="shared" si="41"/>
        <v>0.83</v>
      </c>
      <c r="M104" s="1"/>
      <c r="N104" s="5">
        <f t="shared" si="42"/>
        <v>-1</v>
      </c>
      <c r="O104" s="12"/>
      <c r="P104" s="1">
        <f>SUM(OSRRefP22_3x_0)</f>
        <v>-55.84</v>
      </c>
      <c r="Q104" s="1"/>
      <c r="R104" s="5">
        <f t="shared" si="43"/>
        <v>-6.7097827081810142E-5</v>
      </c>
      <c r="S104" s="1"/>
      <c r="T104" s="1">
        <f>SUM(OSRRefT22_3x_0)</f>
        <v>11.22</v>
      </c>
      <c r="U104" s="1"/>
      <c r="V104" s="5">
        <f t="shared" si="44"/>
        <v>1.1754295252056717E-5</v>
      </c>
      <c r="W104" s="1"/>
      <c r="X104" s="1">
        <f t="shared" si="45"/>
        <v>-67.06</v>
      </c>
      <c r="Y104" s="1"/>
      <c r="Z104" s="5">
        <f t="shared" si="46"/>
        <v>-5.9768270944741531</v>
      </c>
    </row>
    <row r="105" spans="1:26" s="24" customFormat="1" hidden="1" outlineLevel="2" x14ac:dyDescent="0.35">
      <c r="A105" s="27"/>
      <c r="B105" s="11" t="str">
        <f>CONCATENATE("          ", "6272", " - ", "CASH (OVER/SHORT)")</f>
        <v xml:space="preserve">          6272 - CASH (OVER/SHORT)</v>
      </c>
      <c r="C105" s="11"/>
      <c r="D105" s="7"/>
      <c r="E105" s="2"/>
      <c r="F105" s="6">
        <f t="shared" si="39"/>
        <v>0</v>
      </c>
      <c r="G105" s="2"/>
      <c r="H105" s="7">
        <v>-0.83</v>
      </c>
      <c r="I105" s="2"/>
      <c r="J105" s="6">
        <f t="shared" si="40"/>
        <v>-3.4502597255754865E-5</v>
      </c>
      <c r="K105" s="2"/>
      <c r="L105" s="7">
        <f t="shared" si="41"/>
        <v>0.83</v>
      </c>
      <c r="M105" s="2"/>
      <c r="N105" s="6">
        <f t="shared" si="42"/>
        <v>-1</v>
      </c>
      <c r="O105" s="11"/>
      <c r="P105" s="7">
        <v>-55.84</v>
      </c>
      <c r="Q105" s="2"/>
      <c r="R105" s="6">
        <f t="shared" si="43"/>
        <v>-6.7097827081810142E-5</v>
      </c>
      <c r="S105" s="2"/>
      <c r="T105" s="7">
        <v>11.22</v>
      </c>
      <c r="U105" s="2"/>
      <c r="V105" s="6">
        <f t="shared" si="44"/>
        <v>1.1754295252056717E-5</v>
      </c>
      <c r="W105" s="2"/>
      <c r="X105" s="7">
        <f t="shared" si="45"/>
        <v>-67.06</v>
      </c>
      <c r="Y105" s="2"/>
      <c r="Z105" s="6">
        <f t="shared" si="46"/>
        <v>-5.9768270944741531</v>
      </c>
    </row>
    <row r="106" spans="1:26" s="25" customFormat="1" outlineLevel="1" collapsed="1" x14ac:dyDescent="0.35">
      <c r="A106" s="26"/>
      <c r="B106" s="12" t="str">
        <f>CONCATENATE("     ","Discounts and Markdowns                           ")</f>
        <v xml:space="preserve">     Discounts and Markdowns                           </v>
      </c>
      <c r="C106" s="12"/>
      <c r="D106" s="1">
        <f>SUM(OSRRefD22_4x_0)</f>
        <v>4841.82</v>
      </c>
      <c r="E106" s="1"/>
      <c r="F106" s="5">
        <f t="shared" si="39"/>
        <v>0.45957105107294183</v>
      </c>
      <c r="G106" s="1"/>
      <c r="H106" s="1">
        <f>SUM(OSRRefH22_4x_0)</f>
        <v>799.64</v>
      </c>
      <c r="I106" s="1"/>
      <c r="J106" s="5">
        <f t="shared" si="40"/>
        <v>3.3240550445291353E-2</v>
      </c>
      <c r="K106" s="1"/>
      <c r="L106" s="1">
        <f t="shared" si="41"/>
        <v>4042.18</v>
      </c>
      <c r="M106" s="1"/>
      <c r="N106" s="5">
        <f t="shared" si="42"/>
        <v>5.0549997498874495</v>
      </c>
      <c r="O106" s="12"/>
      <c r="P106" s="1">
        <f>SUM(OSRRefP22_4x_0)</f>
        <v>25704.85</v>
      </c>
      <c r="Q106" s="1"/>
      <c r="R106" s="5">
        <f t="shared" si="43"/>
        <v>3.0887170137246903E-2</v>
      </c>
      <c r="S106" s="1"/>
      <c r="T106" s="1">
        <f>SUM(OSRRefT22_4x_0)</f>
        <v>32562.63</v>
      </c>
      <c r="U106" s="1"/>
      <c r="V106" s="5">
        <f t="shared" si="44"/>
        <v>3.411325910904453E-2</v>
      </c>
      <c r="W106" s="1"/>
      <c r="X106" s="1">
        <f t="shared" si="45"/>
        <v>-6857.7800000000025</v>
      </c>
      <c r="Y106" s="1"/>
      <c r="Z106" s="5">
        <f t="shared" si="46"/>
        <v>-0.21060276765113881</v>
      </c>
    </row>
    <row r="107" spans="1:26" s="24" customFormat="1" hidden="1" outlineLevel="2" x14ac:dyDescent="0.35">
      <c r="A107" s="27"/>
      <c r="B107" s="11" t="str">
        <f>CONCATENATE("          ", "6382", " - ", "DISCOUNTS/MARK DOWNS")</f>
        <v xml:space="preserve">          6382 - DISCOUNTS/MARK DOWNS</v>
      </c>
      <c r="C107" s="11"/>
      <c r="D107" s="7">
        <v>4841.82</v>
      </c>
      <c r="E107" s="2"/>
      <c r="F107" s="6">
        <f t="shared" si="39"/>
        <v>0.45957105107294183</v>
      </c>
      <c r="G107" s="2"/>
      <c r="H107" s="7">
        <v>799.64</v>
      </c>
      <c r="I107" s="2"/>
      <c r="J107" s="6">
        <f t="shared" si="40"/>
        <v>3.3240550445291353E-2</v>
      </c>
      <c r="K107" s="2"/>
      <c r="L107" s="7">
        <f t="shared" si="41"/>
        <v>4042.18</v>
      </c>
      <c r="M107" s="2"/>
      <c r="N107" s="6">
        <f t="shared" si="42"/>
        <v>5.0549997498874495</v>
      </c>
      <c r="O107" s="11"/>
      <c r="P107" s="7">
        <v>25704.85</v>
      </c>
      <c r="Q107" s="2"/>
      <c r="R107" s="6">
        <f t="shared" si="43"/>
        <v>3.0887170137246903E-2</v>
      </c>
      <c r="S107" s="2"/>
      <c r="T107" s="7">
        <v>31996.68</v>
      </c>
      <c r="U107" s="2"/>
      <c r="V107" s="6">
        <f t="shared" si="44"/>
        <v>3.3520358627948138E-2</v>
      </c>
      <c r="W107" s="2"/>
      <c r="X107" s="7">
        <f t="shared" si="45"/>
        <v>-6291.8300000000017</v>
      </c>
      <c r="Y107" s="2"/>
      <c r="Z107" s="6">
        <f t="shared" si="46"/>
        <v>-0.19664008890922438</v>
      </c>
    </row>
    <row r="108" spans="1:26" s="24" customFormat="1" hidden="1" outlineLevel="2" x14ac:dyDescent="0.35">
      <c r="A108" s="27"/>
      <c r="B108" s="11" t="str">
        <f>CONCATENATE("          ", "9175", " - ", "EARNED DISCOUNTS")</f>
        <v xml:space="preserve">          9175 - EARNED DISCOUNTS</v>
      </c>
      <c r="C108" s="11"/>
      <c r="D108" s="7"/>
      <c r="E108" s="2"/>
      <c r="F108" s="6">
        <f t="shared" si="39"/>
        <v>0</v>
      </c>
      <c r="G108" s="2"/>
      <c r="H108" s="7"/>
      <c r="I108" s="2"/>
      <c r="J108" s="6">
        <f t="shared" si="40"/>
        <v>0</v>
      </c>
      <c r="K108" s="2"/>
      <c r="L108" s="7">
        <f t="shared" si="41"/>
        <v>0</v>
      </c>
      <c r="M108" s="2"/>
      <c r="N108" s="6">
        <f t="shared" si="42"/>
        <v>0</v>
      </c>
      <c r="O108" s="11"/>
      <c r="P108" s="7">
        <v>0</v>
      </c>
      <c r="Q108" s="2"/>
      <c r="R108" s="6">
        <f t="shared" si="43"/>
        <v>0</v>
      </c>
      <c r="S108" s="2"/>
      <c r="T108" s="7">
        <v>565.95000000000005</v>
      </c>
      <c r="U108" s="2"/>
      <c r="V108" s="6">
        <f t="shared" si="44"/>
        <v>5.9290048109639031E-4</v>
      </c>
      <c r="W108" s="2"/>
      <c r="X108" s="7">
        <f t="shared" si="45"/>
        <v>-565.95000000000005</v>
      </c>
      <c r="Y108" s="2"/>
      <c r="Z108" s="6">
        <f t="shared" si="46"/>
        <v>-1</v>
      </c>
    </row>
    <row r="109" spans="1:26" s="25" customFormat="1" outlineLevel="1" collapsed="1" x14ac:dyDescent="0.35">
      <c r="A109" s="26"/>
      <c r="B109" s="12" t="str">
        <f>CONCATENATE("     ","Employees' Appreciation                           ")</f>
        <v xml:space="preserve">     Employees' Appreciation                           </v>
      </c>
      <c r="C109" s="12"/>
      <c r="D109" s="1">
        <f>SUM(OSRRefD22_5x_0)</f>
        <v>0</v>
      </c>
      <c r="E109" s="1"/>
      <c r="F109" s="5">
        <f t="shared" ref="F109:F137" si="47">IF(D$12=0,0,D109/D$12)</f>
        <v>0</v>
      </c>
      <c r="G109" s="1"/>
      <c r="H109" s="1">
        <f>SUM(OSRRefH22_5x_0)</f>
        <v>0</v>
      </c>
      <c r="I109" s="1"/>
      <c r="J109" s="5">
        <f t="shared" ref="J109:J137" si="48">IF(H$12=0,0,H109/H$12)</f>
        <v>0</v>
      </c>
      <c r="K109" s="1"/>
      <c r="L109" s="1">
        <f t="shared" ref="L109:L137" si="49">+D109-H109</f>
        <v>0</v>
      </c>
      <c r="M109" s="1"/>
      <c r="N109" s="5">
        <f t="shared" ref="N109:N137" si="50">IF(H109=0,0,L109/H109)</f>
        <v>0</v>
      </c>
      <c r="O109" s="12"/>
      <c r="P109" s="1">
        <f>SUM(OSRRefP22_5x_0)</f>
        <v>0</v>
      </c>
      <c r="Q109" s="1"/>
      <c r="R109" s="5">
        <f t="shared" ref="R109:R137" si="51">IF(P$12=0,0,P109/P$12)</f>
        <v>0</v>
      </c>
      <c r="S109" s="1"/>
      <c r="T109" s="1">
        <f>SUM(OSRRefT22_5x_0)</f>
        <v>77.849999999999994</v>
      </c>
      <c r="U109" s="1"/>
      <c r="V109" s="5">
        <f t="shared" ref="V109:V137" si="52">IF(T$12=0,0,T109/T$12)</f>
        <v>8.1557209034992459E-5</v>
      </c>
      <c r="W109" s="1"/>
      <c r="X109" s="1">
        <f t="shared" ref="X109:X137" si="53">+P109-T109</f>
        <v>-77.849999999999994</v>
      </c>
      <c r="Y109" s="1"/>
      <c r="Z109" s="5">
        <f t="shared" ref="Z109:Z137" si="54">IF(T109=0,0,X109/T109)</f>
        <v>-1</v>
      </c>
    </row>
    <row r="110" spans="1:26" s="24" customFormat="1" hidden="1" outlineLevel="2" x14ac:dyDescent="0.35">
      <c r="A110" s="27"/>
      <c r="B110" s="11" t="str">
        <f>CONCATENATE("          ", "6277", " - ", "EMPLOYEE APPRECIATION")</f>
        <v xml:space="preserve">          6277 - EMPLOYEE APPRECIATION</v>
      </c>
      <c r="C110" s="11"/>
      <c r="D110" s="7"/>
      <c r="E110" s="2"/>
      <c r="F110" s="6">
        <f t="shared" si="47"/>
        <v>0</v>
      </c>
      <c r="G110" s="2"/>
      <c r="H110" s="7"/>
      <c r="I110" s="2"/>
      <c r="J110" s="6">
        <f t="shared" si="48"/>
        <v>0</v>
      </c>
      <c r="K110" s="2"/>
      <c r="L110" s="7">
        <f t="shared" si="49"/>
        <v>0</v>
      </c>
      <c r="M110" s="2"/>
      <c r="N110" s="6">
        <f t="shared" si="50"/>
        <v>0</v>
      </c>
      <c r="O110" s="11"/>
      <c r="P110" s="7"/>
      <c r="Q110" s="2"/>
      <c r="R110" s="6">
        <f t="shared" si="51"/>
        <v>0</v>
      </c>
      <c r="S110" s="2"/>
      <c r="T110" s="7">
        <v>77.849999999999994</v>
      </c>
      <c r="U110" s="2"/>
      <c r="V110" s="6">
        <f t="shared" si="52"/>
        <v>8.1557209034992459E-5</v>
      </c>
      <c r="W110" s="2"/>
      <c r="X110" s="7">
        <f t="shared" si="53"/>
        <v>-77.849999999999994</v>
      </c>
      <c r="Y110" s="2"/>
      <c r="Z110" s="6">
        <f t="shared" si="54"/>
        <v>-1</v>
      </c>
    </row>
    <row r="111" spans="1:26" s="25" customFormat="1" outlineLevel="1" collapsed="1" x14ac:dyDescent="0.35">
      <c r="A111" s="26"/>
      <c r="B111" s="12" t="str">
        <f>CONCATENATE("     ","Freight out/Postage                               ")</f>
        <v xml:space="preserve">     Freight out/Postage                               </v>
      </c>
      <c r="C111" s="12"/>
      <c r="D111" s="1">
        <f>SUM(OSRRefD22_6x_0)</f>
        <v>0</v>
      </c>
      <c r="E111" s="1"/>
      <c r="F111" s="5">
        <f t="shared" si="47"/>
        <v>0</v>
      </c>
      <c r="G111" s="1"/>
      <c r="H111" s="1">
        <f>SUM(OSRRefH22_6x_0)</f>
        <v>0</v>
      </c>
      <c r="I111" s="1"/>
      <c r="J111" s="5">
        <f t="shared" si="48"/>
        <v>0</v>
      </c>
      <c r="K111" s="1"/>
      <c r="L111" s="1">
        <f t="shared" si="49"/>
        <v>0</v>
      </c>
      <c r="M111" s="1"/>
      <c r="N111" s="5">
        <f t="shared" si="50"/>
        <v>0</v>
      </c>
      <c r="O111" s="12"/>
      <c r="P111" s="1">
        <f>SUM(OSRRefP22_6x_0)</f>
        <v>15.81</v>
      </c>
      <c r="Q111" s="1"/>
      <c r="R111" s="5">
        <f t="shared" si="51"/>
        <v>1.8997432775132847E-5</v>
      </c>
      <c r="S111" s="1"/>
      <c r="T111" s="1">
        <f>SUM(OSRRefT22_6x_0)</f>
        <v>28.02</v>
      </c>
      <c r="U111" s="1"/>
      <c r="V111" s="5">
        <f t="shared" si="52"/>
        <v>2.9354309533211159E-5</v>
      </c>
      <c r="W111" s="1"/>
      <c r="X111" s="1">
        <f t="shared" si="53"/>
        <v>-12.209999999999999</v>
      </c>
      <c r="Y111" s="1"/>
      <c r="Z111" s="5">
        <f t="shared" si="54"/>
        <v>-0.43576017130620981</v>
      </c>
    </row>
    <row r="112" spans="1:26" s="24" customFormat="1" hidden="1" outlineLevel="2" x14ac:dyDescent="0.35">
      <c r="A112" s="27"/>
      <c r="B112" s="11" t="str">
        <f>CONCATENATE("          ", "6305", " - ", "FREIGHT OUT")</f>
        <v xml:space="preserve">          6305 - FREIGHT OUT</v>
      </c>
      <c r="C112" s="11"/>
      <c r="D112" s="7"/>
      <c r="E112" s="2"/>
      <c r="F112" s="6">
        <f t="shared" si="47"/>
        <v>0</v>
      </c>
      <c r="G112" s="2"/>
      <c r="H112" s="7"/>
      <c r="I112" s="2"/>
      <c r="J112" s="6">
        <f t="shared" si="48"/>
        <v>0</v>
      </c>
      <c r="K112" s="2"/>
      <c r="L112" s="7">
        <f t="shared" si="49"/>
        <v>0</v>
      </c>
      <c r="M112" s="2"/>
      <c r="N112" s="6">
        <f t="shared" si="50"/>
        <v>0</v>
      </c>
      <c r="O112" s="11"/>
      <c r="P112" s="7">
        <v>15.81</v>
      </c>
      <c r="Q112" s="2"/>
      <c r="R112" s="6">
        <f t="shared" si="51"/>
        <v>1.8997432775132847E-5</v>
      </c>
      <c r="S112" s="2"/>
      <c r="T112" s="7">
        <v>28.02</v>
      </c>
      <c r="U112" s="2"/>
      <c r="V112" s="6">
        <f t="shared" si="52"/>
        <v>2.9354309533211159E-5</v>
      </c>
      <c r="W112" s="2"/>
      <c r="X112" s="7">
        <f t="shared" si="53"/>
        <v>-12.209999999999999</v>
      </c>
      <c r="Y112" s="2"/>
      <c r="Z112" s="6">
        <f t="shared" si="54"/>
        <v>-0.43576017130620981</v>
      </c>
    </row>
    <row r="113" spans="1:26" s="25" customFormat="1" outlineLevel="1" collapsed="1" x14ac:dyDescent="0.35">
      <c r="A113" s="26"/>
      <c r="B113" s="12" t="str">
        <f>CONCATENATE("     ","General                                           ")</f>
        <v xml:space="preserve">     General                                           </v>
      </c>
      <c r="C113" s="12"/>
      <c r="D113" s="1">
        <f>SUM(OSRRefD22_7x_0)</f>
        <v>0</v>
      </c>
      <c r="E113" s="1"/>
      <c r="F113" s="5">
        <f t="shared" si="47"/>
        <v>0</v>
      </c>
      <c r="G113" s="1"/>
      <c r="H113" s="1">
        <f>SUM(OSRRefH22_7x_0)</f>
        <v>0</v>
      </c>
      <c r="I113" s="1"/>
      <c r="J113" s="5">
        <f t="shared" si="48"/>
        <v>0</v>
      </c>
      <c r="K113" s="1"/>
      <c r="L113" s="1">
        <f t="shared" si="49"/>
        <v>0</v>
      </c>
      <c r="M113" s="1"/>
      <c r="N113" s="5">
        <f t="shared" si="50"/>
        <v>0</v>
      </c>
      <c r="O113" s="12"/>
      <c r="P113" s="1">
        <f>SUM(OSRRefP22_7x_0)</f>
        <v>954.05</v>
      </c>
      <c r="Q113" s="1"/>
      <c r="R113" s="5">
        <f t="shared" si="51"/>
        <v>1.1463947336568939E-3</v>
      </c>
      <c r="S113" s="1"/>
      <c r="T113" s="1">
        <f>SUM(OSRRefT22_7x_0)</f>
        <v>829.2</v>
      </c>
      <c r="U113" s="1"/>
      <c r="V113" s="5">
        <f t="shared" si="52"/>
        <v>8.6868641916269427E-4</v>
      </c>
      <c r="W113" s="1"/>
      <c r="X113" s="1">
        <f t="shared" si="53"/>
        <v>124.84999999999991</v>
      </c>
      <c r="Y113" s="1"/>
      <c r="Z113" s="5">
        <f t="shared" si="54"/>
        <v>0.15056681138446684</v>
      </c>
    </row>
    <row r="114" spans="1:26" s="24" customFormat="1" hidden="1" outlineLevel="2" x14ac:dyDescent="0.35">
      <c r="A114" s="27"/>
      <c r="B114" s="11" t="str">
        <f>CONCATENATE("          ", "6279", " - ", "GENERAL EXPENSE")</f>
        <v xml:space="preserve">          6279 - GENERAL EXPENSE</v>
      </c>
      <c r="C114" s="11"/>
      <c r="D114" s="7"/>
      <c r="E114" s="2"/>
      <c r="F114" s="6">
        <f t="shared" si="47"/>
        <v>0</v>
      </c>
      <c r="G114" s="2"/>
      <c r="H114" s="7"/>
      <c r="I114" s="2"/>
      <c r="J114" s="6">
        <f t="shared" si="48"/>
        <v>0</v>
      </c>
      <c r="K114" s="2"/>
      <c r="L114" s="7">
        <f t="shared" si="49"/>
        <v>0</v>
      </c>
      <c r="M114" s="2"/>
      <c r="N114" s="6">
        <f t="shared" si="50"/>
        <v>0</v>
      </c>
      <c r="O114" s="11"/>
      <c r="P114" s="7">
        <v>954.05</v>
      </c>
      <c r="Q114" s="2"/>
      <c r="R114" s="6">
        <f t="shared" si="51"/>
        <v>1.1463947336568939E-3</v>
      </c>
      <c r="S114" s="2"/>
      <c r="T114" s="7">
        <v>829.2</v>
      </c>
      <c r="U114" s="2"/>
      <c r="V114" s="6">
        <f t="shared" si="52"/>
        <v>8.6868641916269427E-4</v>
      </c>
      <c r="W114" s="2"/>
      <c r="X114" s="7">
        <f t="shared" si="53"/>
        <v>124.84999999999991</v>
      </c>
      <c r="Y114" s="2"/>
      <c r="Z114" s="6">
        <f t="shared" si="54"/>
        <v>0.15056681138446684</v>
      </c>
    </row>
    <row r="115" spans="1:26" s="25" customFormat="1" outlineLevel="1" collapsed="1" x14ac:dyDescent="0.35">
      <c r="A115" s="26"/>
      <c r="B115" s="12" t="str">
        <f>CONCATENATE("     ","Inventory Adjustment                              ")</f>
        <v xml:space="preserve">     Inventory Adjustment                              </v>
      </c>
      <c r="C115" s="12"/>
      <c r="D115" s="1">
        <f>SUM(OSRRefD22_8x_0)</f>
        <v>38127</v>
      </c>
      <c r="E115" s="1"/>
      <c r="F115" s="5">
        <f t="shared" si="47"/>
        <v>3.618900633286255</v>
      </c>
      <c r="G115" s="1"/>
      <c r="H115" s="1">
        <f>SUM(OSRRefH22_8x_0)</f>
        <v>-603</v>
      </c>
      <c r="I115" s="1"/>
      <c r="J115" s="5">
        <f t="shared" si="48"/>
        <v>-2.506634475327733E-2</v>
      </c>
      <c r="K115" s="1"/>
      <c r="L115" s="1">
        <f t="shared" si="49"/>
        <v>38730</v>
      </c>
      <c r="M115" s="1"/>
      <c r="N115" s="5">
        <f t="shared" si="50"/>
        <v>-64.228855721393032</v>
      </c>
      <c r="O115" s="12"/>
      <c r="P115" s="1">
        <f>SUM(OSRRefP22_8x_0)</f>
        <v>38127</v>
      </c>
      <c r="Q115" s="1"/>
      <c r="R115" s="5">
        <f t="shared" si="51"/>
        <v>4.581373304348451E-2</v>
      </c>
      <c r="S115" s="1"/>
      <c r="T115" s="1">
        <f>SUM(OSRRefT22_8x_0)</f>
        <v>3397</v>
      </c>
      <c r="U115" s="1"/>
      <c r="V115" s="5">
        <f t="shared" si="52"/>
        <v>3.5587647924453358E-3</v>
      </c>
      <c r="W115" s="1"/>
      <c r="X115" s="1">
        <f t="shared" si="53"/>
        <v>34730</v>
      </c>
      <c r="Y115" s="1"/>
      <c r="Z115" s="5">
        <f t="shared" si="54"/>
        <v>10.223726817780394</v>
      </c>
    </row>
    <row r="116" spans="1:26" s="24" customFormat="1" hidden="1" outlineLevel="2" x14ac:dyDescent="0.35">
      <c r="A116" s="27"/>
      <c r="B116" s="11" t="str">
        <f>CONCATENATE("          ", "6408", " - ", "INVENTORY ADJUSTMENT")</f>
        <v xml:space="preserve">          6408 - INVENTORY ADJUSTMENT</v>
      </c>
      <c r="C116" s="11"/>
      <c r="D116" s="7"/>
      <c r="E116" s="2"/>
      <c r="F116" s="6">
        <f t="shared" si="47"/>
        <v>0</v>
      </c>
      <c r="G116" s="2"/>
      <c r="H116" s="7">
        <v>-4000</v>
      </c>
      <c r="I116" s="2"/>
      <c r="J116" s="6">
        <f t="shared" si="48"/>
        <v>-0.16627757713616803</v>
      </c>
      <c r="K116" s="2"/>
      <c r="L116" s="7">
        <f t="shared" si="49"/>
        <v>4000</v>
      </c>
      <c r="M116" s="2"/>
      <c r="N116" s="6">
        <f t="shared" si="50"/>
        <v>-1</v>
      </c>
      <c r="O116" s="11"/>
      <c r="P116" s="7"/>
      <c r="Q116" s="2"/>
      <c r="R116" s="6">
        <f t="shared" si="51"/>
        <v>0</v>
      </c>
      <c r="S116" s="2"/>
      <c r="T116" s="7">
        <v>0</v>
      </c>
      <c r="U116" s="2"/>
      <c r="V116" s="6">
        <f t="shared" si="52"/>
        <v>0</v>
      </c>
      <c r="W116" s="2"/>
      <c r="X116" s="7">
        <f t="shared" si="53"/>
        <v>0</v>
      </c>
      <c r="Y116" s="2"/>
      <c r="Z116" s="6">
        <f t="shared" si="54"/>
        <v>0</v>
      </c>
    </row>
    <row r="117" spans="1:26" s="24" customFormat="1" hidden="1" outlineLevel="2" x14ac:dyDescent="0.35">
      <c r="A117" s="27"/>
      <c r="B117" s="11" t="str">
        <f>CONCATENATE("          ", "7713", " - ", "INV. SHRINKAGE-TRADE BOOKS")</f>
        <v xml:space="preserve">          7713 - INV. SHRINKAGE-TRADE BOOKS</v>
      </c>
      <c r="C117" s="11"/>
      <c r="D117" s="7">
        <v>37</v>
      </c>
      <c r="E117" s="2"/>
      <c r="F117" s="6">
        <f t="shared" si="47"/>
        <v>3.5119291691345094E-3</v>
      </c>
      <c r="G117" s="2"/>
      <c r="H117" s="7">
        <v>17</v>
      </c>
      <c r="I117" s="2"/>
      <c r="J117" s="6">
        <f t="shared" si="48"/>
        <v>7.0667970282871416E-4</v>
      </c>
      <c r="K117" s="2"/>
      <c r="L117" s="7">
        <f t="shared" si="49"/>
        <v>20</v>
      </c>
      <c r="M117" s="2"/>
      <c r="N117" s="6">
        <f t="shared" si="50"/>
        <v>1.1764705882352942</v>
      </c>
      <c r="O117" s="11"/>
      <c r="P117" s="7">
        <v>37</v>
      </c>
      <c r="Q117" s="2"/>
      <c r="R117" s="6">
        <f t="shared" si="51"/>
        <v>4.4459520093606287E-5</v>
      </c>
      <c r="S117" s="2"/>
      <c r="T117" s="7">
        <v>17</v>
      </c>
      <c r="U117" s="2"/>
      <c r="V117" s="6">
        <f t="shared" si="52"/>
        <v>1.7809538260691994E-5</v>
      </c>
      <c r="W117" s="2"/>
      <c r="X117" s="7">
        <f t="shared" si="53"/>
        <v>20</v>
      </c>
      <c r="Y117" s="2"/>
      <c r="Z117" s="6">
        <f t="shared" si="54"/>
        <v>1.1764705882352942</v>
      </c>
    </row>
    <row r="118" spans="1:26" s="24" customFormat="1" hidden="1" outlineLevel="2" x14ac:dyDescent="0.35">
      <c r="A118" s="27"/>
      <c r="B118" s="11" t="str">
        <f>CONCATENATE("          ", "7714", " - ", "INV. SHRINKAGE-REMAINDERS")</f>
        <v xml:space="preserve">          7714 - INV. SHRINKAGE-REMAINDERS</v>
      </c>
      <c r="C118" s="11"/>
      <c r="D118" s="7">
        <v>33</v>
      </c>
      <c r="E118" s="2"/>
      <c r="F118" s="6">
        <f t="shared" si="47"/>
        <v>3.1322611508496976E-3</v>
      </c>
      <c r="G118" s="2"/>
      <c r="H118" s="7"/>
      <c r="I118" s="2"/>
      <c r="J118" s="6">
        <f t="shared" si="48"/>
        <v>0</v>
      </c>
      <c r="K118" s="2"/>
      <c r="L118" s="7">
        <f t="shared" si="49"/>
        <v>33</v>
      </c>
      <c r="M118" s="2"/>
      <c r="N118" s="6">
        <f t="shared" si="50"/>
        <v>0</v>
      </c>
      <c r="O118" s="11"/>
      <c r="P118" s="7">
        <v>33</v>
      </c>
      <c r="Q118" s="2"/>
      <c r="R118" s="6">
        <f t="shared" si="51"/>
        <v>3.965308548889209E-5</v>
      </c>
      <c r="S118" s="2"/>
      <c r="T118" s="7"/>
      <c r="U118" s="2"/>
      <c r="V118" s="6">
        <f t="shared" si="52"/>
        <v>0</v>
      </c>
      <c r="W118" s="2"/>
      <c r="X118" s="7">
        <f t="shared" si="53"/>
        <v>33</v>
      </c>
      <c r="Y118" s="2"/>
      <c r="Z118" s="6">
        <f t="shared" si="54"/>
        <v>0</v>
      </c>
    </row>
    <row r="119" spans="1:26" s="24" customFormat="1" hidden="1" outlineLevel="2" x14ac:dyDescent="0.35">
      <c r="A119" s="27"/>
      <c r="B119" s="11" t="str">
        <f>CONCATENATE("          ", "7717", " - ", "INV. SHRINKAGE-DORM/HOUSEWARES")</f>
        <v xml:space="preserve">          7717 - INV. SHRINKAGE-DORM/HOUSEWARES</v>
      </c>
      <c r="C119" s="11"/>
      <c r="D119" s="7">
        <v>-254</v>
      </c>
      <c r="E119" s="2"/>
      <c r="F119" s="6">
        <f t="shared" si="47"/>
        <v>-2.4108919161085551E-2</v>
      </c>
      <c r="G119" s="2"/>
      <c r="H119" s="7">
        <v>-22</v>
      </c>
      <c r="I119" s="2"/>
      <c r="J119" s="6">
        <f t="shared" si="48"/>
        <v>-9.1452667424892419E-4</v>
      </c>
      <c r="K119" s="2"/>
      <c r="L119" s="7">
        <f t="shared" si="49"/>
        <v>-232</v>
      </c>
      <c r="M119" s="2"/>
      <c r="N119" s="6">
        <f t="shared" si="50"/>
        <v>10.545454545454545</v>
      </c>
      <c r="O119" s="11"/>
      <c r="P119" s="7">
        <v>-254</v>
      </c>
      <c r="Q119" s="2"/>
      <c r="R119" s="6">
        <f t="shared" si="51"/>
        <v>-3.0520859739935124E-4</v>
      </c>
      <c r="S119" s="2"/>
      <c r="T119" s="7">
        <v>-22</v>
      </c>
      <c r="U119" s="2"/>
      <c r="V119" s="6">
        <f t="shared" si="52"/>
        <v>-2.3047637749130816E-5</v>
      </c>
      <c r="W119" s="2"/>
      <c r="X119" s="7">
        <f t="shared" si="53"/>
        <v>-232</v>
      </c>
      <c r="Y119" s="2"/>
      <c r="Z119" s="6">
        <f t="shared" si="54"/>
        <v>10.545454545454545</v>
      </c>
    </row>
    <row r="120" spans="1:26" s="24" customFormat="1" hidden="1" outlineLevel="2" x14ac:dyDescent="0.35">
      <c r="A120" s="27"/>
      <c r="B120" s="11" t="str">
        <f>CONCATENATE("          ", "7719", " - ", "INV. SHRINKAGE-BOOK RELATED")</f>
        <v xml:space="preserve">          7719 - INV. SHRINKAGE-BOOK RELATED</v>
      </c>
      <c r="C120" s="11"/>
      <c r="D120" s="7">
        <v>-43</v>
      </c>
      <c r="E120" s="2"/>
      <c r="F120" s="6">
        <f t="shared" si="47"/>
        <v>-4.0814311965617269E-3</v>
      </c>
      <c r="G120" s="2"/>
      <c r="H120" s="7">
        <v>-43</v>
      </c>
      <c r="I120" s="2"/>
      <c r="J120" s="6">
        <f t="shared" si="48"/>
        <v>-1.7874839542138064E-3</v>
      </c>
      <c r="K120" s="2"/>
      <c r="L120" s="7">
        <f t="shared" si="49"/>
        <v>0</v>
      </c>
      <c r="M120" s="2"/>
      <c r="N120" s="6">
        <f t="shared" si="50"/>
        <v>0</v>
      </c>
      <c r="O120" s="11"/>
      <c r="P120" s="7">
        <v>-43</v>
      </c>
      <c r="Q120" s="2"/>
      <c r="R120" s="6">
        <f t="shared" si="51"/>
        <v>-5.1669172000677572E-5</v>
      </c>
      <c r="S120" s="2"/>
      <c r="T120" s="7">
        <v>-43</v>
      </c>
      <c r="U120" s="2"/>
      <c r="V120" s="6">
        <f t="shared" si="52"/>
        <v>-4.5047655600573867E-5</v>
      </c>
      <c r="W120" s="2"/>
      <c r="X120" s="7">
        <f t="shared" si="53"/>
        <v>0</v>
      </c>
      <c r="Y120" s="2"/>
      <c r="Z120" s="6">
        <f t="shared" si="54"/>
        <v>0</v>
      </c>
    </row>
    <row r="121" spans="1:26" s="24" customFormat="1" hidden="1" outlineLevel="2" x14ac:dyDescent="0.35">
      <c r="A121" s="27"/>
      <c r="B121" s="11" t="str">
        <f>CONCATENATE("          ", "7725", " - ", "INV. SHRINKAGE-TEST FORMS")</f>
        <v xml:space="preserve">          7725 - INV. SHRINKAGE-TEST FORMS</v>
      </c>
      <c r="C121" s="11"/>
      <c r="D121" s="7">
        <v>3987</v>
      </c>
      <c r="E121" s="2"/>
      <c r="F121" s="6">
        <f t="shared" si="47"/>
        <v>0.37843409722538618</v>
      </c>
      <c r="G121" s="2"/>
      <c r="H121" s="7">
        <v>62</v>
      </c>
      <c r="I121" s="2"/>
      <c r="J121" s="6">
        <f t="shared" si="48"/>
        <v>2.5773024456106045E-3</v>
      </c>
      <c r="K121" s="2"/>
      <c r="L121" s="7">
        <f t="shared" si="49"/>
        <v>3925</v>
      </c>
      <c r="M121" s="2"/>
      <c r="N121" s="6">
        <f t="shared" si="50"/>
        <v>63.306451612903224</v>
      </c>
      <c r="O121" s="11"/>
      <c r="P121" s="7">
        <v>3987</v>
      </c>
      <c r="Q121" s="2"/>
      <c r="R121" s="6">
        <f t="shared" si="51"/>
        <v>4.7908136922488716E-3</v>
      </c>
      <c r="S121" s="2"/>
      <c r="T121" s="7">
        <v>62</v>
      </c>
      <c r="U121" s="2"/>
      <c r="V121" s="6">
        <f t="shared" si="52"/>
        <v>6.4952433656641396E-5</v>
      </c>
      <c r="W121" s="2"/>
      <c r="X121" s="7">
        <f t="shared" si="53"/>
        <v>3925</v>
      </c>
      <c r="Y121" s="2"/>
      <c r="Z121" s="6">
        <f t="shared" si="54"/>
        <v>63.306451612903224</v>
      </c>
    </row>
    <row r="122" spans="1:26" s="24" customFormat="1" hidden="1" outlineLevel="2" x14ac:dyDescent="0.35">
      <c r="A122" s="27"/>
      <c r="B122" s="11" t="str">
        <f>CONCATENATE("          ", "7726", " - ", "INV. SHRINKAGE-WRITING INSTRUM")</f>
        <v xml:space="preserve">          7726 - INV. SHRINKAGE-WRITING INSTRUM</v>
      </c>
      <c r="C122" s="11"/>
      <c r="D122" s="7">
        <v>6811</v>
      </c>
      <c r="E122" s="2"/>
      <c r="F122" s="6">
        <f t="shared" si="47"/>
        <v>0.64647971813446325</v>
      </c>
      <c r="G122" s="2"/>
      <c r="H122" s="7">
        <v>987</v>
      </c>
      <c r="I122" s="2"/>
      <c r="J122" s="6">
        <f t="shared" si="48"/>
        <v>4.1028992158349466E-2</v>
      </c>
      <c r="K122" s="2"/>
      <c r="L122" s="7">
        <f t="shared" si="49"/>
        <v>5824</v>
      </c>
      <c r="M122" s="2"/>
      <c r="N122" s="6">
        <f t="shared" si="50"/>
        <v>5.9007092198581557</v>
      </c>
      <c r="O122" s="11"/>
      <c r="P122" s="7">
        <v>6811</v>
      </c>
      <c r="Q122" s="2"/>
      <c r="R122" s="6">
        <f t="shared" si="51"/>
        <v>8.1841565231770916E-3</v>
      </c>
      <c r="S122" s="2"/>
      <c r="T122" s="7">
        <v>987</v>
      </c>
      <c r="U122" s="2"/>
      <c r="V122" s="6">
        <f t="shared" si="52"/>
        <v>1.0340008390178235E-3</v>
      </c>
      <c r="W122" s="2"/>
      <c r="X122" s="7">
        <f t="shared" si="53"/>
        <v>5824</v>
      </c>
      <c r="Y122" s="2"/>
      <c r="Z122" s="6">
        <f t="shared" si="54"/>
        <v>5.9007092198581557</v>
      </c>
    </row>
    <row r="123" spans="1:26" s="24" customFormat="1" hidden="1" outlineLevel="2" x14ac:dyDescent="0.35">
      <c r="A123" s="27"/>
      <c r="B123" s="11" t="str">
        <f>CONCATENATE("          ", "7727", " - ", "INV. SHRINKAGE-SCHOOL SUPPLIES")</f>
        <v xml:space="preserve">          7727 - INV. SHRINKAGE-SCHOOL SUPPLIES</v>
      </c>
      <c r="C123" s="11"/>
      <c r="D123" s="7">
        <v>9438</v>
      </c>
      <c r="E123" s="2"/>
      <c r="F123" s="6">
        <f t="shared" si="47"/>
        <v>0.89582668914301344</v>
      </c>
      <c r="G123" s="2"/>
      <c r="H123" s="7">
        <v>605</v>
      </c>
      <c r="I123" s="2"/>
      <c r="J123" s="6">
        <f t="shared" si="48"/>
        <v>2.5149483541845416E-2</v>
      </c>
      <c r="K123" s="2"/>
      <c r="L123" s="7">
        <f t="shared" si="49"/>
        <v>8833</v>
      </c>
      <c r="M123" s="2"/>
      <c r="N123" s="6">
        <f t="shared" si="50"/>
        <v>14.6</v>
      </c>
      <c r="O123" s="11"/>
      <c r="P123" s="7">
        <v>9438</v>
      </c>
      <c r="Q123" s="2"/>
      <c r="R123" s="6">
        <f t="shared" si="51"/>
        <v>1.1340782449823138E-2</v>
      </c>
      <c r="S123" s="2"/>
      <c r="T123" s="7">
        <v>605</v>
      </c>
      <c r="U123" s="2"/>
      <c r="V123" s="6">
        <f t="shared" si="52"/>
        <v>6.3381003810109742E-4</v>
      </c>
      <c r="W123" s="2"/>
      <c r="X123" s="7">
        <f t="shared" si="53"/>
        <v>8833</v>
      </c>
      <c r="Y123" s="2"/>
      <c r="Z123" s="6">
        <f t="shared" si="54"/>
        <v>14.6</v>
      </c>
    </row>
    <row r="124" spans="1:26" s="24" customFormat="1" hidden="1" outlineLevel="2" x14ac:dyDescent="0.35">
      <c r="A124" s="27"/>
      <c r="B124" s="11" t="str">
        <f>CONCATENATE("          ", "7728", " - ", "INV. SHRINKAGE-ART/TECH")</f>
        <v xml:space="preserve">          7728 - INV. SHRINKAGE-ART/TECH</v>
      </c>
      <c r="C124" s="11"/>
      <c r="D124" s="7">
        <v>8990</v>
      </c>
      <c r="E124" s="2"/>
      <c r="F124" s="6">
        <f t="shared" si="47"/>
        <v>0.85330387109511452</v>
      </c>
      <c r="G124" s="2"/>
      <c r="H124" s="7">
        <v>4009</v>
      </c>
      <c r="I124" s="2"/>
      <c r="J124" s="6">
        <f t="shared" si="48"/>
        <v>0.1666517016847244</v>
      </c>
      <c r="K124" s="2"/>
      <c r="L124" s="7">
        <f t="shared" si="49"/>
        <v>4981</v>
      </c>
      <c r="M124" s="2"/>
      <c r="N124" s="6">
        <f t="shared" si="50"/>
        <v>1.242454477425792</v>
      </c>
      <c r="O124" s="11"/>
      <c r="P124" s="7">
        <v>8990</v>
      </c>
      <c r="Q124" s="2"/>
      <c r="R124" s="6">
        <f t="shared" si="51"/>
        <v>1.0802461774095148E-2</v>
      </c>
      <c r="S124" s="2"/>
      <c r="T124" s="7">
        <v>4009</v>
      </c>
      <c r="U124" s="2"/>
      <c r="V124" s="6">
        <f t="shared" si="52"/>
        <v>4.1999081698302475E-3</v>
      </c>
      <c r="W124" s="2"/>
      <c r="X124" s="7">
        <f t="shared" si="53"/>
        <v>4981</v>
      </c>
      <c r="Y124" s="2"/>
      <c r="Z124" s="6">
        <f t="shared" si="54"/>
        <v>1.242454477425792</v>
      </c>
    </row>
    <row r="125" spans="1:26" s="24" customFormat="1" hidden="1" outlineLevel="2" x14ac:dyDescent="0.35">
      <c r="A125" s="27"/>
      <c r="B125" s="11" t="str">
        <f>CONCATENATE("          ", "7731", " - ", "INV. SHRINKAGE-FOOD")</f>
        <v xml:space="preserve">          7731 - INV. SHRINKAGE-FOOD</v>
      </c>
      <c r="C125" s="11"/>
      <c r="D125" s="7">
        <v>6964</v>
      </c>
      <c r="E125" s="2"/>
      <c r="F125" s="6">
        <f t="shared" si="47"/>
        <v>0.66100201983385731</v>
      </c>
      <c r="G125" s="2"/>
      <c r="H125" s="7">
        <v>-237</v>
      </c>
      <c r="I125" s="2"/>
      <c r="J125" s="6">
        <f t="shared" si="48"/>
        <v>-9.8519464453179564E-3</v>
      </c>
      <c r="K125" s="2"/>
      <c r="L125" s="7">
        <f t="shared" si="49"/>
        <v>7201</v>
      </c>
      <c r="M125" s="2"/>
      <c r="N125" s="6">
        <f t="shared" si="50"/>
        <v>-30.383966244725737</v>
      </c>
      <c r="O125" s="11"/>
      <c r="P125" s="7">
        <v>6964</v>
      </c>
      <c r="Q125" s="2"/>
      <c r="R125" s="6">
        <f t="shared" si="51"/>
        <v>8.3680026468074091E-3</v>
      </c>
      <c r="S125" s="2"/>
      <c r="T125" s="7">
        <v>-237</v>
      </c>
      <c r="U125" s="2"/>
      <c r="V125" s="6">
        <f t="shared" si="52"/>
        <v>-2.4828591575200016E-4</v>
      </c>
      <c r="W125" s="2"/>
      <c r="X125" s="7">
        <f t="shared" si="53"/>
        <v>7201</v>
      </c>
      <c r="Y125" s="2"/>
      <c r="Z125" s="6">
        <f t="shared" si="54"/>
        <v>-30.383966244725737</v>
      </c>
    </row>
    <row r="126" spans="1:26" s="24" customFormat="1" hidden="1" outlineLevel="2" x14ac:dyDescent="0.35">
      <c r="A126" s="27"/>
      <c r="B126" s="11" t="str">
        <f>CONCATENATE("          ", "7732", " - ", "INV. SHRINKAGE-JUICE")</f>
        <v xml:space="preserve">          7732 - INV. SHRINKAGE-JUICE</v>
      </c>
      <c r="C126" s="11"/>
      <c r="D126" s="7">
        <v>-1942</v>
      </c>
      <c r="E126" s="2"/>
      <c r="F126" s="6">
        <f t="shared" si="47"/>
        <v>-0.18432882287727614</v>
      </c>
      <c r="G126" s="2"/>
      <c r="H126" s="7">
        <v>-181</v>
      </c>
      <c r="I126" s="2"/>
      <c r="J126" s="6">
        <f t="shared" si="48"/>
        <v>-7.5240603654116037E-3</v>
      </c>
      <c r="K126" s="2"/>
      <c r="L126" s="7">
        <f t="shared" si="49"/>
        <v>-1761</v>
      </c>
      <c r="M126" s="2"/>
      <c r="N126" s="6">
        <f t="shared" si="50"/>
        <v>9.7292817679558006</v>
      </c>
      <c r="O126" s="11"/>
      <c r="P126" s="7">
        <v>-1942</v>
      </c>
      <c r="Q126" s="2"/>
      <c r="R126" s="6">
        <f t="shared" si="51"/>
        <v>-2.3335240005887404E-3</v>
      </c>
      <c r="S126" s="2"/>
      <c r="T126" s="7">
        <v>-181</v>
      </c>
      <c r="U126" s="2"/>
      <c r="V126" s="6">
        <f t="shared" si="52"/>
        <v>-1.8961920148148536E-4</v>
      </c>
      <c r="W126" s="2"/>
      <c r="X126" s="7">
        <f t="shared" si="53"/>
        <v>-1761</v>
      </c>
      <c r="Y126" s="2"/>
      <c r="Z126" s="6">
        <f t="shared" si="54"/>
        <v>9.7292817679558006</v>
      </c>
    </row>
    <row r="127" spans="1:26" s="24" customFormat="1" hidden="1" outlineLevel="2" x14ac:dyDescent="0.35">
      <c r="A127" s="27"/>
      <c r="B127" s="11" t="str">
        <f>CONCATENATE("          ", "7733", " - ", "INV. SHRINKAGE-CANDY")</f>
        <v xml:space="preserve">          7733 - INV. SHRINKAGE-CANDY</v>
      </c>
      <c r="C127" s="11"/>
      <c r="D127" s="7">
        <v>2710</v>
      </c>
      <c r="E127" s="2"/>
      <c r="F127" s="6">
        <f t="shared" si="47"/>
        <v>0.25722508238795999</v>
      </c>
      <c r="G127" s="2"/>
      <c r="H127" s="7">
        <v>-289</v>
      </c>
      <c r="I127" s="2"/>
      <c r="J127" s="6">
        <f t="shared" si="48"/>
        <v>-1.201355494808814E-2</v>
      </c>
      <c r="K127" s="2"/>
      <c r="L127" s="7">
        <f t="shared" si="49"/>
        <v>2999</v>
      </c>
      <c r="M127" s="2"/>
      <c r="N127" s="6">
        <f t="shared" si="50"/>
        <v>-10.377162629757786</v>
      </c>
      <c r="O127" s="11"/>
      <c r="P127" s="7">
        <v>2710</v>
      </c>
      <c r="Q127" s="2"/>
      <c r="R127" s="6">
        <f t="shared" si="51"/>
        <v>3.2563594446938658E-3</v>
      </c>
      <c r="S127" s="2"/>
      <c r="T127" s="7">
        <v>-289</v>
      </c>
      <c r="U127" s="2"/>
      <c r="V127" s="6">
        <f t="shared" si="52"/>
        <v>-3.0276215043176393E-4</v>
      </c>
      <c r="W127" s="2"/>
      <c r="X127" s="7">
        <f t="shared" si="53"/>
        <v>2999</v>
      </c>
      <c r="Y127" s="2"/>
      <c r="Z127" s="6">
        <f t="shared" si="54"/>
        <v>-10.377162629757786</v>
      </c>
    </row>
    <row r="128" spans="1:26" s="24" customFormat="1" hidden="1" outlineLevel="2" x14ac:dyDescent="0.35">
      <c r="A128" s="27"/>
      <c r="B128" s="11" t="str">
        <f>CONCATENATE("          ", "7734", " - ", "INV. SHRINKAGE-SODA")</f>
        <v xml:space="preserve">          7734 - INV. SHRINKAGE-SODA</v>
      </c>
      <c r="C128" s="11"/>
      <c r="D128" s="7">
        <v>1253</v>
      </c>
      <c r="E128" s="2"/>
      <c r="F128" s="6">
        <f t="shared" si="47"/>
        <v>0.11893100672771729</v>
      </c>
      <c r="G128" s="2"/>
      <c r="H128" s="7">
        <v>474</v>
      </c>
      <c r="I128" s="2"/>
      <c r="J128" s="6">
        <f t="shared" si="48"/>
        <v>1.9703892890635913E-2</v>
      </c>
      <c r="K128" s="2"/>
      <c r="L128" s="7">
        <f t="shared" si="49"/>
        <v>779</v>
      </c>
      <c r="M128" s="2"/>
      <c r="N128" s="6">
        <f t="shared" si="50"/>
        <v>1.6434599156118144</v>
      </c>
      <c r="O128" s="11"/>
      <c r="P128" s="7">
        <v>1253</v>
      </c>
      <c r="Q128" s="2"/>
      <c r="R128" s="6">
        <f t="shared" si="51"/>
        <v>1.5056156399267208E-3</v>
      </c>
      <c r="S128" s="2"/>
      <c r="T128" s="7">
        <v>474</v>
      </c>
      <c r="U128" s="2"/>
      <c r="V128" s="6">
        <f t="shared" si="52"/>
        <v>4.9657183150400032E-4</v>
      </c>
      <c r="W128" s="2"/>
      <c r="X128" s="7">
        <f t="shared" si="53"/>
        <v>779</v>
      </c>
      <c r="Y128" s="2"/>
      <c r="Z128" s="6">
        <f t="shared" si="54"/>
        <v>1.6434599156118144</v>
      </c>
    </row>
    <row r="129" spans="1:26" s="24" customFormat="1" hidden="1" outlineLevel="2" x14ac:dyDescent="0.35">
      <c r="A129" s="27"/>
      <c r="B129" s="11" t="str">
        <f>CONCATENATE("          ", "7735", " - ", "INV. SHRINKAGE-HEALTH/BEAUTY")</f>
        <v xml:space="preserve">          7735 - INV. SHRINKAGE-HEALTH/BEAUTY</v>
      </c>
      <c r="C129" s="11"/>
      <c r="D129" s="7">
        <v>369</v>
      </c>
      <c r="E129" s="2"/>
      <c r="F129" s="6">
        <f t="shared" si="47"/>
        <v>3.5024374686773892E-2</v>
      </c>
      <c r="G129" s="2"/>
      <c r="H129" s="7">
        <v>-288</v>
      </c>
      <c r="I129" s="2"/>
      <c r="J129" s="6">
        <f t="shared" si="48"/>
        <v>-1.1971985553804099E-2</v>
      </c>
      <c r="K129" s="2"/>
      <c r="L129" s="7">
        <f t="shared" si="49"/>
        <v>657</v>
      </c>
      <c r="M129" s="2"/>
      <c r="N129" s="6">
        <f t="shared" si="50"/>
        <v>-2.28125</v>
      </c>
      <c r="O129" s="11"/>
      <c r="P129" s="7">
        <v>369</v>
      </c>
      <c r="Q129" s="2"/>
      <c r="R129" s="6">
        <f t="shared" si="51"/>
        <v>4.4339359228488427E-4</v>
      </c>
      <c r="S129" s="2"/>
      <c r="T129" s="7">
        <v>-288</v>
      </c>
      <c r="U129" s="2"/>
      <c r="V129" s="6">
        <f t="shared" si="52"/>
        <v>-3.0171453053407616E-4</v>
      </c>
      <c r="W129" s="2"/>
      <c r="X129" s="7">
        <f t="shared" si="53"/>
        <v>657</v>
      </c>
      <c r="Y129" s="2"/>
      <c r="Z129" s="6">
        <f t="shared" si="54"/>
        <v>-2.28125</v>
      </c>
    </row>
    <row r="130" spans="1:26" s="24" customFormat="1" hidden="1" outlineLevel="2" x14ac:dyDescent="0.35">
      <c r="A130" s="27"/>
      <c r="B130" s="11" t="str">
        <f>CONCATENATE("          ", "7737", " - ", "INV. SHRINKAGE-WATER")</f>
        <v xml:space="preserve">          7737 - INV. SHRINKAGE-WATER</v>
      </c>
      <c r="C130" s="11"/>
      <c r="D130" s="7">
        <v>832</v>
      </c>
      <c r="E130" s="2"/>
      <c r="F130" s="6">
        <f t="shared" si="47"/>
        <v>7.8970947803240862E-2</v>
      </c>
      <c r="G130" s="2"/>
      <c r="H130" s="7">
        <v>-161</v>
      </c>
      <c r="I130" s="2"/>
      <c r="J130" s="6">
        <f t="shared" si="48"/>
        <v>-6.6926724797307631E-3</v>
      </c>
      <c r="K130" s="2"/>
      <c r="L130" s="7">
        <f t="shared" si="49"/>
        <v>993</v>
      </c>
      <c r="M130" s="2"/>
      <c r="N130" s="6">
        <f t="shared" si="50"/>
        <v>-6.1677018633540373</v>
      </c>
      <c r="O130" s="11"/>
      <c r="P130" s="7">
        <v>832</v>
      </c>
      <c r="Q130" s="2"/>
      <c r="R130" s="6">
        <f t="shared" si="51"/>
        <v>9.99738397780552E-4</v>
      </c>
      <c r="S130" s="2"/>
      <c r="T130" s="7">
        <v>-161</v>
      </c>
      <c r="U130" s="2"/>
      <c r="V130" s="6">
        <f t="shared" si="52"/>
        <v>-1.6866680352773007E-4</v>
      </c>
      <c r="W130" s="2"/>
      <c r="X130" s="7">
        <f t="shared" si="53"/>
        <v>993</v>
      </c>
      <c r="Y130" s="2"/>
      <c r="Z130" s="6">
        <f t="shared" si="54"/>
        <v>-6.1677018633540373</v>
      </c>
    </row>
    <row r="131" spans="1:26" s="24" customFormat="1" hidden="1" outlineLevel="2" x14ac:dyDescent="0.35">
      <c r="A131" s="27"/>
      <c r="B131" s="11" t="str">
        <f>CONCATENATE("          ", "7741", " - ", "INV. SHRINKAGE-LOGO GIFTS")</f>
        <v xml:space="preserve">          7741 - INV. SHRINKAGE-LOGO GIFTS</v>
      </c>
      <c r="C131" s="11"/>
      <c r="D131" s="7">
        <v>-494</v>
      </c>
      <c r="E131" s="2"/>
      <c r="F131" s="6">
        <f t="shared" si="47"/>
        <v>-4.688900025817426E-2</v>
      </c>
      <c r="G131" s="2"/>
      <c r="H131" s="7"/>
      <c r="I131" s="2"/>
      <c r="J131" s="6">
        <f t="shared" si="48"/>
        <v>0</v>
      </c>
      <c r="K131" s="2"/>
      <c r="L131" s="7">
        <f t="shared" si="49"/>
        <v>-494</v>
      </c>
      <c r="M131" s="2"/>
      <c r="N131" s="6">
        <f t="shared" si="50"/>
        <v>0</v>
      </c>
      <c r="O131" s="11"/>
      <c r="P131" s="7">
        <v>-494</v>
      </c>
      <c r="Q131" s="2"/>
      <c r="R131" s="6">
        <f t="shared" si="51"/>
        <v>-5.9359467368220282E-4</v>
      </c>
      <c r="S131" s="2"/>
      <c r="T131" s="7"/>
      <c r="U131" s="2"/>
      <c r="V131" s="6">
        <f t="shared" si="52"/>
        <v>0</v>
      </c>
      <c r="W131" s="2"/>
      <c r="X131" s="7">
        <f t="shared" si="53"/>
        <v>-494</v>
      </c>
      <c r="Y131" s="2"/>
      <c r="Z131" s="6">
        <f t="shared" si="54"/>
        <v>0</v>
      </c>
    </row>
    <row r="132" spans="1:26" s="24" customFormat="1" hidden="1" outlineLevel="2" x14ac:dyDescent="0.35">
      <c r="A132" s="27"/>
      <c r="B132" s="11" t="str">
        <f>CONCATENATE("          ", "7742", " - ", "INV. SHRINKAGE-EVERYDAY GIFTS")</f>
        <v xml:space="preserve">          7742 - INV. SHRINKAGE-EVERYDAY GIFTS</v>
      </c>
      <c r="C132" s="11"/>
      <c r="D132" s="7">
        <v>-553</v>
      </c>
      <c r="E132" s="2"/>
      <c r="F132" s="6">
        <f t="shared" si="47"/>
        <v>-5.2489103527875232E-2</v>
      </c>
      <c r="G132" s="2"/>
      <c r="H132" s="7">
        <v>-57</v>
      </c>
      <c r="I132" s="2"/>
      <c r="J132" s="6">
        <f t="shared" si="48"/>
        <v>-2.3694554741903943E-3</v>
      </c>
      <c r="K132" s="2"/>
      <c r="L132" s="7">
        <f t="shared" si="49"/>
        <v>-496</v>
      </c>
      <c r="M132" s="2"/>
      <c r="N132" s="6">
        <f t="shared" si="50"/>
        <v>8.7017543859649127</v>
      </c>
      <c r="O132" s="11"/>
      <c r="P132" s="7">
        <v>-553</v>
      </c>
      <c r="Q132" s="2"/>
      <c r="R132" s="6">
        <f t="shared" si="51"/>
        <v>-6.6448958410173713E-4</v>
      </c>
      <c r="S132" s="2"/>
      <c r="T132" s="7">
        <v>-57</v>
      </c>
      <c r="U132" s="2"/>
      <c r="V132" s="6">
        <f t="shared" si="52"/>
        <v>-5.9714334168202574E-5</v>
      </c>
      <c r="W132" s="2"/>
      <c r="X132" s="7">
        <f t="shared" si="53"/>
        <v>-496</v>
      </c>
      <c r="Y132" s="2"/>
      <c r="Z132" s="6">
        <f t="shared" si="54"/>
        <v>8.7017543859649127</v>
      </c>
    </row>
    <row r="133" spans="1:26" s="24" customFormat="1" hidden="1" outlineLevel="2" x14ac:dyDescent="0.35">
      <c r="A133" s="27"/>
      <c r="B133" s="11" t="str">
        <f>CONCATENATE("          ", "7744", " - ", "INV. SHRINKAGE-ACCESSORIES")</f>
        <v xml:space="preserve">          7744 - INV. SHRINKAGE-ACCESSORIES</v>
      </c>
      <c r="C133" s="11"/>
      <c r="D133" s="7">
        <v>-180</v>
      </c>
      <c r="E133" s="2"/>
      <c r="F133" s="6">
        <f t="shared" si="47"/>
        <v>-1.7085060822816533E-2</v>
      </c>
      <c r="G133" s="2"/>
      <c r="H133" s="7"/>
      <c r="I133" s="2"/>
      <c r="J133" s="6">
        <f t="shared" si="48"/>
        <v>0</v>
      </c>
      <c r="K133" s="2"/>
      <c r="L133" s="7">
        <f t="shared" si="49"/>
        <v>-180</v>
      </c>
      <c r="M133" s="2"/>
      <c r="N133" s="6">
        <f t="shared" si="50"/>
        <v>0</v>
      </c>
      <c r="O133" s="11"/>
      <c r="P133" s="7">
        <v>-180</v>
      </c>
      <c r="Q133" s="2"/>
      <c r="R133" s="6">
        <f t="shared" si="51"/>
        <v>-2.1628955721213867E-4</v>
      </c>
      <c r="S133" s="2"/>
      <c r="T133" s="7"/>
      <c r="U133" s="2"/>
      <c r="V133" s="6">
        <f t="shared" si="52"/>
        <v>0</v>
      </c>
      <c r="W133" s="2"/>
      <c r="X133" s="7">
        <f t="shared" si="53"/>
        <v>-180</v>
      </c>
      <c r="Y133" s="2"/>
      <c r="Z133" s="6">
        <f t="shared" si="54"/>
        <v>0</v>
      </c>
    </row>
    <row r="134" spans="1:26" s="24" customFormat="1" hidden="1" outlineLevel="2" x14ac:dyDescent="0.35">
      <c r="A134" s="27"/>
      <c r="B134" s="11" t="str">
        <f>CONCATENATE("          ", "7781", " - ", "INV. SHRINKAGE-ELECTRONICS")</f>
        <v xml:space="preserve">          7781 - INV. SHRINKAGE-ELECTRONICS</v>
      </c>
      <c r="C134" s="11"/>
      <c r="D134" s="7">
        <v>-28</v>
      </c>
      <c r="E134" s="2"/>
      <c r="F134" s="6">
        <f t="shared" si="47"/>
        <v>-2.6576761279936828E-3</v>
      </c>
      <c r="G134" s="2"/>
      <c r="H134" s="7">
        <v>98</v>
      </c>
      <c r="I134" s="2"/>
      <c r="J134" s="6">
        <f t="shared" si="48"/>
        <v>4.0738006398361171E-3</v>
      </c>
      <c r="K134" s="2"/>
      <c r="L134" s="7">
        <f t="shared" si="49"/>
        <v>-126</v>
      </c>
      <c r="M134" s="2"/>
      <c r="N134" s="6">
        <f t="shared" si="50"/>
        <v>-1.2857142857142858</v>
      </c>
      <c r="O134" s="11"/>
      <c r="P134" s="7">
        <v>-28</v>
      </c>
      <c r="Q134" s="2"/>
      <c r="R134" s="6">
        <f t="shared" si="51"/>
        <v>-3.3645042232999352E-5</v>
      </c>
      <c r="S134" s="2"/>
      <c r="T134" s="7">
        <v>98</v>
      </c>
      <c r="U134" s="2"/>
      <c r="V134" s="6">
        <f t="shared" si="52"/>
        <v>1.0266674997340091E-4</v>
      </c>
      <c r="W134" s="2"/>
      <c r="X134" s="7">
        <f t="shared" si="53"/>
        <v>-126</v>
      </c>
      <c r="Y134" s="2"/>
      <c r="Z134" s="6">
        <f t="shared" si="54"/>
        <v>-1.2857142857142858</v>
      </c>
    </row>
    <row r="135" spans="1:26" s="24" customFormat="1" hidden="1" outlineLevel="2" x14ac:dyDescent="0.35">
      <c r="A135" s="27"/>
      <c r="B135" s="11" t="str">
        <f>CONCATENATE("          ", "7782", " - ", "INV. SHRINKAGE-COMPUTER HARDWA")</f>
        <v xml:space="preserve">          7782 - INV. SHRINKAGE-COMPUTER HARDWA</v>
      </c>
      <c r="C135" s="11"/>
      <c r="D135" s="7">
        <v>69</v>
      </c>
      <c r="E135" s="2"/>
      <c r="F135" s="6">
        <f t="shared" si="47"/>
        <v>6.5492733154130034E-3</v>
      </c>
      <c r="G135" s="2"/>
      <c r="H135" s="7">
        <v>-1237</v>
      </c>
      <c r="I135" s="2"/>
      <c r="J135" s="6">
        <f t="shared" si="48"/>
        <v>-5.1421340729359964E-2</v>
      </c>
      <c r="K135" s="2"/>
      <c r="L135" s="7">
        <f t="shared" si="49"/>
        <v>1306</v>
      </c>
      <c r="M135" s="2"/>
      <c r="N135" s="6">
        <f t="shared" si="50"/>
        <v>-1.0557801131770412</v>
      </c>
      <c r="O135" s="11"/>
      <c r="P135" s="7">
        <v>69</v>
      </c>
      <c r="Q135" s="2"/>
      <c r="R135" s="6">
        <f t="shared" si="51"/>
        <v>8.2910996931319822E-5</v>
      </c>
      <c r="S135" s="2"/>
      <c r="T135" s="7">
        <v>-1237</v>
      </c>
      <c r="U135" s="2"/>
      <c r="V135" s="6">
        <f t="shared" si="52"/>
        <v>-1.2959058134397645E-3</v>
      </c>
      <c r="W135" s="2"/>
      <c r="X135" s="7">
        <f t="shared" si="53"/>
        <v>1306</v>
      </c>
      <c r="Y135" s="2"/>
      <c r="Z135" s="6">
        <f t="shared" si="54"/>
        <v>-1.0557801131770412</v>
      </c>
    </row>
    <row r="136" spans="1:26" s="24" customFormat="1" hidden="1" outlineLevel="2" x14ac:dyDescent="0.35">
      <c r="A136" s="27"/>
      <c r="B136" s="11" t="str">
        <f>CONCATENATE("          ", "7783", " - ", "INV. SHRINKAGE-COMPUTER EQUIPM")</f>
        <v xml:space="preserve">          7783 - INV. SHRINKAGE-COMPUTER EQUIPM</v>
      </c>
      <c r="C136" s="11"/>
      <c r="D136" s="7">
        <v>90</v>
      </c>
      <c r="E136" s="2"/>
      <c r="F136" s="6">
        <f t="shared" si="47"/>
        <v>8.5425304114082664E-3</v>
      </c>
      <c r="G136" s="2"/>
      <c r="H136" s="7">
        <v>-104</v>
      </c>
      <c r="I136" s="2"/>
      <c r="J136" s="6">
        <f t="shared" si="48"/>
        <v>-4.3232170055403692E-3</v>
      </c>
      <c r="K136" s="2"/>
      <c r="L136" s="7">
        <f t="shared" si="49"/>
        <v>194</v>
      </c>
      <c r="M136" s="2"/>
      <c r="N136" s="6">
        <f t="shared" si="50"/>
        <v>-1.8653846153846154</v>
      </c>
      <c r="O136" s="11"/>
      <c r="P136" s="7">
        <v>90</v>
      </c>
      <c r="Q136" s="2"/>
      <c r="R136" s="6">
        <f t="shared" si="51"/>
        <v>1.0814477860606933E-4</v>
      </c>
      <c r="S136" s="2"/>
      <c r="T136" s="7">
        <v>-104</v>
      </c>
      <c r="U136" s="2"/>
      <c r="V136" s="6">
        <f t="shared" si="52"/>
        <v>-1.089524693595275E-4</v>
      </c>
      <c r="W136" s="2"/>
      <c r="X136" s="7">
        <f t="shared" si="53"/>
        <v>194</v>
      </c>
      <c r="Y136" s="2"/>
      <c r="Z136" s="6">
        <f t="shared" si="54"/>
        <v>-1.8653846153846154</v>
      </c>
    </row>
    <row r="137" spans="1:26" s="24" customFormat="1" hidden="1" outlineLevel="2" x14ac:dyDescent="0.35">
      <c r="A137" s="27"/>
      <c r="B137" s="11" t="str">
        <f>CONCATENATE("          ", "7786", " - ", "INV. SHRINKAGE-COMPUTER SUPPLI")</f>
        <v xml:space="preserve">          7786 - INV. SHRINKAGE-COMPUTER SUPPLI</v>
      </c>
      <c r="C137" s="11"/>
      <c r="D137" s="7">
        <v>38</v>
      </c>
      <c r="E137" s="2"/>
      <c r="F137" s="6">
        <f t="shared" si="47"/>
        <v>3.6068461737057121E-3</v>
      </c>
      <c r="G137" s="2"/>
      <c r="H137" s="7">
        <v>-236</v>
      </c>
      <c r="I137" s="2"/>
      <c r="J137" s="6">
        <f t="shared" si="48"/>
        <v>-9.8103770510339135E-3</v>
      </c>
      <c r="K137" s="2"/>
      <c r="L137" s="7">
        <f t="shared" si="49"/>
        <v>274</v>
      </c>
      <c r="M137" s="2"/>
      <c r="N137" s="6">
        <f t="shared" si="50"/>
        <v>-1.1610169491525424</v>
      </c>
      <c r="O137" s="11"/>
      <c r="P137" s="7">
        <v>38</v>
      </c>
      <c r="Q137" s="2"/>
      <c r="R137" s="6">
        <f t="shared" si="51"/>
        <v>4.5661128744784834E-5</v>
      </c>
      <c r="S137" s="2"/>
      <c r="T137" s="7">
        <v>-236</v>
      </c>
      <c r="U137" s="2"/>
      <c r="V137" s="6">
        <f t="shared" si="52"/>
        <v>-2.472382958543124E-4</v>
      </c>
      <c r="W137" s="2"/>
      <c r="X137" s="7">
        <f t="shared" si="53"/>
        <v>274</v>
      </c>
      <c r="Y137" s="2"/>
      <c r="Z137" s="6">
        <f t="shared" si="54"/>
        <v>-1.1610169491525424</v>
      </c>
    </row>
    <row r="138" spans="1:26" s="25" customFormat="1" outlineLevel="1" collapsed="1" x14ac:dyDescent="0.35">
      <c r="A138" s="26"/>
      <c r="B138" s="12" t="str">
        <f>CONCATENATE("     ","Professional Services                             ")</f>
        <v xml:space="preserve">     Professional Services                             </v>
      </c>
      <c r="C138" s="12"/>
      <c r="D138" s="1">
        <f>SUM(OSRRefD22_9x_0)</f>
        <v>1382.44</v>
      </c>
      <c r="E138" s="1"/>
      <c r="F138" s="5">
        <f t="shared" ref="F138:F144" si="55">IF(D$12=0,0,D138/D$12)</f>
        <v>0.13121706379941381</v>
      </c>
      <c r="G138" s="1"/>
      <c r="H138" s="1">
        <f>SUM(OSRRefH22_9x_0)</f>
        <v>0</v>
      </c>
      <c r="I138" s="1"/>
      <c r="J138" s="5">
        <f t="shared" ref="J138:J144" si="56">IF(H$12=0,0,H138/H$12)</f>
        <v>0</v>
      </c>
      <c r="K138" s="1"/>
      <c r="L138" s="1">
        <f t="shared" ref="L138:L144" si="57">+D138-H138</f>
        <v>1382.44</v>
      </c>
      <c r="M138" s="1"/>
      <c r="N138" s="5">
        <f t="shared" ref="N138:N144" si="58">IF(H138=0,0,L138/H138)</f>
        <v>0</v>
      </c>
      <c r="O138" s="12"/>
      <c r="P138" s="1">
        <f>SUM(OSRRefP22_9x_0)</f>
        <v>2173.59</v>
      </c>
      <c r="Q138" s="1"/>
      <c r="R138" s="5">
        <f t="shared" ref="R138:R144" si="59">IF(P$12=0,0,P138/P$12)</f>
        <v>2.611804548115181E-3</v>
      </c>
      <c r="S138" s="1"/>
      <c r="T138" s="1">
        <f>SUM(OSRRefT22_9x_0)</f>
        <v>750</v>
      </c>
      <c r="U138" s="1"/>
      <c r="V138" s="5">
        <f t="shared" ref="V138:V144" si="60">IF(T$12=0,0,T138/T$12)</f>
        <v>7.8571492326582335E-4</v>
      </c>
      <c r="W138" s="1"/>
      <c r="X138" s="1">
        <f t="shared" ref="X138:X144" si="61">+P138-T138</f>
        <v>1423.5900000000001</v>
      </c>
      <c r="Y138" s="1"/>
      <c r="Z138" s="5">
        <f t="shared" ref="Z138:Z144" si="62">IF(T138=0,0,X138/T138)</f>
        <v>1.8981200000000003</v>
      </c>
    </row>
    <row r="139" spans="1:26" s="24" customFormat="1" hidden="1" outlineLevel="2" x14ac:dyDescent="0.35">
      <c r="A139" s="27"/>
      <c r="B139" s="11" t="str">
        <f>CONCATENATE("          ", "6336", " - ", "PROFESSIONAL SERVICES")</f>
        <v xml:space="preserve">          6336 - PROFESSIONAL SERVICES</v>
      </c>
      <c r="C139" s="11"/>
      <c r="D139" s="7">
        <v>1382.44</v>
      </c>
      <c r="E139" s="2"/>
      <c r="F139" s="6">
        <f t="shared" si="55"/>
        <v>0.13121706379941381</v>
      </c>
      <c r="G139" s="2"/>
      <c r="H139" s="7"/>
      <c r="I139" s="2"/>
      <c r="J139" s="6">
        <f t="shared" si="56"/>
        <v>0</v>
      </c>
      <c r="K139" s="2"/>
      <c r="L139" s="7">
        <f t="shared" si="57"/>
        <v>1382.44</v>
      </c>
      <c r="M139" s="2"/>
      <c r="N139" s="6">
        <f t="shared" si="58"/>
        <v>0</v>
      </c>
      <c r="O139" s="11"/>
      <c r="P139" s="7">
        <v>2173.59</v>
      </c>
      <c r="Q139" s="2"/>
      <c r="R139" s="6">
        <f t="shared" si="59"/>
        <v>2.611804548115181E-3</v>
      </c>
      <c r="S139" s="2"/>
      <c r="T139" s="7">
        <v>750</v>
      </c>
      <c r="U139" s="2"/>
      <c r="V139" s="6">
        <f t="shared" si="60"/>
        <v>7.8571492326582335E-4</v>
      </c>
      <c r="W139" s="2"/>
      <c r="X139" s="7">
        <f t="shared" si="61"/>
        <v>1423.5900000000001</v>
      </c>
      <c r="Y139" s="2"/>
      <c r="Z139" s="6">
        <f t="shared" si="62"/>
        <v>1.8981200000000003</v>
      </c>
    </row>
    <row r="140" spans="1:26" s="25" customFormat="1" outlineLevel="1" collapsed="1" x14ac:dyDescent="0.35">
      <c r="A140" s="26"/>
      <c r="B140" s="12" t="str">
        <f>CONCATENATE("     ","Rent                                              ")</f>
        <v xml:space="preserve">     Rent                                              </v>
      </c>
      <c r="C140" s="12"/>
      <c r="D140" s="1">
        <f>SUM(OSRRefD22_10x_0)</f>
        <v>0</v>
      </c>
      <c r="E140" s="1"/>
      <c r="F140" s="5">
        <f t="shared" si="55"/>
        <v>0</v>
      </c>
      <c r="G140" s="1"/>
      <c r="H140" s="1">
        <f>SUM(OSRRefH22_10x_0)</f>
        <v>0</v>
      </c>
      <c r="I140" s="1"/>
      <c r="J140" s="5">
        <f t="shared" si="56"/>
        <v>0</v>
      </c>
      <c r="K140" s="1"/>
      <c r="L140" s="1">
        <f t="shared" si="57"/>
        <v>0</v>
      </c>
      <c r="M140" s="1"/>
      <c r="N140" s="5">
        <f t="shared" si="58"/>
        <v>0</v>
      </c>
      <c r="O140" s="12"/>
      <c r="P140" s="1">
        <f>SUM(OSRRefP22_10x_0)</f>
        <v>0</v>
      </c>
      <c r="Q140" s="1"/>
      <c r="R140" s="5">
        <f t="shared" si="59"/>
        <v>0</v>
      </c>
      <c r="S140" s="1"/>
      <c r="T140" s="1">
        <f>SUM(OSRRefT22_10x_0)</f>
        <v>0</v>
      </c>
      <c r="U140" s="1"/>
      <c r="V140" s="5">
        <f t="shared" si="60"/>
        <v>0</v>
      </c>
      <c r="W140" s="1"/>
      <c r="X140" s="1">
        <f t="shared" si="61"/>
        <v>0</v>
      </c>
      <c r="Y140" s="1"/>
      <c r="Z140" s="5">
        <f t="shared" si="62"/>
        <v>0</v>
      </c>
    </row>
    <row r="141" spans="1:26" s="24" customFormat="1" hidden="1" outlineLevel="2" x14ac:dyDescent="0.35">
      <c r="A141" s="27"/>
      <c r="B141" s="11" t="str">
        <f>CONCATENATE("          ", "6273", " - ", "RENT")</f>
        <v xml:space="preserve">          6273 - RENT</v>
      </c>
      <c r="C141" s="11"/>
      <c r="D141" s="7"/>
      <c r="E141" s="2"/>
      <c r="F141" s="6">
        <f t="shared" si="55"/>
        <v>0</v>
      </c>
      <c r="G141" s="2"/>
      <c r="H141" s="7"/>
      <c r="I141" s="2"/>
      <c r="J141" s="6">
        <f t="shared" si="56"/>
        <v>0</v>
      </c>
      <c r="K141" s="2"/>
      <c r="L141" s="7">
        <f t="shared" si="57"/>
        <v>0</v>
      </c>
      <c r="M141" s="2"/>
      <c r="N141" s="6">
        <f t="shared" si="58"/>
        <v>0</v>
      </c>
      <c r="O141" s="11"/>
      <c r="P141" s="7"/>
      <c r="Q141" s="2"/>
      <c r="R141" s="6">
        <f t="shared" si="59"/>
        <v>0</v>
      </c>
      <c r="S141" s="2"/>
      <c r="T141" s="7">
        <v>0</v>
      </c>
      <c r="U141" s="2"/>
      <c r="V141" s="6">
        <f t="shared" si="60"/>
        <v>0</v>
      </c>
      <c r="W141" s="2"/>
      <c r="X141" s="7">
        <f t="shared" si="61"/>
        <v>0</v>
      </c>
      <c r="Y141" s="2"/>
      <c r="Z141" s="6">
        <f t="shared" si="62"/>
        <v>0</v>
      </c>
    </row>
    <row r="142" spans="1:26" s="25" customFormat="1" outlineLevel="1" collapsed="1" x14ac:dyDescent="0.35">
      <c r="A142" s="26"/>
      <c r="B142" s="12" t="str">
        <f>CONCATENATE("     ","Repair and Maintenance                            ")</f>
        <v xml:space="preserve">     Repair and Maintenance                            </v>
      </c>
      <c r="C142" s="12"/>
      <c r="D142" s="1">
        <f>SUM(OSRRefD22_11x_0)</f>
        <v>61.11</v>
      </c>
      <c r="E142" s="1"/>
      <c r="F142" s="5">
        <f t="shared" si="55"/>
        <v>5.8003781493462126E-3</v>
      </c>
      <c r="G142" s="1"/>
      <c r="H142" s="1">
        <f>SUM(OSRRefH22_11x_0)</f>
        <v>58.62</v>
      </c>
      <c r="I142" s="1"/>
      <c r="J142" s="5">
        <f t="shared" si="56"/>
        <v>2.4367978929305425E-3</v>
      </c>
      <c r="K142" s="1"/>
      <c r="L142" s="1">
        <f t="shared" si="57"/>
        <v>2.490000000000002</v>
      </c>
      <c r="M142" s="1"/>
      <c r="N142" s="5">
        <f t="shared" si="58"/>
        <v>4.2476970317297885E-2</v>
      </c>
      <c r="O142" s="12"/>
      <c r="P142" s="1">
        <f>SUM(OSRRefP22_11x_0)</f>
        <v>251.75</v>
      </c>
      <c r="Q142" s="1"/>
      <c r="R142" s="5">
        <f t="shared" si="59"/>
        <v>3.0250497793419948E-4</v>
      </c>
      <c r="S142" s="1"/>
      <c r="T142" s="1">
        <f>SUM(OSRRefT22_11x_0)</f>
        <v>1795.35</v>
      </c>
      <c r="U142" s="1"/>
      <c r="V142" s="5">
        <f t="shared" si="60"/>
        <v>1.8808443833137278E-3</v>
      </c>
      <c r="W142" s="1"/>
      <c r="X142" s="1">
        <f t="shared" si="61"/>
        <v>-1543.6</v>
      </c>
      <c r="Y142" s="1"/>
      <c r="Z142" s="5">
        <f t="shared" si="62"/>
        <v>-0.85977664522238006</v>
      </c>
    </row>
    <row r="143" spans="1:26" s="24" customFormat="1" hidden="1" outlineLevel="2" x14ac:dyDescent="0.35">
      <c r="A143" s="27"/>
      <c r="B143" s="11" t="str">
        <f>CONCATENATE("          ", "6373", " - ", "MAINTENANCE CONTRACTS")</f>
        <v xml:space="preserve">          6373 - MAINTENANCE CONTRACTS</v>
      </c>
      <c r="C143" s="11"/>
      <c r="D143" s="7">
        <v>61.11</v>
      </c>
      <c r="E143" s="2"/>
      <c r="F143" s="6">
        <f t="shared" si="55"/>
        <v>5.8003781493462126E-3</v>
      </c>
      <c r="G143" s="2"/>
      <c r="H143" s="7">
        <v>58.62</v>
      </c>
      <c r="I143" s="2"/>
      <c r="J143" s="6">
        <f t="shared" si="56"/>
        <v>2.4367978929305425E-3</v>
      </c>
      <c r="K143" s="2"/>
      <c r="L143" s="7">
        <f t="shared" si="57"/>
        <v>2.490000000000002</v>
      </c>
      <c r="M143" s="2"/>
      <c r="N143" s="6">
        <f t="shared" si="58"/>
        <v>4.2476970317297885E-2</v>
      </c>
      <c r="O143" s="11"/>
      <c r="P143" s="7">
        <v>241.95</v>
      </c>
      <c r="Q143" s="2"/>
      <c r="R143" s="6">
        <f t="shared" si="59"/>
        <v>2.9072921315264971E-4</v>
      </c>
      <c r="S143" s="2"/>
      <c r="T143" s="7">
        <v>216.48</v>
      </c>
      <c r="U143" s="2"/>
      <c r="V143" s="6">
        <f t="shared" si="60"/>
        <v>2.2678875545144723E-4</v>
      </c>
      <c r="W143" s="2"/>
      <c r="X143" s="7">
        <f t="shared" si="61"/>
        <v>25.47</v>
      </c>
      <c r="Y143" s="2"/>
      <c r="Z143" s="6">
        <f t="shared" si="62"/>
        <v>0.11765521064301553</v>
      </c>
    </row>
    <row r="144" spans="1:26" s="24" customFormat="1" hidden="1" outlineLevel="2" x14ac:dyDescent="0.35">
      <c r="A144" s="27"/>
      <c r="B144" s="11" t="str">
        <f>CONCATENATE("          ", "6375", " - ", "OUTSIDE REPAIRS &amp; MAINTENANCE")</f>
        <v xml:space="preserve">          6375 - OUTSIDE REPAIRS &amp; MAINTENANCE</v>
      </c>
      <c r="C144" s="11"/>
      <c r="D144" s="7"/>
      <c r="E144" s="2"/>
      <c r="F144" s="6">
        <f t="shared" si="55"/>
        <v>0</v>
      </c>
      <c r="G144" s="2"/>
      <c r="H144" s="7"/>
      <c r="I144" s="2"/>
      <c r="J144" s="6">
        <f t="shared" si="56"/>
        <v>0</v>
      </c>
      <c r="K144" s="2"/>
      <c r="L144" s="7">
        <f t="shared" si="57"/>
        <v>0</v>
      </c>
      <c r="M144" s="2"/>
      <c r="N144" s="6">
        <f t="shared" si="58"/>
        <v>0</v>
      </c>
      <c r="O144" s="11"/>
      <c r="P144" s="7">
        <v>9.8000000000000007</v>
      </c>
      <c r="Q144" s="2"/>
      <c r="R144" s="6">
        <f t="shared" si="59"/>
        <v>1.1775764781549774E-5</v>
      </c>
      <c r="S144" s="2"/>
      <c r="T144" s="7">
        <v>1578.87</v>
      </c>
      <c r="U144" s="2"/>
      <c r="V144" s="6">
        <f t="shared" si="60"/>
        <v>1.6540556278622806E-3</v>
      </c>
      <c r="W144" s="2"/>
      <c r="X144" s="7">
        <f t="shared" si="61"/>
        <v>-1569.07</v>
      </c>
      <c r="Y144" s="2"/>
      <c r="Z144" s="6">
        <f t="shared" si="62"/>
        <v>-0.99379302919176371</v>
      </c>
    </row>
    <row r="145" spans="1:26" s="25" customFormat="1" outlineLevel="1" collapsed="1" x14ac:dyDescent="0.35">
      <c r="A145" s="26"/>
      <c r="B145" s="12" t="str">
        <f>CONCATENATE("     ","Services                                          ")</f>
        <v xml:space="preserve">     Services                                          </v>
      </c>
      <c r="C145" s="12"/>
      <c r="D145" s="1">
        <f>SUM(OSRRefD22_12x_0)</f>
        <v>1017.36</v>
      </c>
      <c r="E145" s="1"/>
      <c r="F145" s="5">
        <f t="shared" ref="F145:F147" si="63">IF(D$12=0,0,D145/D$12)</f>
        <v>9.6564763770559031E-2</v>
      </c>
      <c r="G145" s="1"/>
      <c r="H145" s="1">
        <f>SUM(OSRRefH22_12x_0)</f>
        <v>205.17</v>
      </c>
      <c r="I145" s="1"/>
      <c r="J145" s="5">
        <f t="shared" ref="J145:J147" si="64">IF(H$12=0,0,H145/H$12)</f>
        <v>8.5287926252568987E-3</v>
      </c>
      <c r="K145" s="1"/>
      <c r="L145" s="1">
        <f t="shared" ref="L145:L147" si="65">+D145-H145</f>
        <v>812.19</v>
      </c>
      <c r="M145" s="1"/>
      <c r="N145" s="5">
        <f t="shared" ref="N145:N147" si="66">IF(H145=0,0,L145/H145)</f>
        <v>3.9586196812399477</v>
      </c>
      <c r="O145" s="12"/>
      <c r="P145" s="1">
        <f>SUM(OSRRefP22_12x_0)</f>
        <v>3111.27</v>
      </c>
      <c r="Q145" s="1"/>
      <c r="R145" s="5">
        <f t="shared" ref="R145:R147" si="67">IF(P$12=0,0,P145/P$12)</f>
        <v>3.7385289481522816E-3</v>
      </c>
      <c r="S145" s="1"/>
      <c r="T145" s="1">
        <f>SUM(OSRRefT22_12x_0)</f>
        <v>2544.69</v>
      </c>
      <c r="U145" s="1"/>
      <c r="V145" s="5">
        <f t="shared" ref="V145:V147" si="68">IF(T$12=0,0,T145/T$12)</f>
        <v>2.6658678774470774E-3</v>
      </c>
      <c r="W145" s="1"/>
      <c r="X145" s="1">
        <f t="shared" ref="X145:X147" si="69">+P145-T145</f>
        <v>566.57999999999993</v>
      </c>
      <c r="Y145" s="1"/>
      <c r="Z145" s="5">
        <f t="shared" ref="Z145:Z147" si="70">IF(T145=0,0,X145/T145)</f>
        <v>0.22265187508105111</v>
      </c>
    </row>
    <row r="146" spans="1:26" s="24" customFormat="1" hidden="1" outlineLevel="2" x14ac:dyDescent="0.35">
      <c r="A146" s="27"/>
      <c r="B146" s="11" t="str">
        <f>CONCATENATE("          ", "6282", " - ", "JANITORIAL/EXTERMINATOR EXPENS")</f>
        <v xml:space="preserve">          6282 - JANITORIAL/EXTERMINATOR EXPENS</v>
      </c>
      <c r="C146" s="11"/>
      <c r="D146" s="7">
        <v>88</v>
      </c>
      <c r="E146" s="2"/>
      <c r="F146" s="6">
        <f t="shared" si="63"/>
        <v>8.3526964022658592E-3</v>
      </c>
      <c r="G146" s="2"/>
      <c r="H146" s="7">
        <v>41.5</v>
      </c>
      <c r="I146" s="2"/>
      <c r="J146" s="6">
        <f t="shared" si="64"/>
        <v>1.7251298627877433E-3</v>
      </c>
      <c r="K146" s="2"/>
      <c r="L146" s="7">
        <f t="shared" si="65"/>
        <v>46.5</v>
      </c>
      <c r="M146" s="2"/>
      <c r="N146" s="6">
        <f t="shared" si="66"/>
        <v>1.1204819277108433</v>
      </c>
      <c r="O146" s="11"/>
      <c r="P146" s="7">
        <v>549.02</v>
      </c>
      <c r="Q146" s="2"/>
      <c r="R146" s="6">
        <f t="shared" si="67"/>
        <v>6.5970718167004656E-4</v>
      </c>
      <c r="S146" s="2"/>
      <c r="T146" s="7">
        <v>449.79</v>
      </c>
      <c r="U146" s="2"/>
      <c r="V146" s="6">
        <f t="shared" si="68"/>
        <v>4.7120895378097958E-4</v>
      </c>
      <c r="W146" s="2"/>
      <c r="X146" s="7">
        <f t="shared" si="69"/>
        <v>99.229999999999961</v>
      </c>
      <c r="Y146" s="2"/>
      <c r="Z146" s="6">
        <f t="shared" si="70"/>
        <v>0.22061406434113687</v>
      </c>
    </row>
    <row r="147" spans="1:26" s="24" customFormat="1" hidden="1" outlineLevel="2" x14ac:dyDescent="0.35">
      <c r="A147" s="27"/>
      <c r="B147" s="11" t="str">
        <f>CONCATENATE("          ", "6285", " - ", "JANITORIAL SERVICES")</f>
        <v xml:space="preserve">          6285 - JANITORIAL SERVICES</v>
      </c>
      <c r="C147" s="11"/>
      <c r="D147" s="7">
        <v>929.36</v>
      </c>
      <c r="E147" s="2"/>
      <c r="F147" s="6">
        <f t="shared" si="63"/>
        <v>8.8212067368293179E-2</v>
      </c>
      <c r="G147" s="2"/>
      <c r="H147" s="7">
        <v>163.66999999999999</v>
      </c>
      <c r="I147" s="2"/>
      <c r="J147" s="6">
        <f t="shared" si="64"/>
        <v>6.8036627624691549E-3</v>
      </c>
      <c r="K147" s="2"/>
      <c r="L147" s="7">
        <f t="shared" si="65"/>
        <v>765.69</v>
      </c>
      <c r="M147" s="2"/>
      <c r="N147" s="6">
        <f t="shared" si="66"/>
        <v>4.6782550253558997</v>
      </c>
      <c r="O147" s="11"/>
      <c r="P147" s="7">
        <v>2562.25</v>
      </c>
      <c r="Q147" s="2"/>
      <c r="R147" s="6">
        <f t="shared" si="67"/>
        <v>3.0788217664822351E-3</v>
      </c>
      <c r="S147" s="2"/>
      <c r="T147" s="7">
        <v>2094.9</v>
      </c>
      <c r="U147" s="2"/>
      <c r="V147" s="6">
        <f t="shared" si="68"/>
        <v>2.194658923666098E-3</v>
      </c>
      <c r="W147" s="2"/>
      <c r="X147" s="7">
        <f t="shared" si="69"/>
        <v>467.34999999999991</v>
      </c>
      <c r="Y147" s="2"/>
      <c r="Z147" s="6">
        <f t="shared" si="70"/>
        <v>0.22308940760895501</v>
      </c>
    </row>
    <row r="148" spans="1:26" s="25" customFormat="1" outlineLevel="1" collapsed="1" x14ac:dyDescent="0.35">
      <c r="A148" s="26"/>
      <c r="B148" s="12" t="str">
        <f>CONCATENATE("     ","Subscriptions &amp; Dues                              ")</f>
        <v xml:space="preserve">     Subscriptions &amp; Dues                              </v>
      </c>
      <c r="C148" s="12"/>
      <c r="D148" s="1">
        <f>SUM(OSRRefD22_13x_0)</f>
        <v>0</v>
      </c>
      <c r="E148" s="1"/>
      <c r="F148" s="5">
        <f t="shared" ref="F148:F153" si="71">IF(D$12=0,0,D148/D$12)</f>
        <v>0</v>
      </c>
      <c r="G148" s="1"/>
      <c r="H148" s="1">
        <f>SUM(OSRRefH22_13x_0)</f>
        <v>0</v>
      </c>
      <c r="I148" s="1"/>
      <c r="J148" s="5">
        <f t="shared" ref="J148:J153" si="72">IF(H$12=0,0,H148/H$12)</f>
        <v>0</v>
      </c>
      <c r="K148" s="1"/>
      <c r="L148" s="1">
        <f t="shared" ref="L148:L153" si="73">+D148-H148</f>
        <v>0</v>
      </c>
      <c r="M148" s="1"/>
      <c r="N148" s="5">
        <f t="shared" ref="N148:N153" si="74">IF(H148=0,0,L148/H148)</f>
        <v>0</v>
      </c>
      <c r="O148" s="12"/>
      <c r="P148" s="1">
        <f>SUM(OSRRefP22_13x_0)</f>
        <v>120</v>
      </c>
      <c r="Q148" s="1"/>
      <c r="R148" s="5">
        <f t="shared" ref="R148:R153" si="75">IF(P$12=0,0,P148/P$12)</f>
        <v>1.4419303814142579E-4</v>
      </c>
      <c r="S148" s="1"/>
      <c r="T148" s="1">
        <f>SUM(OSRRefT22_13x_0)</f>
        <v>172.34</v>
      </c>
      <c r="U148" s="1"/>
      <c r="V148" s="5">
        <f t="shared" ref="V148:V153" si="76">IF(T$12=0,0,T148/T$12)</f>
        <v>1.8054681316750931E-4</v>
      </c>
      <c r="W148" s="1"/>
      <c r="X148" s="1">
        <f t="shared" ref="X148:X153" si="77">+P148-T148</f>
        <v>-52.34</v>
      </c>
      <c r="Y148" s="1"/>
      <c r="Z148" s="5">
        <f t="shared" ref="Z148:Z153" si="78">IF(T148=0,0,X148/T148)</f>
        <v>-0.30370198444934432</v>
      </c>
    </row>
    <row r="149" spans="1:26" s="24" customFormat="1" hidden="1" outlineLevel="2" x14ac:dyDescent="0.35">
      <c r="A149" s="27"/>
      <c r="B149" s="11" t="str">
        <f>CONCATENATE("          ", "6258", " - ", "MEMBERSHIP DUES")</f>
        <v xml:space="preserve">          6258 - MEMBERSHIP DUES</v>
      </c>
      <c r="C149" s="11"/>
      <c r="D149" s="7"/>
      <c r="E149" s="2"/>
      <c r="F149" s="6">
        <f t="shared" si="71"/>
        <v>0</v>
      </c>
      <c r="G149" s="2"/>
      <c r="H149" s="7"/>
      <c r="I149" s="2"/>
      <c r="J149" s="6">
        <f t="shared" si="72"/>
        <v>0</v>
      </c>
      <c r="K149" s="2"/>
      <c r="L149" s="7">
        <f t="shared" si="73"/>
        <v>0</v>
      </c>
      <c r="M149" s="2"/>
      <c r="N149" s="6">
        <f t="shared" si="74"/>
        <v>0</v>
      </c>
      <c r="O149" s="11"/>
      <c r="P149" s="7">
        <v>120</v>
      </c>
      <c r="Q149" s="2"/>
      <c r="R149" s="6">
        <f t="shared" si="75"/>
        <v>1.4419303814142579E-4</v>
      </c>
      <c r="S149" s="2"/>
      <c r="T149" s="7">
        <v>172.34</v>
      </c>
      <c r="U149" s="2"/>
      <c r="V149" s="6">
        <f t="shared" si="76"/>
        <v>1.8054681316750931E-4</v>
      </c>
      <c r="W149" s="2"/>
      <c r="X149" s="7">
        <f t="shared" si="77"/>
        <v>-52.34</v>
      </c>
      <c r="Y149" s="2"/>
      <c r="Z149" s="6">
        <f t="shared" si="78"/>
        <v>-0.30370198444934432</v>
      </c>
    </row>
    <row r="150" spans="1:26" s="25" customFormat="1" outlineLevel="1" collapsed="1" x14ac:dyDescent="0.35">
      <c r="A150" s="26"/>
      <c r="B150" s="12" t="str">
        <f>CONCATENATE("     ","Supplies                                          ")</f>
        <v xml:space="preserve">     Supplies                                          </v>
      </c>
      <c r="C150" s="12"/>
      <c r="D150" s="1">
        <f>SUM(OSRRefD22_14x_0)</f>
        <v>0</v>
      </c>
      <c r="E150" s="1"/>
      <c r="F150" s="5">
        <f t="shared" si="71"/>
        <v>0</v>
      </c>
      <c r="G150" s="1"/>
      <c r="H150" s="1">
        <f>SUM(OSRRefH22_14x_0)</f>
        <v>0</v>
      </c>
      <c r="I150" s="1"/>
      <c r="J150" s="5">
        <f t="shared" si="72"/>
        <v>0</v>
      </c>
      <c r="K150" s="1"/>
      <c r="L150" s="1">
        <f t="shared" si="73"/>
        <v>0</v>
      </c>
      <c r="M150" s="1"/>
      <c r="N150" s="5">
        <f t="shared" si="74"/>
        <v>0</v>
      </c>
      <c r="O150" s="12"/>
      <c r="P150" s="1">
        <f>SUM(OSRRefP22_14x_0)</f>
        <v>1967.59</v>
      </c>
      <c r="Q150" s="1"/>
      <c r="R150" s="5">
        <f t="shared" si="75"/>
        <v>2.3642731659723995E-3</v>
      </c>
      <c r="S150" s="1"/>
      <c r="T150" s="1">
        <f>SUM(OSRRefT22_14x_0)</f>
        <v>1678.01</v>
      </c>
      <c r="U150" s="1"/>
      <c r="V150" s="5">
        <f t="shared" si="76"/>
        <v>1.7579166645190455E-3</v>
      </c>
      <c r="W150" s="1"/>
      <c r="X150" s="1">
        <f t="shared" si="77"/>
        <v>289.57999999999993</v>
      </c>
      <c r="Y150" s="1"/>
      <c r="Z150" s="5">
        <f t="shared" si="78"/>
        <v>0.17257346499722881</v>
      </c>
    </row>
    <row r="151" spans="1:26" s="24" customFormat="1" hidden="1" outlineLevel="2" x14ac:dyDescent="0.35">
      <c r="A151" s="27"/>
      <c r="B151" s="11" t="str">
        <f>CONCATENATE("          ", "6241", " - ", "OFFICE EXPENSE")</f>
        <v xml:space="preserve">          6241 - OFFICE EXPENSE</v>
      </c>
      <c r="C151" s="11"/>
      <c r="D151" s="7"/>
      <c r="E151" s="2"/>
      <c r="F151" s="6">
        <f t="shared" si="71"/>
        <v>0</v>
      </c>
      <c r="G151" s="2"/>
      <c r="H151" s="7"/>
      <c r="I151" s="2"/>
      <c r="J151" s="6">
        <f t="shared" si="72"/>
        <v>0</v>
      </c>
      <c r="K151" s="2"/>
      <c r="L151" s="7">
        <f t="shared" si="73"/>
        <v>0</v>
      </c>
      <c r="M151" s="2"/>
      <c r="N151" s="6">
        <f t="shared" si="74"/>
        <v>0</v>
      </c>
      <c r="O151" s="11"/>
      <c r="P151" s="7">
        <v>1673.46</v>
      </c>
      <c r="Q151" s="2"/>
      <c r="R151" s="6">
        <f t="shared" si="75"/>
        <v>2.0108440134012531E-3</v>
      </c>
      <c r="S151" s="2"/>
      <c r="T151" s="7">
        <v>1502.16</v>
      </c>
      <c r="U151" s="2"/>
      <c r="V151" s="6">
        <f t="shared" si="76"/>
        <v>1.5736927055106523E-3</v>
      </c>
      <c r="W151" s="2"/>
      <c r="X151" s="7">
        <f t="shared" si="77"/>
        <v>171.29999999999995</v>
      </c>
      <c r="Y151" s="2"/>
      <c r="Z151" s="6">
        <f t="shared" si="78"/>
        <v>0.11403578846461092</v>
      </c>
    </row>
    <row r="152" spans="1:26" s="24" customFormat="1" hidden="1" outlineLevel="2" x14ac:dyDescent="0.35">
      <c r="A152" s="27"/>
      <c r="B152" s="11" t="str">
        <f>CONCATENATE("          ", "6245", " - ", "PRINTING")</f>
        <v xml:space="preserve">          6245 - PRINTING</v>
      </c>
      <c r="C152" s="11"/>
      <c r="D152" s="7"/>
      <c r="E152" s="2"/>
      <c r="F152" s="6">
        <f t="shared" si="71"/>
        <v>0</v>
      </c>
      <c r="G152" s="2"/>
      <c r="H152" s="7"/>
      <c r="I152" s="2"/>
      <c r="J152" s="6">
        <f t="shared" si="72"/>
        <v>0</v>
      </c>
      <c r="K152" s="2"/>
      <c r="L152" s="7">
        <f t="shared" si="73"/>
        <v>0</v>
      </c>
      <c r="M152" s="2"/>
      <c r="N152" s="6">
        <f t="shared" si="74"/>
        <v>0</v>
      </c>
      <c r="O152" s="11"/>
      <c r="P152" s="7">
        <v>22.05</v>
      </c>
      <c r="Q152" s="2"/>
      <c r="R152" s="6">
        <f t="shared" si="75"/>
        <v>2.6495470758486988E-5</v>
      </c>
      <c r="S152" s="2"/>
      <c r="T152" s="7">
        <v>3.53</v>
      </c>
      <c r="U152" s="2"/>
      <c r="V152" s="6">
        <f t="shared" si="76"/>
        <v>3.6980982388378083E-6</v>
      </c>
      <c r="W152" s="2"/>
      <c r="X152" s="7">
        <f t="shared" si="77"/>
        <v>18.52</v>
      </c>
      <c r="Y152" s="2"/>
      <c r="Z152" s="6">
        <f t="shared" si="78"/>
        <v>5.2464589235127477</v>
      </c>
    </row>
    <row r="153" spans="1:26" s="24" customFormat="1" hidden="1" outlineLevel="2" x14ac:dyDescent="0.35">
      <c r="A153" s="27"/>
      <c r="B153" s="11" t="str">
        <f>CONCATENATE("          ", "6247", " - ", "STORE SUPPLIES")</f>
        <v xml:space="preserve">          6247 - STORE SUPPLIES</v>
      </c>
      <c r="C153" s="11"/>
      <c r="D153" s="7"/>
      <c r="E153" s="2"/>
      <c r="F153" s="6">
        <f t="shared" si="71"/>
        <v>0</v>
      </c>
      <c r="G153" s="2"/>
      <c r="H153" s="7"/>
      <c r="I153" s="2"/>
      <c r="J153" s="6">
        <f t="shared" si="72"/>
        <v>0</v>
      </c>
      <c r="K153" s="2"/>
      <c r="L153" s="7">
        <f t="shared" si="73"/>
        <v>0</v>
      </c>
      <c r="M153" s="2"/>
      <c r="N153" s="6">
        <f t="shared" si="74"/>
        <v>0</v>
      </c>
      <c r="O153" s="11"/>
      <c r="P153" s="7">
        <v>272.08</v>
      </c>
      <c r="Q153" s="2"/>
      <c r="R153" s="6">
        <f t="shared" si="75"/>
        <v>3.269336818126594E-4</v>
      </c>
      <c r="S153" s="2"/>
      <c r="T153" s="7">
        <v>172.32</v>
      </c>
      <c r="U153" s="2"/>
      <c r="V153" s="6">
        <f t="shared" si="76"/>
        <v>1.8052586076955555E-4</v>
      </c>
      <c r="W153" s="2"/>
      <c r="X153" s="7">
        <f t="shared" si="77"/>
        <v>99.759999999999991</v>
      </c>
      <c r="Y153" s="2"/>
      <c r="Z153" s="6">
        <f t="shared" si="78"/>
        <v>0.57892293407613737</v>
      </c>
    </row>
    <row r="154" spans="1:26" s="25" customFormat="1" outlineLevel="1" collapsed="1" x14ac:dyDescent="0.35">
      <c r="A154" s="26"/>
      <c r="B154" s="12" t="str">
        <f>CONCATENATE("     ","Telephone/Data Lines                              ")</f>
        <v xml:space="preserve">     Telephone/Data Lines                              </v>
      </c>
      <c r="C154" s="12"/>
      <c r="D154" s="1">
        <f>SUM(OSRRefD22_15x_0)</f>
        <v>81.75</v>
      </c>
      <c r="E154" s="1"/>
      <c r="F154" s="5">
        <f t="shared" ref="F154:F159" si="79">IF(D$12=0,0,D154/D$12)</f>
        <v>7.759465123695841E-3</v>
      </c>
      <c r="G154" s="1"/>
      <c r="H154" s="1">
        <f>SUM(OSRRefH22_15x_0)</f>
        <v>103.2</v>
      </c>
      <c r="I154" s="1"/>
      <c r="J154" s="5">
        <f t="shared" ref="J154:J159" si="80">IF(H$12=0,0,H154/H$12)</f>
        <v>4.2899614901131351E-3</v>
      </c>
      <c r="K154" s="1"/>
      <c r="L154" s="1">
        <f t="shared" ref="L154:L159" si="81">+D154-H154</f>
        <v>-21.450000000000003</v>
      </c>
      <c r="M154" s="1"/>
      <c r="N154" s="5">
        <f t="shared" ref="N154:N159" si="82">IF(H154=0,0,L154/H154)</f>
        <v>-0.20784883720930233</v>
      </c>
      <c r="O154" s="12"/>
      <c r="P154" s="1">
        <f>SUM(OSRRefP22_15x_0)</f>
        <v>1175.1199999999999</v>
      </c>
      <c r="Q154" s="1"/>
      <c r="R154" s="5">
        <f t="shared" ref="R154:R159" si="83">IF(P$12=0,0,P154/P$12)</f>
        <v>1.4120343581729355E-3</v>
      </c>
      <c r="S154" s="1"/>
      <c r="T154" s="1">
        <f>SUM(OSRRefT22_15x_0)</f>
        <v>1523.68</v>
      </c>
      <c r="U154" s="1"/>
      <c r="V154" s="5">
        <f t="shared" ref="V154:V159" si="84">IF(T$12=0,0,T154/T$12)</f>
        <v>1.5962374857088929E-3</v>
      </c>
      <c r="W154" s="1"/>
      <c r="X154" s="1">
        <f t="shared" ref="X154:X159" si="85">+P154-T154</f>
        <v>-348.56000000000017</v>
      </c>
      <c r="Y154" s="1"/>
      <c r="Z154" s="5">
        <f t="shared" ref="Z154:Z159" si="86">IF(T154=0,0,X154/T154)</f>
        <v>-0.22876194476530515</v>
      </c>
    </row>
    <row r="155" spans="1:26" s="24" customFormat="1" hidden="1" outlineLevel="2" x14ac:dyDescent="0.35">
      <c r="A155" s="27"/>
      <c r="B155" s="11" t="str">
        <f>CONCATENATE("          ", "6309", " - ", "TELEPHONE")</f>
        <v xml:space="preserve">          6309 - TELEPHONE</v>
      </c>
      <c r="C155" s="11"/>
      <c r="D155" s="7">
        <v>81.75</v>
      </c>
      <c r="E155" s="2"/>
      <c r="F155" s="6">
        <f t="shared" si="79"/>
        <v>7.759465123695841E-3</v>
      </c>
      <c r="G155" s="2"/>
      <c r="H155" s="7">
        <v>103.2</v>
      </c>
      <c r="I155" s="2"/>
      <c r="J155" s="6">
        <f t="shared" si="80"/>
        <v>4.2899614901131351E-3</v>
      </c>
      <c r="K155" s="2"/>
      <c r="L155" s="7">
        <f t="shared" si="81"/>
        <v>-21.450000000000003</v>
      </c>
      <c r="M155" s="2"/>
      <c r="N155" s="6">
        <f t="shared" si="82"/>
        <v>-0.20784883720930233</v>
      </c>
      <c r="O155" s="11"/>
      <c r="P155" s="7">
        <v>1175.1199999999999</v>
      </c>
      <c r="Q155" s="2"/>
      <c r="R155" s="6">
        <f t="shared" si="83"/>
        <v>1.4120343581729355E-3</v>
      </c>
      <c r="S155" s="2"/>
      <c r="T155" s="7">
        <v>1523.68</v>
      </c>
      <c r="U155" s="2"/>
      <c r="V155" s="6">
        <f t="shared" si="84"/>
        <v>1.5962374857088929E-3</v>
      </c>
      <c r="W155" s="2"/>
      <c r="X155" s="7">
        <f t="shared" si="85"/>
        <v>-348.56000000000017</v>
      </c>
      <c r="Y155" s="2"/>
      <c r="Z155" s="6">
        <f t="shared" si="86"/>
        <v>-0.22876194476530515</v>
      </c>
    </row>
    <row r="156" spans="1:26" s="25" customFormat="1" outlineLevel="1" collapsed="1" x14ac:dyDescent="0.35">
      <c r="A156" s="26"/>
      <c r="B156" s="12" t="str">
        <f>CONCATENATE("     ","Training                                          ")</f>
        <v xml:space="preserve">     Training                                          </v>
      </c>
      <c r="C156" s="12"/>
      <c r="D156" s="1">
        <f>SUM(OSRRefD22_16x_0)</f>
        <v>0</v>
      </c>
      <c r="E156" s="1"/>
      <c r="F156" s="5">
        <f t="shared" si="79"/>
        <v>0</v>
      </c>
      <c r="G156" s="1"/>
      <c r="H156" s="1">
        <f>SUM(OSRRefH22_16x_0)</f>
        <v>0</v>
      </c>
      <c r="I156" s="1"/>
      <c r="J156" s="5">
        <f t="shared" si="80"/>
        <v>0</v>
      </c>
      <c r="K156" s="1"/>
      <c r="L156" s="1">
        <f t="shared" si="81"/>
        <v>0</v>
      </c>
      <c r="M156" s="1"/>
      <c r="N156" s="5">
        <f t="shared" si="82"/>
        <v>0</v>
      </c>
      <c r="O156" s="12"/>
      <c r="P156" s="1">
        <f>SUM(OSRRefP22_16x_0)</f>
        <v>314.8</v>
      </c>
      <c r="Q156" s="1"/>
      <c r="R156" s="5">
        <f t="shared" si="83"/>
        <v>3.78266403391007E-4</v>
      </c>
      <c r="S156" s="1"/>
      <c r="T156" s="1">
        <f>SUM(OSRRefT22_16x_0)</f>
        <v>0</v>
      </c>
      <c r="U156" s="1"/>
      <c r="V156" s="5">
        <f t="shared" si="84"/>
        <v>0</v>
      </c>
      <c r="W156" s="1"/>
      <c r="X156" s="1">
        <f t="shared" si="85"/>
        <v>314.8</v>
      </c>
      <c r="Y156" s="1"/>
      <c r="Z156" s="5">
        <f t="shared" si="86"/>
        <v>0</v>
      </c>
    </row>
    <row r="157" spans="1:26" s="24" customFormat="1" hidden="1" outlineLevel="2" x14ac:dyDescent="0.35">
      <c r="A157" s="27"/>
      <c r="B157" s="11" t="str">
        <f>CONCATENATE("          ", "6376", " - ", "TRAINING")</f>
        <v xml:space="preserve">          6376 - TRAINING</v>
      </c>
      <c r="C157" s="11"/>
      <c r="D157" s="7"/>
      <c r="E157" s="2"/>
      <c r="F157" s="6">
        <f t="shared" si="79"/>
        <v>0</v>
      </c>
      <c r="G157" s="2"/>
      <c r="H157" s="7"/>
      <c r="I157" s="2"/>
      <c r="J157" s="6">
        <f t="shared" si="80"/>
        <v>0</v>
      </c>
      <c r="K157" s="2"/>
      <c r="L157" s="7">
        <f t="shared" si="81"/>
        <v>0</v>
      </c>
      <c r="M157" s="2"/>
      <c r="N157" s="6">
        <f t="shared" si="82"/>
        <v>0</v>
      </c>
      <c r="O157" s="11"/>
      <c r="P157" s="7">
        <v>314.8</v>
      </c>
      <c r="Q157" s="2"/>
      <c r="R157" s="6">
        <f t="shared" si="83"/>
        <v>3.78266403391007E-4</v>
      </c>
      <c r="S157" s="2"/>
      <c r="T157" s="7"/>
      <c r="U157" s="2"/>
      <c r="V157" s="6">
        <f t="shared" si="84"/>
        <v>0</v>
      </c>
      <c r="W157" s="2"/>
      <c r="X157" s="7">
        <f t="shared" si="85"/>
        <v>314.8</v>
      </c>
      <c r="Y157" s="2"/>
      <c r="Z157" s="6">
        <f t="shared" si="86"/>
        <v>0</v>
      </c>
    </row>
    <row r="158" spans="1:26" s="25" customFormat="1" outlineLevel="1" collapsed="1" x14ac:dyDescent="0.35">
      <c r="A158" s="26"/>
      <c r="B158" s="12" t="str">
        <f>CONCATENATE("     ","Travel                                            ")</f>
        <v xml:space="preserve">     Travel                                            </v>
      </c>
      <c r="C158" s="12"/>
      <c r="D158" s="1">
        <f>SUM(OSRRefD22_17x_0)</f>
        <v>0</v>
      </c>
      <c r="E158" s="1"/>
      <c r="F158" s="5">
        <f t="shared" si="79"/>
        <v>0</v>
      </c>
      <c r="G158" s="1"/>
      <c r="H158" s="1">
        <f>SUM(OSRRefH22_17x_0)</f>
        <v>228.96</v>
      </c>
      <c r="I158" s="1"/>
      <c r="J158" s="5">
        <f t="shared" si="80"/>
        <v>9.5177285152742586E-3</v>
      </c>
      <c r="K158" s="1"/>
      <c r="L158" s="1">
        <f t="shared" si="81"/>
        <v>-228.96</v>
      </c>
      <c r="M158" s="1"/>
      <c r="N158" s="5">
        <f t="shared" si="82"/>
        <v>-1</v>
      </c>
      <c r="O158" s="12"/>
      <c r="P158" s="1">
        <f>SUM(OSRRefP22_17x_0)</f>
        <v>-323.01</v>
      </c>
      <c r="Q158" s="1"/>
      <c r="R158" s="5">
        <f t="shared" si="83"/>
        <v>-3.8813161041718284E-4</v>
      </c>
      <c r="S158" s="1"/>
      <c r="T158" s="1">
        <f>SUM(OSRRefT22_17x_0)</f>
        <v>1153.81</v>
      </c>
      <c r="U158" s="1"/>
      <c r="V158" s="5">
        <f t="shared" si="84"/>
        <v>1.2087543141511194E-3</v>
      </c>
      <c r="W158" s="1"/>
      <c r="X158" s="1">
        <f t="shared" si="85"/>
        <v>-1476.82</v>
      </c>
      <c r="Y158" s="1"/>
      <c r="Z158" s="5">
        <f t="shared" si="86"/>
        <v>-1.2799507717908494</v>
      </c>
    </row>
    <row r="159" spans="1:26" s="24" customFormat="1" hidden="1" outlineLevel="2" x14ac:dyDescent="0.35">
      <c r="A159" s="27"/>
      <c r="B159" s="11" t="str">
        <f>CONCATENATE("          ", "6292", " - ", "TRAVEL/CONFERENCE")</f>
        <v xml:space="preserve">          6292 - TRAVEL/CONFERENCE</v>
      </c>
      <c r="C159" s="11"/>
      <c r="D159" s="7"/>
      <c r="E159" s="2"/>
      <c r="F159" s="6">
        <f t="shared" si="79"/>
        <v>0</v>
      </c>
      <c r="G159" s="2"/>
      <c r="H159" s="7">
        <v>228.96</v>
      </c>
      <c r="I159" s="2"/>
      <c r="J159" s="6">
        <f t="shared" si="80"/>
        <v>9.5177285152742586E-3</v>
      </c>
      <c r="K159" s="2"/>
      <c r="L159" s="7">
        <f t="shared" si="81"/>
        <v>-228.96</v>
      </c>
      <c r="M159" s="2"/>
      <c r="N159" s="6">
        <f t="shared" si="82"/>
        <v>-1</v>
      </c>
      <c r="O159" s="11"/>
      <c r="P159" s="7">
        <v>-323.01</v>
      </c>
      <c r="Q159" s="2"/>
      <c r="R159" s="6">
        <f t="shared" si="83"/>
        <v>-3.8813161041718284E-4</v>
      </c>
      <c r="S159" s="2"/>
      <c r="T159" s="7">
        <v>1153.81</v>
      </c>
      <c r="U159" s="2"/>
      <c r="V159" s="6">
        <f t="shared" si="84"/>
        <v>1.2087543141511194E-3</v>
      </c>
      <c r="W159" s="2"/>
      <c r="X159" s="7">
        <f t="shared" si="85"/>
        <v>-1476.82</v>
      </c>
      <c r="Y159" s="2"/>
      <c r="Z159" s="6">
        <f t="shared" si="86"/>
        <v>-1.2799507717908494</v>
      </c>
    </row>
    <row r="160" spans="1:26" s="56" customFormat="1" x14ac:dyDescent="0.35">
      <c r="A160" s="37"/>
      <c r="B160" s="37"/>
      <c r="C160" s="37"/>
      <c r="D160" s="1"/>
      <c r="E160" s="1"/>
      <c r="F160" s="5"/>
      <c r="G160" s="1"/>
      <c r="H160" s="1"/>
      <c r="I160" s="1"/>
      <c r="J160" s="5"/>
      <c r="K160" s="1"/>
      <c r="L160" s="1"/>
      <c r="M160" s="1"/>
      <c r="N160" s="5"/>
      <c r="O160" s="37"/>
      <c r="P160" s="1"/>
      <c r="Q160" s="1"/>
      <c r="R160" s="5"/>
      <c r="S160" s="1"/>
      <c r="T160" s="1"/>
      <c r="U160" s="1"/>
      <c r="V160" s="5"/>
      <c r="W160" s="1"/>
      <c r="X160" s="1"/>
      <c r="Y160" s="1"/>
      <c r="Z160" s="5"/>
    </row>
    <row r="161" spans="1:26" s="23" customFormat="1" collapsed="1" x14ac:dyDescent="0.35">
      <c r="A161" s="10"/>
      <c r="B161" s="29" t="s">
        <v>0</v>
      </c>
      <c r="C161" s="10"/>
      <c r="D161" s="4">
        <f>SUM(OSRRefD25x_0)</f>
        <v>0</v>
      </c>
      <c r="E161" s="4"/>
      <c r="F161" s="13">
        <f t="shared" ref="F161:F162" si="87">IF(D$12=0,0,D161/D$12)</f>
        <v>0</v>
      </c>
      <c r="G161" s="4"/>
      <c r="H161" s="4">
        <f>SUM(OSRRefH25x_0)</f>
        <v>0</v>
      </c>
      <c r="I161" s="4"/>
      <c r="J161" s="13">
        <f t="shared" ref="J161:J162" si="88">IF(H$12=0,0,H161/H$12)</f>
        <v>0</v>
      </c>
      <c r="K161" s="4"/>
      <c r="L161" s="4">
        <f t="shared" ref="L161:L162" si="89">+D161-H161</f>
        <v>0</v>
      </c>
      <c r="M161" s="4"/>
      <c r="N161" s="13">
        <f t="shared" ref="N161:N162" si="90">IF(H161=0,0,L161/H161)</f>
        <v>0</v>
      </c>
      <c r="O161" s="10"/>
      <c r="P161" s="4">
        <f>SUM(OSRRefP25x_0)</f>
        <v>68.760000000000005</v>
      </c>
      <c r="Q161" s="4"/>
      <c r="R161" s="13">
        <f t="shared" ref="R161:R162" si="91">IF(P$12=0,0,P161/P$12)</f>
        <v>8.2622610855036987E-5</v>
      </c>
      <c r="S161" s="4"/>
      <c r="T161" s="4">
        <f>SUM(OSRRefT25x_0)</f>
        <v>0</v>
      </c>
      <c r="U161" s="4"/>
      <c r="V161" s="13">
        <f t="shared" ref="V161:V162" si="92">IF(T$12=0,0,T161/T$12)</f>
        <v>0</v>
      </c>
      <c r="W161" s="4"/>
      <c r="X161" s="4">
        <f t="shared" ref="X161:X162" si="93">+P161-T161</f>
        <v>68.760000000000005</v>
      </c>
      <c r="Y161" s="4"/>
      <c r="Z161" s="13">
        <f t="shared" ref="Z161:Z162" si="94">IF(T161=0,0,X161/T161)</f>
        <v>0</v>
      </c>
    </row>
    <row r="162" spans="1:26" s="24" customFormat="1" hidden="1" outlineLevel="1" x14ac:dyDescent="0.35">
      <c r="A162" s="44"/>
      <c r="B162" s="11" t="str">
        <f>CONCATENATE("          ", "9150", " - ", "MISC. INCOME")</f>
        <v xml:space="preserve">          9150 - MISC. INCOME</v>
      </c>
      <c r="C162" s="11"/>
      <c r="D162" s="2">
        <f>0</f>
        <v>0</v>
      </c>
      <c r="E162" s="2"/>
      <c r="F162" s="19">
        <f t="shared" si="87"/>
        <v>0</v>
      </c>
      <c r="G162" s="2"/>
      <c r="H162" s="2">
        <f>0</f>
        <v>0</v>
      </c>
      <c r="I162" s="2"/>
      <c r="J162" s="19">
        <f t="shared" si="88"/>
        <v>0</v>
      </c>
      <c r="K162" s="2"/>
      <c r="L162" s="2">
        <f t="shared" si="89"/>
        <v>0</v>
      </c>
      <c r="M162" s="2"/>
      <c r="N162" s="19">
        <f t="shared" si="90"/>
        <v>0</v>
      </c>
      <c r="O162" s="11"/>
      <c r="P162" s="2">
        <f>--68.76</f>
        <v>68.760000000000005</v>
      </c>
      <c r="Q162" s="2"/>
      <c r="R162" s="19">
        <f t="shared" si="91"/>
        <v>8.2622610855036987E-5</v>
      </c>
      <c r="S162" s="2"/>
      <c r="T162" s="2">
        <f>0</f>
        <v>0</v>
      </c>
      <c r="U162" s="2"/>
      <c r="V162" s="19">
        <f t="shared" si="92"/>
        <v>0</v>
      </c>
      <c r="W162" s="2"/>
      <c r="X162" s="2">
        <f t="shared" si="93"/>
        <v>68.760000000000005</v>
      </c>
      <c r="Y162" s="2"/>
      <c r="Z162" s="19">
        <f t="shared" si="94"/>
        <v>0</v>
      </c>
    </row>
    <row r="163" spans="1:26" x14ac:dyDescent="0.35">
      <c r="A163" s="9"/>
      <c r="B163" s="10"/>
      <c r="C163" s="10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0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35">
      <c r="A164" s="10"/>
      <c r="B164" s="28" t="s">
        <v>3</v>
      </c>
      <c r="C164" s="28"/>
      <c r="D164" s="22">
        <f>+D83-D85+D161</f>
        <v>-84715.23000000001</v>
      </c>
      <c r="E164" s="14"/>
      <c r="F164" s="21">
        <f>IF(D$12=0,0,D164/D$12)</f>
        <v>-8.040915873160511</v>
      </c>
      <c r="G164" s="14"/>
      <c r="H164" s="22">
        <f>+H83-H85+H161</f>
        <v>-94.969999999999345</v>
      </c>
      <c r="I164" s="14"/>
      <c r="J164" s="21">
        <f>IF(H$12=0,0,H164/H$12)</f>
        <v>-3.9478453751554425E-3</v>
      </c>
      <c r="K164" s="15"/>
      <c r="L164" s="22">
        <f>+D164-H164</f>
        <v>-84620.260000000009</v>
      </c>
      <c r="M164" s="15"/>
      <c r="N164" s="21">
        <f>IF(H164=0,0,L164/H164)</f>
        <v>891.02095398547533</v>
      </c>
      <c r="O164" s="29"/>
      <c r="P164" s="22">
        <f>+P83-P85+P161</f>
        <v>106133.46999999984</v>
      </c>
      <c r="Q164" s="14"/>
      <c r="R164" s="21">
        <f>IF(P$12=0,0,P164/P$12)</f>
        <v>0.12753089573159873</v>
      </c>
      <c r="S164" s="14"/>
      <c r="T164" s="22">
        <f>+T83-T85+T161</f>
        <v>212752.45000000007</v>
      </c>
      <c r="U164" s="14"/>
      <c r="V164" s="21">
        <f>IF(T$12=0,0,T164/T$12)</f>
        <v>0.22288369990182128</v>
      </c>
      <c r="W164" s="15"/>
      <c r="X164" s="22">
        <f>+P164-T164</f>
        <v>-106618.98000000023</v>
      </c>
      <c r="Y164" s="15"/>
      <c r="Z164" s="21">
        <f>IF(T164=0,0,X164/T164)</f>
        <v>-0.50114102093771518</v>
      </c>
    </row>
    <row r="165" spans="1:26" x14ac:dyDescent="0.35">
      <c r="A165" s="9"/>
      <c r="B165" s="10"/>
      <c r="C165" s="9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x14ac:dyDescent="0.35">
      <c r="A166" s="51"/>
      <c r="B166" s="10" t="s">
        <v>13</v>
      </c>
      <c r="C166" s="10"/>
      <c r="D166" s="4">
        <v>28725.929999999997</v>
      </c>
      <c r="E166" s="4"/>
      <c r="F166" s="13">
        <f>IF(D$12=0,0,D166/D$12)</f>
        <v>2.7265792291220556</v>
      </c>
      <c r="G166" s="4"/>
      <c r="H166" s="4">
        <v>-28747.200000000001</v>
      </c>
      <c r="I166" s="4"/>
      <c r="J166" s="13">
        <f>IF(H$12=0,0,H166/H$12)</f>
        <v>-1.1950036913622124</v>
      </c>
      <c r="K166" s="4"/>
      <c r="L166" s="4">
        <f>+D166-H166</f>
        <v>57473.13</v>
      </c>
      <c r="M166" s="4"/>
      <c r="N166" s="13">
        <f>IF(H166=0,0,L166/H166)</f>
        <v>-1.9992601018533978</v>
      </c>
      <c r="O166" s="10"/>
      <c r="P166" s="4">
        <v>126030.01</v>
      </c>
      <c r="Q166" s="4"/>
      <c r="R166" s="13">
        <f>IF(P$12=0,0,P166/P$12)</f>
        <v>0.15143875032411894</v>
      </c>
      <c r="S166" s="4"/>
      <c r="T166" s="4">
        <v>68037.17</v>
      </c>
      <c r="U166" s="4"/>
      <c r="V166" s="13">
        <f>IF(T$12=0,0,T166/T$12)</f>
        <v>7.1277093074365028E-2</v>
      </c>
      <c r="W166" s="4"/>
      <c r="X166" s="4">
        <f>+P166-T166</f>
        <v>57992.84</v>
      </c>
      <c r="Y166" s="4"/>
      <c r="Z166" s="13">
        <f>IF(T166=0,0,X166/T166)</f>
        <v>0.85236996188994929</v>
      </c>
    </row>
    <row r="167" spans="1:26" x14ac:dyDescent="0.35">
      <c r="A167" s="9"/>
      <c r="B167" s="10"/>
      <c r="C167" s="10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O167" s="10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s="23" customFormat="1" ht="15" thickBot="1" x14ac:dyDescent="0.4">
      <c r="A168" s="10"/>
      <c r="B168" s="28" t="s">
        <v>4</v>
      </c>
      <c r="C168" s="28"/>
      <c r="D168" s="34">
        <f>+D164-D166</f>
        <v>-113441.16</v>
      </c>
      <c r="E168" s="14"/>
      <c r="F168" s="32">
        <f>IF(D$12=0,0,D168/D$12)</f>
        <v>-10.767495102282567</v>
      </c>
      <c r="G168" s="14"/>
      <c r="H168" s="34">
        <f>+H164-H166</f>
        <v>28652.230000000003</v>
      </c>
      <c r="I168" s="14"/>
      <c r="J168" s="32">
        <f>IF(H$12=0,0,H168/H$12)</f>
        <v>1.191055845987057</v>
      </c>
      <c r="K168" s="15"/>
      <c r="L168" s="34">
        <f>D168-H168</f>
        <v>-142093.39000000001</v>
      </c>
      <c r="M168" s="15"/>
      <c r="N168" s="32">
        <f>IF(H168=0,0,L168/H168)</f>
        <v>-4.9592436609646091</v>
      </c>
      <c r="O168" s="29"/>
      <c r="P168" s="34">
        <f>+P164-P166</f>
        <v>-19896.540000000154</v>
      </c>
      <c r="Q168" s="14"/>
      <c r="R168" s="32">
        <f>IF(P$12=0,0,P168/P$12)</f>
        <v>-2.3907854592520216E-2</v>
      </c>
      <c r="S168" s="14"/>
      <c r="T168" s="34">
        <f>+T164-T166</f>
        <v>144715.28000000009</v>
      </c>
      <c r="U168" s="14"/>
      <c r="V168" s="32">
        <f>IF(T$12=0,0,T168/T$12)</f>
        <v>0.15160660682745628</v>
      </c>
      <c r="W168" s="15"/>
      <c r="X168" s="34">
        <f>P168-T168</f>
        <v>-164611.82000000024</v>
      </c>
      <c r="Y168" s="15"/>
      <c r="Z168" s="32">
        <f>IF(T168=0,0,X168/T168)</f>
        <v>-1.1374874857720632</v>
      </c>
    </row>
    <row r="169" spans="1:26" ht="15" thickTop="1" x14ac:dyDescent="0.35">
      <c r="A169" s="9"/>
      <c r="B169" s="9"/>
      <c r="C169" s="9"/>
      <c r="D169" s="3"/>
      <c r="E169" s="3"/>
      <c r="F169" s="8"/>
      <c r="G169" s="3"/>
      <c r="H169" s="3"/>
      <c r="I169" s="3"/>
      <c r="J169" s="8"/>
      <c r="K169" s="3"/>
      <c r="L169" s="3"/>
      <c r="M169" s="3"/>
      <c r="N169" s="8"/>
      <c r="P169" s="3"/>
      <c r="Q169" s="3"/>
      <c r="R169" s="8"/>
      <c r="S169" s="3"/>
      <c r="T169" s="3"/>
      <c r="U169" s="3"/>
      <c r="V169" s="8"/>
      <c r="W169" s="3"/>
      <c r="X169" s="3"/>
      <c r="Y169" s="3"/>
      <c r="Z169" s="8"/>
    </row>
    <row r="170" spans="1:26" x14ac:dyDescent="0.35">
      <c r="A170" s="9"/>
      <c r="B170" s="9"/>
      <c r="C170" s="9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3" customFormat="1" ht="15" thickBot="1" x14ac:dyDescent="0.4">
      <c r="A171" s="10"/>
      <c r="B171" s="28" t="s">
        <v>5</v>
      </c>
      <c r="C171" s="28"/>
      <c r="D171" s="35">
        <f>SUM(D168:D170)</f>
        <v>-113441.16</v>
      </c>
      <c r="E171" s="14"/>
      <c r="F171" s="33">
        <f>IF(D$12=0,0,D171/D$12)</f>
        <v>-10.767495102282567</v>
      </c>
      <c r="G171" s="14"/>
      <c r="H171" s="35">
        <f>SUM(H168:H170)</f>
        <v>28652.230000000003</v>
      </c>
      <c r="I171" s="14"/>
      <c r="J171" s="33">
        <f>IF(H$12=0,0,H171/H$12)</f>
        <v>1.191055845987057</v>
      </c>
      <c r="K171" s="15"/>
      <c r="L171" s="35">
        <f>+D171-H171</f>
        <v>-142093.39000000001</v>
      </c>
      <c r="M171" s="15"/>
      <c r="N171" s="33">
        <f>IF(H171=0,0,L171/H171)</f>
        <v>-4.9592436609646091</v>
      </c>
      <c r="O171" s="29"/>
      <c r="P171" s="35">
        <f>SUM(P168:P170)</f>
        <v>-19896.540000000154</v>
      </c>
      <c r="Q171" s="14"/>
      <c r="R171" s="33">
        <f>IF(P$12=0,0,P171/P$12)</f>
        <v>-2.3907854592520216E-2</v>
      </c>
      <c r="S171" s="14"/>
      <c r="T171" s="35">
        <f>SUM(T168:T170)</f>
        <v>144715.28000000009</v>
      </c>
      <c r="U171" s="14"/>
      <c r="V171" s="33">
        <f>IF(T$12=0,0,T171/T$12)</f>
        <v>0.15160660682745628</v>
      </c>
      <c r="W171" s="15"/>
      <c r="X171" s="35">
        <f>+P171-T171</f>
        <v>-164611.82000000024</v>
      </c>
      <c r="Y171" s="15"/>
      <c r="Z171" s="33">
        <f>IF(T171=0,0,X171/T171)</f>
        <v>-1.1374874857720632</v>
      </c>
    </row>
    <row r="172" spans="1:26" ht="15" thickTop="1" x14ac:dyDescent="0.35">
      <c r="A172" s="9"/>
      <c r="C172" s="9"/>
      <c r="D172" s="17"/>
      <c r="E172" s="17"/>
      <c r="G172" s="17"/>
      <c r="H172" s="17"/>
      <c r="I172" s="17"/>
      <c r="J172" s="42"/>
      <c r="K172" s="17"/>
      <c r="L172" s="17"/>
      <c r="M172" s="17"/>
      <c r="P172" s="17"/>
      <c r="Q172" s="17"/>
      <c r="R172" s="42"/>
      <c r="S172" s="17"/>
      <c r="T172" s="17"/>
      <c r="U172" s="17"/>
      <c r="V172" s="42"/>
      <c r="W172" s="17"/>
      <c r="X172" s="17"/>
    </row>
    <row r="173" spans="1:26" x14ac:dyDescent="0.35">
      <c r="A173" s="9"/>
      <c r="B173" s="52">
        <v>44043.522341238429</v>
      </c>
      <c r="D173" s="17"/>
      <c r="E173" s="17"/>
      <c r="G173" s="17"/>
      <c r="H173" s="17"/>
      <c r="I173" s="17"/>
      <c r="J173" s="42"/>
      <c r="K173" s="17"/>
      <c r="L173" s="17"/>
      <c r="M173" s="17"/>
      <c r="P173" s="17"/>
      <c r="Q173" s="17"/>
      <c r="R173" s="42"/>
      <c r="S173" s="17"/>
      <c r="T173" s="17"/>
      <c r="U173" s="17"/>
      <c r="V173" s="42"/>
      <c r="W173" s="17"/>
      <c r="X173" s="17"/>
    </row>
    <row r="174" spans="1:26" x14ac:dyDescent="0.35">
      <c r="A174" s="9"/>
      <c r="B174" s="61" t="s">
        <v>313</v>
      </c>
      <c r="D174" s="17"/>
      <c r="E174" s="17"/>
      <c r="G174" s="17"/>
      <c r="H174" s="17"/>
      <c r="I174" s="17"/>
      <c r="J174" s="42"/>
      <c r="K174" s="17"/>
      <c r="L174" s="17"/>
      <c r="M174" s="17"/>
      <c r="P174" s="17"/>
      <c r="Q174" s="17"/>
      <c r="R174" s="42"/>
      <c r="S174" s="17"/>
      <c r="T174" s="17"/>
      <c r="U174" s="17"/>
      <c r="V174" s="42"/>
      <c r="W174" s="17"/>
      <c r="X174" s="17"/>
    </row>
    <row r="175" spans="1:26" x14ac:dyDescent="0.35">
      <c r="A175" s="9"/>
      <c r="B175" s="54"/>
      <c r="D175" s="17"/>
      <c r="E175" s="17"/>
      <c r="G175" s="17"/>
      <c r="H175" s="17"/>
      <c r="I175" s="17"/>
      <c r="J175" s="42"/>
      <c r="K175" s="17"/>
      <c r="L175" s="17"/>
      <c r="M175" s="17"/>
      <c r="P175" s="17"/>
      <c r="Q175" s="17"/>
      <c r="R175" s="42"/>
      <c r="S175" s="17"/>
      <c r="T175" s="17"/>
      <c r="U175" s="17"/>
      <c r="V175" s="42"/>
      <c r="W175" s="17"/>
      <c r="X175" s="17"/>
    </row>
    <row r="176" spans="1:26" x14ac:dyDescent="0.35">
      <c r="D176" s="17"/>
      <c r="E176" s="17"/>
      <c r="G176" s="17"/>
      <c r="H176" s="17"/>
      <c r="I176" s="17"/>
      <c r="J176" s="42"/>
      <c r="K176" s="17"/>
      <c r="L176" s="17"/>
      <c r="M176" s="17"/>
      <c r="P176" s="17"/>
      <c r="Q176" s="17"/>
      <c r="R176" s="42"/>
      <c r="S176" s="17"/>
      <c r="T176" s="17"/>
      <c r="U176" s="17"/>
      <c r="V176" s="42"/>
      <c r="W176" s="17"/>
      <c r="X176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","307", " - ", "Art Store")</f>
        <v>Department 307 - Art Store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1637.6599999999999</v>
      </c>
      <c r="I12" s="4"/>
      <c r="J12" s="13"/>
      <c r="K12" s="4"/>
      <c r="L12" s="4">
        <f t="shared" ref="L12:L51" si="0">+D12-H12</f>
        <v>-1637.6599999999999</v>
      </c>
      <c r="M12" s="4"/>
      <c r="N12" s="13">
        <f t="shared" ref="N12:N51" si="1">IF(H12=0,0,L12/H12)</f>
        <v>-1</v>
      </c>
      <c r="O12" s="10"/>
      <c r="P12" s="4">
        <f>SUM(OSRRefP13x_0)</f>
        <v>410549.44000000024</v>
      </c>
      <c r="Q12" s="4"/>
      <c r="R12" s="13"/>
      <c r="S12" s="4"/>
      <c r="T12" s="4">
        <f>SUM(OSRRefT13x_0)</f>
        <v>480500.56999999995</v>
      </c>
      <c r="U12" s="4"/>
      <c r="V12" s="13"/>
      <c r="W12" s="4"/>
      <c r="X12" s="4">
        <f t="shared" ref="X12:X51" si="2">+P12-T12</f>
        <v>-69951.129999999714</v>
      </c>
      <c r="Y12" s="4"/>
      <c r="Z12" s="13">
        <f t="shared" ref="Z12:Z51" si="3">IF(T12=0,0,X12/T12)</f>
        <v>-0.14557970243406729</v>
      </c>
    </row>
    <row r="13" spans="1:26" s="24" customFormat="1" hidden="1" outlineLevel="1" x14ac:dyDescent="0.3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 t="shared" ref="D13:D51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--109.2</f>
        <v>109.2</v>
      </c>
      <c r="U13" s="2"/>
      <c r="V13" s="19"/>
      <c r="W13" s="2"/>
      <c r="X13" s="2">
        <f t="shared" si="2"/>
        <v>-109.2</v>
      </c>
      <c r="Y13" s="2"/>
      <c r="Z13" s="19">
        <f t="shared" si="3"/>
        <v>-1</v>
      </c>
    </row>
    <row r="14" spans="1:26" s="24" customFormat="1" hidden="1" outlineLevel="1" x14ac:dyDescent="0.3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--71.37</f>
        <v>71.37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71.37</v>
      </c>
      <c r="Y14" s="2"/>
      <c r="Z14" s="19">
        <f t="shared" si="3"/>
        <v>0</v>
      </c>
    </row>
    <row r="15" spans="1:26" s="24" customFormat="1" hidden="1" outlineLevel="1" x14ac:dyDescent="0.3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--46.39</f>
        <v>46.39</v>
      </c>
      <c r="U15" s="2"/>
      <c r="V15" s="19"/>
      <c r="W15" s="2"/>
      <c r="X15" s="2">
        <f t="shared" si="2"/>
        <v>-46.39</v>
      </c>
      <c r="Y15" s="2"/>
      <c r="Z15" s="19">
        <f t="shared" si="3"/>
        <v>-1</v>
      </c>
    </row>
    <row r="16" spans="1:26" s="24" customFormat="1" hidden="1" outlineLevel="1" x14ac:dyDescent="0.3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>
        <f>--27.05</f>
        <v>27.05</v>
      </c>
      <c r="I16" s="2"/>
      <c r="J16" s="19"/>
      <c r="K16" s="2"/>
      <c r="L16" s="2">
        <f t="shared" si="0"/>
        <v>-27.05</v>
      </c>
      <c r="M16" s="2"/>
      <c r="N16" s="19">
        <f t="shared" si="1"/>
        <v>-1</v>
      </c>
      <c r="O16" s="11"/>
      <c r="P16" s="2">
        <f>--2262.94</f>
        <v>2262.94</v>
      </c>
      <c r="Q16" s="2"/>
      <c r="R16" s="19"/>
      <c r="S16" s="2"/>
      <c r="T16" s="2">
        <f>--2917.5</f>
        <v>2917.5</v>
      </c>
      <c r="U16" s="2"/>
      <c r="V16" s="19"/>
      <c r="W16" s="2"/>
      <c r="X16" s="2">
        <f t="shared" si="2"/>
        <v>-654.55999999999995</v>
      </c>
      <c r="Y16" s="2"/>
      <c r="Z16" s="19">
        <f t="shared" si="3"/>
        <v>-0.22435646958011995</v>
      </c>
    </row>
    <row r="17" spans="1:26" s="24" customFormat="1" hidden="1" outlineLevel="1" x14ac:dyDescent="0.3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 t="shared" si="4"/>
        <v>0</v>
      </c>
      <c r="E17" s="2"/>
      <c r="F17" s="19"/>
      <c r="G17" s="2"/>
      <c r="H17" s="2">
        <f>--63.66</f>
        <v>63.66</v>
      </c>
      <c r="I17" s="2"/>
      <c r="J17" s="19"/>
      <c r="K17" s="2"/>
      <c r="L17" s="2">
        <f t="shared" si="0"/>
        <v>-63.66</v>
      </c>
      <c r="M17" s="2"/>
      <c r="N17" s="19">
        <f t="shared" si="1"/>
        <v>-1</v>
      </c>
      <c r="O17" s="11"/>
      <c r="P17" s="2">
        <f>--6663.38</f>
        <v>6663.38</v>
      </c>
      <c r="Q17" s="2"/>
      <c r="R17" s="19"/>
      <c r="S17" s="2"/>
      <c r="T17" s="2">
        <f>--6194.55</f>
        <v>6194.55</v>
      </c>
      <c r="U17" s="2"/>
      <c r="V17" s="19"/>
      <c r="W17" s="2"/>
      <c r="X17" s="2">
        <f t="shared" si="2"/>
        <v>468.82999999999993</v>
      </c>
      <c r="Y17" s="2"/>
      <c r="Z17" s="19">
        <f t="shared" si="3"/>
        <v>7.5684270850989971E-2</v>
      </c>
    </row>
    <row r="18" spans="1:26" s="24" customFormat="1" hidden="1" outlineLevel="1" x14ac:dyDescent="0.3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 t="shared" si="4"/>
        <v>0</v>
      </c>
      <c r="E18" s="2"/>
      <c r="F18" s="19"/>
      <c r="G18" s="2"/>
      <c r="H18" s="2">
        <f>--45.61</f>
        <v>45.61</v>
      </c>
      <c r="I18" s="2"/>
      <c r="J18" s="19"/>
      <c r="K18" s="2"/>
      <c r="L18" s="2">
        <f t="shared" si="0"/>
        <v>-45.61</v>
      </c>
      <c r="M18" s="2"/>
      <c r="N18" s="19">
        <f t="shared" si="1"/>
        <v>-1</v>
      </c>
      <c r="O18" s="11"/>
      <c r="P18" s="2">
        <f>--9231.13</f>
        <v>9231.1299999999992</v>
      </c>
      <c r="Q18" s="2"/>
      <c r="R18" s="19"/>
      <c r="S18" s="2"/>
      <c r="T18" s="2">
        <f>--6503.67</f>
        <v>6503.67</v>
      </c>
      <c r="U18" s="2"/>
      <c r="V18" s="19"/>
      <c r="W18" s="2"/>
      <c r="X18" s="2">
        <f t="shared" si="2"/>
        <v>2727.4599999999991</v>
      </c>
      <c r="Y18" s="2"/>
      <c r="Z18" s="19">
        <f t="shared" si="3"/>
        <v>0.41937244663397727</v>
      </c>
    </row>
    <row r="19" spans="1:26" s="24" customFormat="1" hidden="1" outlineLevel="1" x14ac:dyDescent="0.3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 t="shared" si="4"/>
        <v>0</v>
      </c>
      <c r="E19" s="2"/>
      <c r="F19" s="19"/>
      <c r="G19" s="2"/>
      <c r="H19" s="2">
        <f>--1111.58</f>
        <v>1111.58</v>
      </c>
      <c r="I19" s="2"/>
      <c r="J19" s="19"/>
      <c r="K19" s="2"/>
      <c r="L19" s="2">
        <f t="shared" si="0"/>
        <v>-1111.58</v>
      </c>
      <c r="M19" s="2"/>
      <c r="N19" s="19">
        <f t="shared" si="1"/>
        <v>-1</v>
      </c>
      <c r="O19" s="11"/>
      <c r="P19" s="2">
        <f>--280493.72</f>
        <v>280493.71999999997</v>
      </c>
      <c r="Q19" s="2"/>
      <c r="R19" s="19"/>
      <c r="S19" s="2"/>
      <c r="T19" s="2">
        <f>--330431.42</f>
        <v>330431.42</v>
      </c>
      <c r="U19" s="2"/>
      <c r="V19" s="19"/>
      <c r="W19" s="2"/>
      <c r="X19" s="2">
        <f t="shared" si="2"/>
        <v>-49937.700000000012</v>
      </c>
      <c r="Y19" s="2"/>
      <c r="Z19" s="19">
        <f t="shared" si="3"/>
        <v>-0.15112878793427095</v>
      </c>
    </row>
    <row r="20" spans="1:26" s="24" customFormat="1" hidden="1" outlineLevel="1" x14ac:dyDescent="0.3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si="4"/>
        <v>0</v>
      </c>
      <c r="E20" s="2"/>
      <c r="F20" s="19"/>
      <c r="G20" s="2"/>
      <c r="H20" s="2">
        <f>--140.23</f>
        <v>140.22999999999999</v>
      </c>
      <c r="I20" s="2"/>
      <c r="J20" s="19"/>
      <c r="K20" s="2"/>
      <c r="L20" s="2">
        <f t="shared" si="0"/>
        <v>-140.22999999999999</v>
      </c>
      <c r="M20" s="2"/>
      <c r="N20" s="19">
        <f t="shared" si="1"/>
        <v>-1</v>
      </c>
      <c r="O20" s="11"/>
      <c r="P20" s="2">
        <f>--486.34</f>
        <v>486.34</v>
      </c>
      <c r="Q20" s="2"/>
      <c r="R20" s="19"/>
      <c r="S20" s="2"/>
      <c r="T20" s="2">
        <f>--834.06</f>
        <v>834.06</v>
      </c>
      <c r="U20" s="2"/>
      <c r="V20" s="19"/>
      <c r="W20" s="2"/>
      <c r="X20" s="2">
        <f t="shared" si="2"/>
        <v>-347.71999999999997</v>
      </c>
      <c r="Y20" s="2"/>
      <c r="Z20" s="19">
        <f t="shared" si="3"/>
        <v>-0.4169004627964415</v>
      </c>
    </row>
    <row r="21" spans="1:26" s="24" customFormat="1" hidden="1" outlineLevel="1" x14ac:dyDescent="0.3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4"/>
        <v>0</v>
      </c>
      <c r="E21" s="2"/>
      <c r="F21" s="19"/>
      <c r="G21" s="2"/>
      <c r="H21" s="2">
        <f>--0.34</f>
        <v>0.34</v>
      </c>
      <c r="I21" s="2"/>
      <c r="J21" s="19"/>
      <c r="K21" s="2"/>
      <c r="L21" s="2">
        <f t="shared" si="0"/>
        <v>-0.34</v>
      </c>
      <c r="M21" s="2"/>
      <c r="N21" s="19">
        <f t="shared" si="1"/>
        <v>-1</v>
      </c>
      <c r="O21" s="11"/>
      <c r="P21" s="2">
        <f>--1905.06</f>
        <v>1905.06</v>
      </c>
      <c r="Q21" s="2"/>
      <c r="R21" s="19"/>
      <c r="S21" s="2"/>
      <c r="T21" s="2">
        <f>--498.84</f>
        <v>498.84</v>
      </c>
      <c r="U21" s="2"/>
      <c r="V21" s="19"/>
      <c r="W21" s="2"/>
      <c r="X21" s="2">
        <f t="shared" si="2"/>
        <v>1406.22</v>
      </c>
      <c r="Y21" s="2"/>
      <c r="Z21" s="19">
        <f t="shared" si="3"/>
        <v>2.8189800336781334</v>
      </c>
    </row>
    <row r="22" spans="1:26" s="24" customFormat="1" hidden="1" outlineLevel="1" x14ac:dyDescent="0.3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4"/>
        <v>0</v>
      </c>
      <c r="E22" s="2"/>
      <c r="F22" s="19"/>
      <c r="G22" s="2"/>
      <c r="H22" s="2">
        <f>--0.3</f>
        <v>0.3</v>
      </c>
      <c r="I22" s="2"/>
      <c r="J22" s="19"/>
      <c r="K22" s="2"/>
      <c r="L22" s="2">
        <f t="shared" si="0"/>
        <v>-0.3</v>
      </c>
      <c r="M22" s="2"/>
      <c r="N22" s="19">
        <f t="shared" si="1"/>
        <v>-1</v>
      </c>
      <c r="O22" s="11"/>
      <c r="P22" s="2">
        <f>--205.53</f>
        <v>205.53</v>
      </c>
      <c r="Q22" s="2"/>
      <c r="R22" s="19"/>
      <c r="S22" s="2"/>
      <c r="T22" s="2">
        <f>--264.15</f>
        <v>264.14999999999998</v>
      </c>
      <c r="U22" s="2"/>
      <c r="V22" s="19"/>
      <c r="W22" s="2"/>
      <c r="X22" s="2">
        <f t="shared" si="2"/>
        <v>-58.619999999999976</v>
      </c>
      <c r="Y22" s="2"/>
      <c r="Z22" s="19">
        <f t="shared" si="3"/>
        <v>-0.22191936399772849</v>
      </c>
    </row>
    <row r="23" spans="1:26" s="24" customFormat="1" hidden="1" outlineLevel="1" x14ac:dyDescent="0.3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4"/>
        <v>0</v>
      </c>
      <c r="E23" s="2"/>
      <c r="F23" s="19"/>
      <c r="G23" s="2"/>
      <c r="H23" s="2">
        <f>--422.25</f>
        <v>422.25</v>
      </c>
      <c r="I23" s="2"/>
      <c r="J23" s="19"/>
      <c r="K23" s="2"/>
      <c r="L23" s="2">
        <f t="shared" si="0"/>
        <v>-422.25</v>
      </c>
      <c r="M23" s="2"/>
      <c r="N23" s="19">
        <f t="shared" si="1"/>
        <v>-1</v>
      </c>
      <c r="O23" s="11"/>
      <c r="P23" s="2">
        <f>--7803.51</f>
        <v>7803.51</v>
      </c>
      <c r="Q23" s="2"/>
      <c r="R23" s="19"/>
      <c r="S23" s="2"/>
      <c r="T23" s="2">
        <f>--9229.07</f>
        <v>9229.07</v>
      </c>
      <c r="U23" s="2"/>
      <c r="V23" s="19"/>
      <c r="W23" s="2"/>
      <c r="X23" s="2">
        <f t="shared" si="2"/>
        <v>-1425.5599999999995</v>
      </c>
      <c r="Y23" s="2"/>
      <c r="Z23" s="19">
        <f t="shared" si="3"/>
        <v>-0.15446410093324675</v>
      </c>
    </row>
    <row r="24" spans="1:26" s="24" customFormat="1" hidden="1" outlineLevel="1" x14ac:dyDescent="0.3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4"/>
        <v>0</v>
      </c>
      <c r="E24" s="2"/>
      <c r="F24" s="19"/>
      <c r="G24" s="2"/>
      <c r="H24" s="2">
        <f>--3.48</f>
        <v>3.48</v>
      </c>
      <c r="I24" s="2"/>
      <c r="J24" s="19"/>
      <c r="K24" s="2"/>
      <c r="L24" s="2">
        <f t="shared" si="0"/>
        <v>-3.48</v>
      </c>
      <c r="M24" s="2"/>
      <c r="N24" s="19">
        <f t="shared" si="1"/>
        <v>-1</v>
      </c>
      <c r="O24" s="11"/>
      <c r="P24" s="2">
        <f>--1961.69</f>
        <v>1961.69</v>
      </c>
      <c r="Q24" s="2"/>
      <c r="R24" s="19"/>
      <c r="S24" s="2"/>
      <c r="T24" s="2">
        <f>--2250.35</f>
        <v>2250.35</v>
      </c>
      <c r="U24" s="2"/>
      <c r="V24" s="19"/>
      <c r="W24" s="2"/>
      <c r="X24" s="2">
        <f t="shared" si="2"/>
        <v>-288.65999999999985</v>
      </c>
      <c r="Y24" s="2"/>
      <c r="Z24" s="19">
        <f t="shared" si="3"/>
        <v>-0.12827337969649161</v>
      </c>
    </row>
    <row r="25" spans="1:26" s="24" customFormat="1" hidden="1" outlineLevel="1" x14ac:dyDescent="0.3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4"/>
        <v>0</v>
      </c>
      <c r="E25" s="2"/>
      <c r="F25" s="19"/>
      <c r="G25" s="2"/>
      <c r="H25" s="2">
        <f>--11.04</f>
        <v>11.04</v>
      </c>
      <c r="I25" s="2"/>
      <c r="J25" s="19"/>
      <c r="K25" s="2"/>
      <c r="L25" s="2">
        <f t="shared" si="0"/>
        <v>-11.04</v>
      </c>
      <c r="M25" s="2"/>
      <c r="N25" s="19">
        <f t="shared" si="1"/>
        <v>-1</v>
      </c>
      <c r="O25" s="11"/>
      <c r="P25" s="2">
        <f>--513.51</f>
        <v>513.51</v>
      </c>
      <c r="Q25" s="2"/>
      <c r="R25" s="19"/>
      <c r="S25" s="2"/>
      <c r="T25" s="2">
        <f>--881.19</f>
        <v>881.19</v>
      </c>
      <c r="U25" s="2"/>
      <c r="V25" s="19"/>
      <c r="W25" s="2"/>
      <c r="X25" s="2">
        <f t="shared" si="2"/>
        <v>-367.68000000000006</v>
      </c>
      <c r="Y25" s="2"/>
      <c r="Z25" s="19">
        <f t="shared" si="3"/>
        <v>-0.41725394069383454</v>
      </c>
    </row>
    <row r="26" spans="1:26" s="24" customFormat="1" hidden="1" outlineLevel="1" x14ac:dyDescent="0.3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 t="shared" si="4"/>
        <v>0</v>
      </c>
      <c r="E26" s="2"/>
      <c r="F26" s="19"/>
      <c r="G26" s="2"/>
      <c r="H26" s="2">
        <f t="shared" ref="H26:H28" si="6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3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 t="shared" si="4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--583.7</f>
        <v>583.70000000000005</v>
      </c>
      <c r="Q27" s="2"/>
      <c r="R27" s="19"/>
      <c r="S27" s="2"/>
      <c r="T27" s="2">
        <f>--736.93</f>
        <v>736.93</v>
      </c>
      <c r="U27" s="2"/>
      <c r="V27" s="19"/>
      <c r="W27" s="2"/>
      <c r="X27" s="2">
        <f t="shared" si="2"/>
        <v>-153.2299999999999</v>
      </c>
      <c r="Y27" s="2"/>
      <c r="Z27" s="19">
        <f t="shared" si="3"/>
        <v>-0.20793019689794134</v>
      </c>
    </row>
    <row r="28" spans="1:26" s="24" customFormat="1" hidden="1" outlineLevel="1" x14ac:dyDescent="0.3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 t="shared" si="4"/>
        <v>0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3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 t="shared" si="4"/>
        <v>0</v>
      </c>
      <c r="E29" s="2"/>
      <c r="F29" s="19"/>
      <c r="G29" s="2"/>
      <c r="H29" s="2">
        <f>--22.97</f>
        <v>22.97</v>
      </c>
      <c r="I29" s="2"/>
      <c r="J29" s="19"/>
      <c r="K29" s="2"/>
      <c r="L29" s="2">
        <f t="shared" si="0"/>
        <v>-22.97</v>
      </c>
      <c r="M29" s="2"/>
      <c r="N29" s="19">
        <f t="shared" si="1"/>
        <v>-1</v>
      </c>
      <c r="O29" s="11"/>
      <c r="P29" s="2">
        <f>--3174.93</f>
        <v>3174.93</v>
      </c>
      <c r="Q29" s="2"/>
      <c r="R29" s="19"/>
      <c r="S29" s="2"/>
      <c r="T29" s="2">
        <f>--4426.51</f>
        <v>4426.51</v>
      </c>
      <c r="U29" s="2"/>
      <c r="V29" s="19"/>
      <c r="W29" s="2"/>
      <c r="X29" s="2">
        <f t="shared" si="2"/>
        <v>-1251.5800000000004</v>
      </c>
      <c r="Y29" s="2"/>
      <c r="Z29" s="19">
        <f t="shared" si="3"/>
        <v>-0.28274645262294684</v>
      </c>
    </row>
    <row r="30" spans="1:26" s="24" customFormat="1" hidden="1" outlineLevel="1" x14ac:dyDescent="0.3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 t="shared" si="4"/>
        <v>0</v>
      </c>
      <c r="E30" s="2"/>
      <c r="F30" s="19"/>
      <c r="G30" s="2"/>
      <c r="H30" s="2">
        <f t="shared" ref="H30:H35" si="7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--363.94</f>
        <v>363.94</v>
      </c>
      <c r="Q30" s="2"/>
      <c r="R30" s="19"/>
      <c r="S30" s="2"/>
      <c r="T30" s="2">
        <f>--1650</f>
        <v>1650</v>
      </c>
      <c r="U30" s="2"/>
      <c r="V30" s="19"/>
      <c r="W30" s="2"/>
      <c r="X30" s="2">
        <f t="shared" si="2"/>
        <v>-1286.06</v>
      </c>
      <c r="Y30" s="2"/>
      <c r="Z30" s="19">
        <f t="shared" si="3"/>
        <v>-0.77943030303030303</v>
      </c>
    </row>
    <row r="31" spans="1:26" s="24" customFormat="1" hidden="1" outlineLevel="1" x14ac:dyDescent="0.3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 t="shared" si="4"/>
        <v>0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--914.33</f>
        <v>914.33</v>
      </c>
      <c r="Q31" s="2"/>
      <c r="R31" s="19"/>
      <c r="S31" s="2"/>
      <c r="T31" s="2">
        <f>--1403.83</f>
        <v>1403.83</v>
      </c>
      <c r="U31" s="2"/>
      <c r="V31" s="19"/>
      <c r="W31" s="2"/>
      <c r="X31" s="2">
        <f t="shared" si="2"/>
        <v>-489.49999999999989</v>
      </c>
      <c r="Y31" s="2"/>
      <c r="Z31" s="19">
        <f t="shared" si="3"/>
        <v>-0.3486889438179836</v>
      </c>
    </row>
    <row r="32" spans="1:26" s="24" customFormat="1" hidden="1" outlineLevel="1" x14ac:dyDescent="0.3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 t="shared" si="4"/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--813.74</f>
        <v>813.74</v>
      </c>
      <c r="Q32" s="2"/>
      <c r="R32" s="19"/>
      <c r="S32" s="2"/>
      <c r="T32" s="2">
        <f>--2115.11</f>
        <v>2115.11</v>
      </c>
      <c r="U32" s="2"/>
      <c r="V32" s="19"/>
      <c r="W32" s="2"/>
      <c r="X32" s="2">
        <f t="shared" si="2"/>
        <v>-1301.3700000000001</v>
      </c>
      <c r="Y32" s="2"/>
      <c r="Z32" s="19">
        <f t="shared" si="3"/>
        <v>-0.61527296452666769</v>
      </c>
    </row>
    <row r="33" spans="1:26" s="24" customFormat="1" hidden="1" outlineLevel="1" x14ac:dyDescent="0.35">
      <c r="A33" s="44"/>
      <c r="B33" s="11" t="str">
        <f>CONCATENATE("          ", "4126", " - ", "NON-TAXABLE SALES-WRITING INST")</f>
        <v xml:space="preserve">          4126 - NON-TAXABLE SALES-WRITING INST</v>
      </c>
      <c r="C33" s="11"/>
      <c r="D33" s="2">
        <f t="shared" si="4"/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--2.49</f>
        <v>2.4900000000000002</v>
      </c>
      <c r="Q33" s="2"/>
      <c r="R33" s="19"/>
      <c r="S33" s="2"/>
      <c r="T33" s="2">
        <f>--8.56</f>
        <v>8.56</v>
      </c>
      <c r="U33" s="2"/>
      <c r="V33" s="19"/>
      <c r="W33" s="2"/>
      <c r="X33" s="2">
        <f t="shared" si="2"/>
        <v>-6.07</v>
      </c>
      <c r="Y33" s="2"/>
      <c r="Z33" s="19">
        <f t="shared" si="3"/>
        <v>-0.70911214953271029</v>
      </c>
    </row>
    <row r="34" spans="1:26" s="24" customFormat="1" hidden="1" outlineLevel="1" x14ac:dyDescent="0.35">
      <c r="A34" s="44"/>
      <c r="B34" s="11" t="str">
        <f>CONCATENATE("          ", "4127", " - ", "NON-TAXABLE SALES-SCHOOL SUPPL")</f>
        <v xml:space="preserve">          4127 - NON-TAXABLE SALES-SCHOOL SUPPL</v>
      </c>
      <c r="C34" s="11"/>
      <c r="D34" s="2">
        <f t="shared" si="4"/>
        <v>0</v>
      </c>
      <c r="E34" s="2"/>
      <c r="F34" s="19"/>
      <c r="G34" s="2"/>
      <c r="H34" s="2">
        <f t="shared" si="7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--16.45</f>
        <v>16.45</v>
      </c>
      <c r="Q34" s="2"/>
      <c r="R34" s="19"/>
      <c r="S34" s="2"/>
      <c r="T34" s="2">
        <f>--25.6</f>
        <v>25.6</v>
      </c>
      <c r="U34" s="2"/>
      <c r="V34" s="19"/>
      <c r="W34" s="2"/>
      <c r="X34" s="2">
        <f t="shared" si="2"/>
        <v>-9.1500000000000021</v>
      </c>
      <c r="Y34" s="2"/>
      <c r="Z34" s="19">
        <f t="shared" si="3"/>
        <v>-0.35742187500000006</v>
      </c>
    </row>
    <row r="35" spans="1:26" s="24" customFormat="1" hidden="1" outlineLevel="1" x14ac:dyDescent="0.35">
      <c r="A35" s="44"/>
      <c r="B35" s="11" t="str">
        <f>CONCATENATE("          ", "4128", " - ", "NON-TAXABLE SALES-ART/TECH")</f>
        <v xml:space="preserve">          4128 - NON-TAXABLE SALES-ART/TECH</v>
      </c>
      <c r="C35" s="11"/>
      <c r="D35" s="2">
        <f t="shared" si="4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--242.09</f>
        <v>242.09</v>
      </c>
      <c r="Q35" s="2"/>
      <c r="R35" s="19"/>
      <c r="S35" s="2"/>
      <c r="T35" s="2">
        <f>--311.86</f>
        <v>311.86</v>
      </c>
      <c r="U35" s="2"/>
      <c r="V35" s="19"/>
      <c r="W35" s="2"/>
      <c r="X35" s="2">
        <f t="shared" si="2"/>
        <v>-69.77000000000001</v>
      </c>
      <c r="Y35" s="2"/>
      <c r="Z35" s="19">
        <f t="shared" si="3"/>
        <v>-0.2237221830308472</v>
      </c>
    </row>
    <row r="36" spans="1:26" s="24" customFormat="1" hidden="1" outlineLevel="1" x14ac:dyDescent="0.35">
      <c r="A36" s="44"/>
      <c r="B36" s="11" t="str">
        <f>CONCATENATE("          ", "4131", " - ", "NON-TAXABLE SALES-FOOD")</f>
        <v xml:space="preserve">          4131 - NON-TAXABLE SALES-FOOD</v>
      </c>
      <c r="C36" s="11"/>
      <c r="D36" s="2">
        <f t="shared" si="4"/>
        <v>0</v>
      </c>
      <c r="E36" s="2"/>
      <c r="F36" s="19"/>
      <c r="G36" s="2"/>
      <c r="H36" s="2">
        <f>--150.23</f>
        <v>150.22999999999999</v>
      </c>
      <c r="I36" s="2"/>
      <c r="J36" s="19"/>
      <c r="K36" s="2"/>
      <c r="L36" s="2">
        <f t="shared" si="0"/>
        <v>-150.22999999999999</v>
      </c>
      <c r="M36" s="2"/>
      <c r="N36" s="19">
        <f t="shared" si="1"/>
        <v>-1</v>
      </c>
      <c r="O36" s="11"/>
      <c r="P36" s="2">
        <f>--56310.14</f>
        <v>56310.14</v>
      </c>
      <c r="Q36" s="2"/>
      <c r="R36" s="19"/>
      <c r="S36" s="2"/>
      <c r="T36" s="2">
        <f>--72400.49</f>
        <v>72400.490000000005</v>
      </c>
      <c r="U36" s="2"/>
      <c r="V36" s="19"/>
      <c r="W36" s="2"/>
      <c r="X36" s="2">
        <f t="shared" si="2"/>
        <v>-16090.350000000006</v>
      </c>
      <c r="Y36" s="2"/>
      <c r="Z36" s="19">
        <f t="shared" si="3"/>
        <v>-0.22224089919833423</v>
      </c>
    </row>
    <row r="37" spans="1:26" s="24" customFormat="1" hidden="1" outlineLevel="1" x14ac:dyDescent="0.35">
      <c r="A37" s="44"/>
      <c r="B37" s="11" t="str">
        <f>CONCATENATE("          ", "4132", " - ", "NON-TAXABLE SALES-JUICE")</f>
        <v xml:space="preserve">          4132 - NON-TAXABLE SALES-JUICE</v>
      </c>
      <c r="C37" s="11"/>
      <c r="D37" s="2">
        <f t="shared" si="4"/>
        <v>0</v>
      </c>
      <c r="E37" s="2"/>
      <c r="F37" s="19"/>
      <c r="G37" s="2"/>
      <c r="H37" s="2">
        <f>--50.31</f>
        <v>50.31</v>
      </c>
      <c r="I37" s="2"/>
      <c r="J37" s="19"/>
      <c r="K37" s="2"/>
      <c r="L37" s="2">
        <f t="shared" si="0"/>
        <v>-50.31</v>
      </c>
      <c r="M37" s="2"/>
      <c r="N37" s="19">
        <f t="shared" si="1"/>
        <v>-1</v>
      </c>
      <c r="O37" s="11"/>
      <c r="P37" s="2">
        <f>--16199.63</f>
        <v>16199.63</v>
      </c>
      <c r="Q37" s="2"/>
      <c r="R37" s="19"/>
      <c r="S37" s="2"/>
      <c r="T37" s="2">
        <f>--18307.55</f>
        <v>18307.55</v>
      </c>
      <c r="U37" s="2"/>
      <c r="V37" s="19"/>
      <c r="W37" s="2"/>
      <c r="X37" s="2">
        <f t="shared" si="2"/>
        <v>-2107.92</v>
      </c>
      <c r="Y37" s="2"/>
      <c r="Z37" s="19">
        <f t="shared" si="3"/>
        <v>-0.11513938238595553</v>
      </c>
    </row>
    <row r="38" spans="1:26" s="24" customFormat="1" hidden="1" outlineLevel="1" x14ac:dyDescent="0.35">
      <c r="A38" s="44"/>
      <c r="B38" s="11" t="str">
        <f>CONCATENATE("          ", "4133", " - ", "NON-TAXABLE SALES-CANDY")</f>
        <v xml:space="preserve">          4133 - NON-TAXABLE SALES-CANDY</v>
      </c>
      <c r="C38" s="11"/>
      <c r="D38" s="2">
        <f t="shared" si="4"/>
        <v>0</v>
      </c>
      <c r="E38" s="2"/>
      <c r="F38" s="19"/>
      <c r="G38" s="2"/>
      <c r="H38" s="2">
        <f>--68.51</f>
        <v>68.510000000000005</v>
      </c>
      <c r="I38" s="2"/>
      <c r="J38" s="19"/>
      <c r="K38" s="2"/>
      <c r="L38" s="2">
        <f t="shared" si="0"/>
        <v>-68.510000000000005</v>
      </c>
      <c r="M38" s="2"/>
      <c r="N38" s="19">
        <f t="shared" si="1"/>
        <v>-1</v>
      </c>
      <c r="O38" s="11"/>
      <c r="P38" s="2">
        <f>--15823.84</f>
        <v>15823.84</v>
      </c>
      <c r="Q38" s="2"/>
      <c r="R38" s="19"/>
      <c r="S38" s="2"/>
      <c r="T38" s="2">
        <f>--17710.35</f>
        <v>17710.349999999999</v>
      </c>
      <c r="U38" s="2"/>
      <c r="V38" s="19"/>
      <c r="W38" s="2"/>
      <c r="X38" s="2">
        <f t="shared" si="2"/>
        <v>-1886.5099999999984</v>
      </c>
      <c r="Y38" s="2"/>
      <c r="Z38" s="19">
        <f t="shared" si="3"/>
        <v>-0.10652019864090764</v>
      </c>
    </row>
    <row r="39" spans="1:26" s="24" customFormat="1" hidden="1" outlineLevel="1" x14ac:dyDescent="0.35">
      <c r="A39" s="44"/>
      <c r="B39" s="11" t="str">
        <f>CONCATENATE("          ", "4134", " - ", "NON-TAXABLE SALES-SODA")</f>
        <v xml:space="preserve">          4134 - NON-TAXABLE SALES-SODA</v>
      </c>
      <c r="C39" s="11"/>
      <c r="D39" s="2">
        <f t="shared" si="4"/>
        <v>0</v>
      </c>
      <c r="E39" s="2"/>
      <c r="F39" s="19"/>
      <c r="G39" s="2"/>
      <c r="H39" s="2">
        <f t="shared" ref="H39:H40" si="8"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--1.89</f>
        <v>1.89</v>
      </c>
      <c r="Q39" s="2"/>
      <c r="R39" s="19"/>
      <c r="S39" s="2"/>
      <c r="T39" s="2">
        <f>--111.36</f>
        <v>111.36</v>
      </c>
      <c r="U39" s="2"/>
      <c r="V39" s="19"/>
      <c r="W39" s="2"/>
      <c r="X39" s="2">
        <f t="shared" si="2"/>
        <v>-109.47</v>
      </c>
      <c r="Y39" s="2"/>
      <c r="Z39" s="19">
        <f t="shared" si="3"/>
        <v>-0.98302801724137934</v>
      </c>
    </row>
    <row r="40" spans="1:26" s="24" customFormat="1" hidden="1" outlineLevel="1" x14ac:dyDescent="0.35">
      <c r="A40" s="44"/>
      <c r="B40" s="11" t="str">
        <f>CONCATENATE("          ", "4135", " - ", "NON-TAXABLE SALES")</f>
        <v xml:space="preserve">          4135 - NON-TAXABLE SALES</v>
      </c>
      <c r="C40" s="11"/>
      <c r="D40" s="2">
        <f t="shared" si="4"/>
        <v>0</v>
      </c>
      <c r="E40" s="2"/>
      <c r="F40" s="19"/>
      <c r="G40" s="2"/>
      <c r="H40" s="2">
        <f t="shared" si="8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--111.24</f>
        <v>111.24</v>
      </c>
      <c r="Q40" s="2"/>
      <c r="R40" s="19"/>
      <c r="S40" s="2"/>
      <c r="T40" s="2">
        <f>--183.39</f>
        <v>183.39</v>
      </c>
      <c r="U40" s="2"/>
      <c r="V40" s="19"/>
      <c r="W40" s="2"/>
      <c r="X40" s="2">
        <f t="shared" si="2"/>
        <v>-72.149999999999991</v>
      </c>
      <c r="Y40" s="2"/>
      <c r="Z40" s="19">
        <f t="shared" si="3"/>
        <v>-0.39342385080974968</v>
      </c>
    </row>
    <row r="41" spans="1:26" s="24" customFormat="1" hidden="1" outlineLevel="1" x14ac:dyDescent="0.35">
      <c r="A41" s="44"/>
      <c r="B41" s="11" t="str">
        <f>CONCATENATE("          ", "4137", " - ", "NON-TAXABLE SALES-WATER")</f>
        <v xml:space="preserve">          4137 - NON-TAXABLE SALES-WATER</v>
      </c>
      <c r="C41" s="11"/>
      <c r="D41" s="2">
        <f t="shared" si="4"/>
        <v>0</v>
      </c>
      <c r="E41" s="2"/>
      <c r="F41" s="19"/>
      <c r="G41" s="2"/>
      <c r="H41" s="2">
        <f>--30.37</f>
        <v>30.37</v>
      </c>
      <c r="I41" s="2"/>
      <c r="J41" s="19"/>
      <c r="K41" s="2"/>
      <c r="L41" s="2">
        <f t="shared" si="0"/>
        <v>-30.37</v>
      </c>
      <c r="M41" s="2"/>
      <c r="N41" s="19">
        <f t="shared" si="1"/>
        <v>-1</v>
      </c>
      <c r="O41" s="11"/>
      <c r="P41" s="2">
        <f>--8396.06</f>
        <v>8396.06</v>
      </c>
      <c r="Q41" s="2"/>
      <c r="R41" s="19"/>
      <c r="S41" s="2"/>
      <c r="T41" s="2">
        <f>--10056.76</f>
        <v>10056.76</v>
      </c>
      <c r="U41" s="2"/>
      <c r="V41" s="19"/>
      <c r="W41" s="2"/>
      <c r="X41" s="2">
        <f t="shared" si="2"/>
        <v>-1660.7000000000007</v>
      </c>
      <c r="Y41" s="2"/>
      <c r="Z41" s="19">
        <f t="shared" si="3"/>
        <v>-0.16513270675645045</v>
      </c>
    </row>
    <row r="42" spans="1:26" s="24" customFormat="1" hidden="1" outlineLevel="1" x14ac:dyDescent="0.35">
      <c r="A42" s="44"/>
      <c r="B42" s="11" t="str">
        <f>CONCATENATE("          ", "4186", " - ", "NON-TAXABLE SALES-COMPUTER SUP")</f>
        <v xml:space="preserve">          4186 - NON-TAXABLE SALES-COMPUTER SUP</v>
      </c>
      <c r="C42" s="11"/>
      <c r="D42" s="2">
        <f t="shared" si="4"/>
        <v>0</v>
      </c>
      <c r="E42" s="2"/>
      <c r="F42" s="19"/>
      <c r="G42" s="2"/>
      <c r="H42" s="2">
        <f t="shared" ref="H42:H45" si="9"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-30.97</f>
        <v>-30.97</v>
      </c>
      <c r="Q42" s="2"/>
      <c r="R42" s="19"/>
      <c r="S42" s="2"/>
      <c r="T42" s="2">
        <f>-174.68</f>
        <v>-174.68</v>
      </c>
      <c r="U42" s="2"/>
      <c r="V42" s="19"/>
      <c r="W42" s="2"/>
      <c r="X42" s="2">
        <f t="shared" si="2"/>
        <v>143.71</v>
      </c>
      <c r="Y42" s="2"/>
      <c r="Z42" s="19">
        <f t="shared" si="3"/>
        <v>-0.82270437371193039</v>
      </c>
    </row>
    <row r="43" spans="1:26" s="24" customFormat="1" hidden="1" outlineLevel="1" x14ac:dyDescent="0.3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 t="shared" si="4"/>
        <v>0</v>
      </c>
      <c r="E43" s="2"/>
      <c r="F43" s="19"/>
      <c r="G43" s="2"/>
      <c r="H43" s="2">
        <f t="shared" si="9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-35.13</f>
        <v>-35.130000000000003</v>
      </c>
      <c r="Q43" s="2"/>
      <c r="R43" s="19"/>
      <c r="S43" s="2"/>
      <c r="T43" s="2">
        <f>0</f>
        <v>0</v>
      </c>
      <c r="U43" s="2"/>
      <c r="V43" s="19"/>
      <c r="W43" s="2"/>
      <c r="X43" s="2">
        <f t="shared" si="2"/>
        <v>-35.130000000000003</v>
      </c>
      <c r="Y43" s="2"/>
      <c r="Z43" s="19">
        <f t="shared" si="3"/>
        <v>0</v>
      </c>
    </row>
    <row r="44" spans="1:26" s="24" customFormat="1" hidden="1" outlineLevel="1" x14ac:dyDescent="0.3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 t="shared" si="4"/>
        <v>0</v>
      </c>
      <c r="E44" s="2"/>
      <c r="F44" s="19"/>
      <c r="G44" s="2"/>
      <c r="H44" s="2">
        <f t="shared" si="9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-11.05</f>
        <v>-11.05</v>
      </c>
      <c r="Q44" s="2"/>
      <c r="R44" s="19"/>
      <c r="S44" s="2"/>
      <c r="T44" s="2">
        <f>-73.21</f>
        <v>-73.209999999999994</v>
      </c>
      <c r="U44" s="2"/>
      <c r="V44" s="19"/>
      <c r="W44" s="2"/>
      <c r="X44" s="2">
        <f t="shared" si="2"/>
        <v>62.16</v>
      </c>
      <c r="Y44" s="2"/>
      <c r="Z44" s="19">
        <f t="shared" si="3"/>
        <v>-0.84906433547329607</v>
      </c>
    </row>
    <row r="45" spans="1:26" s="24" customFormat="1" hidden="1" outlineLevel="1" x14ac:dyDescent="0.3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 t="shared" si="4"/>
        <v>0</v>
      </c>
      <c r="E45" s="2"/>
      <c r="F45" s="19"/>
      <c r="G45" s="2"/>
      <c r="H45" s="2">
        <f t="shared" si="9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-42.06</f>
        <v>-42.06</v>
      </c>
      <c r="Q45" s="2"/>
      <c r="R45" s="19"/>
      <c r="S45" s="2"/>
      <c r="T45" s="2">
        <f>-68.16</f>
        <v>-68.16</v>
      </c>
      <c r="U45" s="2"/>
      <c r="V45" s="19"/>
      <c r="W45" s="2"/>
      <c r="X45" s="2">
        <f t="shared" si="2"/>
        <v>26.099999999999994</v>
      </c>
      <c r="Y45" s="2"/>
      <c r="Z45" s="19">
        <f t="shared" si="3"/>
        <v>-0.38292253521126757</v>
      </c>
    </row>
    <row r="46" spans="1:26" s="24" customFormat="1" hidden="1" outlineLevel="1" x14ac:dyDescent="0.3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 t="shared" si="4"/>
        <v>0</v>
      </c>
      <c r="E46" s="2"/>
      <c r="F46" s="19"/>
      <c r="G46" s="2"/>
      <c r="H46" s="2">
        <f>-7.47</f>
        <v>-7.47</v>
      </c>
      <c r="I46" s="2"/>
      <c r="J46" s="19"/>
      <c r="K46" s="2"/>
      <c r="L46" s="2">
        <f t="shared" si="0"/>
        <v>7.47</v>
      </c>
      <c r="M46" s="2"/>
      <c r="N46" s="19">
        <f t="shared" si="1"/>
        <v>-1</v>
      </c>
      <c r="O46" s="11"/>
      <c r="P46" s="2">
        <f>-4479.12</f>
        <v>-4479.12</v>
      </c>
      <c r="Q46" s="2"/>
      <c r="R46" s="19"/>
      <c r="S46" s="2"/>
      <c r="T46" s="2">
        <f>-8215.46</f>
        <v>-8215.4599999999991</v>
      </c>
      <c r="U46" s="2"/>
      <c r="V46" s="19"/>
      <c r="W46" s="2"/>
      <c r="X46" s="2">
        <f t="shared" si="2"/>
        <v>3736.3399999999992</v>
      </c>
      <c r="Y46" s="2"/>
      <c r="Z46" s="19">
        <f t="shared" si="3"/>
        <v>-0.45479376687367473</v>
      </c>
    </row>
    <row r="47" spans="1:26" s="24" customFormat="1" hidden="1" outlineLevel="1" x14ac:dyDescent="0.3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 t="shared" si="4"/>
        <v>0</v>
      </c>
      <c r="E47" s="2"/>
      <c r="F47" s="19"/>
      <c r="G47" s="2"/>
      <c r="H47" s="2">
        <f>-139.92</f>
        <v>-139.91999999999999</v>
      </c>
      <c r="I47" s="2"/>
      <c r="J47" s="19"/>
      <c r="K47" s="2"/>
      <c r="L47" s="2">
        <f t="shared" si="0"/>
        <v>139.91999999999999</v>
      </c>
      <c r="M47" s="2"/>
      <c r="N47" s="19">
        <f t="shared" si="1"/>
        <v>-1</v>
      </c>
      <c r="O47" s="11"/>
      <c r="P47" s="2">
        <f>-8.25</f>
        <v>-8.25</v>
      </c>
      <c r="Q47" s="2"/>
      <c r="R47" s="19"/>
      <c r="S47" s="2"/>
      <c r="T47" s="2">
        <f>-143.5</f>
        <v>-143.5</v>
      </c>
      <c r="U47" s="2"/>
      <c r="V47" s="19"/>
      <c r="W47" s="2"/>
      <c r="X47" s="2">
        <f t="shared" si="2"/>
        <v>135.25</v>
      </c>
      <c r="Y47" s="2"/>
      <c r="Z47" s="19">
        <f t="shared" si="3"/>
        <v>-0.94250871080139376</v>
      </c>
    </row>
    <row r="48" spans="1:26" s="24" customFormat="1" hidden="1" outlineLevel="1" x14ac:dyDescent="0.35">
      <c r="A48" s="44"/>
      <c r="B48" s="11" t="str">
        <f>CONCATENATE("          ", "4234", " - ", "SALES RETURN TAXABLE-SODA")</f>
        <v xml:space="preserve">          4234 - SALES RETURN TAXABLE-SODA</v>
      </c>
      <c r="C48" s="11"/>
      <c r="D48" s="2">
        <f t="shared" si="4"/>
        <v>0</v>
      </c>
      <c r="E48" s="2"/>
      <c r="F48" s="19"/>
      <c r="G48" s="2"/>
      <c r="H48" s="2">
        <f>-362.88</f>
        <v>-362.88</v>
      </c>
      <c r="I48" s="2"/>
      <c r="J48" s="19"/>
      <c r="K48" s="2"/>
      <c r="L48" s="2">
        <f t="shared" si="0"/>
        <v>362.88</v>
      </c>
      <c r="M48" s="2"/>
      <c r="N48" s="19">
        <f t="shared" si="1"/>
        <v>-1</v>
      </c>
      <c r="O48" s="11"/>
      <c r="P48" s="2">
        <f>0</f>
        <v>0</v>
      </c>
      <c r="Q48" s="2"/>
      <c r="R48" s="19"/>
      <c r="S48" s="2"/>
      <c r="T48" s="2">
        <f>-368.16</f>
        <v>-368.16</v>
      </c>
      <c r="U48" s="2"/>
      <c r="V48" s="19"/>
      <c r="W48" s="2"/>
      <c r="X48" s="2">
        <f t="shared" si="2"/>
        <v>368.16</v>
      </c>
      <c r="Y48" s="2"/>
      <c r="Z48" s="19">
        <f t="shared" si="3"/>
        <v>-1</v>
      </c>
    </row>
    <row r="49" spans="1:26" s="24" customFormat="1" hidden="1" outlineLevel="1" x14ac:dyDescent="0.35">
      <c r="A49" s="44"/>
      <c r="B49" s="11" t="str">
        <f>CONCATENATE("          ", "4281", " - ", "SALES RETURN TAXABLE-ELECTRONI")</f>
        <v xml:space="preserve">          4281 - SALES RETURN TAXABLE-ELECTRONI</v>
      </c>
      <c r="C49" s="11"/>
      <c r="D49" s="2">
        <f t="shared" si="4"/>
        <v>0</v>
      </c>
      <c r="E49" s="2"/>
      <c r="F49" s="19"/>
      <c r="G49" s="2"/>
      <c r="H49" s="2">
        <f t="shared" ref="H49:H51" si="10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-54.97</f>
        <v>-54.97</v>
      </c>
      <c r="Q49" s="2"/>
      <c r="R49" s="19"/>
      <c r="S49" s="2"/>
      <c r="T49" s="2">
        <f>-64.95</f>
        <v>-64.95</v>
      </c>
      <c r="U49" s="2"/>
      <c r="V49" s="19"/>
      <c r="W49" s="2"/>
      <c r="X49" s="2">
        <f t="shared" si="2"/>
        <v>9.980000000000004</v>
      </c>
      <c r="Y49" s="2"/>
      <c r="Z49" s="19">
        <f t="shared" si="3"/>
        <v>-0.1536566589684373</v>
      </c>
    </row>
    <row r="50" spans="1:26" s="24" customFormat="1" hidden="1" outlineLevel="1" x14ac:dyDescent="0.35">
      <c r="A50" s="44"/>
      <c r="B50" s="11" t="str">
        <f>CONCATENATE("          ", "4331", " - ", "SALES RETURN NON TAXABLE-FOOD")</f>
        <v xml:space="preserve">          4331 - SALES RETURN NON TAXABLE-FOOD</v>
      </c>
      <c r="C50" s="11"/>
      <c r="D50" s="2">
        <f t="shared" si="4"/>
        <v>0</v>
      </c>
      <c r="E50" s="2"/>
      <c r="F50" s="19"/>
      <c r="G50" s="2"/>
      <c r="H50" s="2">
        <f t="shared" si="10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-12.57</f>
        <v>-12.57</v>
      </c>
      <c r="Q50" s="2"/>
      <c r="R50" s="19"/>
      <c r="S50" s="2"/>
      <c r="T50" s="2">
        <f t="shared" ref="T50:T51" si="11">0</f>
        <v>0</v>
      </c>
      <c r="U50" s="2"/>
      <c r="V50" s="19"/>
      <c r="W50" s="2"/>
      <c r="X50" s="2">
        <f t="shared" si="2"/>
        <v>-12.57</v>
      </c>
      <c r="Y50" s="2"/>
      <c r="Z50" s="19">
        <f t="shared" si="3"/>
        <v>0</v>
      </c>
    </row>
    <row r="51" spans="1:26" s="24" customFormat="1" hidden="1" outlineLevel="1" x14ac:dyDescent="0.35">
      <c r="A51" s="44"/>
      <c r="B51" s="11" t="str">
        <f>CONCATENATE("          ", "4332", " - ", "SALES RETURN NON TAXABLE-JUICE")</f>
        <v xml:space="preserve">          4332 - SALES RETURN NON TAXABLE-JUICE</v>
      </c>
      <c r="C51" s="11"/>
      <c r="D51" s="2">
        <f t="shared" si="4"/>
        <v>0</v>
      </c>
      <c r="E51" s="2"/>
      <c r="F51" s="19"/>
      <c r="G51" s="2"/>
      <c r="H51" s="2">
        <f t="shared" si="10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-2.79</f>
        <v>-2.79</v>
      </c>
      <c r="Q51" s="2"/>
      <c r="R51" s="19"/>
      <c r="S51" s="2"/>
      <c r="T51" s="2">
        <f t="shared" si="11"/>
        <v>0</v>
      </c>
      <c r="U51" s="2"/>
      <c r="V51" s="19"/>
      <c r="W51" s="2"/>
      <c r="X51" s="2">
        <f t="shared" si="2"/>
        <v>-2.79</v>
      </c>
      <c r="Y51" s="2"/>
      <c r="Z51" s="19">
        <f t="shared" si="3"/>
        <v>0</v>
      </c>
    </row>
    <row r="52" spans="1:26" x14ac:dyDescent="0.3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35">
      <c r="A53" s="10"/>
      <c r="B53" s="29" t="s">
        <v>8</v>
      </c>
      <c r="C53" s="10"/>
      <c r="D53" s="4">
        <f>SUM(OSRRefD16x_0)</f>
        <v>13138.83</v>
      </c>
      <c r="E53" s="4"/>
      <c r="F53" s="13">
        <f t="shared" ref="F53:F74" si="12">IF(D$12=0,0,D53/D$12)</f>
        <v>0</v>
      </c>
      <c r="G53" s="4"/>
      <c r="H53" s="4">
        <f>SUM(OSRRefH16x_0)</f>
        <v>5098.3200000000015</v>
      </c>
      <c r="I53" s="4"/>
      <c r="J53" s="13">
        <f t="shared" ref="J53:J74" si="13">IF(H$12=0,0,H53/H$12)</f>
        <v>3.1131736746333196</v>
      </c>
      <c r="K53" s="4"/>
      <c r="L53" s="4">
        <f t="shared" ref="L53:L74" si="14">+D53-H53</f>
        <v>8040.5099999999984</v>
      </c>
      <c r="M53" s="4"/>
      <c r="N53" s="13">
        <f t="shared" ref="N53:N74" si="15">IF(H53=0,0,L53/H53)</f>
        <v>1.5770901002683229</v>
      </c>
      <c r="O53" s="10"/>
      <c r="P53" s="4">
        <f>SUM(OSRRefP16x_0)</f>
        <v>228933.56</v>
      </c>
      <c r="Q53" s="4"/>
      <c r="R53" s="13">
        <f t="shared" ref="R53:R74" si="16">IF(P$12=0,0,P53/P$12)</f>
        <v>0.55762726165209209</v>
      </c>
      <c r="S53" s="4"/>
      <c r="T53" s="4">
        <f>SUM(OSRRefT16x_0)</f>
        <v>262826.79000000004</v>
      </c>
      <c r="U53" s="4"/>
      <c r="V53" s="13">
        <f t="shared" ref="V53:V74" si="17">IF(T$12=0,0,T53/T$12)</f>
        <v>0.54698538651057182</v>
      </c>
      <c r="W53" s="4"/>
      <c r="X53" s="4">
        <f t="shared" ref="X53:X74" si="18">+P53-T53</f>
        <v>-33893.23000000004</v>
      </c>
      <c r="Y53" s="4"/>
      <c r="Z53" s="13">
        <f t="shared" ref="Z53:Z74" si="19">IF(T53=0,0,X53/T53)</f>
        <v>-0.12895652684416239</v>
      </c>
    </row>
    <row r="54" spans="1:26" s="24" customFormat="1" hidden="1" outlineLevel="1" x14ac:dyDescent="0.35">
      <c r="A54" s="44"/>
      <c r="B54" s="11" t="str">
        <f>CONCATENATE("          ", "5014", " - ", "PURCHASES @ COST-REMAINDERS")</f>
        <v xml:space="preserve">          5014 - PURCHASES @ COST-REMAINDERS</v>
      </c>
      <c r="C54" s="11"/>
      <c r="D54" s="2"/>
      <c r="E54" s="2"/>
      <c r="F54" s="19">
        <f t="shared" si="12"/>
        <v>0</v>
      </c>
      <c r="G54" s="2"/>
      <c r="H54" s="2"/>
      <c r="I54" s="2"/>
      <c r="J54" s="19">
        <f t="shared" si="13"/>
        <v>0</v>
      </c>
      <c r="K54" s="2"/>
      <c r="L54" s="2">
        <f t="shared" si="14"/>
        <v>0</v>
      </c>
      <c r="M54" s="2"/>
      <c r="N54" s="19">
        <f t="shared" si="15"/>
        <v>0</v>
      </c>
      <c r="O54" s="11"/>
      <c r="P54" s="2">
        <v>14.46</v>
      </c>
      <c r="Q54" s="2"/>
      <c r="R54" s="19">
        <f t="shared" si="16"/>
        <v>3.522109298212657E-5</v>
      </c>
      <c r="S54" s="2"/>
      <c r="T54" s="2"/>
      <c r="U54" s="2"/>
      <c r="V54" s="19">
        <f t="shared" si="17"/>
        <v>0</v>
      </c>
      <c r="W54" s="2"/>
      <c r="X54" s="2">
        <f t="shared" si="18"/>
        <v>14.46</v>
      </c>
      <c r="Y54" s="2"/>
      <c r="Z54" s="19">
        <f t="shared" si="19"/>
        <v>0</v>
      </c>
    </row>
    <row r="55" spans="1:26" s="24" customFormat="1" hidden="1" outlineLevel="1" x14ac:dyDescent="0.3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12"/>
        <v>0</v>
      </c>
      <c r="G55" s="2"/>
      <c r="H55" s="2">
        <v>-44</v>
      </c>
      <c r="I55" s="2"/>
      <c r="J55" s="19">
        <f t="shared" si="13"/>
        <v>-2.6867603776119589E-2</v>
      </c>
      <c r="K55" s="2"/>
      <c r="L55" s="2">
        <f t="shared" si="14"/>
        <v>44</v>
      </c>
      <c r="M55" s="2"/>
      <c r="N55" s="19">
        <f t="shared" si="15"/>
        <v>-1</v>
      </c>
      <c r="O55" s="11"/>
      <c r="P55" s="2">
        <v>688.18</v>
      </c>
      <c r="Q55" s="2"/>
      <c r="R55" s="19">
        <f t="shared" si="16"/>
        <v>1.6762414777620927E-3</v>
      </c>
      <c r="S55" s="2"/>
      <c r="T55" s="2">
        <v>1052.8800000000001</v>
      </c>
      <c r="U55" s="2"/>
      <c r="V55" s="19">
        <f t="shared" si="17"/>
        <v>2.1912148824297967E-3</v>
      </c>
      <c r="W55" s="2"/>
      <c r="X55" s="2">
        <f t="shared" si="18"/>
        <v>-364.70000000000016</v>
      </c>
      <c r="Y55" s="2"/>
      <c r="Z55" s="19">
        <f t="shared" si="19"/>
        <v>-0.34638325355216182</v>
      </c>
    </row>
    <row r="56" spans="1:26" s="24" customFormat="1" hidden="1" outlineLevel="1" x14ac:dyDescent="0.3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/>
      <c r="E56" s="2"/>
      <c r="F56" s="19">
        <f t="shared" si="12"/>
        <v>0</v>
      </c>
      <c r="G56" s="2"/>
      <c r="H56" s="2"/>
      <c r="I56" s="2"/>
      <c r="J56" s="19">
        <f t="shared" si="13"/>
        <v>0</v>
      </c>
      <c r="K56" s="2"/>
      <c r="L56" s="2">
        <f t="shared" si="14"/>
        <v>0</v>
      </c>
      <c r="M56" s="2"/>
      <c r="N56" s="19">
        <f t="shared" si="15"/>
        <v>0</v>
      </c>
      <c r="O56" s="11"/>
      <c r="P56" s="2">
        <v>3365.91</v>
      </c>
      <c r="Q56" s="2"/>
      <c r="R56" s="19">
        <f t="shared" si="16"/>
        <v>8.1985497288706525E-3</v>
      </c>
      <c r="S56" s="2"/>
      <c r="T56" s="2">
        <v>2775.75</v>
      </c>
      <c r="U56" s="2"/>
      <c r="V56" s="19">
        <f t="shared" si="17"/>
        <v>5.7767881524053138E-3</v>
      </c>
      <c r="W56" s="2"/>
      <c r="X56" s="2">
        <f t="shared" si="18"/>
        <v>590.15999999999985</v>
      </c>
      <c r="Y56" s="2"/>
      <c r="Z56" s="19">
        <f t="shared" si="19"/>
        <v>0.212612807349365</v>
      </c>
    </row>
    <row r="57" spans="1:26" s="24" customFormat="1" hidden="1" outlineLevel="1" x14ac:dyDescent="0.3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/>
      <c r="E57" s="2"/>
      <c r="F57" s="19">
        <f t="shared" si="12"/>
        <v>0</v>
      </c>
      <c r="G57" s="2"/>
      <c r="H57" s="2">
        <v>-11791.81</v>
      </c>
      <c r="I57" s="2"/>
      <c r="J57" s="19">
        <f t="shared" si="13"/>
        <v>-7.2004017928019248</v>
      </c>
      <c r="K57" s="2"/>
      <c r="L57" s="2">
        <f t="shared" si="14"/>
        <v>11791.81</v>
      </c>
      <c r="M57" s="2"/>
      <c r="N57" s="19">
        <f t="shared" si="15"/>
        <v>-1</v>
      </c>
      <c r="O57" s="11"/>
      <c r="P57" s="2">
        <v>3855.85</v>
      </c>
      <c r="Q57" s="2"/>
      <c r="R57" s="19">
        <f t="shared" si="16"/>
        <v>9.3919260978653323E-3</v>
      </c>
      <c r="S57" s="2"/>
      <c r="T57" s="2">
        <v>3452.02</v>
      </c>
      <c r="U57" s="2"/>
      <c r="V57" s="19">
        <f t="shared" si="17"/>
        <v>7.1842162434895768E-3</v>
      </c>
      <c r="W57" s="2"/>
      <c r="X57" s="2">
        <f t="shared" si="18"/>
        <v>403.82999999999993</v>
      </c>
      <c r="Y57" s="2"/>
      <c r="Z57" s="19">
        <f t="shared" si="19"/>
        <v>0.11698367912121017</v>
      </c>
    </row>
    <row r="58" spans="1:26" s="24" customFormat="1" hidden="1" outlineLevel="1" x14ac:dyDescent="0.3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1190.5</v>
      </c>
      <c r="E58" s="2"/>
      <c r="F58" s="19">
        <f t="shared" si="12"/>
        <v>0</v>
      </c>
      <c r="G58" s="2"/>
      <c r="H58" s="2">
        <v>648.78</v>
      </c>
      <c r="I58" s="2"/>
      <c r="J58" s="19">
        <f t="shared" si="13"/>
        <v>0.39616281767888328</v>
      </c>
      <c r="K58" s="2"/>
      <c r="L58" s="2">
        <f t="shared" si="14"/>
        <v>541.72</v>
      </c>
      <c r="M58" s="2"/>
      <c r="N58" s="19">
        <f t="shared" si="15"/>
        <v>0.83498258269367132</v>
      </c>
      <c r="O58" s="11"/>
      <c r="P58" s="2">
        <v>153156.18</v>
      </c>
      <c r="Q58" s="2"/>
      <c r="R58" s="19">
        <f t="shared" si="16"/>
        <v>0.37305173281931625</v>
      </c>
      <c r="S58" s="2"/>
      <c r="T58" s="2">
        <v>172229.15</v>
      </c>
      <c r="U58" s="2"/>
      <c r="V58" s="19">
        <f t="shared" si="17"/>
        <v>0.35843693171893637</v>
      </c>
      <c r="W58" s="2"/>
      <c r="X58" s="2">
        <f t="shared" si="18"/>
        <v>-19072.97</v>
      </c>
      <c r="Y58" s="2"/>
      <c r="Z58" s="19">
        <f t="shared" si="19"/>
        <v>-0.1107418227402272</v>
      </c>
    </row>
    <row r="59" spans="1:26" s="24" customFormat="1" hidden="1" outlineLevel="1" x14ac:dyDescent="0.35">
      <c r="A59" s="44"/>
      <c r="B59" s="11" t="str">
        <f>CONCATENATE("          ", "5031", " - ", "PURCHASES @ COST-FOOD")</f>
        <v xml:space="preserve">          5031 - PURCHASES @ COST-FOOD</v>
      </c>
      <c r="C59" s="11"/>
      <c r="D59" s="2"/>
      <c r="E59" s="2"/>
      <c r="F59" s="19">
        <f t="shared" si="12"/>
        <v>0</v>
      </c>
      <c r="G59" s="2"/>
      <c r="H59" s="2">
        <v>100.95</v>
      </c>
      <c r="I59" s="2"/>
      <c r="J59" s="19">
        <f t="shared" si="13"/>
        <v>6.1642831845438013E-2</v>
      </c>
      <c r="K59" s="2"/>
      <c r="L59" s="2">
        <f t="shared" si="14"/>
        <v>-100.95</v>
      </c>
      <c r="M59" s="2"/>
      <c r="N59" s="19">
        <f t="shared" si="15"/>
        <v>-1</v>
      </c>
      <c r="O59" s="11"/>
      <c r="P59" s="2">
        <v>32459.350000000002</v>
      </c>
      <c r="Q59" s="2"/>
      <c r="R59" s="19">
        <f t="shared" si="16"/>
        <v>7.9063193948090596E-2</v>
      </c>
      <c r="S59" s="2"/>
      <c r="T59" s="2">
        <v>37254.409999999996</v>
      </c>
      <c r="U59" s="2"/>
      <c r="V59" s="19">
        <f t="shared" si="17"/>
        <v>7.7532499076952185E-2</v>
      </c>
      <c r="W59" s="2"/>
      <c r="X59" s="2">
        <f t="shared" si="18"/>
        <v>-4795.059999999994</v>
      </c>
      <c r="Y59" s="2"/>
      <c r="Z59" s="19">
        <f t="shared" si="19"/>
        <v>-0.1287112049284902</v>
      </c>
    </row>
    <row r="60" spans="1:26" s="24" customFormat="1" hidden="1" outlineLevel="1" x14ac:dyDescent="0.3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/>
      <c r="E60" s="2"/>
      <c r="F60" s="19">
        <f t="shared" si="12"/>
        <v>0</v>
      </c>
      <c r="G60" s="2"/>
      <c r="H60" s="2">
        <v>469.57</v>
      </c>
      <c r="I60" s="2"/>
      <c r="J60" s="19">
        <f t="shared" si="13"/>
        <v>0.28673228875346535</v>
      </c>
      <c r="K60" s="2"/>
      <c r="L60" s="2">
        <f t="shared" si="14"/>
        <v>-469.57</v>
      </c>
      <c r="M60" s="2"/>
      <c r="N60" s="19">
        <f t="shared" si="15"/>
        <v>-1</v>
      </c>
      <c r="O60" s="11"/>
      <c r="P60" s="2">
        <v>7802.45</v>
      </c>
      <c r="Q60" s="2"/>
      <c r="R60" s="19">
        <f t="shared" si="16"/>
        <v>1.9004897436956669E-2</v>
      </c>
      <c r="S60" s="2"/>
      <c r="T60" s="2">
        <v>10038.59</v>
      </c>
      <c r="U60" s="2"/>
      <c r="V60" s="19">
        <f t="shared" si="17"/>
        <v>2.0891941917987739E-2</v>
      </c>
      <c r="W60" s="2"/>
      <c r="X60" s="2">
        <f t="shared" si="18"/>
        <v>-2236.1400000000003</v>
      </c>
      <c r="Y60" s="2"/>
      <c r="Z60" s="19">
        <f t="shared" si="19"/>
        <v>-0.22275439080588014</v>
      </c>
    </row>
    <row r="61" spans="1:26" s="24" customFormat="1" hidden="1" outlineLevel="1" x14ac:dyDescent="0.3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/>
      <c r="E61" s="2"/>
      <c r="F61" s="19">
        <f t="shared" si="12"/>
        <v>0</v>
      </c>
      <c r="G61" s="2"/>
      <c r="H61" s="2"/>
      <c r="I61" s="2"/>
      <c r="J61" s="19">
        <f t="shared" si="13"/>
        <v>0</v>
      </c>
      <c r="K61" s="2"/>
      <c r="L61" s="2">
        <f t="shared" si="14"/>
        <v>0</v>
      </c>
      <c r="M61" s="2"/>
      <c r="N61" s="19">
        <f t="shared" si="15"/>
        <v>0</v>
      </c>
      <c r="O61" s="11"/>
      <c r="P61" s="2">
        <v>8879.33</v>
      </c>
      <c r="Q61" s="2"/>
      <c r="R61" s="19">
        <f t="shared" si="16"/>
        <v>2.1627918917633878E-2</v>
      </c>
      <c r="S61" s="2"/>
      <c r="T61" s="2">
        <v>8680.2199999999993</v>
      </c>
      <c r="U61" s="2"/>
      <c r="V61" s="19">
        <f t="shared" si="17"/>
        <v>1.80649525556234E-2</v>
      </c>
      <c r="W61" s="2"/>
      <c r="X61" s="2">
        <f t="shared" si="18"/>
        <v>199.11000000000058</v>
      </c>
      <c r="Y61" s="2"/>
      <c r="Z61" s="19">
        <f t="shared" si="19"/>
        <v>2.2938358705194176E-2</v>
      </c>
    </row>
    <row r="62" spans="1:26" s="24" customFormat="1" hidden="1" outlineLevel="1" x14ac:dyDescent="0.35">
      <c r="A62" s="44"/>
      <c r="B62" s="11" t="str">
        <f>CONCATENATE("          ", "5034", " - ", "PURCHASES @ COST-SODA")</f>
        <v xml:space="preserve">          5034 - PURCHASES @ COST-SODA</v>
      </c>
      <c r="C62" s="11"/>
      <c r="D62" s="2"/>
      <c r="E62" s="2"/>
      <c r="F62" s="19">
        <f t="shared" si="12"/>
        <v>0</v>
      </c>
      <c r="G62" s="2"/>
      <c r="H62" s="2">
        <v>140.63999999999999</v>
      </c>
      <c r="I62" s="2"/>
      <c r="J62" s="19">
        <f t="shared" si="13"/>
        <v>8.5878631706214958E-2</v>
      </c>
      <c r="K62" s="2"/>
      <c r="L62" s="2">
        <f t="shared" si="14"/>
        <v>-140.63999999999999</v>
      </c>
      <c r="M62" s="2"/>
      <c r="N62" s="19">
        <f t="shared" si="15"/>
        <v>-1</v>
      </c>
      <c r="O62" s="11"/>
      <c r="P62" s="2">
        <v>4033.88</v>
      </c>
      <c r="Q62" s="2"/>
      <c r="R62" s="19">
        <f t="shared" si="16"/>
        <v>9.8255644923057207E-3</v>
      </c>
      <c r="S62" s="2"/>
      <c r="T62" s="2">
        <v>3978.33</v>
      </c>
      <c r="U62" s="2"/>
      <c r="V62" s="19">
        <f t="shared" si="17"/>
        <v>8.2795531335165748E-3</v>
      </c>
      <c r="W62" s="2"/>
      <c r="X62" s="2">
        <f t="shared" si="18"/>
        <v>55.550000000000182</v>
      </c>
      <c r="Y62" s="2"/>
      <c r="Z62" s="19">
        <f t="shared" si="19"/>
        <v>1.396314533987884E-2</v>
      </c>
    </row>
    <row r="63" spans="1:26" s="24" customFormat="1" hidden="1" outlineLevel="1" x14ac:dyDescent="0.3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/>
      <c r="E63" s="2"/>
      <c r="F63" s="19">
        <f t="shared" si="12"/>
        <v>0</v>
      </c>
      <c r="G63" s="2"/>
      <c r="H63" s="2"/>
      <c r="I63" s="2"/>
      <c r="J63" s="19">
        <f t="shared" si="13"/>
        <v>0</v>
      </c>
      <c r="K63" s="2"/>
      <c r="L63" s="2">
        <f t="shared" si="14"/>
        <v>0</v>
      </c>
      <c r="M63" s="2"/>
      <c r="N63" s="19">
        <f t="shared" si="15"/>
        <v>0</v>
      </c>
      <c r="O63" s="11"/>
      <c r="P63" s="2">
        <v>1081.4000000000001</v>
      </c>
      <c r="Q63" s="2"/>
      <c r="R63" s="19">
        <f t="shared" si="16"/>
        <v>2.6340311169344172E-3</v>
      </c>
      <c r="S63" s="2"/>
      <c r="T63" s="2">
        <v>1140.8900000000001</v>
      </c>
      <c r="U63" s="2"/>
      <c r="V63" s="19">
        <f t="shared" si="17"/>
        <v>2.3743780366379174E-3</v>
      </c>
      <c r="W63" s="2"/>
      <c r="X63" s="2">
        <f t="shared" si="18"/>
        <v>-59.490000000000009</v>
      </c>
      <c r="Y63" s="2"/>
      <c r="Z63" s="19">
        <f t="shared" si="19"/>
        <v>-5.2143502002822362E-2</v>
      </c>
    </row>
    <row r="64" spans="1:26" s="24" customFormat="1" hidden="1" outlineLevel="1" x14ac:dyDescent="0.3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/>
      <c r="E64" s="2"/>
      <c r="F64" s="19">
        <f t="shared" si="12"/>
        <v>0</v>
      </c>
      <c r="G64" s="2"/>
      <c r="H64" s="2">
        <v>418.26</v>
      </c>
      <c r="I64" s="2"/>
      <c r="J64" s="19">
        <f t="shared" si="13"/>
        <v>0.2554009989863586</v>
      </c>
      <c r="K64" s="2"/>
      <c r="L64" s="2">
        <f t="shared" si="14"/>
        <v>-418.26</v>
      </c>
      <c r="M64" s="2"/>
      <c r="N64" s="19">
        <f t="shared" si="15"/>
        <v>-1</v>
      </c>
      <c r="O64" s="11"/>
      <c r="P64" s="2">
        <v>5663.81</v>
      </c>
      <c r="Q64" s="2"/>
      <c r="R64" s="19">
        <f t="shared" si="16"/>
        <v>1.3795683170338746E-2</v>
      </c>
      <c r="S64" s="2"/>
      <c r="T64" s="2">
        <v>6222.5</v>
      </c>
      <c r="U64" s="2"/>
      <c r="V64" s="19">
        <f t="shared" si="17"/>
        <v>1.2950036666970033E-2</v>
      </c>
      <c r="W64" s="2"/>
      <c r="X64" s="2">
        <f t="shared" si="18"/>
        <v>-558.6899999999996</v>
      </c>
      <c r="Y64" s="2"/>
      <c r="Z64" s="19">
        <f t="shared" si="19"/>
        <v>-8.9785456006428219E-2</v>
      </c>
    </row>
    <row r="65" spans="1:26" s="24" customFormat="1" hidden="1" outlineLevel="1" x14ac:dyDescent="0.35">
      <c r="A65" s="44"/>
      <c r="B65" s="11" t="str">
        <f>CONCATENATE("          ", "5042", " - ", "PURCHASES @ COST-EVERYDAY GIFT")</f>
        <v xml:space="preserve">          5042 - PURCHASES @ COST-EVERYDAY GIFT</v>
      </c>
      <c r="C65" s="11"/>
      <c r="D65" s="2"/>
      <c r="E65" s="2"/>
      <c r="F65" s="19">
        <f t="shared" si="12"/>
        <v>0</v>
      </c>
      <c r="G65" s="2"/>
      <c r="H65" s="2"/>
      <c r="I65" s="2"/>
      <c r="J65" s="19">
        <f t="shared" si="13"/>
        <v>0</v>
      </c>
      <c r="K65" s="2"/>
      <c r="L65" s="2">
        <f t="shared" si="14"/>
        <v>0</v>
      </c>
      <c r="M65" s="2"/>
      <c r="N65" s="19">
        <f t="shared" si="15"/>
        <v>0</v>
      </c>
      <c r="O65" s="11"/>
      <c r="P65" s="2"/>
      <c r="Q65" s="2"/>
      <c r="R65" s="19">
        <f t="shared" si="16"/>
        <v>0</v>
      </c>
      <c r="S65" s="2"/>
      <c r="T65" s="2">
        <v>-126</v>
      </c>
      <c r="U65" s="2"/>
      <c r="V65" s="19">
        <f t="shared" si="17"/>
        <v>-2.6222653596435906E-4</v>
      </c>
      <c r="W65" s="2"/>
      <c r="X65" s="2">
        <f t="shared" si="18"/>
        <v>126</v>
      </c>
      <c r="Y65" s="2"/>
      <c r="Z65" s="19">
        <f t="shared" si="19"/>
        <v>-1</v>
      </c>
    </row>
    <row r="66" spans="1:26" s="24" customFormat="1" hidden="1" outlineLevel="1" x14ac:dyDescent="0.35">
      <c r="A66" s="44"/>
      <c r="B66" s="11" t="str">
        <f>CONCATENATE("          ", "5081", " - ", "PURCHASES @ COST-ELECTRONICS")</f>
        <v xml:space="preserve">          5081 - PURCHASES @ COST-ELECTRONICS</v>
      </c>
      <c r="C66" s="11"/>
      <c r="D66" s="2"/>
      <c r="E66" s="2"/>
      <c r="F66" s="19">
        <f t="shared" si="12"/>
        <v>0</v>
      </c>
      <c r="G66" s="2"/>
      <c r="H66" s="2">
        <v>-5.89</v>
      </c>
      <c r="I66" s="2"/>
      <c r="J66" s="19">
        <f t="shared" si="13"/>
        <v>-3.5965951418487356E-3</v>
      </c>
      <c r="K66" s="2"/>
      <c r="L66" s="2">
        <f t="shared" si="14"/>
        <v>5.89</v>
      </c>
      <c r="M66" s="2"/>
      <c r="N66" s="19">
        <f t="shared" si="15"/>
        <v>-1</v>
      </c>
      <c r="O66" s="11"/>
      <c r="P66" s="2">
        <v>2008.03</v>
      </c>
      <c r="Q66" s="2"/>
      <c r="R66" s="19">
        <f t="shared" si="16"/>
        <v>4.8910796224688529E-3</v>
      </c>
      <c r="S66" s="2"/>
      <c r="T66" s="2">
        <v>2676.75</v>
      </c>
      <c r="U66" s="2"/>
      <c r="V66" s="19">
        <f t="shared" si="17"/>
        <v>5.570753017004746E-3</v>
      </c>
      <c r="W66" s="2"/>
      <c r="X66" s="2">
        <f t="shared" si="18"/>
        <v>-668.72</v>
      </c>
      <c r="Y66" s="2"/>
      <c r="Z66" s="19">
        <f t="shared" si="19"/>
        <v>-0.24982534790324087</v>
      </c>
    </row>
    <row r="67" spans="1:26" s="24" customFormat="1" hidden="1" outlineLevel="1" x14ac:dyDescent="0.35">
      <c r="A67" s="44"/>
      <c r="B67" s="11" t="str">
        <f>CONCATENATE("          ", "5082", " - ", "PURCHASES @ COST-COMPUTER HARD")</f>
        <v xml:space="preserve">          5082 - PURCHASES @ COST-COMPUTER HARD</v>
      </c>
      <c r="C67" s="11"/>
      <c r="D67" s="2"/>
      <c r="E67" s="2"/>
      <c r="F67" s="19">
        <f t="shared" si="12"/>
        <v>0</v>
      </c>
      <c r="G67" s="2"/>
      <c r="H67" s="2"/>
      <c r="I67" s="2"/>
      <c r="J67" s="19">
        <f t="shared" si="13"/>
        <v>0</v>
      </c>
      <c r="K67" s="2"/>
      <c r="L67" s="2">
        <f t="shared" si="14"/>
        <v>0</v>
      </c>
      <c r="M67" s="2"/>
      <c r="N67" s="19">
        <f t="shared" si="15"/>
        <v>0</v>
      </c>
      <c r="O67" s="11"/>
      <c r="P67" s="2">
        <v>349.6</v>
      </c>
      <c r="Q67" s="2"/>
      <c r="R67" s="19">
        <f t="shared" si="16"/>
        <v>8.5154177776980975E-4</v>
      </c>
      <c r="S67" s="2"/>
      <c r="T67" s="2">
        <v>1118</v>
      </c>
      <c r="U67" s="2"/>
      <c r="V67" s="19">
        <f t="shared" si="17"/>
        <v>2.3267402159377255E-3</v>
      </c>
      <c r="W67" s="2"/>
      <c r="X67" s="2">
        <f t="shared" si="18"/>
        <v>-768.4</v>
      </c>
      <c r="Y67" s="2"/>
      <c r="Z67" s="19">
        <f t="shared" si="19"/>
        <v>-0.68729874776386402</v>
      </c>
    </row>
    <row r="68" spans="1:26" s="24" customFormat="1" hidden="1" outlineLevel="1" x14ac:dyDescent="0.35">
      <c r="A68" s="44"/>
      <c r="B68" s="11" t="str">
        <f>CONCATENATE("          ", "5083", " - ", "PURCHASES @ COST-COMPUTER EQUI")</f>
        <v xml:space="preserve">          5083 - PURCHASES @ COST-COMPUTER EQUI</v>
      </c>
      <c r="C68" s="11"/>
      <c r="D68" s="2"/>
      <c r="E68" s="2"/>
      <c r="F68" s="19">
        <f t="shared" si="12"/>
        <v>0</v>
      </c>
      <c r="G68" s="2"/>
      <c r="H68" s="2"/>
      <c r="I68" s="2"/>
      <c r="J68" s="19">
        <f t="shared" si="13"/>
        <v>0</v>
      </c>
      <c r="K68" s="2"/>
      <c r="L68" s="2">
        <f t="shared" si="14"/>
        <v>0</v>
      </c>
      <c r="M68" s="2"/>
      <c r="N68" s="19">
        <f t="shared" si="15"/>
        <v>0</v>
      </c>
      <c r="O68" s="11"/>
      <c r="P68" s="2">
        <v>304.70999999999998</v>
      </c>
      <c r="Q68" s="2"/>
      <c r="R68" s="19">
        <f t="shared" si="16"/>
        <v>7.4220050087024799E-4</v>
      </c>
      <c r="S68" s="2"/>
      <c r="T68" s="2">
        <v>637.39</v>
      </c>
      <c r="U68" s="2"/>
      <c r="V68" s="19">
        <f t="shared" si="17"/>
        <v>1.3265124742724032E-3</v>
      </c>
      <c r="W68" s="2"/>
      <c r="X68" s="2">
        <f t="shared" si="18"/>
        <v>-332.68</v>
      </c>
      <c r="Y68" s="2"/>
      <c r="Z68" s="19">
        <f t="shared" si="19"/>
        <v>-0.52194104080704129</v>
      </c>
    </row>
    <row r="69" spans="1:26" s="24" customFormat="1" hidden="1" outlineLevel="1" x14ac:dyDescent="0.35">
      <c r="A69" s="44"/>
      <c r="B69" s="11" t="str">
        <f>CONCATENATE("          ", "5086", " - ", "PURCHASES @ COST-COMPUTER SUPP")</f>
        <v xml:space="preserve">          5086 - PURCHASES @ COST-COMPUTER SUPP</v>
      </c>
      <c r="C69" s="11"/>
      <c r="D69" s="2"/>
      <c r="E69" s="2"/>
      <c r="F69" s="19">
        <f t="shared" si="12"/>
        <v>0</v>
      </c>
      <c r="G69" s="2"/>
      <c r="H69" s="2"/>
      <c r="I69" s="2"/>
      <c r="J69" s="19">
        <f t="shared" si="13"/>
        <v>0</v>
      </c>
      <c r="K69" s="2"/>
      <c r="L69" s="2">
        <f t="shared" si="14"/>
        <v>0</v>
      </c>
      <c r="M69" s="2"/>
      <c r="N69" s="19">
        <f t="shared" si="15"/>
        <v>0</v>
      </c>
      <c r="O69" s="11"/>
      <c r="P69" s="2">
        <v>426.22</v>
      </c>
      <c r="Q69" s="2"/>
      <c r="R69" s="19">
        <f t="shared" si="16"/>
        <v>1.0381697268908704E-3</v>
      </c>
      <c r="S69" s="2"/>
      <c r="T69" s="2">
        <v>971.76</v>
      </c>
      <c r="U69" s="2"/>
      <c r="V69" s="19">
        <f t="shared" si="17"/>
        <v>2.0223909411803613E-3</v>
      </c>
      <c r="W69" s="2"/>
      <c r="X69" s="2">
        <f t="shared" si="18"/>
        <v>-545.54</v>
      </c>
      <c r="Y69" s="2"/>
      <c r="Z69" s="19">
        <f t="shared" si="19"/>
        <v>-0.56139375977607642</v>
      </c>
    </row>
    <row r="70" spans="1:26" s="24" customFormat="1" hidden="1" outlineLevel="1" x14ac:dyDescent="0.35">
      <c r="A70" s="44"/>
      <c r="B70" s="11" t="str">
        <f>CONCATENATE("          ", "5200", " - ", "PURCHASES OFFSET")</f>
        <v xml:space="preserve">          5200 - PURCHASES OFFSET</v>
      </c>
      <c r="C70" s="11"/>
      <c r="D70" s="2">
        <v>-1204</v>
      </c>
      <c r="E70" s="2"/>
      <c r="F70" s="19">
        <f t="shared" si="12"/>
        <v>0</v>
      </c>
      <c r="G70" s="2"/>
      <c r="H70" s="2">
        <v>10014</v>
      </c>
      <c r="I70" s="2"/>
      <c r="J70" s="19">
        <f t="shared" si="13"/>
        <v>6.1148223685013985</v>
      </c>
      <c r="K70" s="2"/>
      <c r="L70" s="2">
        <f t="shared" si="14"/>
        <v>-11218</v>
      </c>
      <c r="M70" s="2"/>
      <c r="N70" s="19">
        <f t="shared" si="15"/>
        <v>-1.1202316756540842</v>
      </c>
      <c r="O70" s="11"/>
      <c r="P70" s="2">
        <v>-227198</v>
      </c>
      <c r="Q70" s="2"/>
      <c r="R70" s="19">
        <f t="shared" si="16"/>
        <v>-0.55339985362055266</v>
      </c>
      <c r="S70" s="2"/>
      <c r="T70" s="2">
        <v>-259790</v>
      </c>
      <c r="U70" s="2"/>
      <c r="V70" s="19">
        <f t="shared" si="17"/>
        <v>-0.54066533157286378</v>
      </c>
      <c r="W70" s="2"/>
      <c r="X70" s="2">
        <f t="shared" si="18"/>
        <v>32592</v>
      </c>
      <c r="Y70" s="2"/>
      <c r="Z70" s="19">
        <f t="shared" si="19"/>
        <v>-0.12545517533392356</v>
      </c>
    </row>
    <row r="71" spans="1:26" s="24" customFormat="1" hidden="1" outlineLevel="1" x14ac:dyDescent="0.35">
      <c r="A71" s="44"/>
      <c r="B71" s="11" t="str">
        <f>CONCATENATE("          ", "5300", " - ", "COG$ OFFSET")</f>
        <v xml:space="preserve">          5300 - COG$ OFFSET</v>
      </c>
      <c r="C71" s="11"/>
      <c r="D71" s="2">
        <v>13123</v>
      </c>
      <c r="E71" s="2"/>
      <c r="F71" s="19">
        <f t="shared" si="12"/>
        <v>0</v>
      </c>
      <c r="G71" s="2"/>
      <c r="H71" s="2">
        <v>5099</v>
      </c>
      <c r="I71" s="2"/>
      <c r="J71" s="19">
        <f t="shared" si="13"/>
        <v>3.1135889012371312</v>
      </c>
      <c r="K71" s="2"/>
      <c r="L71" s="2">
        <f t="shared" si="14"/>
        <v>8024</v>
      </c>
      <c r="M71" s="2"/>
      <c r="N71" s="19">
        <f t="shared" si="15"/>
        <v>1.5736418905667777</v>
      </c>
      <c r="O71" s="11"/>
      <c r="P71" s="2">
        <v>228840</v>
      </c>
      <c r="Q71" s="2"/>
      <c r="R71" s="19">
        <f t="shared" si="16"/>
        <v>0.55739937192460876</v>
      </c>
      <c r="S71" s="2"/>
      <c r="T71" s="2">
        <v>262823</v>
      </c>
      <c r="U71" s="2"/>
      <c r="V71" s="19">
        <f t="shared" si="17"/>
        <v>0.54697749890286296</v>
      </c>
      <c r="W71" s="2"/>
      <c r="X71" s="2">
        <f t="shared" si="18"/>
        <v>-33983</v>
      </c>
      <c r="Y71" s="2"/>
      <c r="Z71" s="19">
        <f t="shared" si="19"/>
        <v>-0.12929994711269563</v>
      </c>
    </row>
    <row r="72" spans="1:26" s="24" customFormat="1" hidden="1" outlineLevel="1" x14ac:dyDescent="0.35">
      <c r="A72" s="44"/>
      <c r="B72" s="11" t="str">
        <f>CONCATENATE("          ", "5500", " - ", "FREIGHT-IN")</f>
        <v xml:space="preserve">          5500 - FREIGHT-IN</v>
      </c>
      <c r="C72" s="11"/>
      <c r="D72" s="2">
        <v>16</v>
      </c>
      <c r="E72" s="2"/>
      <c r="F72" s="19">
        <f t="shared" si="12"/>
        <v>0</v>
      </c>
      <c r="G72" s="2"/>
      <c r="H72" s="2"/>
      <c r="I72" s="2"/>
      <c r="J72" s="19">
        <f t="shared" si="13"/>
        <v>0</v>
      </c>
      <c r="K72" s="2"/>
      <c r="L72" s="2">
        <f t="shared" si="14"/>
        <v>16</v>
      </c>
      <c r="M72" s="2"/>
      <c r="N72" s="19">
        <f t="shared" si="15"/>
        <v>0</v>
      </c>
      <c r="O72" s="11"/>
      <c r="P72" s="2">
        <v>96</v>
      </c>
      <c r="Q72" s="2"/>
      <c r="R72" s="19">
        <f t="shared" si="16"/>
        <v>2.3383298245395232E-4</v>
      </c>
      <c r="S72" s="2"/>
      <c r="T72" s="2"/>
      <c r="U72" s="2"/>
      <c r="V72" s="19">
        <f t="shared" si="17"/>
        <v>0</v>
      </c>
      <c r="W72" s="2"/>
      <c r="X72" s="2">
        <f t="shared" si="18"/>
        <v>96</v>
      </c>
      <c r="Y72" s="2"/>
      <c r="Z72" s="19">
        <f t="shared" si="19"/>
        <v>0</v>
      </c>
    </row>
    <row r="73" spans="1:26" s="24" customFormat="1" hidden="1" outlineLevel="1" x14ac:dyDescent="0.35">
      <c r="A73" s="44"/>
      <c r="B73" s="11" t="str">
        <f>CONCATENATE("          ", "5527", " - ", "FREIGHT-IN-SCHOOL SUPPLIES")</f>
        <v xml:space="preserve">          5527 - FREIGHT-IN-SCHOOL SUPPLIES</v>
      </c>
      <c r="C73" s="11"/>
      <c r="D73" s="2"/>
      <c r="E73" s="2"/>
      <c r="F73" s="19">
        <f t="shared" si="12"/>
        <v>0</v>
      </c>
      <c r="G73" s="2"/>
      <c r="H73" s="2"/>
      <c r="I73" s="2"/>
      <c r="J73" s="19">
        <f t="shared" si="13"/>
        <v>0</v>
      </c>
      <c r="K73" s="2"/>
      <c r="L73" s="2">
        <f t="shared" si="14"/>
        <v>0</v>
      </c>
      <c r="M73" s="2"/>
      <c r="N73" s="19">
        <f t="shared" si="15"/>
        <v>0</v>
      </c>
      <c r="O73" s="11"/>
      <c r="P73" s="2">
        <v>369.28</v>
      </c>
      <c r="Q73" s="2"/>
      <c r="R73" s="19">
        <f t="shared" si="16"/>
        <v>8.9947753917286985E-4</v>
      </c>
      <c r="S73" s="2"/>
      <c r="T73" s="2">
        <v>116.26</v>
      </c>
      <c r="U73" s="2"/>
      <c r="V73" s="19">
        <f t="shared" si="17"/>
        <v>2.4195600850171733E-4</v>
      </c>
      <c r="W73" s="2"/>
      <c r="X73" s="2">
        <f t="shared" si="18"/>
        <v>253.01999999999998</v>
      </c>
      <c r="Y73" s="2"/>
      <c r="Z73" s="19">
        <f t="shared" si="19"/>
        <v>2.1763289179425422</v>
      </c>
    </row>
    <row r="74" spans="1:26" s="24" customFormat="1" hidden="1" outlineLevel="1" x14ac:dyDescent="0.35">
      <c r="A74" s="44"/>
      <c r="B74" s="11" t="str">
        <f>CONCATENATE("          ", "5528", " - ", "FREIGHT-IN-ART/TECH")</f>
        <v xml:space="preserve">          5528 - FREIGHT-IN-ART/TECH</v>
      </c>
      <c r="C74" s="11"/>
      <c r="D74" s="2">
        <v>13.33</v>
      </c>
      <c r="E74" s="2"/>
      <c r="F74" s="19">
        <f t="shared" si="12"/>
        <v>0</v>
      </c>
      <c r="G74" s="2"/>
      <c r="H74" s="2">
        <v>48.82</v>
      </c>
      <c r="I74" s="2"/>
      <c r="J74" s="19">
        <f t="shared" si="13"/>
        <v>2.9810827644321778E-2</v>
      </c>
      <c r="K74" s="2"/>
      <c r="L74" s="2">
        <f t="shared" si="14"/>
        <v>-35.49</v>
      </c>
      <c r="M74" s="2"/>
      <c r="N74" s="19">
        <f t="shared" si="15"/>
        <v>-0.72695616550594022</v>
      </c>
      <c r="O74" s="11"/>
      <c r="P74" s="2">
        <v>2736.92</v>
      </c>
      <c r="Q74" s="2"/>
      <c r="R74" s="19">
        <f t="shared" si="16"/>
        <v>6.6664808993528247E-3</v>
      </c>
      <c r="S74" s="2"/>
      <c r="T74" s="2">
        <v>7574.89</v>
      </c>
      <c r="U74" s="2"/>
      <c r="V74" s="19">
        <f t="shared" si="17"/>
        <v>1.576458067469098E-2</v>
      </c>
      <c r="W74" s="2"/>
      <c r="X74" s="2">
        <f t="shared" si="18"/>
        <v>-4837.97</v>
      </c>
      <c r="Y74" s="2"/>
      <c r="Z74" s="19">
        <f t="shared" si="19"/>
        <v>-0.6386851822270686</v>
      </c>
    </row>
    <row r="75" spans="1:26" x14ac:dyDescent="0.3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5">
      <c r="A76" s="10"/>
      <c r="B76" s="28" t="s">
        <v>6</v>
      </c>
      <c r="C76" s="28"/>
      <c r="D76" s="22">
        <f>D12-D53</f>
        <v>-13138.83</v>
      </c>
      <c r="E76" s="14"/>
      <c r="F76" s="21">
        <f>IF(D$12=0,0,D76/D$12)</f>
        <v>0</v>
      </c>
      <c r="G76" s="14"/>
      <c r="H76" s="22">
        <f>H12-H53</f>
        <v>-3460.6600000000017</v>
      </c>
      <c r="I76" s="14"/>
      <c r="J76" s="21">
        <f>IF(H$12=0,0,H76/H$12)</f>
        <v>-2.1131736746333196</v>
      </c>
      <c r="K76" s="15"/>
      <c r="L76" s="22">
        <f>+D76-H76</f>
        <v>-9678.1699999999983</v>
      </c>
      <c r="M76" s="15"/>
      <c r="N76" s="21">
        <f>IF(H76=0,0,L76/H76)</f>
        <v>2.7966254991822352</v>
      </c>
      <c r="O76" s="29"/>
      <c r="P76" s="22">
        <f>P12-P53</f>
        <v>181615.88000000024</v>
      </c>
      <c r="Q76" s="14"/>
      <c r="R76" s="21">
        <f>IF(P$12=0,0,P76/P$12)</f>
        <v>0.44237273834790797</v>
      </c>
      <c r="S76" s="14"/>
      <c r="T76" s="22">
        <f>T12-T53</f>
        <v>217673.77999999991</v>
      </c>
      <c r="U76" s="14"/>
      <c r="V76" s="21">
        <f>IF(T$12=0,0,T76/T$12)</f>
        <v>0.45301461348942818</v>
      </c>
      <c r="W76" s="15"/>
      <c r="X76" s="22">
        <f>+P76-T76</f>
        <v>-36057.899999999674</v>
      </c>
      <c r="Y76" s="15"/>
      <c r="Z76" s="21">
        <f>IF(T76=0,0,X76/T76)</f>
        <v>-0.16565109495502714</v>
      </c>
    </row>
    <row r="77" spans="1:26" x14ac:dyDescent="0.3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35">
      <c r="A78" s="10"/>
      <c r="B78" s="29" t="s">
        <v>9</v>
      </c>
      <c r="C78" s="10"/>
      <c r="D78" s="20">
        <f>SUM(OSRRefD22x_0)</f>
        <v>19716.719999999998</v>
      </c>
      <c r="E78" s="20"/>
      <c r="F78" s="36">
        <f t="shared" ref="F78:F87" si="20">IF(D$12=0,0,D78/D$12)</f>
        <v>0</v>
      </c>
      <c r="G78" s="20"/>
      <c r="H78" s="20">
        <f>SUM(OSRRefH22x_0)</f>
        <v>10997.61</v>
      </c>
      <c r="I78" s="20"/>
      <c r="J78" s="36">
        <f t="shared" ref="J78:J87" si="21">IF(H$12=0,0,H78/H$12)</f>
        <v>6.7154415446429674</v>
      </c>
      <c r="K78" s="4"/>
      <c r="L78" s="20">
        <f t="shared" ref="L78:L87" si="22">+D78-H78</f>
        <v>8719.1099999999969</v>
      </c>
      <c r="M78" s="4"/>
      <c r="N78" s="36">
        <f t="shared" ref="N78:N87" si="23">IF(H78=0,0,L78/H78)</f>
        <v>0.79281862150048932</v>
      </c>
      <c r="O78" s="10"/>
      <c r="P78" s="20">
        <f>SUM(OSRRefP22x_0)</f>
        <v>128257.76</v>
      </c>
      <c r="Q78" s="20"/>
      <c r="R78" s="36">
        <f t="shared" ref="R78:R87" si="24">IF(P$12=0,0,P78/P$12)</f>
        <v>0.31240515149649195</v>
      </c>
      <c r="S78" s="20"/>
      <c r="T78" s="20">
        <f>SUM(OSRRefT22x_0)</f>
        <v>132891.29999999996</v>
      </c>
      <c r="U78" s="20"/>
      <c r="V78" s="36">
        <f t="shared" ref="V78:V87" si="25">IF(T$12=0,0,T78/T$12)</f>
        <v>0.27656845443492395</v>
      </c>
      <c r="W78" s="4"/>
      <c r="X78" s="20">
        <f t="shared" ref="X78:X87" si="26">+P78-T78</f>
        <v>-4633.5399999999645</v>
      </c>
      <c r="Y78" s="4"/>
      <c r="Z78" s="36">
        <f t="shared" ref="Z78:Z87" si="27">IF(T78=0,0,X78/T78)</f>
        <v>-3.4867143296814507E-2</v>
      </c>
    </row>
    <row r="79" spans="1:26" s="25" customFormat="1" outlineLevel="1" collapsed="1" x14ac:dyDescent="0.35">
      <c r="A79" s="26"/>
      <c r="B79" s="12" t="str">
        <f>CONCATENATE("     ","*Benefits                                         ")</f>
        <v xml:space="preserve">     *Benefits                                         </v>
      </c>
      <c r="C79" s="12"/>
      <c r="D79" s="1">
        <f>SUM(OSRRefD22_0x_0)</f>
        <v>-203.94</v>
      </c>
      <c r="E79" s="1"/>
      <c r="F79" s="5">
        <f t="shared" si="20"/>
        <v>0</v>
      </c>
      <c r="G79" s="1"/>
      <c r="H79" s="1">
        <f>SUM(OSRRefH22_0x_0)</f>
        <v>1276.43</v>
      </c>
      <c r="I79" s="1"/>
      <c r="J79" s="5">
        <f t="shared" si="21"/>
        <v>0.77942307927164378</v>
      </c>
      <c r="K79" s="1"/>
      <c r="L79" s="1">
        <f t="shared" si="22"/>
        <v>-1480.3700000000001</v>
      </c>
      <c r="M79" s="1"/>
      <c r="N79" s="5">
        <f t="shared" si="23"/>
        <v>-1.1597737439577571</v>
      </c>
      <c r="O79" s="12"/>
      <c r="P79" s="1">
        <f>SUM(OSRRefP22_0x_0)</f>
        <v>17456.48</v>
      </c>
      <c r="Q79" s="1"/>
      <c r="R79" s="5">
        <f t="shared" si="24"/>
        <v>4.2519799807789263E-2</v>
      </c>
      <c r="S79" s="1"/>
      <c r="T79" s="1">
        <f>SUM(OSRRefT22_0x_0)</f>
        <v>19975.560000000001</v>
      </c>
      <c r="U79" s="1"/>
      <c r="V79" s="5">
        <f t="shared" si="25"/>
        <v>4.157239605355724E-2</v>
      </c>
      <c r="W79" s="1"/>
      <c r="X79" s="1">
        <f t="shared" si="26"/>
        <v>-2519.0800000000017</v>
      </c>
      <c r="Y79" s="1"/>
      <c r="Z79" s="5">
        <f t="shared" si="27"/>
        <v>-0.12610810410321421</v>
      </c>
    </row>
    <row r="80" spans="1:26" s="24" customFormat="1" hidden="1" outlineLevel="2" x14ac:dyDescent="0.35">
      <c r="A80" s="27"/>
      <c r="B80" s="11" t="str">
        <f>CONCATENATE("          ", "6111", " - ", "F.I.C.A.")</f>
        <v xml:space="preserve">          6111 - F.I.C.A.</v>
      </c>
      <c r="C80" s="11"/>
      <c r="D80" s="7"/>
      <c r="E80" s="2"/>
      <c r="F80" s="6">
        <f t="shared" si="20"/>
        <v>0</v>
      </c>
      <c r="G80" s="2"/>
      <c r="H80" s="7">
        <v>272.77</v>
      </c>
      <c r="I80" s="2"/>
      <c r="J80" s="6">
        <f t="shared" si="21"/>
        <v>0.16656082459118499</v>
      </c>
      <c r="K80" s="2"/>
      <c r="L80" s="7">
        <f t="shared" si="22"/>
        <v>-272.77</v>
      </c>
      <c r="M80" s="2"/>
      <c r="N80" s="6">
        <f t="shared" si="23"/>
        <v>-1</v>
      </c>
      <c r="O80" s="11"/>
      <c r="P80" s="7">
        <v>2534.9299999999998</v>
      </c>
      <c r="Q80" s="2"/>
      <c r="R80" s="6">
        <f t="shared" si="24"/>
        <v>6.1744816897083051E-3</v>
      </c>
      <c r="S80" s="2"/>
      <c r="T80" s="7">
        <v>4007.77</v>
      </c>
      <c r="U80" s="2"/>
      <c r="V80" s="6">
        <f t="shared" si="25"/>
        <v>8.3408225717609454E-3</v>
      </c>
      <c r="W80" s="2"/>
      <c r="X80" s="7">
        <f t="shared" si="26"/>
        <v>-1472.8400000000001</v>
      </c>
      <c r="Y80" s="2"/>
      <c r="Z80" s="6">
        <f t="shared" si="27"/>
        <v>-0.36749613875047726</v>
      </c>
    </row>
    <row r="81" spans="1:26" s="24" customFormat="1" hidden="1" outlineLevel="2" x14ac:dyDescent="0.35">
      <c r="A81" s="27"/>
      <c r="B81" s="11" t="str">
        <f>CONCATENATE("          ", "6112", " - ", "COMPENSATION INSURANCE")</f>
        <v xml:space="preserve">          6112 - COMPENSATION INSURANCE</v>
      </c>
      <c r="C81" s="11"/>
      <c r="D81" s="7"/>
      <c r="E81" s="2"/>
      <c r="F81" s="6">
        <f t="shared" si="20"/>
        <v>0</v>
      </c>
      <c r="G81" s="2"/>
      <c r="H81" s="7">
        <v>80.88</v>
      </c>
      <c r="I81" s="2"/>
      <c r="J81" s="6">
        <f t="shared" si="21"/>
        <v>4.9387540759376188E-2</v>
      </c>
      <c r="K81" s="2"/>
      <c r="L81" s="7">
        <f t="shared" si="22"/>
        <v>-80.88</v>
      </c>
      <c r="M81" s="2"/>
      <c r="N81" s="6">
        <f t="shared" si="23"/>
        <v>-1</v>
      </c>
      <c r="O81" s="11"/>
      <c r="P81" s="7">
        <v>1326.62</v>
      </c>
      <c r="Q81" s="2"/>
      <c r="R81" s="6">
        <f t="shared" si="24"/>
        <v>3.2313282414902309E-3</v>
      </c>
      <c r="S81" s="2"/>
      <c r="T81" s="7">
        <v>1031.3</v>
      </c>
      <c r="U81" s="2"/>
      <c r="V81" s="6">
        <f t="shared" si="25"/>
        <v>2.1463033852384401E-3</v>
      </c>
      <c r="W81" s="2"/>
      <c r="X81" s="7">
        <f t="shared" si="26"/>
        <v>295.31999999999994</v>
      </c>
      <c r="Y81" s="2"/>
      <c r="Z81" s="6">
        <f t="shared" si="27"/>
        <v>0.28635702511393379</v>
      </c>
    </row>
    <row r="82" spans="1:26" s="24" customFormat="1" hidden="1" outlineLevel="2" x14ac:dyDescent="0.35">
      <c r="A82" s="27"/>
      <c r="B82" s="11" t="str">
        <f>CONCATENATE("          ", "6113", " - ", "GROUP INSURANCE")</f>
        <v xml:space="preserve">          6113 - GROUP INSURANCE</v>
      </c>
      <c r="C82" s="11"/>
      <c r="D82" s="7"/>
      <c r="E82" s="2"/>
      <c r="F82" s="6">
        <f t="shared" si="20"/>
        <v>0</v>
      </c>
      <c r="G82" s="2"/>
      <c r="H82" s="7">
        <v>488.51</v>
      </c>
      <c r="I82" s="2"/>
      <c r="J82" s="6">
        <f t="shared" si="21"/>
        <v>0.29829757092436771</v>
      </c>
      <c r="K82" s="2"/>
      <c r="L82" s="7">
        <f t="shared" si="22"/>
        <v>-488.51</v>
      </c>
      <c r="M82" s="2"/>
      <c r="N82" s="6">
        <f t="shared" si="23"/>
        <v>-1</v>
      </c>
      <c r="O82" s="11"/>
      <c r="P82" s="7">
        <v>8133.54</v>
      </c>
      <c r="Q82" s="2"/>
      <c r="R82" s="6">
        <f t="shared" si="24"/>
        <v>1.9811353292797075E-2</v>
      </c>
      <c r="S82" s="2"/>
      <c r="T82" s="7">
        <v>6087.36</v>
      </c>
      <c r="U82" s="2"/>
      <c r="V82" s="6">
        <f t="shared" si="25"/>
        <v>1.2668788301333337E-2</v>
      </c>
      <c r="W82" s="2"/>
      <c r="X82" s="7">
        <f t="shared" si="26"/>
        <v>2046.1800000000003</v>
      </c>
      <c r="Y82" s="2"/>
      <c r="Z82" s="6">
        <f t="shared" si="27"/>
        <v>0.33613586185144306</v>
      </c>
    </row>
    <row r="83" spans="1:26" s="24" customFormat="1" hidden="1" outlineLevel="2" x14ac:dyDescent="0.35">
      <c r="A83" s="27"/>
      <c r="B83" s="11" t="str">
        <f>CONCATENATE("          ", "6114", " - ", "STATE UNEMPLOYMENT INSURANCE")</f>
        <v xml:space="preserve">          6114 - STATE UNEMPLOYMENT INSURANCE</v>
      </c>
      <c r="C83" s="11"/>
      <c r="D83" s="7">
        <v>-203.94</v>
      </c>
      <c r="E83" s="2"/>
      <c r="F83" s="6">
        <f t="shared" si="20"/>
        <v>0</v>
      </c>
      <c r="G83" s="2"/>
      <c r="H83" s="7">
        <v>17.670000000000002</v>
      </c>
      <c r="I83" s="2"/>
      <c r="J83" s="6">
        <f t="shared" si="21"/>
        <v>1.0789785425546209E-2</v>
      </c>
      <c r="K83" s="2"/>
      <c r="L83" s="7">
        <f t="shared" si="22"/>
        <v>-221.61</v>
      </c>
      <c r="M83" s="2"/>
      <c r="N83" s="6">
        <f t="shared" si="23"/>
        <v>-12.541595925297113</v>
      </c>
      <c r="O83" s="11"/>
      <c r="P83" s="7">
        <v>0</v>
      </c>
      <c r="Q83" s="2"/>
      <c r="R83" s="6">
        <f t="shared" si="24"/>
        <v>0</v>
      </c>
      <c r="S83" s="2"/>
      <c r="T83" s="7">
        <v>252.04</v>
      </c>
      <c r="U83" s="2"/>
      <c r="V83" s="6">
        <f t="shared" si="25"/>
        <v>5.2453631844807177E-4</v>
      </c>
      <c r="W83" s="2"/>
      <c r="X83" s="7">
        <f t="shared" si="26"/>
        <v>-252.04</v>
      </c>
      <c r="Y83" s="2"/>
      <c r="Z83" s="6">
        <f t="shared" si="27"/>
        <v>-1</v>
      </c>
    </row>
    <row r="84" spans="1:26" s="24" customFormat="1" hidden="1" outlineLevel="2" x14ac:dyDescent="0.35">
      <c r="A84" s="27"/>
      <c r="B84" s="11" t="str">
        <f>CONCATENATE("          ", "6115", " - ", "P.E.R.S.")</f>
        <v xml:space="preserve">          6115 - P.E.R.S.</v>
      </c>
      <c r="C84" s="11"/>
      <c r="D84" s="7"/>
      <c r="E84" s="2"/>
      <c r="F84" s="6">
        <f t="shared" si="20"/>
        <v>0</v>
      </c>
      <c r="G84" s="2"/>
      <c r="H84" s="7"/>
      <c r="I84" s="2"/>
      <c r="J84" s="6">
        <f t="shared" si="21"/>
        <v>0</v>
      </c>
      <c r="K84" s="2"/>
      <c r="L84" s="7">
        <f t="shared" si="22"/>
        <v>0</v>
      </c>
      <c r="M84" s="2"/>
      <c r="N84" s="6">
        <f t="shared" si="23"/>
        <v>0</v>
      </c>
      <c r="O84" s="11"/>
      <c r="P84" s="7">
        <v>1788.49</v>
      </c>
      <c r="Q84" s="2"/>
      <c r="R84" s="6">
        <f t="shared" si="24"/>
        <v>4.3563328207194708E-3</v>
      </c>
      <c r="S84" s="2"/>
      <c r="T84" s="7">
        <v>2578.23</v>
      </c>
      <c r="U84" s="2"/>
      <c r="V84" s="6">
        <f t="shared" si="25"/>
        <v>5.3657168398364239E-3</v>
      </c>
      <c r="W84" s="2"/>
      <c r="X84" s="7">
        <f t="shared" si="26"/>
        <v>-789.74</v>
      </c>
      <c r="Y84" s="2"/>
      <c r="Z84" s="6">
        <f t="shared" si="27"/>
        <v>-0.30631091873106742</v>
      </c>
    </row>
    <row r="85" spans="1:26" s="24" customFormat="1" hidden="1" outlineLevel="2" x14ac:dyDescent="0.35">
      <c r="A85" s="27"/>
      <c r="B85" s="11" t="str">
        <f>CONCATENATE("          ", "6118", " - ", "VACATION")</f>
        <v xml:space="preserve">          6118 - VACATION</v>
      </c>
      <c r="C85" s="11"/>
      <c r="D85" s="7"/>
      <c r="E85" s="2"/>
      <c r="F85" s="6">
        <f t="shared" si="20"/>
        <v>0</v>
      </c>
      <c r="G85" s="2"/>
      <c r="H85" s="7">
        <v>165.96</v>
      </c>
      <c r="I85" s="2"/>
      <c r="J85" s="6">
        <f t="shared" si="21"/>
        <v>0.10133971642465471</v>
      </c>
      <c r="K85" s="2"/>
      <c r="L85" s="7">
        <f t="shared" si="22"/>
        <v>-165.96</v>
      </c>
      <c r="M85" s="2"/>
      <c r="N85" s="6">
        <f t="shared" si="23"/>
        <v>-1</v>
      </c>
      <c r="O85" s="11"/>
      <c r="P85" s="7">
        <v>1686.84</v>
      </c>
      <c r="Q85" s="2"/>
      <c r="R85" s="6">
        <f t="shared" si="24"/>
        <v>4.1087377929440094E-3</v>
      </c>
      <c r="S85" s="2"/>
      <c r="T85" s="7">
        <v>1989.19</v>
      </c>
      <c r="U85" s="2"/>
      <c r="V85" s="6">
        <f t="shared" si="25"/>
        <v>4.1398285958328838E-3</v>
      </c>
      <c r="W85" s="2"/>
      <c r="X85" s="7">
        <f t="shared" si="26"/>
        <v>-302.35000000000014</v>
      </c>
      <c r="Y85" s="2"/>
      <c r="Z85" s="6">
        <f t="shared" si="27"/>
        <v>-0.15199654130575768</v>
      </c>
    </row>
    <row r="86" spans="1:26" s="24" customFormat="1" hidden="1" outlineLevel="2" x14ac:dyDescent="0.35">
      <c r="A86" s="27"/>
      <c r="B86" s="11" t="str">
        <f>CONCATENATE("          ", "6119", " - ", "SICK LEAVE")</f>
        <v xml:space="preserve">          6119 - SICK LEAVE</v>
      </c>
      <c r="C86" s="11"/>
      <c r="D86" s="7"/>
      <c r="E86" s="2"/>
      <c r="F86" s="6">
        <f t="shared" si="20"/>
        <v>0</v>
      </c>
      <c r="G86" s="2"/>
      <c r="H86" s="7">
        <v>132.4</v>
      </c>
      <c r="I86" s="2"/>
      <c r="J86" s="6">
        <f t="shared" si="21"/>
        <v>8.0847062271778042E-2</v>
      </c>
      <c r="K86" s="2"/>
      <c r="L86" s="7">
        <f t="shared" si="22"/>
        <v>-132.4</v>
      </c>
      <c r="M86" s="2"/>
      <c r="N86" s="6">
        <f t="shared" si="23"/>
        <v>-1</v>
      </c>
      <c r="O86" s="11"/>
      <c r="P86" s="7">
        <v>684.81</v>
      </c>
      <c r="Q86" s="2"/>
      <c r="R86" s="6">
        <f t="shared" si="24"/>
        <v>1.6680329657738652E-3</v>
      </c>
      <c r="S86" s="2"/>
      <c r="T86" s="7">
        <v>2264.4</v>
      </c>
      <c r="U86" s="2"/>
      <c r="V86" s="6">
        <f t="shared" si="25"/>
        <v>4.7125854606166239E-3</v>
      </c>
      <c r="W86" s="2"/>
      <c r="X86" s="7">
        <f t="shared" si="26"/>
        <v>-1579.5900000000001</v>
      </c>
      <c r="Y86" s="2"/>
      <c r="Z86" s="6">
        <f t="shared" si="27"/>
        <v>-0.69757551669316376</v>
      </c>
    </row>
    <row r="87" spans="1:26" s="24" customFormat="1" hidden="1" outlineLevel="2" x14ac:dyDescent="0.35">
      <c r="A87" s="27"/>
      <c r="B87" s="11" t="str">
        <f>CONCATENATE("          ", "6156", " - ", "EMPLOYEE MEALS")</f>
        <v xml:space="preserve">          6156 - EMPLOYEE MEALS</v>
      </c>
      <c r="C87" s="11"/>
      <c r="D87" s="7"/>
      <c r="E87" s="2"/>
      <c r="F87" s="6">
        <f t="shared" si="20"/>
        <v>0</v>
      </c>
      <c r="G87" s="2"/>
      <c r="H87" s="7">
        <v>118.24</v>
      </c>
      <c r="I87" s="2"/>
      <c r="J87" s="6">
        <f t="shared" si="21"/>
        <v>7.220057887473591E-2</v>
      </c>
      <c r="K87" s="2"/>
      <c r="L87" s="7">
        <f t="shared" si="22"/>
        <v>-118.24</v>
      </c>
      <c r="M87" s="2"/>
      <c r="N87" s="6">
        <f t="shared" si="23"/>
        <v>-1</v>
      </c>
      <c r="O87" s="11"/>
      <c r="P87" s="7">
        <v>1301.25</v>
      </c>
      <c r="Q87" s="2"/>
      <c r="R87" s="6">
        <f t="shared" si="24"/>
        <v>3.1695330043563065E-3</v>
      </c>
      <c r="S87" s="2"/>
      <c r="T87" s="7">
        <v>1765.27</v>
      </c>
      <c r="U87" s="2"/>
      <c r="V87" s="6">
        <f t="shared" si="25"/>
        <v>3.6738145804905086E-3</v>
      </c>
      <c r="W87" s="2"/>
      <c r="X87" s="7">
        <f t="shared" si="26"/>
        <v>-464.02</v>
      </c>
      <c r="Y87" s="2"/>
      <c r="Z87" s="6">
        <f t="shared" si="27"/>
        <v>-0.26286063888243721</v>
      </c>
    </row>
    <row r="88" spans="1:26" s="25" customFormat="1" outlineLevel="1" collapsed="1" x14ac:dyDescent="0.35">
      <c r="A88" s="26"/>
      <c r="B88" s="12" t="str">
        <f>CONCATENATE("     ","*Payroll                                          ")</f>
        <v xml:space="preserve">     *Payroll                                          </v>
      </c>
      <c r="C88" s="12"/>
      <c r="D88" s="1">
        <f>SUM(OSRRefD22_1x_0)</f>
        <v>0</v>
      </c>
      <c r="E88" s="1"/>
      <c r="F88" s="5">
        <f t="shared" ref="F88:F92" si="28">IF(D$12=0,0,D88/D$12)</f>
        <v>0</v>
      </c>
      <c r="G88" s="1"/>
      <c r="H88" s="1">
        <f>SUM(OSRRefH22_1x_0)</f>
        <v>3565.6</v>
      </c>
      <c r="I88" s="1"/>
      <c r="J88" s="5">
        <f t="shared" ref="J88:J92" si="29">IF(H$12=0,0,H88/H$12)</f>
        <v>2.1772529096393636</v>
      </c>
      <c r="K88" s="1"/>
      <c r="L88" s="1">
        <f t="shared" ref="L88:L92" si="30">+D88-H88</f>
        <v>-3565.6</v>
      </c>
      <c r="M88" s="1"/>
      <c r="N88" s="5">
        <f t="shared" ref="N88:N92" si="31">IF(H88=0,0,L88/H88)</f>
        <v>-1</v>
      </c>
      <c r="O88" s="12"/>
      <c r="P88" s="1">
        <f>SUM(OSRRefP22_1x_0)</f>
        <v>74046.41</v>
      </c>
      <c r="Q88" s="1"/>
      <c r="R88" s="5">
        <f t="shared" ref="R88:R92" si="32">IF(P$12=0,0,P88/P$12)</f>
        <v>0.18035930094070998</v>
      </c>
      <c r="S88" s="1"/>
      <c r="T88" s="1">
        <f>SUM(OSRRefT22_1x_0)</f>
        <v>85354.81</v>
      </c>
      <c r="U88" s="1"/>
      <c r="V88" s="5">
        <f t="shared" ref="V88:V92" si="33">IF(T$12=0,0,T88/T$12)</f>
        <v>0.17763727106504787</v>
      </c>
      <c r="W88" s="1"/>
      <c r="X88" s="1">
        <f t="shared" ref="X88:X92" si="34">+P88-T88</f>
        <v>-11308.399999999994</v>
      </c>
      <c r="Y88" s="1"/>
      <c r="Z88" s="5">
        <f t="shared" ref="Z88:Z92" si="35">IF(T88=0,0,X88/T88)</f>
        <v>-0.1324869682212402</v>
      </c>
    </row>
    <row r="89" spans="1:26" s="24" customFormat="1" hidden="1" outlineLevel="2" x14ac:dyDescent="0.35">
      <c r="A89" s="27"/>
      <c r="B89" s="11" t="str">
        <f>CONCATENATE("          ", "6002", " - ", "STAFF SALARIES")</f>
        <v xml:space="preserve">          6002 - STAFF SALARIES</v>
      </c>
      <c r="C89" s="11"/>
      <c r="D89" s="7"/>
      <c r="E89" s="2"/>
      <c r="F89" s="6">
        <f t="shared" si="28"/>
        <v>0</v>
      </c>
      <c r="G89" s="2"/>
      <c r="H89" s="7">
        <v>2837.35</v>
      </c>
      <c r="I89" s="2"/>
      <c r="J89" s="6">
        <f t="shared" si="29"/>
        <v>1.7325635357766571</v>
      </c>
      <c r="K89" s="2"/>
      <c r="L89" s="7">
        <f t="shared" si="30"/>
        <v>-2837.35</v>
      </c>
      <c r="M89" s="2"/>
      <c r="N89" s="6">
        <f t="shared" si="31"/>
        <v>-1</v>
      </c>
      <c r="O89" s="11"/>
      <c r="P89" s="7">
        <v>20966.809999999998</v>
      </c>
      <c r="Q89" s="2"/>
      <c r="R89" s="6">
        <f t="shared" si="32"/>
        <v>5.1070122029639078E-2</v>
      </c>
      <c r="S89" s="2"/>
      <c r="T89" s="7">
        <v>34371.5</v>
      </c>
      <c r="U89" s="2"/>
      <c r="V89" s="6">
        <f t="shared" si="33"/>
        <v>7.1532693499198149E-2</v>
      </c>
      <c r="W89" s="2"/>
      <c r="X89" s="7">
        <f t="shared" si="34"/>
        <v>-13404.690000000002</v>
      </c>
      <c r="Y89" s="2"/>
      <c r="Z89" s="6">
        <f t="shared" si="35"/>
        <v>-0.38999432669508177</v>
      </c>
    </row>
    <row r="90" spans="1:26" s="24" customFormat="1" hidden="1" outlineLevel="2" x14ac:dyDescent="0.35">
      <c r="A90" s="27"/>
      <c r="B90" s="11" t="str">
        <f>CONCATENATE("          ", "6005", " - ", "TEMPORARY WAGES-HOURLY")</f>
        <v xml:space="preserve">          6005 - TEMPORARY WAGES-HOURLY</v>
      </c>
      <c r="C90" s="11"/>
      <c r="D90" s="7"/>
      <c r="E90" s="2"/>
      <c r="F90" s="6">
        <f t="shared" si="28"/>
        <v>0</v>
      </c>
      <c r="G90" s="2"/>
      <c r="H90" s="7"/>
      <c r="I90" s="2"/>
      <c r="J90" s="6">
        <f t="shared" si="29"/>
        <v>0</v>
      </c>
      <c r="K90" s="2"/>
      <c r="L90" s="7">
        <f t="shared" si="30"/>
        <v>0</v>
      </c>
      <c r="M90" s="2"/>
      <c r="N90" s="6">
        <f t="shared" si="31"/>
        <v>0</v>
      </c>
      <c r="O90" s="11"/>
      <c r="P90" s="7">
        <v>7121.65</v>
      </c>
      <c r="Q90" s="2"/>
      <c r="R90" s="6">
        <f t="shared" si="32"/>
        <v>1.7346631869720724E-2</v>
      </c>
      <c r="S90" s="2"/>
      <c r="T90" s="7"/>
      <c r="U90" s="2"/>
      <c r="V90" s="6">
        <f t="shared" si="33"/>
        <v>0</v>
      </c>
      <c r="W90" s="2"/>
      <c r="X90" s="7">
        <f t="shared" si="34"/>
        <v>7121.65</v>
      </c>
      <c r="Y90" s="2"/>
      <c r="Z90" s="6">
        <f t="shared" si="35"/>
        <v>0</v>
      </c>
    </row>
    <row r="91" spans="1:26" s="24" customFormat="1" hidden="1" outlineLevel="2" x14ac:dyDescent="0.35">
      <c r="A91" s="27"/>
      <c r="B91" s="11" t="str">
        <f>CONCATENATE("          ", "6006", " - ", "TEMPORARY PART TIME")</f>
        <v xml:space="preserve">          6006 - TEMPORARY PART TIME</v>
      </c>
      <c r="C91" s="11"/>
      <c r="D91" s="7"/>
      <c r="E91" s="2"/>
      <c r="F91" s="6">
        <f t="shared" si="28"/>
        <v>0</v>
      </c>
      <c r="G91" s="2"/>
      <c r="H91" s="7"/>
      <c r="I91" s="2"/>
      <c r="J91" s="6">
        <f t="shared" si="29"/>
        <v>0</v>
      </c>
      <c r="K91" s="2"/>
      <c r="L91" s="7">
        <f t="shared" si="30"/>
        <v>0</v>
      </c>
      <c r="M91" s="2"/>
      <c r="N91" s="6">
        <f t="shared" si="31"/>
        <v>0</v>
      </c>
      <c r="O91" s="11"/>
      <c r="P91" s="7">
        <v>25.5</v>
      </c>
      <c r="Q91" s="2"/>
      <c r="R91" s="6">
        <f t="shared" si="32"/>
        <v>6.2111885964331076E-5</v>
      </c>
      <c r="S91" s="2"/>
      <c r="T91" s="7">
        <v>4261.5</v>
      </c>
      <c r="U91" s="2"/>
      <c r="V91" s="6">
        <f t="shared" si="33"/>
        <v>8.8688760556517136E-3</v>
      </c>
      <c r="W91" s="2"/>
      <c r="X91" s="7">
        <f t="shared" si="34"/>
        <v>-4236</v>
      </c>
      <c r="Y91" s="2"/>
      <c r="Z91" s="6">
        <f t="shared" si="35"/>
        <v>-0.99401619148187259</v>
      </c>
    </row>
    <row r="92" spans="1:26" s="24" customFormat="1" hidden="1" outlineLevel="2" x14ac:dyDescent="0.35">
      <c r="A92" s="27"/>
      <c r="B92" s="11" t="str">
        <f>CONCATENATE("          ", "6007", " - ", "STUDENT HOURLY")</f>
        <v xml:space="preserve">          6007 - STUDENT HOURLY</v>
      </c>
      <c r="C92" s="11"/>
      <c r="D92" s="7"/>
      <c r="E92" s="2"/>
      <c r="F92" s="6">
        <f t="shared" si="28"/>
        <v>0</v>
      </c>
      <c r="G92" s="2"/>
      <c r="H92" s="7">
        <v>728.25</v>
      </c>
      <c r="I92" s="2"/>
      <c r="J92" s="6">
        <f t="shared" si="29"/>
        <v>0.44468937386270657</v>
      </c>
      <c r="K92" s="2"/>
      <c r="L92" s="7">
        <f t="shared" si="30"/>
        <v>-728.25</v>
      </c>
      <c r="M92" s="2"/>
      <c r="N92" s="6">
        <f t="shared" si="31"/>
        <v>-1</v>
      </c>
      <c r="O92" s="11"/>
      <c r="P92" s="7">
        <v>45932.45</v>
      </c>
      <c r="Q92" s="2"/>
      <c r="R92" s="6">
        <f t="shared" si="32"/>
        <v>0.11188043515538584</v>
      </c>
      <c r="S92" s="2"/>
      <c r="T92" s="7">
        <v>46721.81</v>
      </c>
      <c r="U92" s="2"/>
      <c r="V92" s="6">
        <f t="shared" si="33"/>
        <v>9.7235701510198003E-2</v>
      </c>
      <c r="W92" s="2"/>
      <c r="X92" s="7">
        <f t="shared" si="34"/>
        <v>-789.36000000000058</v>
      </c>
      <c r="Y92" s="2"/>
      <c r="Z92" s="6">
        <f t="shared" si="35"/>
        <v>-1.689489341273381E-2</v>
      </c>
    </row>
    <row r="93" spans="1:26" s="25" customFormat="1" outlineLevel="1" collapsed="1" x14ac:dyDescent="0.35">
      <c r="A93" s="26"/>
      <c r="B93" s="12" t="str">
        <f>CONCATENATE("     ","Advertising/Promo                                 ")</f>
        <v xml:space="preserve">     Advertising/Promo                                 </v>
      </c>
      <c r="C93" s="12"/>
      <c r="D93" s="1">
        <f>SUM(OSRRefD22_2x_0)</f>
        <v>0</v>
      </c>
      <c r="E93" s="1"/>
      <c r="F93" s="5">
        <f t="shared" ref="F93:F99" si="36">IF(D$12=0,0,D93/D$12)</f>
        <v>0</v>
      </c>
      <c r="G93" s="1"/>
      <c r="H93" s="1">
        <f>SUM(OSRRefH22_2x_0)</f>
        <v>0</v>
      </c>
      <c r="I93" s="1"/>
      <c r="J93" s="5">
        <f t="shared" ref="J93:J99" si="37">IF(H$12=0,0,H93/H$12)</f>
        <v>0</v>
      </c>
      <c r="K93" s="1"/>
      <c r="L93" s="1">
        <f t="shared" ref="L93:L99" si="38">+D93-H93</f>
        <v>0</v>
      </c>
      <c r="M93" s="1"/>
      <c r="N93" s="5">
        <f t="shared" ref="N93:N99" si="39">IF(H93=0,0,L93/H93)</f>
        <v>0</v>
      </c>
      <c r="O93" s="12"/>
      <c r="P93" s="1">
        <f>SUM(OSRRefP22_2x_0)</f>
        <v>963.62</v>
      </c>
      <c r="Q93" s="1"/>
      <c r="R93" s="5">
        <f t="shared" ref="R93:R99" si="40">IF(P$12=0,0,P93/P$12)</f>
        <v>2.3471472765862244E-3</v>
      </c>
      <c r="S93" s="1"/>
      <c r="T93" s="1">
        <f>SUM(OSRRefT22_2x_0)</f>
        <v>27</v>
      </c>
      <c r="U93" s="1"/>
      <c r="V93" s="5">
        <f t="shared" ref="V93:V99" si="41">IF(T$12=0,0,T93/T$12)</f>
        <v>5.619140056379122E-5</v>
      </c>
      <c r="W93" s="1"/>
      <c r="X93" s="1">
        <f t="shared" ref="X93:X99" si="42">+P93-T93</f>
        <v>936.62</v>
      </c>
      <c r="Y93" s="1"/>
      <c r="Z93" s="5">
        <f t="shared" ref="Z93:Z99" si="43">IF(T93=0,0,X93/T93)</f>
        <v>34.689629629629628</v>
      </c>
    </row>
    <row r="94" spans="1:26" s="24" customFormat="1" hidden="1" outlineLevel="2" x14ac:dyDescent="0.35">
      <c r="A94" s="27"/>
      <c r="B94" s="11" t="str">
        <f>CONCATENATE("          ", "6362", " - ", "ADVERTISING EXPENSE")</f>
        <v xml:space="preserve">          6362 - ADVERTISING EXPENSE</v>
      </c>
      <c r="C94" s="11"/>
      <c r="D94" s="7"/>
      <c r="E94" s="2"/>
      <c r="F94" s="6">
        <f t="shared" si="36"/>
        <v>0</v>
      </c>
      <c r="G94" s="2"/>
      <c r="H94" s="7"/>
      <c r="I94" s="2"/>
      <c r="J94" s="6">
        <f t="shared" si="37"/>
        <v>0</v>
      </c>
      <c r="K94" s="2"/>
      <c r="L94" s="7">
        <f t="shared" si="38"/>
        <v>0</v>
      </c>
      <c r="M94" s="2"/>
      <c r="N94" s="6">
        <f t="shared" si="39"/>
        <v>0</v>
      </c>
      <c r="O94" s="11"/>
      <c r="P94" s="7">
        <v>963.62</v>
      </c>
      <c r="Q94" s="2"/>
      <c r="R94" s="6">
        <f t="shared" si="40"/>
        <v>2.3471472765862244E-3</v>
      </c>
      <c r="S94" s="2"/>
      <c r="T94" s="7">
        <v>27</v>
      </c>
      <c r="U94" s="2"/>
      <c r="V94" s="6">
        <f t="shared" si="41"/>
        <v>5.619140056379122E-5</v>
      </c>
      <c r="W94" s="2"/>
      <c r="X94" s="7">
        <f t="shared" si="42"/>
        <v>936.62</v>
      </c>
      <c r="Y94" s="2"/>
      <c r="Z94" s="6">
        <f t="shared" si="43"/>
        <v>34.689629629629628</v>
      </c>
    </row>
    <row r="95" spans="1:26" s="25" customFormat="1" outlineLevel="1" collapsed="1" x14ac:dyDescent="0.35">
      <c r="A95" s="26"/>
      <c r="B95" s="12" t="str">
        <f>CONCATENATE("     ","Bad Debts/Over/Short                              ")</f>
        <v xml:space="preserve">     Bad Debts/Over/Short                              </v>
      </c>
      <c r="C95" s="12"/>
      <c r="D95" s="1">
        <f>SUM(OSRRefD22_3x_0)</f>
        <v>0</v>
      </c>
      <c r="E95" s="1"/>
      <c r="F95" s="5">
        <f t="shared" si="36"/>
        <v>0</v>
      </c>
      <c r="G95" s="1"/>
      <c r="H95" s="1">
        <f>SUM(OSRRefH22_3x_0)</f>
        <v>-0.83</v>
      </c>
      <c r="I95" s="1"/>
      <c r="J95" s="5">
        <f t="shared" si="37"/>
        <v>-5.068207075949831E-4</v>
      </c>
      <c r="K95" s="1"/>
      <c r="L95" s="1">
        <f t="shared" si="38"/>
        <v>0.83</v>
      </c>
      <c r="M95" s="1"/>
      <c r="N95" s="5">
        <f t="shared" si="39"/>
        <v>-1</v>
      </c>
      <c r="O95" s="12"/>
      <c r="P95" s="1">
        <f>SUM(OSRRefP22_3x_0)</f>
        <v>-55.84</v>
      </c>
      <c r="Q95" s="1"/>
      <c r="R95" s="5">
        <f t="shared" si="40"/>
        <v>-1.360128514607156E-4</v>
      </c>
      <c r="S95" s="1"/>
      <c r="T95" s="1">
        <f>SUM(OSRRefT22_3x_0)</f>
        <v>11.22</v>
      </c>
      <c r="U95" s="1"/>
      <c r="V95" s="5">
        <f t="shared" si="41"/>
        <v>2.3350648678731019E-5</v>
      </c>
      <c r="W95" s="1"/>
      <c r="X95" s="1">
        <f t="shared" si="42"/>
        <v>-67.06</v>
      </c>
      <c r="Y95" s="1"/>
      <c r="Z95" s="5">
        <f t="shared" si="43"/>
        <v>-5.9768270944741531</v>
      </c>
    </row>
    <row r="96" spans="1:26" s="24" customFormat="1" hidden="1" outlineLevel="2" x14ac:dyDescent="0.35">
      <c r="A96" s="27"/>
      <c r="B96" s="11" t="str">
        <f>CONCATENATE("          ", "6272", " - ", "CASH (OVER/SHORT)")</f>
        <v xml:space="preserve">          6272 - CASH (OVER/SHORT)</v>
      </c>
      <c r="C96" s="11"/>
      <c r="D96" s="7"/>
      <c r="E96" s="2"/>
      <c r="F96" s="6">
        <f t="shared" si="36"/>
        <v>0</v>
      </c>
      <c r="G96" s="2"/>
      <c r="H96" s="7">
        <v>-0.83</v>
      </c>
      <c r="I96" s="2"/>
      <c r="J96" s="6">
        <f t="shared" si="37"/>
        <v>-5.068207075949831E-4</v>
      </c>
      <c r="K96" s="2"/>
      <c r="L96" s="7">
        <f t="shared" si="38"/>
        <v>0.83</v>
      </c>
      <c r="M96" s="2"/>
      <c r="N96" s="6">
        <f t="shared" si="39"/>
        <v>-1</v>
      </c>
      <c r="O96" s="11"/>
      <c r="P96" s="7">
        <v>-55.84</v>
      </c>
      <c r="Q96" s="2"/>
      <c r="R96" s="6">
        <f t="shared" si="40"/>
        <v>-1.360128514607156E-4</v>
      </c>
      <c r="S96" s="2"/>
      <c r="T96" s="7">
        <v>11.22</v>
      </c>
      <c r="U96" s="2"/>
      <c r="V96" s="6">
        <f t="shared" si="41"/>
        <v>2.3350648678731019E-5</v>
      </c>
      <c r="W96" s="2"/>
      <c r="X96" s="7">
        <f t="shared" si="42"/>
        <v>-67.06</v>
      </c>
      <c r="Y96" s="2"/>
      <c r="Z96" s="6">
        <f t="shared" si="43"/>
        <v>-5.9768270944741531</v>
      </c>
    </row>
    <row r="97" spans="1:26" s="25" customFormat="1" outlineLevel="1" collapsed="1" x14ac:dyDescent="0.35">
      <c r="A97" s="26"/>
      <c r="B97" s="12" t="str">
        <f>CONCATENATE("     ","Discounts and Markdowns                           ")</f>
        <v xml:space="preserve">     Discounts and Markdowns                           </v>
      </c>
      <c r="C97" s="12"/>
      <c r="D97" s="1">
        <f>SUM(OSRRefD22_4x_0)</f>
        <v>0</v>
      </c>
      <c r="E97" s="1"/>
      <c r="F97" s="5">
        <f t="shared" si="36"/>
        <v>0</v>
      </c>
      <c r="G97" s="1"/>
      <c r="H97" s="1">
        <f>SUM(OSRRefH22_4x_0)</f>
        <v>41.46</v>
      </c>
      <c r="I97" s="1"/>
      <c r="J97" s="5">
        <f t="shared" si="37"/>
        <v>2.5316610285407229E-2</v>
      </c>
      <c r="K97" s="1"/>
      <c r="L97" s="1">
        <f t="shared" si="38"/>
        <v>-41.46</v>
      </c>
      <c r="M97" s="1"/>
      <c r="N97" s="5">
        <f t="shared" si="39"/>
        <v>-1</v>
      </c>
      <c r="O97" s="12"/>
      <c r="P97" s="1">
        <f>SUM(OSRRefP22_4x_0)</f>
        <v>8936.44</v>
      </c>
      <c r="Q97" s="1"/>
      <c r="R97" s="5">
        <f t="shared" si="40"/>
        <v>2.1767025184591643E-2</v>
      </c>
      <c r="S97" s="1"/>
      <c r="T97" s="1">
        <f>SUM(OSRRefT22_4x_0)</f>
        <v>8799.0800000000017</v>
      </c>
      <c r="U97" s="1"/>
      <c r="V97" s="5">
        <f t="shared" si="41"/>
        <v>1.8312319587883118E-2</v>
      </c>
      <c r="W97" s="1"/>
      <c r="X97" s="1">
        <f t="shared" si="42"/>
        <v>137.35999999999876</v>
      </c>
      <c r="Y97" s="1"/>
      <c r="Z97" s="5">
        <f t="shared" si="43"/>
        <v>1.561072293921623E-2</v>
      </c>
    </row>
    <row r="98" spans="1:26" s="24" customFormat="1" hidden="1" outlineLevel="2" x14ac:dyDescent="0.35">
      <c r="A98" s="27"/>
      <c r="B98" s="11" t="str">
        <f>CONCATENATE("          ", "6382", " - ", "DISCOUNTS/MARK DOWNS")</f>
        <v xml:space="preserve">          6382 - DISCOUNTS/MARK DOWNS</v>
      </c>
      <c r="C98" s="11"/>
      <c r="D98" s="7"/>
      <c r="E98" s="2"/>
      <c r="F98" s="6">
        <f t="shared" si="36"/>
        <v>0</v>
      </c>
      <c r="G98" s="2"/>
      <c r="H98" s="7">
        <v>41.46</v>
      </c>
      <c r="I98" s="2"/>
      <c r="J98" s="6">
        <f t="shared" si="37"/>
        <v>2.5316610285407229E-2</v>
      </c>
      <c r="K98" s="2"/>
      <c r="L98" s="7">
        <f t="shared" si="38"/>
        <v>-41.46</v>
      </c>
      <c r="M98" s="2"/>
      <c r="N98" s="6">
        <f t="shared" si="39"/>
        <v>-1</v>
      </c>
      <c r="O98" s="11"/>
      <c r="P98" s="7">
        <v>8936.44</v>
      </c>
      <c r="Q98" s="2"/>
      <c r="R98" s="6">
        <f t="shared" si="40"/>
        <v>2.1767025184591643E-2</v>
      </c>
      <c r="S98" s="2"/>
      <c r="T98" s="7">
        <v>8868.0400000000009</v>
      </c>
      <c r="U98" s="2"/>
      <c r="V98" s="6">
        <f t="shared" si="41"/>
        <v>1.8455836587249006E-2</v>
      </c>
      <c r="W98" s="2"/>
      <c r="X98" s="7">
        <f t="shared" si="42"/>
        <v>68.399999999999636</v>
      </c>
      <c r="Y98" s="2"/>
      <c r="Z98" s="6">
        <f t="shared" si="43"/>
        <v>7.7130910550696243E-3</v>
      </c>
    </row>
    <row r="99" spans="1:26" s="24" customFormat="1" hidden="1" outlineLevel="2" x14ac:dyDescent="0.35">
      <c r="A99" s="27"/>
      <c r="B99" s="11" t="str">
        <f>CONCATENATE("          ", "9175", " - ", "EARNED DISCOUNTS")</f>
        <v xml:space="preserve">          9175 - EARNED DISCOUNTS</v>
      </c>
      <c r="C99" s="11"/>
      <c r="D99" s="7"/>
      <c r="E99" s="2"/>
      <c r="F99" s="6">
        <f t="shared" si="36"/>
        <v>0</v>
      </c>
      <c r="G99" s="2"/>
      <c r="H99" s="7"/>
      <c r="I99" s="2"/>
      <c r="J99" s="6">
        <f t="shared" si="37"/>
        <v>0</v>
      </c>
      <c r="K99" s="2"/>
      <c r="L99" s="7">
        <f t="shared" si="38"/>
        <v>0</v>
      </c>
      <c r="M99" s="2"/>
      <c r="N99" s="6">
        <f t="shared" si="39"/>
        <v>0</v>
      </c>
      <c r="O99" s="11"/>
      <c r="P99" s="7">
        <v>0</v>
      </c>
      <c r="Q99" s="2"/>
      <c r="R99" s="6">
        <f t="shared" si="40"/>
        <v>0</v>
      </c>
      <c r="S99" s="2"/>
      <c r="T99" s="7">
        <v>-68.959999999999994</v>
      </c>
      <c r="U99" s="2"/>
      <c r="V99" s="6">
        <f t="shared" si="41"/>
        <v>-1.4351699936589044E-4</v>
      </c>
      <c r="W99" s="2"/>
      <c r="X99" s="7">
        <f t="shared" si="42"/>
        <v>68.959999999999994</v>
      </c>
      <c r="Y99" s="2"/>
      <c r="Z99" s="6">
        <f t="shared" si="43"/>
        <v>-1</v>
      </c>
    </row>
    <row r="100" spans="1:26" s="25" customFormat="1" outlineLevel="1" collapsed="1" x14ac:dyDescent="0.35">
      <c r="A100" s="26"/>
      <c r="B100" s="12" t="str">
        <f>CONCATENATE("     ","General                                           ")</f>
        <v xml:space="preserve">     General                                           </v>
      </c>
      <c r="C100" s="12"/>
      <c r="D100" s="1">
        <f>SUM(OSRRefD22_5x_0)</f>
        <v>0</v>
      </c>
      <c r="E100" s="1"/>
      <c r="F100" s="5">
        <f t="shared" ref="F100:F124" si="44">IF(D$12=0,0,D100/D$12)</f>
        <v>0</v>
      </c>
      <c r="G100" s="1"/>
      <c r="H100" s="1">
        <f>SUM(OSRRefH22_5x_0)</f>
        <v>0</v>
      </c>
      <c r="I100" s="1"/>
      <c r="J100" s="5">
        <f t="shared" ref="J100:J124" si="45">IF(H$12=0,0,H100/H$12)</f>
        <v>0</v>
      </c>
      <c r="K100" s="1"/>
      <c r="L100" s="1">
        <f t="shared" ref="L100:L124" si="46">+D100-H100</f>
        <v>0</v>
      </c>
      <c r="M100" s="1"/>
      <c r="N100" s="5">
        <f t="shared" ref="N100:N124" si="47">IF(H100=0,0,L100/H100)</f>
        <v>0</v>
      </c>
      <c r="O100" s="12"/>
      <c r="P100" s="1">
        <f>SUM(OSRRefP22_5x_0)</f>
        <v>954.05</v>
      </c>
      <c r="Q100" s="1"/>
      <c r="R100" s="5">
        <f t="shared" ref="R100:R124" si="48">IF(P$12=0,0,P100/P$12)</f>
        <v>2.3238370511478455E-3</v>
      </c>
      <c r="S100" s="1"/>
      <c r="T100" s="1">
        <f>SUM(OSRRefT22_5x_0)</f>
        <v>829.2</v>
      </c>
      <c r="U100" s="1"/>
      <c r="V100" s="5">
        <f t="shared" ref="V100:V124" si="49">IF(T$12=0,0,T100/T$12)</f>
        <v>1.7257003462035438E-3</v>
      </c>
      <c r="W100" s="1"/>
      <c r="X100" s="1">
        <f t="shared" ref="X100:X124" si="50">+P100-T100</f>
        <v>124.84999999999991</v>
      </c>
      <c r="Y100" s="1"/>
      <c r="Z100" s="5">
        <f t="shared" ref="Z100:Z124" si="51">IF(T100=0,0,X100/T100)</f>
        <v>0.15056681138446684</v>
      </c>
    </row>
    <row r="101" spans="1:26" s="24" customFormat="1" hidden="1" outlineLevel="2" x14ac:dyDescent="0.35">
      <c r="A101" s="27"/>
      <c r="B101" s="11" t="str">
        <f>CONCATENATE("          ", "6279", " - ", "GENERAL EXPENSE")</f>
        <v xml:space="preserve">          6279 - GENERAL EXPENSE</v>
      </c>
      <c r="C101" s="11"/>
      <c r="D101" s="7"/>
      <c r="E101" s="2"/>
      <c r="F101" s="6">
        <f t="shared" si="44"/>
        <v>0</v>
      </c>
      <c r="G101" s="2"/>
      <c r="H101" s="7"/>
      <c r="I101" s="2"/>
      <c r="J101" s="6">
        <f t="shared" si="45"/>
        <v>0</v>
      </c>
      <c r="K101" s="2"/>
      <c r="L101" s="7">
        <f t="shared" si="46"/>
        <v>0</v>
      </c>
      <c r="M101" s="2"/>
      <c r="N101" s="6">
        <f t="shared" si="47"/>
        <v>0</v>
      </c>
      <c r="O101" s="11"/>
      <c r="P101" s="7">
        <v>954.05</v>
      </c>
      <c r="Q101" s="2"/>
      <c r="R101" s="6">
        <f t="shared" si="48"/>
        <v>2.3238370511478455E-3</v>
      </c>
      <c r="S101" s="2"/>
      <c r="T101" s="7">
        <v>829.2</v>
      </c>
      <c r="U101" s="2"/>
      <c r="V101" s="6">
        <f t="shared" si="49"/>
        <v>1.7257003462035438E-3</v>
      </c>
      <c r="W101" s="2"/>
      <c r="X101" s="7">
        <f t="shared" si="50"/>
        <v>124.84999999999991</v>
      </c>
      <c r="Y101" s="2"/>
      <c r="Z101" s="6">
        <f t="shared" si="51"/>
        <v>0.15056681138446684</v>
      </c>
    </row>
    <row r="102" spans="1:26" s="25" customFormat="1" outlineLevel="1" collapsed="1" x14ac:dyDescent="0.35">
      <c r="A102" s="26"/>
      <c r="B102" s="12" t="str">
        <f>CONCATENATE("     ","Inventory Adjustment                              ")</f>
        <v xml:space="preserve">     Inventory Adjustment                              </v>
      </c>
      <c r="C102" s="12"/>
      <c r="D102" s="1">
        <f>SUM(OSRRefD22_6x_0)</f>
        <v>17378</v>
      </c>
      <c r="E102" s="1"/>
      <c r="F102" s="5">
        <f t="shared" si="44"/>
        <v>0</v>
      </c>
      <c r="G102" s="1"/>
      <c r="H102" s="1">
        <f>SUM(OSRRefH22_6x_0)</f>
        <v>5519</v>
      </c>
      <c r="I102" s="1"/>
      <c r="J102" s="5">
        <f t="shared" si="45"/>
        <v>3.3700523918273637</v>
      </c>
      <c r="K102" s="1"/>
      <c r="L102" s="1">
        <f t="shared" si="46"/>
        <v>11859</v>
      </c>
      <c r="M102" s="1"/>
      <c r="N102" s="5">
        <f t="shared" si="47"/>
        <v>2.1487588331219425</v>
      </c>
      <c r="O102" s="12"/>
      <c r="P102" s="1">
        <f>SUM(OSRRefP22_6x_0)</f>
        <v>17378</v>
      </c>
      <c r="Q102" s="1"/>
      <c r="R102" s="5">
        <f t="shared" si="48"/>
        <v>4.2328641344633156E-2</v>
      </c>
      <c r="S102" s="1"/>
      <c r="T102" s="1">
        <f>SUM(OSRRefT22_6x_0)</f>
        <v>9519</v>
      </c>
      <c r="U102" s="1"/>
      <c r="V102" s="5">
        <f t="shared" si="49"/>
        <v>1.9810590443212171E-2</v>
      </c>
      <c r="W102" s="1"/>
      <c r="X102" s="1">
        <f t="shared" si="50"/>
        <v>7859</v>
      </c>
      <c r="Y102" s="1"/>
      <c r="Z102" s="5">
        <f t="shared" si="51"/>
        <v>0.82561193402668343</v>
      </c>
    </row>
    <row r="103" spans="1:26" s="24" customFormat="1" hidden="1" outlineLevel="2" x14ac:dyDescent="0.35">
      <c r="A103" s="27"/>
      <c r="B103" s="11" t="str">
        <f>CONCATENATE("          ", "6408", " - ", "INVENTORY ADJUSTMENT")</f>
        <v xml:space="preserve">          6408 - INVENTORY ADJUSTMENT</v>
      </c>
      <c r="C103" s="11"/>
      <c r="D103" s="7"/>
      <c r="E103" s="2"/>
      <c r="F103" s="6">
        <f t="shared" si="44"/>
        <v>0</v>
      </c>
      <c r="G103" s="2"/>
      <c r="H103" s="7">
        <v>-4000</v>
      </c>
      <c r="I103" s="2"/>
      <c r="J103" s="6">
        <f t="shared" si="45"/>
        <v>-2.4425094341926896</v>
      </c>
      <c r="K103" s="2"/>
      <c r="L103" s="7">
        <f t="shared" si="46"/>
        <v>4000</v>
      </c>
      <c r="M103" s="2"/>
      <c r="N103" s="6">
        <f t="shared" si="47"/>
        <v>-1</v>
      </c>
      <c r="O103" s="11"/>
      <c r="P103" s="7"/>
      <c r="Q103" s="2"/>
      <c r="R103" s="6">
        <f t="shared" si="48"/>
        <v>0</v>
      </c>
      <c r="S103" s="2"/>
      <c r="T103" s="7">
        <v>0</v>
      </c>
      <c r="U103" s="2"/>
      <c r="V103" s="6">
        <f t="shared" si="49"/>
        <v>0</v>
      </c>
      <c r="W103" s="2"/>
      <c r="X103" s="7">
        <f t="shared" si="50"/>
        <v>0</v>
      </c>
      <c r="Y103" s="2"/>
      <c r="Z103" s="6">
        <f t="shared" si="51"/>
        <v>0</v>
      </c>
    </row>
    <row r="104" spans="1:26" s="24" customFormat="1" hidden="1" outlineLevel="2" x14ac:dyDescent="0.35">
      <c r="A104" s="27"/>
      <c r="B104" s="11" t="str">
        <f>CONCATENATE("          ", "7713", " - ", "INV. SHRINKAGE-TRADE BOOKS")</f>
        <v xml:space="preserve">          7713 - INV. SHRINKAGE-TRADE BOOKS</v>
      </c>
      <c r="C104" s="11"/>
      <c r="D104" s="7">
        <v>37</v>
      </c>
      <c r="E104" s="2"/>
      <c r="F104" s="6">
        <f t="shared" si="44"/>
        <v>0</v>
      </c>
      <c r="G104" s="2"/>
      <c r="H104" s="7">
        <v>17</v>
      </c>
      <c r="I104" s="2"/>
      <c r="J104" s="6">
        <f t="shared" si="45"/>
        <v>1.0380665095318932E-2</v>
      </c>
      <c r="K104" s="2"/>
      <c r="L104" s="7">
        <f t="shared" si="46"/>
        <v>20</v>
      </c>
      <c r="M104" s="2"/>
      <c r="N104" s="6">
        <f t="shared" si="47"/>
        <v>1.1764705882352942</v>
      </c>
      <c r="O104" s="11"/>
      <c r="P104" s="7">
        <v>37</v>
      </c>
      <c r="Q104" s="2"/>
      <c r="R104" s="6">
        <f t="shared" si="48"/>
        <v>9.0123128654127449E-5</v>
      </c>
      <c r="S104" s="2"/>
      <c r="T104" s="7">
        <v>17</v>
      </c>
      <c r="U104" s="2"/>
      <c r="V104" s="6">
        <f t="shared" si="49"/>
        <v>3.5379770725350025E-5</v>
      </c>
      <c r="W104" s="2"/>
      <c r="X104" s="7">
        <f t="shared" si="50"/>
        <v>20</v>
      </c>
      <c r="Y104" s="2"/>
      <c r="Z104" s="6">
        <f t="shared" si="51"/>
        <v>1.1764705882352942</v>
      </c>
    </row>
    <row r="105" spans="1:26" s="24" customFormat="1" hidden="1" outlineLevel="2" x14ac:dyDescent="0.35">
      <c r="A105" s="27"/>
      <c r="B105" s="11" t="str">
        <f>CONCATENATE("          ", "7714", " - ", "INV. SHRINKAGE-REMAINDERS")</f>
        <v xml:space="preserve">          7714 - INV. SHRINKAGE-REMAINDERS</v>
      </c>
      <c r="C105" s="11"/>
      <c r="D105" s="7">
        <v>33</v>
      </c>
      <c r="E105" s="2"/>
      <c r="F105" s="6">
        <f t="shared" si="44"/>
        <v>0</v>
      </c>
      <c r="G105" s="2"/>
      <c r="H105" s="7"/>
      <c r="I105" s="2"/>
      <c r="J105" s="6">
        <f t="shared" si="45"/>
        <v>0</v>
      </c>
      <c r="K105" s="2"/>
      <c r="L105" s="7">
        <f t="shared" si="46"/>
        <v>33</v>
      </c>
      <c r="M105" s="2"/>
      <c r="N105" s="6">
        <f t="shared" si="47"/>
        <v>0</v>
      </c>
      <c r="O105" s="11"/>
      <c r="P105" s="7">
        <v>33</v>
      </c>
      <c r="Q105" s="2"/>
      <c r="R105" s="6">
        <f t="shared" si="48"/>
        <v>8.0380087718546104E-5</v>
      </c>
      <c r="S105" s="2"/>
      <c r="T105" s="7"/>
      <c r="U105" s="2"/>
      <c r="V105" s="6">
        <f t="shared" si="49"/>
        <v>0</v>
      </c>
      <c r="W105" s="2"/>
      <c r="X105" s="7">
        <f t="shared" si="50"/>
        <v>33</v>
      </c>
      <c r="Y105" s="2"/>
      <c r="Z105" s="6">
        <f t="shared" si="51"/>
        <v>0</v>
      </c>
    </row>
    <row r="106" spans="1:26" s="24" customFormat="1" hidden="1" outlineLevel="2" x14ac:dyDescent="0.35">
      <c r="A106" s="27"/>
      <c r="B106" s="11" t="str">
        <f>CONCATENATE("          ", "7717", " - ", "INV. SHRINKAGE-DORM/HOUSEWARES")</f>
        <v xml:space="preserve">          7717 - INV. SHRINKAGE-DORM/HOUSEWARES</v>
      </c>
      <c r="C106" s="11"/>
      <c r="D106" s="7">
        <v>-104</v>
      </c>
      <c r="E106" s="2"/>
      <c r="F106" s="6">
        <f t="shared" si="44"/>
        <v>0</v>
      </c>
      <c r="G106" s="2"/>
      <c r="H106" s="7"/>
      <c r="I106" s="2"/>
      <c r="J106" s="6">
        <f t="shared" si="45"/>
        <v>0</v>
      </c>
      <c r="K106" s="2"/>
      <c r="L106" s="7">
        <f t="shared" si="46"/>
        <v>-104</v>
      </c>
      <c r="M106" s="2"/>
      <c r="N106" s="6">
        <f t="shared" si="47"/>
        <v>0</v>
      </c>
      <c r="O106" s="11"/>
      <c r="P106" s="7">
        <v>-104</v>
      </c>
      <c r="Q106" s="2"/>
      <c r="R106" s="6">
        <f t="shared" si="48"/>
        <v>-2.5331906432511501E-4</v>
      </c>
      <c r="S106" s="2"/>
      <c r="T106" s="7"/>
      <c r="U106" s="2"/>
      <c r="V106" s="6">
        <f t="shared" si="49"/>
        <v>0</v>
      </c>
      <c r="W106" s="2"/>
      <c r="X106" s="7">
        <f t="shared" si="50"/>
        <v>-104</v>
      </c>
      <c r="Y106" s="2"/>
      <c r="Z106" s="6">
        <f t="shared" si="51"/>
        <v>0</v>
      </c>
    </row>
    <row r="107" spans="1:26" s="24" customFormat="1" hidden="1" outlineLevel="2" x14ac:dyDescent="0.35">
      <c r="A107" s="27"/>
      <c r="B107" s="11" t="str">
        <f>CONCATENATE("          ", "7719", " - ", "INV. SHRINKAGE-BOOK RELATED")</f>
        <v xml:space="preserve">          7719 - INV. SHRINKAGE-BOOK RELATED</v>
      </c>
      <c r="C107" s="11"/>
      <c r="D107" s="7"/>
      <c r="E107" s="2"/>
      <c r="F107" s="6">
        <f t="shared" si="44"/>
        <v>0</v>
      </c>
      <c r="G107" s="2"/>
      <c r="H107" s="7">
        <v>-7</v>
      </c>
      <c r="I107" s="2"/>
      <c r="J107" s="6">
        <f t="shared" si="45"/>
        <v>-4.274391509837207E-3</v>
      </c>
      <c r="K107" s="2"/>
      <c r="L107" s="7">
        <f t="shared" si="46"/>
        <v>7</v>
      </c>
      <c r="M107" s="2"/>
      <c r="N107" s="6">
        <f t="shared" si="47"/>
        <v>-1</v>
      </c>
      <c r="O107" s="11"/>
      <c r="P107" s="7"/>
      <c r="Q107" s="2"/>
      <c r="R107" s="6">
        <f t="shared" si="48"/>
        <v>0</v>
      </c>
      <c r="S107" s="2"/>
      <c r="T107" s="7">
        <v>-7</v>
      </c>
      <c r="U107" s="2"/>
      <c r="V107" s="6">
        <f t="shared" si="49"/>
        <v>-1.4568140886908836E-5</v>
      </c>
      <c r="W107" s="2"/>
      <c r="X107" s="7">
        <f t="shared" si="50"/>
        <v>7</v>
      </c>
      <c r="Y107" s="2"/>
      <c r="Z107" s="6">
        <f t="shared" si="51"/>
        <v>-1</v>
      </c>
    </row>
    <row r="108" spans="1:26" s="24" customFormat="1" hidden="1" outlineLevel="2" x14ac:dyDescent="0.35">
      <c r="A108" s="27"/>
      <c r="B108" s="11" t="str">
        <f>CONCATENATE("          ", "7725", " - ", "INV. SHRINKAGE-TEST FORMS")</f>
        <v xml:space="preserve">          7725 - INV. SHRINKAGE-TEST FORMS</v>
      </c>
      <c r="C108" s="11"/>
      <c r="D108" s="7">
        <v>-320</v>
      </c>
      <c r="E108" s="2"/>
      <c r="F108" s="6">
        <f t="shared" si="44"/>
        <v>0</v>
      </c>
      <c r="G108" s="2"/>
      <c r="H108" s="7">
        <v>-17</v>
      </c>
      <c r="I108" s="2"/>
      <c r="J108" s="6">
        <f t="shared" si="45"/>
        <v>-1.0380665095318932E-2</v>
      </c>
      <c r="K108" s="2"/>
      <c r="L108" s="7">
        <f t="shared" si="46"/>
        <v>-303</v>
      </c>
      <c r="M108" s="2"/>
      <c r="N108" s="6">
        <f t="shared" si="47"/>
        <v>17.823529411764707</v>
      </c>
      <c r="O108" s="11"/>
      <c r="P108" s="7">
        <v>-320</v>
      </c>
      <c r="Q108" s="2"/>
      <c r="R108" s="6">
        <f t="shared" si="48"/>
        <v>-7.7944327484650764E-4</v>
      </c>
      <c r="S108" s="2"/>
      <c r="T108" s="7">
        <v>-17</v>
      </c>
      <c r="U108" s="2"/>
      <c r="V108" s="6">
        <f t="shared" si="49"/>
        <v>-3.5379770725350025E-5</v>
      </c>
      <c r="W108" s="2"/>
      <c r="X108" s="7">
        <f t="shared" si="50"/>
        <v>-303</v>
      </c>
      <c r="Y108" s="2"/>
      <c r="Z108" s="6">
        <f t="shared" si="51"/>
        <v>17.823529411764707</v>
      </c>
    </row>
    <row r="109" spans="1:26" s="24" customFormat="1" hidden="1" outlineLevel="2" x14ac:dyDescent="0.35">
      <c r="A109" s="27"/>
      <c r="B109" s="11" t="str">
        <f>CONCATENATE("          ", "7726", " - ", "INV. SHRINKAGE-WRITING INSTRUM")</f>
        <v xml:space="preserve">          7726 - INV. SHRINKAGE-WRITING INSTRUM</v>
      </c>
      <c r="C109" s="11"/>
      <c r="D109" s="7">
        <v>-1120</v>
      </c>
      <c r="E109" s="2"/>
      <c r="F109" s="6">
        <f t="shared" si="44"/>
        <v>0</v>
      </c>
      <c r="G109" s="2"/>
      <c r="H109" s="7">
        <v>510</v>
      </c>
      <c r="I109" s="2"/>
      <c r="J109" s="6">
        <f t="shared" si="45"/>
        <v>0.31141995285956797</v>
      </c>
      <c r="K109" s="2"/>
      <c r="L109" s="7">
        <f t="shared" si="46"/>
        <v>-1630</v>
      </c>
      <c r="M109" s="2"/>
      <c r="N109" s="6">
        <f t="shared" si="47"/>
        <v>-3.1960784313725492</v>
      </c>
      <c r="O109" s="11"/>
      <c r="P109" s="7">
        <v>-1120</v>
      </c>
      <c r="Q109" s="2"/>
      <c r="R109" s="6">
        <f t="shared" si="48"/>
        <v>-2.7280514619627771E-3</v>
      </c>
      <c r="S109" s="2"/>
      <c r="T109" s="7">
        <v>510</v>
      </c>
      <c r="U109" s="2"/>
      <c r="V109" s="6">
        <f t="shared" si="49"/>
        <v>1.0613931217605009E-3</v>
      </c>
      <c r="W109" s="2"/>
      <c r="X109" s="7">
        <f t="shared" si="50"/>
        <v>-1630</v>
      </c>
      <c r="Y109" s="2"/>
      <c r="Z109" s="6">
        <f t="shared" si="51"/>
        <v>-3.1960784313725492</v>
      </c>
    </row>
    <row r="110" spans="1:26" s="24" customFormat="1" hidden="1" outlineLevel="2" x14ac:dyDescent="0.35">
      <c r="A110" s="27"/>
      <c r="B110" s="11" t="str">
        <f>CONCATENATE("          ", "7727", " - ", "INV. SHRINKAGE-SCHOOL SUPPLIES")</f>
        <v xml:space="preserve">          7727 - INV. SHRINKAGE-SCHOOL SUPPLIES</v>
      </c>
      <c r="C110" s="11"/>
      <c r="D110" s="7">
        <v>-3269</v>
      </c>
      <c r="E110" s="2"/>
      <c r="F110" s="6">
        <f t="shared" si="44"/>
        <v>0</v>
      </c>
      <c r="G110" s="2"/>
      <c r="H110" s="7">
        <v>1782</v>
      </c>
      <c r="I110" s="2"/>
      <c r="J110" s="6">
        <f t="shared" si="45"/>
        <v>1.0881379529328432</v>
      </c>
      <c r="K110" s="2"/>
      <c r="L110" s="7">
        <f t="shared" si="46"/>
        <v>-5051</v>
      </c>
      <c r="M110" s="2"/>
      <c r="N110" s="6">
        <f t="shared" si="47"/>
        <v>-2.8344556677890012</v>
      </c>
      <c r="O110" s="11"/>
      <c r="P110" s="7">
        <v>-3269</v>
      </c>
      <c r="Q110" s="2"/>
      <c r="R110" s="6">
        <f t="shared" si="48"/>
        <v>-7.9625002046038555E-3</v>
      </c>
      <c r="S110" s="2"/>
      <c r="T110" s="7">
        <v>1782</v>
      </c>
      <c r="U110" s="2"/>
      <c r="V110" s="6">
        <f t="shared" si="49"/>
        <v>3.7086324372102206E-3</v>
      </c>
      <c r="W110" s="2"/>
      <c r="X110" s="7">
        <f t="shared" si="50"/>
        <v>-5051</v>
      </c>
      <c r="Y110" s="2"/>
      <c r="Z110" s="6">
        <f t="shared" si="51"/>
        <v>-2.8344556677890012</v>
      </c>
    </row>
    <row r="111" spans="1:26" s="24" customFormat="1" hidden="1" outlineLevel="2" x14ac:dyDescent="0.35">
      <c r="A111" s="27"/>
      <c r="B111" s="11" t="str">
        <f>CONCATENATE("          ", "7728", " - ", "INV. SHRINKAGE-ART/TECH")</f>
        <v xml:space="preserve">          7728 - INV. SHRINKAGE-ART/TECH</v>
      </c>
      <c r="C111" s="11"/>
      <c r="D111" s="7">
        <v>13544</v>
      </c>
      <c r="E111" s="2"/>
      <c r="F111" s="6">
        <f t="shared" si="44"/>
        <v>0</v>
      </c>
      <c r="G111" s="2"/>
      <c r="H111" s="7">
        <v>8698</v>
      </c>
      <c r="I111" s="2"/>
      <c r="J111" s="6">
        <f t="shared" si="45"/>
        <v>5.311236764652004</v>
      </c>
      <c r="K111" s="2"/>
      <c r="L111" s="7">
        <f t="shared" si="46"/>
        <v>4846</v>
      </c>
      <c r="M111" s="2"/>
      <c r="N111" s="6">
        <f t="shared" si="47"/>
        <v>0.55713957231547484</v>
      </c>
      <c r="O111" s="11"/>
      <c r="P111" s="7">
        <v>13544</v>
      </c>
      <c r="Q111" s="2"/>
      <c r="R111" s="6">
        <f t="shared" si="48"/>
        <v>3.298993660787844E-2</v>
      </c>
      <c r="S111" s="2"/>
      <c r="T111" s="7">
        <v>8698</v>
      </c>
      <c r="U111" s="2"/>
      <c r="V111" s="6">
        <f t="shared" si="49"/>
        <v>1.8101955633476149E-2</v>
      </c>
      <c r="W111" s="2"/>
      <c r="X111" s="7">
        <f t="shared" si="50"/>
        <v>4846</v>
      </c>
      <c r="Y111" s="2"/>
      <c r="Z111" s="6">
        <f t="shared" si="51"/>
        <v>0.55713957231547484</v>
      </c>
    </row>
    <row r="112" spans="1:26" s="24" customFormat="1" hidden="1" outlineLevel="2" x14ac:dyDescent="0.35">
      <c r="A112" s="27"/>
      <c r="B112" s="11" t="str">
        <f>CONCATENATE("          ", "7731", " - ", "INV. SHRINKAGE-FOOD")</f>
        <v xml:space="preserve">          7731 - INV. SHRINKAGE-FOOD</v>
      </c>
      <c r="C112" s="11"/>
      <c r="D112" s="7">
        <v>7157</v>
      </c>
      <c r="E112" s="2"/>
      <c r="F112" s="6">
        <f t="shared" si="44"/>
        <v>0</v>
      </c>
      <c r="G112" s="2"/>
      <c r="H112" s="7">
        <v>-1521</v>
      </c>
      <c r="I112" s="2"/>
      <c r="J112" s="6">
        <f t="shared" si="45"/>
        <v>-0.92876421235177031</v>
      </c>
      <c r="K112" s="2"/>
      <c r="L112" s="7">
        <f t="shared" si="46"/>
        <v>8678</v>
      </c>
      <c r="M112" s="2"/>
      <c r="N112" s="6">
        <f t="shared" si="47"/>
        <v>-5.7054569362261667</v>
      </c>
      <c r="O112" s="11"/>
      <c r="P112" s="7">
        <v>7157</v>
      </c>
      <c r="Q112" s="2"/>
      <c r="R112" s="6">
        <f t="shared" si="48"/>
        <v>1.7432735993988924E-2</v>
      </c>
      <c r="S112" s="2"/>
      <c r="T112" s="7">
        <v>-1521</v>
      </c>
      <c r="U112" s="2"/>
      <c r="V112" s="6">
        <f t="shared" si="49"/>
        <v>-3.1654488984269053E-3</v>
      </c>
      <c r="W112" s="2"/>
      <c r="X112" s="7">
        <f t="shared" si="50"/>
        <v>8678</v>
      </c>
      <c r="Y112" s="2"/>
      <c r="Z112" s="6">
        <f t="shared" si="51"/>
        <v>-5.7054569362261667</v>
      </c>
    </row>
    <row r="113" spans="1:26" s="24" customFormat="1" hidden="1" outlineLevel="2" x14ac:dyDescent="0.35">
      <c r="A113" s="27"/>
      <c r="B113" s="11" t="str">
        <f>CONCATENATE("          ", "7732", " - ", "INV. SHRINKAGE-JUICE")</f>
        <v xml:space="preserve">          7732 - INV. SHRINKAGE-JUICE</v>
      </c>
      <c r="C113" s="11"/>
      <c r="D113" s="7">
        <v>-1942</v>
      </c>
      <c r="E113" s="2"/>
      <c r="F113" s="6">
        <f t="shared" si="44"/>
        <v>0</v>
      </c>
      <c r="G113" s="2"/>
      <c r="H113" s="7">
        <v>-181</v>
      </c>
      <c r="I113" s="2"/>
      <c r="J113" s="6">
        <f t="shared" si="45"/>
        <v>-0.11052355189721921</v>
      </c>
      <c r="K113" s="2"/>
      <c r="L113" s="7">
        <f t="shared" si="46"/>
        <v>-1761</v>
      </c>
      <c r="M113" s="2"/>
      <c r="N113" s="6">
        <f t="shared" si="47"/>
        <v>9.7292817679558006</v>
      </c>
      <c r="O113" s="11"/>
      <c r="P113" s="7">
        <v>-1942</v>
      </c>
      <c r="Q113" s="2"/>
      <c r="R113" s="6">
        <f t="shared" si="48"/>
        <v>-4.7302463742247437E-3</v>
      </c>
      <c r="S113" s="2"/>
      <c r="T113" s="7">
        <v>-181</v>
      </c>
      <c r="U113" s="2"/>
      <c r="V113" s="6">
        <f t="shared" si="49"/>
        <v>-3.7669050007578558E-4</v>
      </c>
      <c r="W113" s="2"/>
      <c r="X113" s="7">
        <f t="shared" si="50"/>
        <v>-1761</v>
      </c>
      <c r="Y113" s="2"/>
      <c r="Z113" s="6">
        <f t="shared" si="51"/>
        <v>9.7292817679558006</v>
      </c>
    </row>
    <row r="114" spans="1:26" s="24" customFormat="1" hidden="1" outlineLevel="2" x14ac:dyDescent="0.35">
      <c r="A114" s="27"/>
      <c r="B114" s="11" t="str">
        <f>CONCATENATE("          ", "7733", " - ", "INV. SHRINKAGE-CANDY")</f>
        <v xml:space="preserve">          7733 - INV. SHRINKAGE-CANDY</v>
      </c>
      <c r="C114" s="11"/>
      <c r="D114" s="7">
        <v>2289</v>
      </c>
      <c r="E114" s="2"/>
      <c r="F114" s="6">
        <f t="shared" si="44"/>
        <v>0</v>
      </c>
      <c r="G114" s="2"/>
      <c r="H114" s="7">
        <v>1571</v>
      </c>
      <c r="I114" s="2"/>
      <c r="J114" s="6">
        <f t="shared" si="45"/>
        <v>0.95929558027917894</v>
      </c>
      <c r="K114" s="2"/>
      <c r="L114" s="7">
        <f t="shared" si="46"/>
        <v>718</v>
      </c>
      <c r="M114" s="2"/>
      <c r="N114" s="6">
        <f t="shared" si="47"/>
        <v>0.4570337364735837</v>
      </c>
      <c r="O114" s="11"/>
      <c r="P114" s="7">
        <v>2289</v>
      </c>
      <c r="Q114" s="2"/>
      <c r="R114" s="6">
        <f t="shared" si="48"/>
        <v>5.575455175386425E-3</v>
      </c>
      <c r="S114" s="2"/>
      <c r="T114" s="7">
        <v>1571</v>
      </c>
      <c r="U114" s="2"/>
      <c r="V114" s="6">
        <f t="shared" si="49"/>
        <v>3.2695070476191114E-3</v>
      </c>
      <c r="W114" s="2"/>
      <c r="X114" s="7">
        <f t="shared" si="50"/>
        <v>718</v>
      </c>
      <c r="Y114" s="2"/>
      <c r="Z114" s="6">
        <f t="shared" si="51"/>
        <v>0.4570337364735837</v>
      </c>
    </row>
    <row r="115" spans="1:26" s="24" customFormat="1" hidden="1" outlineLevel="2" x14ac:dyDescent="0.35">
      <c r="A115" s="27"/>
      <c r="B115" s="11" t="str">
        <f>CONCATENATE("          ", "7734", " - ", "INV. SHRINKAGE-SODA")</f>
        <v xml:space="preserve">          7734 - INV. SHRINKAGE-SODA</v>
      </c>
      <c r="C115" s="11"/>
      <c r="D115" s="7">
        <v>1253</v>
      </c>
      <c r="E115" s="2"/>
      <c r="F115" s="6">
        <f t="shared" si="44"/>
        <v>0</v>
      </c>
      <c r="G115" s="2"/>
      <c r="H115" s="7">
        <v>474</v>
      </c>
      <c r="I115" s="2"/>
      <c r="J115" s="6">
        <f t="shared" si="45"/>
        <v>0.28943736795183372</v>
      </c>
      <c r="K115" s="2"/>
      <c r="L115" s="7">
        <f t="shared" si="46"/>
        <v>779</v>
      </c>
      <c r="M115" s="2"/>
      <c r="N115" s="6">
        <f t="shared" si="47"/>
        <v>1.6434599156118144</v>
      </c>
      <c r="O115" s="11"/>
      <c r="P115" s="7">
        <v>1253</v>
      </c>
      <c r="Q115" s="2"/>
      <c r="R115" s="6">
        <f t="shared" si="48"/>
        <v>3.0520075730708566E-3</v>
      </c>
      <c r="S115" s="2"/>
      <c r="T115" s="7">
        <v>474</v>
      </c>
      <c r="U115" s="2"/>
      <c r="V115" s="6">
        <f t="shared" si="49"/>
        <v>9.8647125434211252E-4</v>
      </c>
      <c r="W115" s="2"/>
      <c r="X115" s="7">
        <f t="shared" si="50"/>
        <v>779</v>
      </c>
      <c r="Y115" s="2"/>
      <c r="Z115" s="6">
        <f t="shared" si="51"/>
        <v>1.6434599156118144</v>
      </c>
    </row>
    <row r="116" spans="1:26" s="24" customFormat="1" hidden="1" outlineLevel="2" x14ac:dyDescent="0.35">
      <c r="A116" s="27"/>
      <c r="B116" s="11" t="str">
        <f>CONCATENATE("          ", "7735", " - ", "INV. SHRINKAGE-HEALTH/BEAUTY")</f>
        <v xml:space="preserve">          7735 - INV. SHRINKAGE-HEALTH/BEAUTY</v>
      </c>
      <c r="C116" s="11"/>
      <c r="D116" s="7">
        <v>46</v>
      </c>
      <c r="E116" s="2"/>
      <c r="F116" s="6">
        <f t="shared" si="44"/>
        <v>0</v>
      </c>
      <c r="G116" s="2"/>
      <c r="H116" s="7">
        <v>-110</v>
      </c>
      <c r="I116" s="2"/>
      <c r="J116" s="6">
        <f t="shared" si="45"/>
        <v>-6.7169009440298966E-2</v>
      </c>
      <c r="K116" s="2"/>
      <c r="L116" s="7">
        <f t="shared" si="46"/>
        <v>156</v>
      </c>
      <c r="M116" s="2"/>
      <c r="N116" s="6">
        <f t="shared" si="47"/>
        <v>-1.4181818181818182</v>
      </c>
      <c r="O116" s="11"/>
      <c r="P116" s="7">
        <v>46</v>
      </c>
      <c r="Q116" s="2"/>
      <c r="R116" s="6">
        <f t="shared" si="48"/>
        <v>1.1204497075918548E-4</v>
      </c>
      <c r="S116" s="2"/>
      <c r="T116" s="7">
        <v>-110</v>
      </c>
      <c r="U116" s="2"/>
      <c r="V116" s="6">
        <f t="shared" si="49"/>
        <v>-2.2892792822285313E-4</v>
      </c>
      <c r="W116" s="2"/>
      <c r="X116" s="7">
        <f t="shared" si="50"/>
        <v>156</v>
      </c>
      <c r="Y116" s="2"/>
      <c r="Z116" s="6">
        <f t="shared" si="51"/>
        <v>-1.4181818181818182</v>
      </c>
    </row>
    <row r="117" spans="1:26" s="24" customFormat="1" hidden="1" outlineLevel="2" x14ac:dyDescent="0.35">
      <c r="A117" s="27"/>
      <c r="B117" s="11" t="str">
        <f>CONCATENATE("          ", "7737", " - ", "INV. SHRINKAGE-WATER")</f>
        <v xml:space="preserve">          7737 - INV. SHRINKAGE-WATER</v>
      </c>
      <c r="C117" s="11"/>
      <c r="D117" s="7">
        <v>832</v>
      </c>
      <c r="E117" s="2"/>
      <c r="F117" s="6">
        <f t="shared" si="44"/>
        <v>0</v>
      </c>
      <c r="G117" s="2"/>
      <c r="H117" s="7">
        <v>-161</v>
      </c>
      <c r="I117" s="2"/>
      <c r="J117" s="6">
        <f t="shared" si="45"/>
        <v>-9.8311004726255757E-2</v>
      </c>
      <c r="K117" s="2"/>
      <c r="L117" s="7">
        <f t="shared" si="46"/>
        <v>993</v>
      </c>
      <c r="M117" s="2"/>
      <c r="N117" s="6">
        <f t="shared" si="47"/>
        <v>-6.1677018633540373</v>
      </c>
      <c r="O117" s="11"/>
      <c r="P117" s="7">
        <v>832</v>
      </c>
      <c r="Q117" s="2"/>
      <c r="R117" s="6">
        <f t="shared" si="48"/>
        <v>2.0265525146009201E-3</v>
      </c>
      <c r="S117" s="2"/>
      <c r="T117" s="7">
        <v>-161</v>
      </c>
      <c r="U117" s="2"/>
      <c r="V117" s="6">
        <f t="shared" si="49"/>
        <v>-3.3506724039890319E-4</v>
      </c>
      <c r="W117" s="2"/>
      <c r="X117" s="7">
        <f t="shared" si="50"/>
        <v>993</v>
      </c>
      <c r="Y117" s="2"/>
      <c r="Z117" s="6">
        <f t="shared" si="51"/>
        <v>-6.1677018633540373</v>
      </c>
    </row>
    <row r="118" spans="1:26" s="24" customFormat="1" hidden="1" outlineLevel="2" x14ac:dyDescent="0.35">
      <c r="A118" s="27"/>
      <c r="B118" s="11" t="str">
        <f>CONCATENATE("          ", "7741", " - ", "INV. SHRINKAGE-LOGO GIFTS")</f>
        <v xml:space="preserve">          7741 - INV. SHRINKAGE-LOGO GIFTS</v>
      </c>
      <c r="C118" s="11"/>
      <c r="D118" s="7">
        <v>-494</v>
      </c>
      <c r="E118" s="2"/>
      <c r="F118" s="6">
        <f t="shared" si="44"/>
        <v>0</v>
      </c>
      <c r="G118" s="2"/>
      <c r="H118" s="7"/>
      <c r="I118" s="2"/>
      <c r="J118" s="6">
        <f t="shared" si="45"/>
        <v>0</v>
      </c>
      <c r="K118" s="2"/>
      <c r="L118" s="7">
        <f t="shared" si="46"/>
        <v>-494</v>
      </c>
      <c r="M118" s="2"/>
      <c r="N118" s="6">
        <f t="shared" si="47"/>
        <v>0</v>
      </c>
      <c r="O118" s="11"/>
      <c r="P118" s="7">
        <v>-494</v>
      </c>
      <c r="Q118" s="2"/>
      <c r="R118" s="6">
        <f t="shared" si="48"/>
        <v>-1.2032655555442961E-3</v>
      </c>
      <c r="S118" s="2"/>
      <c r="T118" s="7"/>
      <c r="U118" s="2"/>
      <c r="V118" s="6">
        <f t="shared" si="49"/>
        <v>0</v>
      </c>
      <c r="W118" s="2"/>
      <c r="X118" s="7">
        <f t="shared" si="50"/>
        <v>-494</v>
      </c>
      <c r="Y118" s="2"/>
      <c r="Z118" s="6">
        <f t="shared" si="51"/>
        <v>0</v>
      </c>
    </row>
    <row r="119" spans="1:26" s="24" customFormat="1" hidden="1" outlineLevel="2" x14ac:dyDescent="0.35">
      <c r="A119" s="27"/>
      <c r="B119" s="11" t="str">
        <f>CONCATENATE("          ", "7742", " - ", "INV. SHRINKAGE-EVERYDAY GIFTS")</f>
        <v xml:space="preserve">          7742 - INV. SHRINKAGE-EVERYDAY GIFTS</v>
      </c>
      <c r="C119" s="11"/>
      <c r="D119" s="7">
        <v>-553</v>
      </c>
      <c r="E119" s="2"/>
      <c r="F119" s="6">
        <f t="shared" si="44"/>
        <v>0</v>
      </c>
      <c r="G119" s="2"/>
      <c r="H119" s="7">
        <v>-57</v>
      </c>
      <c r="I119" s="2"/>
      <c r="J119" s="6">
        <f t="shared" si="45"/>
        <v>-3.4805759437245828E-2</v>
      </c>
      <c r="K119" s="2"/>
      <c r="L119" s="7">
        <f t="shared" si="46"/>
        <v>-496</v>
      </c>
      <c r="M119" s="2"/>
      <c r="N119" s="6">
        <f t="shared" si="47"/>
        <v>8.7017543859649127</v>
      </c>
      <c r="O119" s="11"/>
      <c r="P119" s="7">
        <v>-553</v>
      </c>
      <c r="Q119" s="2"/>
      <c r="R119" s="6">
        <f t="shared" si="48"/>
        <v>-1.3469754093441211E-3</v>
      </c>
      <c r="S119" s="2"/>
      <c r="T119" s="7">
        <v>-57</v>
      </c>
      <c r="U119" s="2"/>
      <c r="V119" s="6">
        <f t="shared" si="49"/>
        <v>-1.1862629007911479E-4</v>
      </c>
      <c r="W119" s="2"/>
      <c r="X119" s="7">
        <f t="shared" si="50"/>
        <v>-496</v>
      </c>
      <c r="Y119" s="2"/>
      <c r="Z119" s="6">
        <f t="shared" si="51"/>
        <v>8.7017543859649127</v>
      </c>
    </row>
    <row r="120" spans="1:26" s="24" customFormat="1" hidden="1" outlineLevel="2" x14ac:dyDescent="0.35">
      <c r="A120" s="27"/>
      <c r="B120" s="11" t="str">
        <f>CONCATENATE("          ", "7744", " - ", "INV. SHRINKAGE-ACCESSORIES")</f>
        <v xml:space="preserve">          7744 - INV. SHRINKAGE-ACCESSORIES</v>
      </c>
      <c r="C120" s="11"/>
      <c r="D120" s="7">
        <v>-180</v>
      </c>
      <c r="E120" s="2"/>
      <c r="F120" s="6">
        <f t="shared" si="44"/>
        <v>0</v>
      </c>
      <c r="G120" s="2"/>
      <c r="H120" s="7"/>
      <c r="I120" s="2"/>
      <c r="J120" s="6">
        <f t="shared" si="45"/>
        <v>0</v>
      </c>
      <c r="K120" s="2"/>
      <c r="L120" s="7">
        <f t="shared" si="46"/>
        <v>-180</v>
      </c>
      <c r="M120" s="2"/>
      <c r="N120" s="6">
        <f t="shared" si="47"/>
        <v>0</v>
      </c>
      <c r="O120" s="11"/>
      <c r="P120" s="7">
        <v>-180</v>
      </c>
      <c r="Q120" s="2"/>
      <c r="R120" s="6">
        <f t="shared" si="48"/>
        <v>-4.3843684210116056E-4</v>
      </c>
      <c r="S120" s="2"/>
      <c r="T120" s="7"/>
      <c r="U120" s="2"/>
      <c r="V120" s="6">
        <f t="shared" si="49"/>
        <v>0</v>
      </c>
      <c r="W120" s="2"/>
      <c r="X120" s="7">
        <f t="shared" si="50"/>
        <v>-180</v>
      </c>
      <c r="Y120" s="2"/>
      <c r="Z120" s="6">
        <f t="shared" si="51"/>
        <v>0</v>
      </c>
    </row>
    <row r="121" spans="1:26" s="24" customFormat="1" hidden="1" outlineLevel="2" x14ac:dyDescent="0.35">
      <c r="A121" s="27"/>
      <c r="B121" s="11" t="str">
        <f>CONCATENATE("          ", "7781", " - ", "INV. SHRINKAGE-ELECTRONICS")</f>
        <v xml:space="preserve">          7781 - INV. SHRINKAGE-ELECTRONICS</v>
      </c>
      <c r="C121" s="11"/>
      <c r="D121" s="7">
        <v>-28</v>
      </c>
      <c r="E121" s="2"/>
      <c r="F121" s="6">
        <f t="shared" si="44"/>
        <v>0</v>
      </c>
      <c r="G121" s="2"/>
      <c r="H121" s="7">
        <v>98</v>
      </c>
      <c r="I121" s="2"/>
      <c r="J121" s="6">
        <f t="shared" si="45"/>
        <v>5.9841481137720899E-2</v>
      </c>
      <c r="K121" s="2"/>
      <c r="L121" s="7">
        <f t="shared" si="46"/>
        <v>-126</v>
      </c>
      <c r="M121" s="2"/>
      <c r="N121" s="6">
        <f t="shared" si="47"/>
        <v>-1.2857142857142858</v>
      </c>
      <c r="O121" s="11"/>
      <c r="P121" s="7">
        <v>-28</v>
      </c>
      <c r="Q121" s="2"/>
      <c r="R121" s="6">
        <f t="shared" si="48"/>
        <v>-6.8201286549069418E-5</v>
      </c>
      <c r="S121" s="2"/>
      <c r="T121" s="7">
        <v>98</v>
      </c>
      <c r="U121" s="2"/>
      <c r="V121" s="6">
        <f t="shared" si="49"/>
        <v>2.0395397241672369E-4</v>
      </c>
      <c r="W121" s="2"/>
      <c r="X121" s="7">
        <f t="shared" si="50"/>
        <v>-126</v>
      </c>
      <c r="Y121" s="2"/>
      <c r="Z121" s="6">
        <f t="shared" si="51"/>
        <v>-1.2857142857142858</v>
      </c>
    </row>
    <row r="122" spans="1:26" s="24" customFormat="1" hidden="1" outlineLevel="2" x14ac:dyDescent="0.35">
      <c r="A122" s="27"/>
      <c r="B122" s="11" t="str">
        <f>CONCATENATE("          ", "7782", " - ", "INV. SHRINKAGE-COMPUTER HARDWA")</f>
        <v xml:space="preserve">          7782 - INV. SHRINKAGE-COMPUTER HARDWA</v>
      </c>
      <c r="C122" s="11"/>
      <c r="D122" s="7">
        <v>69</v>
      </c>
      <c r="E122" s="2"/>
      <c r="F122" s="6">
        <f t="shared" si="44"/>
        <v>0</v>
      </c>
      <c r="G122" s="2"/>
      <c r="H122" s="7">
        <v>-1237</v>
      </c>
      <c r="I122" s="2"/>
      <c r="J122" s="6">
        <f t="shared" si="45"/>
        <v>-0.75534604252408932</v>
      </c>
      <c r="K122" s="2"/>
      <c r="L122" s="7">
        <f t="shared" si="46"/>
        <v>1306</v>
      </c>
      <c r="M122" s="2"/>
      <c r="N122" s="6">
        <f t="shared" si="47"/>
        <v>-1.0557801131770412</v>
      </c>
      <c r="O122" s="11"/>
      <c r="P122" s="7">
        <v>69</v>
      </c>
      <c r="Q122" s="2"/>
      <c r="R122" s="6">
        <f t="shared" si="48"/>
        <v>1.6806745613877821E-4</v>
      </c>
      <c r="S122" s="2"/>
      <c r="T122" s="7">
        <v>-1237</v>
      </c>
      <c r="U122" s="2"/>
      <c r="V122" s="6">
        <f t="shared" si="49"/>
        <v>-2.5743986110151754E-3</v>
      </c>
      <c r="W122" s="2"/>
      <c r="X122" s="7">
        <f t="shared" si="50"/>
        <v>1306</v>
      </c>
      <c r="Y122" s="2"/>
      <c r="Z122" s="6">
        <f t="shared" si="51"/>
        <v>-1.0557801131770412</v>
      </c>
    </row>
    <row r="123" spans="1:26" s="24" customFormat="1" hidden="1" outlineLevel="2" x14ac:dyDescent="0.35">
      <c r="A123" s="27"/>
      <c r="B123" s="11" t="str">
        <f>CONCATENATE("          ", "7783", " - ", "INV. SHRINKAGE-COMPUTER EQUIPM")</f>
        <v xml:space="preserve">          7783 - INV. SHRINKAGE-COMPUTER EQUIPM</v>
      </c>
      <c r="C123" s="11"/>
      <c r="D123" s="7">
        <v>90</v>
      </c>
      <c r="E123" s="2"/>
      <c r="F123" s="6">
        <f t="shared" si="44"/>
        <v>0</v>
      </c>
      <c r="G123" s="2"/>
      <c r="H123" s="7">
        <v>-104</v>
      </c>
      <c r="I123" s="2"/>
      <c r="J123" s="6">
        <f t="shared" si="45"/>
        <v>-6.3505245289009929E-2</v>
      </c>
      <c r="K123" s="2"/>
      <c r="L123" s="7">
        <f t="shared" si="46"/>
        <v>194</v>
      </c>
      <c r="M123" s="2"/>
      <c r="N123" s="6">
        <f t="shared" si="47"/>
        <v>-1.8653846153846154</v>
      </c>
      <c r="O123" s="11"/>
      <c r="P123" s="7">
        <v>90</v>
      </c>
      <c r="Q123" s="2"/>
      <c r="R123" s="6">
        <f t="shared" si="48"/>
        <v>2.1921842105058028E-4</v>
      </c>
      <c r="S123" s="2"/>
      <c r="T123" s="7">
        <v>-104</v>
      </c>
      <c r="U123" s="2"/>
      <c r="V123" s="6">
        <f t="shared" si="49"/>
        <v>-2.1644095031978839E-4</v>
      </c>
      <c r="W123" s="2"/>
      <c r="X123" s="7">
        <f t="shared" si="50"/>
        <v>194</v>
      </c>
      <c r="Y123" s="2"/>
      <c r="Z123" s="6">
        <f t="shared" si="51"/>
        <v>-1.8653846153846154</v>
      </c>
    </row>
    <row r="124" spans="1:26" s="24" customFormat="1" hidden="1" outlineLevel="2" x14ac:dyDescent="0.35">
      <c r="A124" s="27"/>
      <c r="B124" s="11" t="str">
        <f>CONCATENATE("          ", "7786", " - ", "INV. SHRINKAGE-COMPUTER SUPPLI")</f>
        <v xml:space="preserve">          7786 - INV. SHRINKAGE-COMPUTER SUPPLI</v>
      </c>
      <c r="C124" s="11"/>
      <c r="D124" s="7">
        <v>38</v>
      </c>
      <c r="E124" s="2"/>
      <c r="F124" s="6">
        <f t="shared" si="44"/>
        <v>0</v>
      </c>
      <c r="G124" s="2"/>
      <c r="H124" s="7">
        <v>-236</v>
      </c>
      <c r="I124" s="2"/>
      <c r="J124" s="6">
        <f t="shared" si="45"/>
        <v>-0.1441080566173687</v>
      </c>
      <c r="K124" s="2"/>
      <c r="L124" s="7">
        <f t="shared" si="46"/>
        <v>274</v>
      </c>
      <c r="M124" s="2"/>
      <c r="N124" s="6">
        <f t="shared" si="47"/>
        <v>-1.1610169491525424</v>
      </c>
      <c r="O124" s="11"/>
      <c r="P124" s="7">
        <v>38</v>
      </c>
      <c r="Q124" s="2"/>
      <c r="R124" s="6">
        <f t="shared" si="48"/>
        <v>9.2558888888022789E-5</v>
      </c>
      <c r="S124" s="2"/>
      <c r="T124" s="7">
        <v>-236</v>
      </c>
      <c r="U124" s="2"/>
      <c r="V124" s="6">
        <f t="shared" si="49"/>
        <v>-4.9115446418721215E-4</v>
      </c>
      <c r="W124" s="2"/>
      <c r="X124" s="7">
        <f t="shared" si="50"/>
        <v>274</v>
      </c>
      <c r="Y124" s="2"/>
      <c r="Z124" s="6">
        <f t="shared" si="51"/>
        <v>-1.1610169491525424</v>
      </c>
    </row>
    <row r="125" spans="1:26" s="25" customFormat="1" outlineLevel="1" collapsed="1" x14ac:dyDescent="0.35">
      <c r="A125" s="26"/>
      <c r="B125" s="12" t="str">
        <f>CONCATENATE("     ","Professional Services                             ")</f>
        <v xml:space="preserve">     Professional Services                             </v>
      </c>
      <c r="C125" s="12"/>
      <c r="D125" s="1">
        <f>SUM(OSRRefD22_7x_0)</f>
        <v>1382.44</v>
      </c>
      <c r="E125" s="1"/>
      <c r="F125" s="5">
        <f t="shared" ref="F125:F131" si="52">IF(D$12=0,0,D125/D$12)</f>
        <v>0</v>
      </c>
      <c r="G125" s="1"/>
      <c r="H125" s="1">
        <f>SUM(OSRRefH22_7x_0)</f>
        <v>0</v>
      </c>
      <c r="I125" s="1"/>
      <c r="J125" s="5">
        <f t="shared" ref="J125:J131" si="53">IF(H$12=0,0,H125/H$12)</f>
        <v>0</v>
      </c>
      <c r="K125" s="1"/>
      <c r="L125" s="1">
        <f t="shared" ref="L125:L131" si="54">+D125-H125</f>
        <v>1382.44</v>
      </c>
      <c r="M125" s="1"/>
      <c r="N125" s="5">
        <f t="shared" ref="N125:N131" si="55">IF(H125=0,0,L125/H125)</f>
        <v>0</v>
      </c>
      <c r="O125" s="12"/>
      <c r="P125" s="1">
        <f>SUM(OSRRefP22_7x_0)</f>
        <v>2173.59</v>
      </c>
      <c r="Q125" s="1"/>
      <c r="R125" s="5">
        <f t="shared" ref="R125:R131" si="56">IF(P$12=0,0,P125/P$12)</f>
        <v>5.2943440867925648E-3</v>
      </c>
      <c r="S125" s="1"/>
      <c r="T125" s="1">
        <f>SUM(OSRRefT22_7x_0)</f>
        <v>750</v>
      </c>
      <c r="U125" s="1"/>
      <c r="V125" s="5">
        <f t="shared" ref="V125:V131" si="57">IF(T$12=0,0,T125/T$12)</f>
        <v>1.5608722378830896E-3</v>
      </c>
      <c r="W125" s="1"/>
      <c r="X125" s="1">
        <f t="shared" ref="X125:X131" si="58">+P125-T125</f>
        <v>1423.5900000000001</v>
      </c>
      <c r="Y125" s="1"/>
      <c r="Z125" s="5">
        <f t="shared" ref="Z125:Z131" si="59">IF(T125=0,0,X125/T125)</f>
        <v>1.8981200000000003</v>
      </c>
    </row>
    <row r="126" spans="1:26" s="24" customFormat="1" hidden="1" outlineLevel="2" x14ac:dyDescent="0.35">
      <c r="A126" s="27"/>
      <c r="B126" s="11" t="str">
        <f>CONCATENATE("          ", "6336", " - ", "PROFESSIONAL SERVICES")</f>
        <v xml:space="preserve">          6336 - PROFESSIONAL SERVICES</v>
      </c>
      <c r="C126" s="11"/>
      <c r="D126" s="7">
        <v>1382.44</v>
      </c>
      <c r="E126" s="2"/>
      <c r="F126" s="6">
        <f t="shared" si="52"/>
        <v>0</v>
      </c>
      <c r="G126" s="2"/>
      <c r="H126" s="7"/>
      <c r="I126" s="2"/>
      <c r="J126" s="6">
        <f t="shared" si="53"/>
        <v>0</v>
      </c>
      <c r="K126" s="2"/>
      <c r="L126" s="7">
        <f t="shared" si="54"/>
        <v>1382.44</v>
      </c>
      <c r="M126" s="2"/>
      <c r="N126" s="6">
        <f t="shared" si="55"/>
        <v>0</v>
      </c>
      <c r="O126" s="11"/>
      <c r="P126" s="7">
        <v>2173.59</v>
      </c>
      <c r="Q126" s="2"/>
      <c r="R126" s="6">
        <f t="shared" si="56"/>
        <v>5.2943440867925648E-3</v>
      </c>
      <c r="S126" s="2"/>
      <c r="T126" s="7">
        <v>750</v>
      </c>
      <c r="U126" s="2"/>
      <c r="V126" s="6">
        <f t="shared" si="57"/>
        <v>1.5608722378830896E-3</v>
      </c>
      <c r="W126" s="2"/>
      <c r="X126" s="7">
        <f t="shared" si="58"/>
        <v>1423.5900000000001</v>
      </c>
      <c r="Y126" s="2"/>
      <c r="Z126" s="6">
        <f t="shared" si="59"/>
        <v>1.8981200000000003</v>
      </c>
    </row>
    <row r="127" spans="1:26" s="25" customFormat="1" outlineLevel="1" collapsed="1" x14ac:dyDescent="0.35">
      <c r="A127" s="26"/>
      <c r="B127" s="12" t="str">
        <f>CONCATENATE("     ","Rent                                              ")</f>
        <v xml:space="preserve">     Rent                                              </v>
      </c>
      <c r="C127" s="12"/>
      <c r="D127" s="1">
        <f>SUM(OSRRefD22_8x_0)</f>
        <v>0</v>
      </c>
      <c r="E127" s="1"/>
      <c r="F127" s="5">
        <f t="shared" si="52"/>
        <v>0</v>
      </c>
      <c r="G127" s="1"/>
      <c r="H127" s="1">
        <f>SUM(OSRRefH22_8x_0)</f>
        <v>0</v>
      </c>
      <c r="I127" s="1"/>
      <c r="J127" s="5">
        <f t="shared" si="53"/>
        <v>0</v>
      </c>
      <c r="K127" s="1"/>
      <c r="L127" s="1">
        <f t="shared" si="54"/>
        <v>0</v>
      </c>
      <c r="M127" s="1"/>
      <c r="N127" s="5">
        <f t="shared" si="55"/>
        <v>0</v>
      </c>
      <c r="O127" s="12"/>
      <c r="P127" s="1">
        <f>SUM(OSRRefP22_8x_0)</f>
        <v>0</v>
      </c>
      <c r="Q127" s="1"/>
      <c r="R127" s="5">
        <f t="shared" si="56"/>
        <v>0</v>
      </c>
      <c r="S127" s="1"/>
      <c r="T127" s="1">
        <f>SUM(OSRRefT22_8x_0)</f>
        <v>0</v>
      </c>
      <c r="U127" s="1"/>
      <c r="V127" s="5">
        <f t="shared" si="57"/>
        <v>0</v>
      </c>
      <c r="W127" s="1"/>
      <c r="X127" s="1">
        <f t="shared" si="58"/>
        <v>0</v>
      </c>
      <c r="Y127" s="1"/>
      <c r="Z127" s="5">
        <f t="shared" si="59"/>
        <v>0</v>
      </c>
    </row>
    <row r="128" spans="1:26" s="24" customFormat="1" hidden="1" outlineLevel="2" x14ac:dyDescent="0.35">
      <c r="A128" s="27"/>
      <c r="B128" s="11" t="str">
        <f>CONCATENATE("          ", "6273", " - ", "RENT")</f>
        <v xml:space="preserve">          6273 - RENT</v>
      </c>
      <c r="C128" s="11"/>
      <c r="D128" s="7"/>
      <c r="E128" s="2"/>
      <c r="F128" s="6">
        <f t="shared" si="52"/>
        <v>0</v>
      </c>
      <c r="G128" s="2"/>
      <c r="H128" s="7"/>
      <c r="I128" s="2"/>
      <c r="J128" s="6">
        <f t="shared" si="53"/>
        <v>0</v>
      </c>
      <c r="K128" s="2"/>
      <c r="L128" s="7">
        <f t="shared" si="54"/>
        <v>0</v>
      </c>
      <c r="M128" s="2"/>
      <c r="N128" s="6">
        <f t="shared" si="55"/>
        <v>0</v>
      </c>
      <c r="O128" s="11"/>
      <c r="P128" s="7"/>
      <c r="Q128" s="2"/>
      <c r="R128" s="6">
        <f t="shared" si="56"/>
        <v>0</v>
      </c>
      <c r="S128" s="2"/>
      <c r="T128" s="7">
        <v>0</v>
      </c>
      <c r="U128" s="2"/>
      <c r="V128" s="6">
        <f t="shared" si="57"/>
        <v>0</v>
      </c>
      <c r="W128" s="2"/>
      <c r="X128" s="7">
        <f t="shared" si="58"/>
        <v>0</v>
      </c>
      <c r="Y128" s="2"/>
      <c r="Z128" s="6">
        <f t="shared" si="59"/>
        <v>0</v>
      </c>
    </row>
    <row r="129" spans="1:26" s="25" customFormat="1" outlineLevel="1" collapsed="1" x14ac:dyDescent="0.35">
      <c r="A129" s="26"/>
      <c r="B129" s="12" t="str">
        <f>CONCATENATE("     ","Repair and Maintenance                            ")</f>
        <v xml:space="preserve">     Repair and Maintenance                            </v>
      </c>
      <c r="C129" s="12"/>
      <c r="D129" s="1">
        <f>SUM(OSRRefD22_9x_0)</f>
        <v>61.11</v>
      </c>
      <c r="E129" s="1"/>
      <c r="F129" s="5">
        <f t="shared" si="52"/>
        <v>0</v>
      </c>
      <c r="G129" s="1"/>
      <c r="H129" s="1">
        <f>SUM(OSRRefH22_9x_0)</f>
        <v>58.62</v>
      </c>
      <c r="I129" s="1"/>
      <c r="J129" s="5">
        <f t="shared" si="53"/>
        <v>3.5794975758093865E-2</v>
      </c>
      <c r="K129" s="1"/>
      <c r="L129" s="1">
        <f t="shared" si="54"/>
        <v>2.490000000000002</v>
      </c>
      <c r="M129" s="1"/>
      <c r="N129" s="5">
        <f t="shared" si="55"/>
        <v>4.2476970317297885E-2</v>
      </c>
      <c r="O129" s="12"/>
      <c r="P129" s="1">
        <f>SUM(OSRRefP22_9x_0)</f>
        <v>251.75</v>
      </c>
      <c r="Q129" s="1"/>
      <c r="R129" s="5">
        <f t="shared" si="56"/>
        <v>6.13202638883151E-4</v>
      </c>
      <c r="S129" s="1"/>
      <c r="T129" s="1">
        <f>SUM(OSRRefT22_9x_0)</f>
        <v>1795.35</v>
      </c>
      <c r="U129" s="1"/>
      <c r="V129" s="5">
        <f t="shared" si="57"/>
        <v>3.7364159630445394E-3</v>
      </c>
      <c r="W129" s="1"/>
      <c r="X129" s="1">
        <f t="shared" si="58"/>
        <v>-1543.6</v>
      </c>
      <c r="Y129" s="1"/>
      <c r="Z129" s="5">
        <f t="shared" si="59"/>
        <v>-0.85977664522238006</v>
      </c>
    </row>
    <row r="130" spans="1:26" s="24" customFormat="1" hidden="1" outlineLevel="2" x14ac:dyDescent="0.35">
      <c r="A130" s="27"/>
      <c r="B130" s="11" t="str">
        <f>CONCATENATE("          ", "6373", " - ", "MAINTENANCE CONTRACTS")</f>
        <v xml:space="preserve">          6373 - MAINTENANCE CONTRACTS</v>
      </c>
      <c r="C130" s="11"/>
      <c r="D130" s="7">
        <v>61.11</v>
      </c>
      <c r="E130" s="2"/>
      <c r="F130" s="6">
        <f t="shared" si="52"/>
        <v>0</v>
      </c>
      <c r="G130" s="2"/>
      <c r="H130" s="7">
        <v>58.62</v>
      </c>
      <c r="I130" s="2"/>
      <c r="J130" s="6">
        <f t="shared" si="53"/>
        <v>3.5794975758093865E-2</v>
      </c>
      <c r="K130" s="2"/>
      <c r="L130" s="7">
        <f t="shared" si="54"/>
        <v>2.490000000000002</v>
      </c>
      <c r="M130" s="2"/>
      <c r="N130" s="6">
        <f t="shared" si="55"/>
        <v>4.2476970317297885E-2</v>
      </c>
      <c r="O130" s="11"/>
      <c r="P130" s="7">
        <v>241.95</v>
      </c>
      <c r="Q130" s="2"/>
      <c r="R130" s="6">
        <f t="shared" si="56"/>
        <v>5.8933218859097663E-4</v>
      </c>
      <c r="S130" s="2"/>
      <c r="T130" s="7">
        <v>216.48</v>
      </c>
      <c r="U130" s="2"/>
      <c r="V130" s="6">
        <f t="shared" si="57"/>
        <v>4.5053016274257493E-4</v>
      </c>
      <c r="W130" s="2"/>
      <c r="X130" s="7">
        <f t="shared" si="58"/>
        <v>25.47</v>
      </c>
      <c r="Y130" s="2"/>
      <c r="Z130" s="6">
        <f t="shared" si="59"/>
        <v>0.11765521064301553</v>
      </c>
    </row>
    <row r="131" spans="1:26" s="24" customFormat="1" hidden="1" outlineLevel="2" x14ac:dyDescent="0.35">
      <c r="A131" s="27"/>
      <c r="B131" s="11" t="str">
        <f>CONCATENATE("          ", "6375", " - ", "OUTSIDE REPAIRS &amp; MAINTENANCE")</f>
        <v xml:space="preserve">          6375 - OUTSIDE REPAIRS &amp; MAINTENANCE</v>
      </c>
      <c r="C131" s="11"/>
      <c r="D131" s="7"/>
      <c r="E131" s="2"/>
      <c r="F131" s="6">
        <f t="shared" si="52"/>
        <v>0</v>
      </c>
      <c r="G131" s="2"/>
      <c r="H131" s="7"/>
      <c r="I131" s="2"/>
      <c r="J131" s="6">
        <f t="shared" si="53"/>
        <v>0</v>
      </c>
      <c r="K131" s="2"/>
      <c r="L131" s="7">
        <f t="shared" si="54"/>
        <v>0</v>
      </c>
      <c r="M131" s="2"/>
      <c r="N131" s="6">
        <f t="shared" si="55"/>
        <v>0</v>
      </c>
      <c r="O131" s="11"/>
      <c r="P131" s="7">
        <v>9.8000000000000007</v>
      </c>
      <c r="Q131" s="2"/>
      <c r="R131" s="6">
        <f t="shared" si="56"/>
        <v>2.3870450292174299E-5</v>
      </c>
      <c r="S131" s="2"/>
      <c r="T131" s="7">
        <v>1578.87</v>
      </c>
      <c r="U131" s="2"/>
      <c r="V131" s="6">
        <f t="shared" si="57"/>
        <v>3.2858858003019646E-3</v>
      </c>
      <c r="W131" s="2"/>
      <c r="X131" s="7">
        <f t="shared" si="58"/>
        <v>-1569.07</v>
      </c>
      <c r="Y131" s="2"/>
      <c r="Z131" s="6">
        <f t="shared" si="59"/>
        <v>-0.99379302919176371</v>
      </c>
    </row>
    <row r="132" spans="1:26" s="25" customFormat="1" outlineLevel="1" collapsed="1" x14ac:dyDescent="0.35">
      <c r="A132" s="26"/>
      <c r="B132" s="12" t="str">
        <f>CONCATENATE("     ","Services                                          ")</f>
        <v xml:space="preserve">     Services                                          </v>
      </c>
      <c r="C132" s="12"/>
      <c r="D132" s="1">
        <f>SUM(OSRRefD22_10x_0)</f>
        <v>1017.36</v>
      </c>
      <c r="E132" s="1"/>
      <c r="F132" s="5">
        <f t="shared" ref="F132:F134" si="60">IF(D$12=0,0,D132/D$12)</f>
        <v>0</v>
      </c>
      <c r="G132" s="1"/>
      <c r="H132" s="1">
        <f>SUM(OSRRefH22_10x_0)</f>
        <v>205.17</v>
      </c>
      <c r="I132" s="1"/>
      <c r="J132" s="5">
        <f t="shared" ref="J132:J134" si="61">IF(H$12=0,0,H132/H$12)</f>
        <v>0.12528241515332852</v>
      </c>
      <c r="K132" s="1"/>
      <c r="L132" s="1">
        <f t="shared" ref="L132:L134" si="62">+D132-H132</f>
        <v>812.19</v>
      </c>
      <c r="M132" s="1"/>
      <c r="N132" s="5">
        <f t="shared" ref="N132:N134" si="63">IF(H132=0,0,L132/H132)</f>
        <v>3.9586196812399477</v>
      </c>
      <c r="O132" s="12"/>
      <c r="P132" s="1">
        <f>SUM(OSRRefP22_10x_0)</f>
        <v>3111.27</v>
      </c>
      <c r="Q132" s="1"/>
      <c r="R132" s="5">
        <f t="shared" ref="R132:R134" si="64">IF(P$12=0,0,P132/P$12)</f>
        <v>7.5783077429115433E-3</v>
      </c>
      <c r="S132" s="1"/>
      <c r="T132" s="1">
        <f>SUM(OSRRefT22_10x_0)</f>
        <v>2544.69</v>
      </c>
      <c r="U132" s="1"/>
      <c r="V132" s="5">
        <f t="shared" ref="V132:V134" si="65">IF(T$12=0,0,T132/T$12)</f>
        <v>5.2959146333582917E-3</v>
      </c>
      <c r="W132" s="1"/>
      <c r="X132" s="1">
        <f t="shared" ref="X132:X134" si="66">+P132-T132</f>
        <v>566.57999999999993</v>
      </c>
      <c r="Y132" s="1"/>
      <c r="Z132" s="5">
        <f t="shared" ref="Z132:Z134" si="67">IF(T132=0,0,X132/T132)</f>
        <v>0.22265187508105111</v>
      </c>
    </row>
    <row r="133" spans="1:26" s="24" customFormat="1" hidden="1" outlineLevel="2" x14ac:dyDescent="0.35">
      <c r="A133" s="27"/>
      <c r="B133" s="11" t="str">
        <f>CONCATENATE("          ", "6282", " - ", "JANITORIAL/EXTERMINATOR EXPENS")</f>
        <v xml:space="preserve">          6282 - JANITORIAL/EXTERMINATOR EXPENS</v>
      </c>
      <c r="C133" s="11"/>
      <c r="D133" s="7">
        <v>88</v>
      </c>
      <c r="E133" s="2"/>
      <c r="F133" s="6">
        <f t="shared" si="60"/>
        <v>0</v>
      </c>
      <c r="G133" s="2"/>
      <c r="H133" s="7">
        <v>41.5</v>
      </c>
      <c r="I133" s="2"/>
      <c r="J133" s="6">
        <f t="shared" si="61"/>
        <v>2.5341035379749157E-2</v>
      </c>
      <c r="K133" s="2"/>
      <c r="L133" s="7">
        <f t="shared" si="62"/>
        <v>46.5</v>
      </c>
      <c r="M133" s="2"/>
      <c r="N133" s="6">
        <f t="shared" si="63"/>
        <v>1.1204819277108433</v>
      </c>
      <c r="O133" s="11"/>
      <c r="P133" s="7">
        <v>549.02</v>
      </c>
      <c r="Q133" s="2"/>
      <c r="R133" s="6">
        <f t="shared" si="64"/>
        <v>1.3372810836132175E-3</v>
      </c>
      <c r="S133" s="2"/>
      <c r="T133" s="7">
        <v>449.79</v>
      </c>
      <c r="U133" s="2"/>
      <c r="V133" s="6">
        <f t="shared" si="65"/>
        <v>9.3608629850324646E-4</v>
      </c>
      <c r="W133" s="2"/>
      <c r="X133" s="7">
        <f t="shared" si="66"/>
        <v>99.229999999999961</v>
      </c>
      <c r="Y133" s="2"/>
      <c r="Z133" s="6">
        <f t="shared" si="67"/>
        <v>0.22061406434113687</v>
      </c>
    </row>
    <row r="134" spans="1:26" s="24" customFormat="1" hidden="1" outlineLevel="2" x14ac:dyDescent="0.35">
      <c r="A134" s="27"/>
      <c r="B134" s="11" t="str">
        <f>CONCATENATE("          ", "6285", " - ", "JANITORIAL SERVICES")</f>
        <v xml:space="preserve">          6285 - JANITORIAL SERVICES</v>
      </c>
      <c r="C134" s="11"/>
      <c r="D134" s="7">
        <v>929.36</v>
      </c>
      <c r="E134" s="2"/>
      <c r="F134" s="6">
        <f t="shared" si="60"/>
        <v>0</v>
      </c>
      <c r="G134" s="2"/>
      <c r="H134" s="7">
        <v>163.66999999999999</v>
      </c>
      <c r="I134" s="2"/>
      <c r="J134" s="6">
        <f t="shared" si="61"/>
        <v>9.9941379773579378E-2</v>
      </c>
      <c r="K134" s="2"/>
      <c r="L134" s="7">
        <f t="shared" si="62"/>
        <v>765.69</v>
      </c>
      <c r="M134" s="2"/>
      <c r="N134" s="6">
        <f t="shared" si="63"/>
        <v>4.6782550253558997</v>
      </c>
      <c r="O134" s="11"/>
      <c r="P134" s="7">
        <v>2562.25</v>
      </c>
      <c r="Q134" s="2"/>
      <c r="R134" s="6">
        <f t="shared" si="64"/>
        <v>6.2410266592983262E-3</v>
      </c>
      <c r="S134" s="2"/>
      <c r="T134" s="7">
        <v>2094.9</v>
      </c>
      <c r="U134" s="2"/>
      <c r="V134" s="6">
        <f t="shared" si="65"/>
        <v>4.3598283348550461E-3</v>
      </c>
      <c r="W134" s="2"/>
      <c r="X134" s="7">
        <f t="shared" si="66"/>
        <v>467.34999999999991</v>
      </c>
      <c r="Y134" s="2"/>
      <c r="Z134" s="6">
        <f t="shared" si="67"/>
        <v>0.22308940760895501</v>
      </c>
    </row>
    <row r="135" spans="1:26" s="25" customFormat="1" outlineLevel="1" collapsed="1" x14ac:dyDescent="0.35">
      <c r="A135" s="26"/>
      <c r="B135" s="12" t="str">
        <f>CONCATENATE("     ","Supplies                                          ")</f>
        <v xml:space="preserve">     Supplies                                          </v>
      </c>
      <c r="C135" s="12"/>
      <c r="D135" s="1">
        <f>SUM(OSRRefD22_11x_0)</f>
        <v>0</v>
      </c>
      <c r="E135" s="1"/>
      <c r="F135" s="5">
        <f t="shared" ref="F135:F138" si="68">IF(D$12=0,0,D135/D$12)</f>
        <v>0</v>
      </c>
      <c r="G135" s="1"/>
      <c r="H135" s="1">
        <f>SUM(OSRRefH22_11x_0)</f>
        <v>0</v>
      </c>
      <c r="I135" s="1"/>
      <c r="J135" s="5">
        <f t="shared" ref="J135:J138" si="69">IF(H$12=0,0,H135/H$12)</f>
        <v>0</v>
      </c>
      <c r="K135" s="1"/>
      <c r="L135" s="1">
        <f t="shared" ref="L135:L138" si="70">+D135-H135</f>
        <v>0</v>
      </c>
      <c r="M135" s="1"/>
      <c r="N135" s="5">
        <f t="shared" ref="N135:N138" si="71">IF(H135=0,0,L135/H135)</f>
        <v>0</v>
      </c>
      <c r="O135" s="12"/>
      <c r="P135" s="1">
        <f>SUM(OSRRefP22_11x_0)</f>
        <v>1612.07</v>
      </c>
      <c r="Q135" s="1"/>
      <c r="R135" s="5">
        <f t="shared" ref="R135:R138" si="72">IF(P$12=0,0,P135/P$12)</f>
        <v>3.9266160002556548E-3</v>
      </c>
      <c r="S135" s="1"/>
      <c r="T135" s="1">
        <f>SUM(OSRRefT22_11x_0)</f>
        <v>959.32999999999993</v>
      </c>
      <c r="U135" s="1"/>
      <c r="V135" s="5">
        <f t="shared" ref="V135:V138" si="73">IF(T$12=0,0,T135/T$12)</f>
        <v>1.9965220852911788E-3</v>
      </c>
      <c r="W135" s="1"/>
      <c r="X135" s="1">
        <f t="shared" ref="X135:X138" si="74">+P135-T135</f>
        <v>652.74</v>
      </c>
      <c r="Y135" s="1"/>
      <c r="Z135" s="5">
        <f t="shared" ref="Z135:Z138" si="75">IF(T135=0,0,X135/T135)</f>
        <v>0.68041237113402064</v>
      </c>
    </row>
    <row r="136" spans="1:26" s="24" customFormat="1" hidden="1" outlineLevel="2" x14ac:dyDescent="0.35">
      <c r="A136" s="27"/>
      <c r="B136" s="11" t="str">
        <f>CONCATENATE("          ", "6241", " - ", "OFFICE EXPENSE")</f>
        <v xml:space="preserve">          6241 - OFFICE EXPENSE</v>
      </c>
      <c r="C136" s="11"/>
      <c r="D136" s="7"/>
      <c r="E136" s="2"/>
      <c r="F136" s="6">
        <f t="shared" si="68"/>
        <v>0</v>
      </c>
      <c r="G136" s="2"/>
      <c r="H136" s="7"/>
      <c r="I136" s="2"/>
      <c r="J136" s="6">
        <f t="shared" si="69"/>
        <v>0</v>
      </c>
      <c r="K136" s="2"/>
      <c r="L136" s="7">
        <f t="shared" si="70"/>
        <v>0</v>
      </c>
      <c r="M136" s="2"/>
      <c r="N136" s="6">
        <f t="shared" si="71"/>
        <v>0</v>
      </c>
      <c r="O136" s="11"/>
      <c r="P136" s="7">
        <v>1421.17</v>
      </c>
      <c r="Q136" s="2"/>
      <c r="R136" s="6">
        <f t="shared" si="72"/>
        <v>3.4616293716050357E-3</v>
      </c>
      <c r="S136" s="2"/>
      <c r="T136" s="7">
        <v>960.93</v>
      </c>
      <c r="U136" s="2"/>
      <c r="V136" s="6">
        <f t="shared" si="73"/>
        <v>1.9998519460653293E-3</v>
      </c>
      <c r="W136" s="2"/>
      <c r="X136" s="7">
        <f t="shared" si="74"/>
        <v>460.24000000000012</v>
      </c>
      <c r="Y136" s="2"/>
      <c r="Z136" s="6">
        <f t="shared" si="75"/>
        <v>0.47895268125669938</v>
      </c>
    </row>
    <row r="137" spans="1:26" s="24" customFormat="1" hidden="1" outlineLevel="2" x14ac:dyDescent="0.35">
      <c r="A137" s="27"/>
      <c r="B137" s="11" t="str">
        <f>CONCATENATE("          ", "6245", " - ", "PRINTING")</f>
        <v xml:space="preserve">          6245 - PRINTING</v>
      </c>
      <c r="C137" s="11"/>
      <c r="D137" s="7"/>
      <c r="E137" s="2"/>
      <c r="F137" s="6">
        <f t="shared" si="68"/>
        <v>0</v>
      </c>
      <c r="G137" s="2"/>
      <c r="H137" s="7"/>
      <c r="I137" s="2"/>
      <c r="J137" s="6">
        <f t="shared" si="69"/>
        <v>0</v>
      </c>
      <c r="K137" s="2"/>
      <c r="L137" s="7">
        <f t="shared" si="70"/>
        <v>0</v>
      </c>
      <c r="M137" s="2"/>
      <c r="N137" s="6">
        <f t="shared" si="71"/>
        <v>0</v>
      </c>
      <c r="O137" s="11"/>
      <c r="P137" s="7">
        <v>22.05</v>
      </c>
      <c r="Q137" s="2"/>
      <c r="R137" s="6">
        <f t="shared" si="72"/>
        <v>5.3708513157392171E-5</v>
      </c>
      <c r="S137" s="2"/>
      <c r="T137" s="7"/>
      <c r="U137" s="2"/>
      <c r="V137" s="6">
        <f t="shared" si="73"/>
        <v>0</v>
      </c>
      <c r="W137" s="2"/>
      <c r="X137" s="7">
        <f t="shared" si="74"/>
        <v>22.05</v>
      </c>
      <c r="Y137" s="2"/>
      <c r="Z137" s="6">
        <f t="shared" si="75"/>
        <v>0</v>
      </c>
    </row>
    <row r="138" spans="1:26" s="24" customFormat="1" hidden="1" outlineLevel="2" x14ac:dyDescent="0.35">
      <c r="A138" s="27"/>
      <c r="B138" s="11" t="str">
        <f>CONCATENATE("          ", "6247", " - ", "STORE SUPPLIES")</f>
        <v xml:space="preserve">          6247 - STORE SUPPLIES</v>
      </c>
      <c r="C138" s="11"/>
      <c r="D138" s="7"/>
      <c r="E138" s="2"/>
      <c r="F138" s="6">
        <f t="shared" si="68"/>
        <v>0</v>
      </c>
      <c r="G138" s="2"/>
      <c r="H138" s="7"/>
      <c r="I138" s="2"/>
      <c r="J138" s="6">
        <f t="shared" si="69"/>
        <v>0</v>
      </c>
      <c r="K138" s="2"/>
      <c r="L138" s="7">
        <f t="shared" si="70"/>
        <v>0</v>
      </c>
      <c r="M138" s="2"/>
      <c r="N138" s="6">
        <f t="shared" si="71"/>
        <v>0</v>
      </c>
      <c r="O138" s="11"/>
      <c r="P138" s="7">
        <v>168.85</v>
      </c>
      <c r="Q138" s="2"/>
      <c r="R138" s="6">
        <f t="shared" si="72"/>
        <v>4.1127811549322756E-4</v>
      </c>
      <c r="S138" s="2"/>
      <c r="T138" s="7">
        <v>-1.6</v>
      </c>
      <c r="U138" s="2"/>
      <c r="V138" s="6">
        <f t="shared" si="73"/>
        <v>-3.3298607741505909E-6</v>
      </c>
      <c r="W138" s="2"/>
      <c r="X138" s="7">
        <f t="shared" si="74"/>
        <v>170.45</v>
      </c>
      <c r="Y138" s="2"/>
      <c r="Z138" s="6">
        <f t="shared" si="75"/>
        <v>-106.53124999999999</v>
      </c>
    </row>
    <row r="139" spans="1:26" s="25" customFormat="1" outlineLevel="1" collapsed="1" x14ac:dyDescent="0.35">
      <c r="A139" s="26"/>
      <c r="B139" s="12" t="str">
        <f>CONCATENATE("     ","Telephone/Data Lines                              ")</f>
        <v xml:space="preserve">     Telephone/Data Lines                              </v>
      </c>
      <c r="C139" s="12"/>
      <c r="D139" s="1">
        <f>SUM(OSRRefD22_12x_0)</f>
        <v>81.75</v>
      </c>
      <c r="E139" s="1"/>
      <c r="F139" s="5">
        <f t="shared" ref="F139:F144" si="76">IF(D$12=0,0,D139/D$12)</f>
        <v>0</v>
      </c>
      <c r="G139" s="1"/>
      <c r="H139" s="1">
        <f>SUM(OSRRefH22_12x_0)</f>
        <v>103.2</v>
      </c>
      <c r="I139" s="1"/>
      <c r="J139" s="5">
        <f t="shared" ref="J139:J144" si="77">IF(H$12=0,0,H139/H$12)</f>
        <v>6.3016743402171393E-2</v>
      </c>
      <c r="K139" s="1"/>
      <c r="L139" s="1">
        <f t="shared" ref="L139:L144" si="78">+D139-H139</f>
        <v>-21.450000000000003</v>
      </c>
      <c r="M139" s="1"/>
      <c r="N139" s="5">
        <f t="shared" ref="N139:N144" si="79">IF(H139=0,0,L139/H139)</f>
        <v>-0.20784883720930233</v>
      </c>
      <c r="O139" s="12"/>
      <c r="P139" s="1">
        <f>SUM(OSRRefP22_12x_0)</f>
        <v>1175.1199999999999</v>
      </c>
      <c r="Q139" s="1"/>
      <c r="R139" s="5">
        <f t="shared" ref="R139:R144" si="80">IF(P$12=0,0,P139/P$12)</f>
        <v>2.8623105660550876E-3</v>
      </c>
      <c r="S139" s="1"/>
      <c r="T139" s="1">
        <f>SUM(OSRRefT22_12x_0)</f>
        <v>1172.25</v>
      </c>
      <c r="U139" s="1"/>
      <c r="V139" s="5">
        <f t="shared" ref="V139:V144" si="81">IF(T$12=0,0,T139/T$12)</f>
        <v>2.4396433078112687E-3</v>
      </c>
      <c r="W139" s="1"/>
      <c r="X139" s="1">
        <f t="shared" ref="X139:X144" si="82">+P139-T139</f>
        <v>2.8699999999998909</v>
      </c>
      <c r="Y139" s="1"/>
      <c r="Z139" s="5">
        <f t="shared" ref="Z139:Z144" si="83">IF(T139=0,0,X139/T139)</f>
        <v>2.4482832160374417E-3</v>
      </c>
    </row>
    <row r="140" spans="1:26" s="24" customFormat="1" hidden="1" outlineLevel="2" x14ac:dyDescent="0.35">
      <c r="A140" s="27"/>
      <c r="B140" s="11" t="str">
        <f>CONCATENATE("          ", "6309", " - ", "TELEPHONE")</f>
        <v xml:space="preserve">          6309 - TELEPHONE</v>
      </c>
      <c r="C140" s="11"/>
      <c r="D140" s="7">
        <v>81.75</v>
      </c>
      <c r="E140" s="2"/>
      <c r="F140" s="6">
        <f t="shared" si="76"/>
        <v>0</v>
      </c>
      <c r="G140" s="2"/>
      <c r="H140" s="7">
        <v>103.2</v>
      </c>
      <c r="I140" s="2"/>
      <c r="J140" s="6">
        <f t="shared" si="77"/>
        <v>6.3016743402171393E-2</v>
      </c>
      <c r="K140" s="2"/>
      <c r="L140" s="7">
        <f t="shared" si="78"/>
        <v>-21.450000000000003</v>
      </c>
      <c r="M140" s="2"/>
      <c r="N140" s="6">
        <f t="shared" si="79"/>
        <v>-0.20784883720930233</v>
      </c>
      <c r="O140" s="11"/>
      <c r="P140" s="7">
        <v>1175.1199999999999</v>
      </c>
      <c r="Q140" s="2"/>
      <c r="R140" s="6">
        <f t="shared" si="80"/>
        <v>2.8623105660550876E-3</v>
      </c>
      <c r="S140" s="2"/>
      <c r="T140" s="7">
        <v>1172.25</v>
      </c>
      <c r="U140" s="2"/>
      <c r="V140" s="6">
        <f t="shared" si="81"/>
        <v>2.4396433078112687E-3</v>
      </c>
      <c r="W140" s="2"/>
      <c r="X140" s="7">
        <f t="shared" si="82"/>
        <v>2.8699999999998909</v>
      </c>
      <c r="Y140" s="2"/>
      <c r="Z140" s="6">
        <f t="shared" si="83"/>
        <v>2.4482832160374417E-3</v>
      </c>
    </row>
    <row r="141" spans="1:26" s="25" customFormat="1" outlineLevel="1" collapsed="1" x14ac:dyDescent="0.35">
      <c r="A141" s="26"/>
      <c r="B141" s="12" t="str">
        <f>CONCATENATE("     ","Training                                          ")</f>
        <v xml:space="preserve">     Training                                          </v>
      </c>
      <c r="C141" s="12"/>
      <c r="D141" s="1">
        <f>SUM(OSRRefD22_13x_0)</f>
        <v>0</v>
      </c>
      <c r="E141" s="1"/>
      <c r="F141" s="5">
        <f t="shared" si="76"/>
        <v>0</v>
      </c>
      <c r="G141" s="1"/>
      <c r="H141" s="1">
        <f>SUM(OSRRefH22_13x_0)</f>
        <v>0</v>
      </c>
      <c r="I141" s="1"/>
      <c r="J141" s="5">
        <f t="shared" si="77"/>
        <v>0</v>
      </c>
      <c r="K141" s="1"/>
      <c r="L141" s="1">
        <f t="shared" si="78"/>
        <v>0</v>
      </c>
      <c r="M141" s="1"/>
      <c r="N141" s="5">
        <f t="shared" si="79"/>
        <v>0</v>
      </c>
      <c r="O141" s="12"/>
      <c r="P141" s="1">
        <f>SUM(OSRRefP22_13x_0)</f>
        <v>254.8</v>
      </c>
      <c r="Q141" s="1"/>
      <c r="R141" s="5">
        <f t="shared" si="80"/>
        <v>6.2063170759653178E-4</v>
      </c>
      <c r="S141" s="1"/>
      <c r="T141" s="1">
        <f>SUM(OSRRefT22_13x_0)</f>
        <v>0</v>
      </c>
      <c r="U141" s="1"/>
      <c r="V141" s="5">
        <f t="shared" si="81"/>
        <v>0</v>
      </c>
      <c r="W141" s="1"/>
      <c r="X141" s="1">
        <f t="shared" si="82"/>
        <v>254.8</v>
      </c>
      <c r="Y141" s="1"/>
      <c r="Z141" s="5">
        <f t="shared" si="83"/>
        <v>0</v>
      </c>
    </row>
    <row r="142" spans="1:26" s="24" customFormat="1" hidden="1" outlineLevel="2" x14ac:dyDescent="0.35">
      <c r="A142" s="27"/>
      <c r="B142" s="11" t="str">
        <f>CONCATENATE("          ", "6376", " - ", "TRAINING")</f>
        <v xml:space="preserve">          6376 - TRAINING</v>
      </c>
      <c r="C142" s="11"/>
      <c r="D142" s="7"/>
      <c r="E142" s="2"/>
      <c r="F142" s="6">
        <f t="shared" si="76"/>
        <v>0</v>
      </c>
      <c r="G142" s="2"/>
      <c r="H142" s="7"/>
      <c r="I142" s="2"/>
      <c r="J142" s="6">
        <f t="shared" si="77"/>
        <v>0</v>
      </c>
      <c r="K142" s="2"/>
      <c r="L142" s="7">
        <f t="shared" si="78"/>
        <v>0</v>
      </c>
      <c r="M142" s="2"/>
      <c r="N142" s="6">
        <f t="shared" si="79"/>
        <v>0</v>
      </c>
      <c r="O142" s="11"/>
      <c r="P142" s="7">
        <v>254.8</v>
      </c>
      <c r="Q142" s="2"/>
      <c r="R142" s="6">
        <f t="shared" si="80"/>
        <v>6.2063170759653178E-4</v>
      </c>
      <c r="S142" s="2"/>
      <c r="T142" s="7"/>
      <c r="U142" s="2"/>
      <c r="V142" s="6">
        <f t="shared" si="81"/>
        <v>0</v>
      </c>
      <c r="W142" s="2"/>
      <c r="X142" s="7">
        <f t="shared" si="82"/>
        <v>254.8</v>
      </c>
      <c r="Y142" s="2"/>
      <c r="Z142" s="6">
        <f t="shared" si="83"/>
        <v>0</v>
      </c>
    </row>
    <row r="143" spans="1:26" s="25" customFormat="1" outlineLevel="1" collapsed="1" x14ac:dyDescent="0.35">
      <c r="A143" s="26"/>
      <c r="B143" s="12" t="str">
        <f>CONCATENATE("     ","Travel                                            ")</f>
        <v xml:space="preserve">     Travel                                            </v>
      </c>
      <c r="C143" s="12"/>
      <c r="D143" s="1">
        <f>SUM(OSRRefD22_14x_0)</f>
        <v>0</v>
      </c>
      <c r="E143" s="1"/>
      <c r="F143" s="5">
        <f t="shared" si="76"/>
        <v>0</v>
      </c>
      <c r="G143" s="1"/>
      <c r="H143" s="1">
        <f>SUM(OSRRefH22_14x_0)</f>
        <v>228.96</v>
      </c>
      <c r="I143" s="1"/>
      <c r="J143" s="5">
        <f t="shared" si="77"/>
        <v>0.13980924001318956</v>
      </c>
      <c r="K143" s="1"/>
      <c r="L143" s="1">
        <f t="shared" si="78"/>
        <v>-228.96</v>
      </c>
      <c r="M143" s="1"/>
      <c r="N143" s="5">
        <f t="shared" si="79"/>
        <v>-1</v>
      </c>
      <c r="O143" s="12"/>
      <c r="P143" s="1">
        <f>SUM(OSRRefP22_14x_0)</f>
        <v>0</v>
      </c>
      <c r="Q143" s="1"/>
      <c r="R143" s="5">
        <f t="shared" si="80"/>
        <v>0</v>
      </c>
      <c r="S143" s="1"/>
      <c r="T143" s="1">
        <f>SUM(OSRRefT22_14x_0)</f>
        <v>1153.81</v>
      </c>
      <c r="U143" s="1"/>
      <c r="V143" s="5">
        <f t="shared" si="81"/>
        <v>2.401266662389183E-3</v>
      </c>
      <c r="W143" s="1"/>
      <c r="X143" s="1">
        <f t="shared" si="82"/>
        <v>-1153.81</v>
      </c>
      <c r="Y143" s="1"/>
      <c r="Z143" s="5">
        <f t="shared" si="83"/>
        <v>-1</v>
      </c>
    </row>
    <row r="144" spans="1:26" s="24" customFormat="1" hidden="1" outlineLevel="2" x14ac:dyDescent="0.35">
      <c r="A144" s="27"/>
      <c r="B144" s="11" t="str">
        <f>CONCATENATE("          ", "6292", " - ", "TRAVEL/CONFERENCE")</f>
        <v xml:space="preserve">          6292 - TRAVEL/CONFERENCE</v>
      </c>
      <c r="C144" s="11"/>
      <c r="D144" s="7"/>
      <c r="E144" s="2"/>
      <c r="F144" s="6">
        <f t="shared" si="76"/>
        <v>0</v>
      </c>
      <c r="G144" s="2"/>
      <c r="H144" s="7">
        <v>228.96</v>
      </c>
      <c r="I144" s="2"/>
      <c r="J144" s="6">
        <f t="shared" si="77"/>
        <v>0.13980924001318956</v>
      </c>
      <c r="K144" s="2"/>
      <c r="L144" s="7">
        <f t="shared" si="78"/>
        <v>-228.96</v>
      </c>
      <c r="M144" s="2"/>
      <c r="N144" s="6">
        <f t="shared" si="79"/>
        <v>-1</v>
      </c>
      <c r="O144" s="11"/>
      <c r="P144" s="7"/>
      <c r="Q144" s="2"/>
      <c r="R144" s="6">
        <f t="shared" si="80"/>
        <v>0</v>
      </c>
      <c r="S144" s="2"/>
      <c r="T144" s="7">
        <v>1153.81</v>
      </c>
      <c r="U144" s="2"/>
      <c r="V144" s="6">
        <f t="shared" si="81"/>
        <v>2.401266662389183E-3</v>
      </c>
      <c r="W144" s="2"/>
      <c r="X144" s="7">
        <f t="shared" si="82"/>
        <v>-1153.81</v>
      </c>
      <c r="Y144" s="2"/>
      <c r="Z144" s="6">
        <f t="shared" si="83"/>
        <v>-1</v>
      </c>
    </row>
    <row r="145" spans="1:26" s="56" customFormat="1" x14ac:dyDescent="0.35">
      <c r="A145" s="37"/>
      <c r="B145" s="37"/>
      <c r="C145" s="37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7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collapsed="1" x14ac:dyDescent="0.35">
      <c r="A146" s="10"/>
      <c r="B146" s="29" t="s">
        <v>0</v>
      </c>
      <c r="C146" s="10"/>
      <c r="D146" s="4">
        <f>SUM(OSRRefD25x_0)</f>
        <v>0</v>
      </c>
      <c r="E146" s="4"/>
      <c r="F146" s="13">
        <f t="shared" ref="F146:F147" si="84">IF(D$12=0,0,D146/D$12)</f>
        <v>0</v>
      </c>
      <c r="G146" s="4"/>
      <c r="H146" s="4">
        <f>SUM(OSRRefH25x_0)</f>
        <v>0</v>
      </c>
      <c r="I146" s="4"/>
      <c r="J146" s="13">
        <f t="shared" ref="J146:J147" si="85">IF(H$12=0,0,H146/H$12)</f>
        <v>0</v>
      </c>
      <c r="K146" s="4"/>
      <c r="L146" s="4">
        <f t="shared" ref="L146:L147" si="86">+D146-H146</f>
        <v>0</v>
      </c>
      <c r="M146" s="4"/>
      <c r="N146" s="13">
        <f t="shared" ref="N146:N147" si="87">IF(H146=0,0,L146/H146)</f>
        <v>0</v>
      </c>
      <c r="O146" s="10"/>
      <c r="P146" s="4">
        <f>SUM(OSRRefP25x_0)</f>
        <v>68.760000000000005</v>
      </c>
      <c r="Q146" s="4"/>
      <c r="R146" s="13">
        <f t="shared" ref="R146:R147" si="88">IF(P$12=0,0,P146/P$12)</f>
        <v>1.6748287368264334E-4</v>
      </c>
      <c r="S146" s="4"/>
      <c r="T146" s="4">
        <f>SUM(OSRRefT25x_0)</f>
        <v>0</v>
      </c>
      <c r="U146" s="4"/>
      <c r="V146" s="13">
        <f t="shared" ref="V146:V147" si="89">IF(T$12=0,0,T146/T$12)</f>
        <v>0</v>
      </c>
      <c r="W146" s="4"/>
      <c r="X146" s="4">
        <f t="shared" ref="X146:X147" si="90">+P146-T146</f>
        <v>68.760000000000005</v>
      </c>
      <c r="Y146" s="4"/>
      <c r="Z146" s="13">
        <f t="shared" ref="Z146:Z147" si="91">IF(T146=0,0,X146/T146)</f>
        <v>0</v>
      </c>
    </row>
    <row r="147" spans="1:26" s="24" customFormat="1" hidden="1" outlineLevel="1" x14ac:dyDescent="0.35">
      <c r="A147" s="44"/>
      <c r="B147" s="11" t="str">
        <f>CONCATENATE("          ", "9150", " - ", "MISC. INCOME")</f>
        <v xml:space="preserve">          9150 - MISC. INCOME</v>
      </c>
      <c r="C147" s="11"/>
      <c r="D147" s="2">
        <f>0</f>
        <v>0</v>
      </c>
      <c r="E147" s="2"/>
      <c r="F147" s="19">
        <f t="shared" si="84"/>
        <v>0</v>
      </c>
      <c r="G147" s="2"/>
      <c r="H147" s="2">
        <f>0</f>
        <v>0</v>
      </c>
      <c r="I147" s="2"/>
      <c r="J147" s="19">
        <f t="shared" si="85"/>
        <v>0</v>
      </c>
      <c r="K147" s="2"/>
      <c r="L147" s="2">
        <f t="shared" si="86"/>
        <v>0</v>
      </c>
      <c r="M147" s="2"/>
      <c r="N147" s="19">
        <f t="shared" si="87"/>
        <v>0</v>
      </c>
      <c r="O147" s="11"/>
      <c r="P147" s="2">
        <f>--68.76</f>
        <v>68.760000000000005</v>
      </c>
      <c r="Q147" s="2"/>
      <c r="R147" s="19">
        <f t="shared" si="88"/>
        <v>1.6748287368264334E-4</v>
      </c>
      <c r="S147" s="2"/>
      <c r="T147" s="2">
        <f>0</f>
        <v>0</v>
      </c>
      <c r="U147" s="2"/>
      <c r="V147" s="19">
        <f t="shared" si="89"/>
        <v>0</v>
      </c>
      <c r="W147" s="2"/>
      <c r="X147" s="2">
        <f t="shared" si="90"/>
        <v>68.760000000000005</v>
      </c>
      <c r="Y147" s="2"/>
      <c r="Z147" s="19">
        <f t="shared" si="91"/>
        <v>0</v>
      </c>
    </row>
    <row r="148" spans="1:26" x14ac:dyDescent="0.3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x14ac:dyDescent="0.35">
      <c r="A149" s="10"/>
      <c r="B149" s="28" t="s">
        <v>3</v>
      </c>
      <c r="C149" s="28"/>
      <c r="D149" s="22">
        <f>+D76-D78+D146</f>
        <v>-32855.549999999996</v>
      </c>
      <c r="E149" s="14"/>
      <c r="F149" s="21">
        <f>IF(D$12=0,0,D149/D$12)</f>
        <v>0</v>
      </c>
      <c r="G149" s="14"/>
      <c r="H149" s="22">
        <f>+H76-H78+H146</f>
        <v>-14458.270000000002</v>
      </c>
      <c r="I149" s="14"/>
      <c r="J149" s="21">
        <f>IF(H$12=0,0,H149/H$12)</f>
        <v>-8.828615219276287</v>
      </c>
      <c r="K149" s="15"/>
      <c r="L149" s="22">
        <f>+D149-H149</f>
        <v>-18397.279999999992</v>
      </c>
      <c r="M149" s="15"/>
      <c r="N149" s="21">
        <f>IF(H149=0,0,L149/H149)</f>
        <v>1.2724399253852632</v>
      </c>
      <c r="O149" s="29"/>
      <c r="P149" s="22">
        <f>+P76-P78+P146</f>
        <v>53426.880000000245</v>
      </c>
      <c r="Q149" s="14"/>
      <c r="R149" s="21">
        <f>IF(P$12=0,0,P149/P$12)</f>
        <v>0.13013506972509867</v>
      </c>
      <c r="S149" s="14"/>
      <c r="T149" s="22">
        <f>+T76-T78+T146</f>
        <v>84782.479999999952</v>
      </c>
      <c r="U149" s="14"/>
      <c r="V149" s="21">
        <f>IF(T$12=0,0,T149/T$12)</f>
        <v>0.17644615905450425</v>
      </c>
      <c r="W149" s="15"/>
      <c r="X149" s="22">
        <f>+P149-T149</f>
        <v>-31355.599999999708</v>
      </c>
      <c r="Y149" s="15"/>
      <c r="Z149" s="21">
        <f>IF(T149=0,0,X149/T149)</f>
        <v>-0.3698358434431232</v>
      </c>
    </row>
    <row r="150" spans="1:26" x14ac:dyDescent="0.35">
      <c r="A150" s="9"/>
      <c r="B150" s="10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35">
      <c r="A151" s="51"/>
      <c r="B151" s="10" t="s">
        <v>13</v>
      </c>
      <c r="C151" s="10"/>
      <c r="D151" s="4">
        <v>13555.59</v>
      </c>
      <c r="E151" s="4"/>
      <c r="F151" s="13">
        <f>IF(D$12=0,0,D151/D$12)</f>
        <v>0</v>
      </c>
      <c r="G151" s="4"/>
      <c r="H151" s="4">
        <v>-15560.04</v>
      </c>
      <c r="I151" s="4"/>
      <c r="J151" s="13">
        <f>IF(H$12=0,0,H151/H$12)</f>
        <v>-9.5013861241039059</v>
      </c>
      <c r="K151" s="4"/>
      <c r="L151" s="4">
        <f>+D151-H151</f>
        <v>29115.63</v>
      </c>
      <c r="M151" s="4"/>
      <c r="N151" s="13">
        <f>IF(H151=0,0,L151/H151)</f>
        <v>-1.8711796370703417</v>
      </c>
      <c r="O151" s="10"/>
      <c r="P151" s="4">
        <v>62173.090000000004</v>
      </c>
      <c r="Q151" s="4"/>
      <c r="R151" s="13">
        <f>IF(P$12=0,0,P151/P$12)</f>
        <v>0.15143874024039583</v>
      </c>
      <c r="S151" s="4"/>
      <c r="T151" s="4">
        <v>34248.68</v>
      </c>
      <c r="U151" s="4"/>
      <c r="V151" s="13">
        <f>IF(T$12=0,0,T151/T$12)</f>
        <v>7.1277085061522416E-2</v>
      </c>
      <c r="W151" s="4"/>
      <c r="X151" s="4">
        <f>+P151-T151</f>
        <v>27924.410000000003</v>
      </c>
      <c r="Y151" s="4"/>
      <c r="Z151" s="13">
        <f>IF(T151=0,0,X151/T151)</f>
        <v>0.81534266430122282</v>
      </c>
    </row>
    <row r="152" spans="1:26" x14ac:dyDescent="0.3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ht="15" thickBot="1" x14ac:dyDescent="0.4">
      <c r="A153" s="10"/>
      <c r="B153" s="28" t="s">
        <v>4</v>
      </c>
      <c r="C153" s="28"/>
      <c r="D153" s="34">
        <f>+D149-D151</f>
        <v>-46411.14</v>
      </c>
      <c r="E153" s="14"/>
      <c r="F153" s="32">
        <f>IF(D$12=0,0,D153/D$12)</f>
        <v>0</v>
      </c>
      <c r="G153" s="14"/>
      <c r="H153" s="34">
        <f>+H149-H151</f>
        <v>1101.7699999999986</v>
      </c>
      <c r="I153" s="14"/>
      <c r="J153" s="32">
        <f>IF(H$12=0,0,H153/H$12)</f>
        <v>0.67277090482761914</v>
      </c>
      <c r="K153" s="15"/>
      <c r="L153" s="34">
        <f>D153-H153</f>
        <v>-47512.909999999996</v>
      </c>
      <c r="M153" s="15"/>
      <c r="N153" s="32">
        <f>IF(H153=0,0,L153/H153)</f>
        <v>-43.124163845448734</v>
      </c>
      <c r="O153" s="29"/>
      <c r="P153" s="34">
        <f>+P149-P151</f>
        <v>-8746.209999999759</v>
      </c>
      <c r="Q153" s="14"/>
      <c r="R153" s="32">
        <f>IF(P$12=0,0,P153/P$12)</f>
        <v>-2.1303670515297145E-2</v>
      </c>
      <c r="S153" s="14"/>
      <c r="T153" s="34">
        <f>+T149-T151</f>
        <v>50533.799999999952</v>
      </c>
      <c r="U153" s="14"/>
      <c r="V153" s="32">
        <f>IF(T$12=0,0,T153/T$12)</f>
        <v>0.10516907399298185</v>
      </c>
      <c r="W153" s="15"/>
      <c r="X153" s="34">
        <f>P153-T153</f>
        <v>-59280.009999999711</v>
      </c>
      <c r="Y153" s="15"/>
      <c r="Z153" s="32">
        <f>IF(T153=0,0,X153/T153)</f>
        <v>-1.173076435969584</v>
      </c>
    </row>
    <row r="154" spans="1:26" ht="15" thickTop="1" x14ac:dyDescent="0.3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x14ac:dyDescent="0.3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ht="15" thickBot="1" x14ac:dyDescent="0.4">
      <c r="A156" s="10"/>
      <c r="B156" s="28" t="s">
        <v>5</v>
      </c>
      <c r="C156" s="28"/>
      <c r="D156" s="35">
        <f>SUM(D153:D155)</f>
        <v>-46411.14</v>
      </c>
      <c r="E156" s="14"/>
      <c r="F156" s="33">
        <f>IF(D$12=0,0,D156/D$12)</f>
        <v>0</v>
      </c>
      <c r="G156" s="14"/>
      <c r="H156" s="35">
        <f>SUM(H153:H155)</f>
        <v>1101.7699999999986</v>
      </c>
      <c r="I156" s="14"/>
      <c r="J156" s="33">
        <f>IF(H$12=0,0,H156/H$12)</f>
        <v>0.67277090482761914</v>
      </c>
      <c r="K156" s="15"/>
      <c r="L156" s="35">
        <f>+D156-H156</f>
        <v>-47512.909999999996</v>
      </c>
      <c r="M156" s="15"/>
      <c r="N156" s="33">
        <f>IF(H156=0,0,L156/H156)</f>
        <v>-43.124163845448734</v>
      </c>
      <c r="O156" s="29"/>
      <c r="P156" s="35">
        <f>SUM(P153:P155)</f>
        <v>-8746.209999999759</v>
      </c>
      <c r="Q156" s="14"/>
      <c r="R156" s="33">
        <f>IF(P$12=0,0,P156/P$12)</f>
        <v>-2.1303670515297145E-2</v>
      </c>
      <c r="S156" s="14"/>
      <c r="T156" s="35">
        <f>SUM(T153:T155)</f>
        <v>50533.799999999952</v>
      </c>
      <c r="U156" s="14"/>
      <c r="V156" s="33">
        <f>IF(T$12=0,0,T156/T$12)</f>
        <v>0.10516907399298185</v>
      </c>
      <c r="W156" s="15"/>
      <c r="X156" s="35">
        <f>+P156-T156</f>
        <v>-59280.009999999711</v>
      </c>
      <c r="Y156" s="15"/>
      <c r="Z156" s="33">
        <f>IF(T156=0,0,X156/T156)</f>
        <v>-1.173076435969584</v>
      </c>
    </row>
    <row r="157" spans="1:26" ht="15" thickTop="1" x14ac:dyDescent="0.35">
      <c r="A157" s="9"/>
      <c r="C157" s="9"/>
      <c r="D157" s="17"/>
      <c r="E157" s="17"/>
      <c r="G157" s="17"/>
      <c r="H157" s="17"/>
      <c r="I157" s="17"/>
      <c r="J157" s="42"/>
      <c r="K157" s="17"/>
      <c r="L157" s="17"/>
      <c r="M157" s="17"/>
      <c r="P157" s="17"/>
      <c r="Q157" s="17"/>
      <c r="R157" s="42"/>
      <c r="S157" s="17"/>
      <c r="T157" s="17"/>
      <c r="U157" s="17"/>
      <c r="V157" s="42"/>
      <c r="W157" s="17"/>
      <c r="X157" s="17"/>
    </row>
    <row r="158" spans="1:26" x14ac:dyDescent="0.35">
      <c r="A158" s="9"/>
      <c r="B158" s="52">
        <v>44043.522785879628</v>
      </c>
      <c r="D158" s="17"/>
      <c r="E158" s="17"/>
      <c r="G158" s="17"/>
      <c r="H158" s="17"/>
      <c r="I158" s="17"/>
      <c r="J158" s="42"/>
      <c r="K158" s="17"/>
      <c r="L158" s="17"/>
      <c r="M158" s="17"/>
      <c r="P158" s="17"/>
      <c r="Q158" s="17"/>
      <c r="R158" s="42"/>
      <c r="S158" s="17"/>
      <c r="T158" s="17"/>
      <c r="U158" s="17"/>
      <c r="V158" s="42"/>
      <c r="W158" s="17"/>
      <c r="X158" s="17"/>
    </row>
    <row r="159" spans="1:26" x14ac:dyDescent="0.35">
      <c r="A159" s="9"/>
      <c r="B159" s="61" t="s">
        <v>313</v>
      </c>
      <c r="D159" s="17"/>
      <c r="E159" s="17"/>
      <c r="G159" s="17"/>
      <c r="H159" s="17"/>
      <c r="I159" s="17"/>
      <c r="J159" s="42"/>
      <c r="K159" s="17"/>
      <c r="L159" s="17"/>
      <c r="M159" s="17"/>
      <c r="P159" s="17"/>
      <c r="Q159" s="17"/>
      <c r="R159" s="42"/>
      <c r="S159" s="17"/>
      <c r="T159" s="17"/>
      <c r="U159" s="17"/>
      <c r="V159" s="42"/>
      <c r="W159" s="17"/>
      <c r="X159" s="17"/>
    </row>
    <row r="160" spans="1:26" x14ac:dyDescent="0.35">
      <c r="A160" s="9"/>
      <c r="B160" s="54"/>
      <c r="D160" s="17"/>
      <c r="E160" s="17"/>
      <c r="G160" s="17"/>
      <c r="H160" s="17"/>
      <c r="I160" s="17"/>
      <c r="J160" s="42"/>
      <c r="K160" s="17"/>
      <c r="L160" s="17"/>
      <c r="M160" s="17"/>
      <c r="P160" s="17"/>
      <c r="Q160" s="17"/>
      <c r="R160" s="42"/>
      <c r="S160" s="17"/>
      <c r="T160" s="17"/>
      <c r="U160" s="17"/>
      <c r="V160" s="42"/>
      <c r="W160" s="17"/>
      <c r="X160" s="17"/>
    </row>
    <row r="161" spans="4:24" x14ac:dyDescent="0.35">
      <c r="D161" s="17"/>
      <c r="E161" s="17"/>
      <c r="G161" s="17"/>
      <c r="H161" s="17"/>
      <c r="I161" s="17"/>
      <c r="J161" s="42"/>
      <c r="K161" s="17"/>
      <c r="L161" s="17"/>
      <c r="M161" s="17"/>
      <c r="P161" s="17"/>
      <c r="Q161" s="17"/>
      <c r="R161" s="42"/>
      <c r="S161" s="17"/>
      <c r="T161" s="17"/>
      <c r="U161" s="17"/>
      <c r="V161" s="42"/>
      <c r="W161" s="17"/>
      <c r="X161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","314", " - ", "Tech/Supplies")</f>
        <v>Department 314 - Tech/Supplies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10535.519999999999</v>
      </c>
      <c r="E12" s="4"/>
      <c r="F12" s="13"/>
      <c r="G12" s="4"/>
      <c r="H12" s="4">
        <f>SUM(OSRRefH13x_0)</f>
        <v>22418.5</v>
      </c>
      <c r="I12" s="4"/>
      <c r="J12" s="13"/>
      <c r="K12" s="4"/>
      <c r="L12" s="4">
        <f t="shared" ref="L12:L33" si="0">+D12-H12</f>
        <v>-11882.980000000001</v>
      </c>
      <c r="M12" s="4"/>
      <c r="N12" s="13">
        <f t="shared" ref="N12:N33" si="1">IF(H12=0,0,L12/H12)</f>
        <v>-0.53005241207038833</v>
      </c>
      <c r="O12" s="10"/>
      <c r="P12" s="4">
        <f>SUM(OSRRefP13x_0)</f>
        <v>421668.26999999996</v>
      </c>
      <c r="Q12" s="4"/>
      <c r="R12" s="13"/>
      <c r="S12" s="4"/>
      <c r="T12" s="4">
        <f>SUM(OSRRefT13x_0)</f>
        <v>474044.11000000004</v>
      </c>
      <c r="U12" s="4"/>
      <c r="V12" s="13"/>
      <c r="W12" s="4"/>
      <c r="X12" s="4">
        <f t="shared" ref="X12:X33" si="2">+P12-T12</f>
        <v>-52375.840000000084</v>
      </c>
      <c r="Y12" s="4"/>
      <c r="Z12" s="13">
        <f t="shared" ref="Z12:Z33" si="3">IF(T12=0,0,X12/T12)</f>
        <v>-0.11048727089974829</v>
      </c>
    </row>
    <row r="13" spans="1:26" s="24" customFormat="1" hidden="1" outlineLevel="1" x14ac:dyDescent="0.3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14" si="4">0</f>
        <v>0</v>
      </c>
      <c r="E13" s="2"/>
      <c r="F13" s="19"/>
      <c r="G13" s="2"/>
      <c r="H13" s="2">
        <f>--293.01</f>
        <v>293.01</v>
      </c>
      <c r="I13" s="2"/>
      <c r="J13" s="19"/>
      <c r="K13" s="2"/>
      <c r="L13" s="2">
        <f t="shared" si="0"/>
        <v>-293.01</v>
      </c>
      <c r="M13" s="2"/>
      <c r="N13" s="19">
        <f t="shared" si="1"/>
        <v>-1</v>
      </c>
      <c r="O13" s="11"/>
      <c r="P13" s="2">
        <f>--276.15</f>
        <v>276.14999999999998</v>
      </c>
      <c r="Q13" s="2"/>
      <c r="R13" s="19"/>
      <c r="S13" s="2"/>
      <c r="T13" s="2">
        <f>--1055.55</f>
        <v>1055.55</v>
      </c>
      <c r="U13" s="2"/>
      <c r="V13" s="19"/>
      <c r="W13" s="2"/>
      <c r="X13" s="2">
        <f t="shared" si="2"/>
        <v>-779.4</v>
      </c>
      <c r="Y13" s="2"/>
      <c r="Z13" s="19">
        <f t="shared" si="3"/>
        <v>-0.73838283359386103</v>
      </c>
    </row>
    <row r="14" spans="1:26" s="24" customFormat="1" hidden="1" outlineLevel="1" x14ac:dyDescent="0.3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--42.85</f>
        <v>42.85</v>
      </c>
      <c r="Q14" s="2"/>
      <c r="R14" s="19"/>
      <c r="S14" s="2"/>
      <c r="T14" s="2">
        <f>--35.5</f>
        <v>35.5</v>
      </c>
      <c r="U14" s="2"/>
      <c r="V14" s="19"/>
      <c r="W14" s="2"/>
      <c r="X14" s="2">
        <f t="shared" si="2"/>
        <v>7.3500000000000014</v>
      </c>
      <c r="Y14" s="2"/>
      <c r="Z14" s="19">
        <f t="shared" si="3"/>
        <v>0.20704225352112679</v>
      </c>
    </row>
    <row r="15" spans="1:26" s="24" customFormat="1" hidden="1" outlineLevel="1" x14ac:dyDescent="0.3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--3099.74</f>
        <v>3099.74</v>
      </c>
      <c r="E15" s="2"/>
      <c r="F15" s="19"/>
      <c r="G15" s="2"/>
      <c r="H15" s="2">
        <f>--1023.03</f>
        <v>1023.03</v>
      </c>
      <c r="I15" s="2"/>
      <c r="J15" s="19"/>
      <c r="K15" s="2"/>
      <c r="L15" s="2">
        <f t="shared" si="0"/>
        <v>2076.71</v>
      </c>
      <c r="M15" s="2"/>
      <c r="N15" s="19">
        <f t="shared" si="1"/>
        <v>2.0299600207227551</v>
      </c>
      <c r="O15" s="11"/>
      <c r="P15" s="2">
        <f>--55543.29</f>
        <v>55543.29</v>
      </c>
      <c r="Q15" s="2"/>
      <c r="R15" s="19"/>
      <c r="S15" s="2"/>
      <c r="T15" s="2">
        <f>--58289.07</f>
        <v>58289.07</v>
      </c>
      <c r="U15" s="2"/>
      <c r="V15" s="19"/>
      <c r="W15" s="2"/>
      <c r="X15" s="2">
        <f t="shared" si="2"/>
        <v>-2745.7799999999988</v>
      </c>
      <c r="Y15" s="2"/>
      <c r="Z15" s="19">
        <f t="shared" si="3"/>
        <v>-4.7106258514675203E-2</v>
      </c>
    </row>
    <row r="16" spans="1:26" s="24" customFormat="1" hidden="1" outlineLevel="1" x14ac:dyDescent="0.3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--2531.99</f>
        <v>2531.9899999999998</v>
      </c>
      <c r="E16" s="2"/>
      <c r="F16" s="19"/>
      <c r="G16" s="2"/>
      <c r="H16" s="2">
        <f>--2975.26</f>
        <v>2975.26</v>
      </c>
      <c r="I16" s="2"/>
      <c r="J16" s="19"/>
      <c r="K16" s="2"/>
      <c r="L16" s="2">
        <f t="shared" si="0"/>
        <v>-443.27000000000044</v>
      </c>
      <c r="M16" s="2"/>
      <c r="N16" s="19">
        <f t="shared" si="1"/>
        <v>-0.14898529876380565</v>
      </c>
      <c r="O16" s="11"/>
      <c r="P16" s="2">
        <f>--76448.59</f>
        <v>76448.59</v>
      </c>
      <c r="Q16" s="2"/>
      <c r="R16" s="19"/>
      <c r="S16" s="2"/>
      <c r="T16" s="2">
        <f>--77801.48</f>
        <v>77801.48</v>
      </c>
      <c r="U16" s="2"/>
      <c r="V16" s="19"/>
      <c r="W16" s="2"/>
      <c r="X16" s="2">
        <f t="shared" si="2"/>
        <v>-1352.8899999999994</v>
      </c>
      <c r="Y16" s="2"/>
      <c r="Z16" s="19">
        <f t="shared" si="3"/>
        <v>-1.7389000826205356E-2</v>
      </c>
    </row>
    <row r="17" spans="1:26" s="24" customFormat="1" hidden="1" outlineLevel="1" x14ac:dyDescent="0.3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--4073.06</f>
        <v>4073.06</v>
      </c>
      <c r="E17" s="2"/>
      <c r="F17" s="19"/>
      <c r="G17" s="2"/>
      <c r="H17" s="2">
        <f>--17431.47</f>
        <v>17431.47</v>
      </c>
      <c r="I17" s="2"/>
      <c r="J17" s="19"/>
      <c r="K17" s="2"/>
      <c r="L17" s="2">
        <f t="shared" si="0"/>
        <v>-13358.410000000002</v>
      </c>
      <c r="M17" s="2"/>
      <c r="N17" s="19">
        <f t="shared" si="1"/>
        <v>-0.76633869662168486</v>
      </c>
      <c r="O17" s="11"/>
      <c r="P17" s="2">
        <f>--271457.41</f>
        <v>271457.40999999997</v>
      </c>
      <c r="Q17" s="2"/>
      <c r="R17" s="19"/>
      <c r="S17" s="2"/>
      <c r="T17" s="2">
        <f>--302183.33</f>
        <v>302183.33</v>
      </c>
      <c r="U17" s="2"/>
      <c r="V17" s="19"/>
      <c r="W17" s="2"/>
      <c r="X17" s="2">
        <f t="shared" si="2"/>
        <v>-30725.920000000042</v>
      </c>
      <c r="Y17" s="2"/>
      <c r="Z17" s="19">
        <f t="shared" si="3"/>
        <v>-0.10167973196933147</v>
      </c>
    </row>
    <row r="18" spans="1:26" s="24" customFormat="1" hidden="1" outlineLevel="1" x14ac:dyDescent="0.3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--386.59</f>
        <v>386.59</v>
      </c>
      <c r="E18" s="2"/>
      <c r="F18" s="19"/>
      <c r="G18" s="2"/>
      <c r="H18" s="2">
        <f>--398.63</f>
        <v>398.63</v>
      </c>
      <c r="I18" s="2"/>
      <c r="J18" s="19"/>
      <c r="K18" s="2"/>
      <c r="L18" s="2">
        <f t="shared" si="0"/>
        <v>-12.04000000000002</v>
      </c>
      <c r="M18" s="2"/>
      <c r="N18" s="19">
        <f t="shared" si="1"/>
        <v>-3.0203446805308232E-2</v>
      </c>
      <c r="O18" s="11"/>
      <c r="P18" s="2">
        <f>--13083.92</f>
        <v>13083.92</v>
      </c>
      <c r="Q18" s="2"/>
      <c r="R18" s="19"/>
      <c r="S18" s="2"/>
      <c r="T18" s="2">
        <f>--16449.23</f>
        <v>16449.23</v>
      </c>
      <c r="U18" s="2"/>
      <c r="V18" s="19"/>
      <c r="W18" s="2"/>
      <c r="X18" s="2">
        <f t="shared" si="2"/>
        <v>-3365.3099999999995</v>
      </c>
      <c r="Y18" s="2"/>
      <c r="Z18" s="19">
        <f t="shared" si="3"/>
        <v>-0.20458769194667467</v>
      </c>
    </row>
    <row r="19" spans="1:26" s="24" customFormat="1" hidden="1" outlineLevel="1" x14ac:dyDescent="0.3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>0</f>
        <v>0</v>
      </c>
      <c r="E19" s="2"/>
      <c r="F19" s="19"/>
      <c r="G19" s="2"/>
      <c r="H19" s="2">
        <f>--1.99</f>
        <v>1.99</v>
      </c>
      <c r="I19" s="2"/>
      <c r="J19" s="19"/>
      <c r="K19" s="2"/>
      <c r="L19" s="2">
        <f t="shared" si="0"/>
        <v>-1.99</v>
      </c>
      <c r="M19" s="2"/>
      <c r="N19" s="19">
        <f t="shared" si="1"/>
        <v>-1</v>
      </c>
      <c r="O19" s="11"/>
      <c r="P19" s="2">
        <f>--20.15</f>
        <v>20.149999999999999</v>
      </c>
      <c r="Q19" s="2"/>
      <c r="R19" s="19"/>
      <c r="S19" s="2"/>
      <c r="T19" s="2">
        <f>--425.21</f>
        <v>425.21</v>
      </c>
      <c r="U19" s="2"/>
      <c r="V19" s="19"/>
      <c r="W19" s="2"/>
      <c r="X19" s="2">
        <f t="shared" si="2"/>
        <v>-405.06</v>
      </c>
      <c r="Y19" s="2"/>
      <c r="Z19" s="19">
        <f t="shared" si="3"/>
        <v>-0.95261165071376497</v>
      </c>
    </row>
    <row r="20" spans="1:26" s="24" customFormat="1" hidden="1" outlineLevel="1" x14ac:dyDescent="0.3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>--185</f>
        <v>185</v>
      </c>
      <c r="E20" s="2"/>
      <c r="F20" s="19"/>
      <c r="G20" s="2"/>
      <c r="H20" s="2">
        <f>--12.94</f>
        <v>12.94</v>
      </c>
      <c r="I20" s="2"/>
      <c r="J20" s="19"/>
      <c r="K20" s="2"/>
      <c r="L20" s="2">
        <f t="shared" si="0"/>
        <v>172.06</v>
      </c>
      <c r="M20" s="2"/>
      <c r="N20" s="19">
        <f t="shared" si="1"/>
        <v>13.2967542503864</v>
      </c>
      <c r="O20" s="11"/>
      <c r="P20" s="2">
        <f>--452.61</f>
        <v>452.61</v>
      </c>
      <c r="Q20" s="2"/>
      <c r="R20" s="19"/>
      <c r="S20" s="2"/>
      <c r="T20" s="2">
        <f>--331.15</f>
        <v>331.15</v>
      </c>
      <c r="U20" s="2"/>
      <c r="V20" s="19"/>
      <c r="W20" s="2"/>
      <c r="X20" s="2">
        <f t="shared" si="2"/>
        <v>121.46000000000004</v>
      </c>
      <c r="Y20" s="2"/>
      <c r="Z20" s="19">
        <f t="shared" si="3"/>
        <v>0.36678242488298368</v>
      </c>
    </row>
    <row r="21" spans="1:26" s="24" customFormat="1" hidden="1" outlineLevel="1" x14ac:dyDescent="0.3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--168.02</f>
        <v>168.02</v>
      </c>
      <c r="E21" s="2"/>
      <c r="F21" s="19"/>
      <c r="G21" s="2"/>
      <c r="H21" s="2">
        <f>--160.46</f>
        <v>160.46</v>
      </c>
      <c r="I21" s="2"/>
      <c r="J21" s="19"/>
      <c r="K21" s="2"/>
      <c r="L21" s="2">
        <f t="shared" si="0"/>
        <v>7.5600000000000023</v>
      </c>
      <c r="M21" s="2"/>
      <c r="N21" s="19">
        <f t="shared" si="1"/>
        <v>4.7114545681166659E-2</v>
      </c>
      <c r="O21" s="11"/>
      <c r="P21" s="2">
        <f>--3298.95</f>
        <v>3298.95</v>
      </c>
      <c r="Q21" s="2"/>
      <c r="R21" s="19"/>
      <c r="S21" s="2"/>
      <c r="T21" s="2">
        <f>--4163.42</f>
        <v>4163.42</v>
      </c>
      <c r="U21" s="2"/>
      <c r="V21" s="19"/>
      <c r="W21" s="2"/>
      <c r="X21" s="2">
        <f t="shared" si="2"/>
        <v>-864.47000000000025</v>
      </c>
      <c r="Y21" s="2"/>
      <c r="Z21" s="19">
        <f t="shared" si="3"/>
        <v>-0.20763458887164885</v>
      </c>
    </row>
    <row r="22" spans="1:26" s="24" customFormat="1" hidden="1" outlineLevel="1" x14ac:dyDescent="0.3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>--97.62</f>
        <v>97.62</v>
      </c>
      <c r="E22" s="2"/>
      <c r="F22" s="19"/>
      <c r="G22" s="2"/>
      <c r="H22" s="2">
        <f>--83.39</f>
        <v>83.39</v>
      </c>
      <c r="I22" s="2"/>
      <c r="J22" s="19"/>
      <c r="K22" s="2"/>
      <c r="L22" s="2">
        <f t="shared" si="0"/>
        <v>14.230000000000004</v>
      </c>
      <c r="M22" s="2"/>
      <c r="N22" s="19">
        <f t="shared" si="1"/>
        <v>0.17064396210576813</v>
      </c>
      <c r="O22" s="11"/>
      <c r="P22" s="2">
        <f>--6454.88</f>
        <v>6454.88</v>
      </c>
      <c r="Q22" s="2"/>
      <c r="R22" s="19"/>
      <c r="S22" s="2"/>
      <c r="T22" s="2">
        <f>--12602.05</f>
        <v>12602.05</v>
      </c>
      <c r="U22" s="2"/>
      <c r="V22" s="19"/>
      <c r="W22" s="2"/>
      <c r="X22" s="2">
        <f t="shared" si="2"/>
        <v>-6147.1699999999992</v>
      </c>
      <c r="Y22" s="2"/>
      <c r="Z22" s="19">
        <f t="shared" si="3"/>
        <v>-0.48779127205494338</v>
      </c>
    </row>
    <row r="23" spans="1:26" s="24" customFormat="1" hidden="1" outlineLevel="1" x14ac:dyDescent="0.3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>--0.74</f>
        <v>0.74</v>
      </c>
      <c r="E23" s="2"/>
      <c r="F23" s="19"/>
      <c r="G23" s="2"/>
      <c r="H23" s="2">
        <f>--16.55</f>
        <v>16.55</v>
      </c>
      <c r="I23" s="2"/>
      <c r="J23" s="19"/>
      <c r="K23" s="2"/>
      <c r="L23" s="2">
        <f t="shared" si="0"/>
        <v>-15.81</v>
      </c>
      <c r="M23" s="2"/>
      <c r="N23" s="19">
        <f t="shared" si="1"/>
        <v>-0.9552870090634441</v>
      </c>
      <c r="O23" s="11"/>
      <c r="P23" s="2">
        <f>--489.27</f>
        <v>489.27</v>
      </c>
      <c r="Q23" s="2"/>
      <c r="R23" s="19"/>
      <c r="S23" s="2"/>
      <c r="T23" s="2">
        <f>--582.65</f>
        <v>582.65</v>
      </c>
      <c r="U23" s="2"/>
      <c r="V23" s="19"/>
      <c r="W23" s="2"/>
      <c r="X23" s="2">
        <f t="shared" si="2"/>
        <v>-93.38</v>
      </c>
      <c r="Y23" s="2"/>
      <c r="Z23" s="19">
        <f t="shared" si="3"/>
        <v>-0.16026774221230583</v>
      </c>
    </row>
    <row r="24" spans="1:26" s="24" customFormat="1" hidden="1" outlineLevel="1" x14ac:dyDescent="0.3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--64.14</f>
        <v>64.14</v>
      </c>
      <c r="E24" s="2"/>
      <c r="F24" s="19"/>
      <c r="G24" s="2"/>
      <c r="H24" s="2">
        <f>--32.12</f>
        <v>32.119999999999997</v>
      </c>
      <c r="I24" s="2"/>
      <c r="J24" s="19"/>
      <c r="K24" s="2"/>
      <c r="L24" s="2">
        <f t="shared" si="0"/>
        <v>32.020000000000003</v>
      </c>
      <c r="M24" s="2"/>
      <c r="N24" s="19">
        <f t="shared" si="1"/>
        <v>0.99688667496886696</v>
      </c>
      <c r="O24" s="11"/>
      <c r="P24" s="2">
        <f>--1647.7</f>
        <v>1647.7</v>
      </c>
      <c r="Q24" s="2"/>
      <c r="R24" s="19"/>
      <c r="S24" s="2"/>
      <c r="T24" s="2">
        <f>--1822.19</f>
        <v>1822.19</v>
      </c>
      <c r="U24" s="2"/>
      <c r="V24" s="19"/>
      <c r="W24" s="2"/>
      <c r="X24" s="2">
        <f t="shared" si="2"/>
        <v>-174.49</v>
      </c>
      <c r="Y24" s="2"/>
      <c r="Z24" s="19">
        <f t="shared" si="3"/>
        <v>-9.575840060586438E-2</v>
      </c>
    </row>
    <row r="25" spans="1:26" s="24" customFormat="1" hidden="1" outlineLevel="1" x14ac:dyDescent="0.3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>--13.47</f>
        <v>13.47</v>
      </c>
      <c r="E25" s="2"/>
      <c r="F25" s="19"/>
      <c r="G25" s="2"/>
      <c r="H25" s="2">
        <f>--225.9</f>
        <v>225.9</v>
      </c>
      <c r="I25" s="2"/>
      <c r="J25" s="19"/>
      <c r="K25" s="2"/>
      <c r="L25" s="2">
        <f t="shared" si="0"/>
        <v>-212.43</v>
      </c>
      <c r="M25" s="2"/>
      <c r="N25" s="19">
        <f t="shared" si="1"/>
        <v>-0.94037184594953516</v>
      </c>
      <c r="O25" s="11"/>
      <c r="P25" s="2">
        <f>--2326.36</f>
        <v>2326.36</v>
      </c>
      <c r="Q25" s="2"/>
      <c r="R25" s="19"/>
      <c r="S25" s="2"/>
      <c r="T25" s="2">
        <f>--6058.38</f>
        <v>6058.38</v>
      </c>
      <c r="U25" s="2"/>
      <c r="V25" s="19"/>
      <c r="W25" s="2"/>
      <c r="X25" s="2">
        <f t="shared" si="2"/>
        <v>-3732.02</v>
      </c>
      <c r="Y25" s="2"/>
      <c r="Z25" s="19">
        <f t="shared" si="3"/>
        <v>-0.61600956031150245</v>
      </c>
    </row>
    <row r="26" spans="1:26" s="24" customFormat="1" hidden="1" outlineLevel="1" x14ac:dyDescent="0.3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ref="D26:D29" si="5">0</f>
        <v>0</v>
      </c>
      <c r="E26" s="2"/>
      <c r="F26" s="19"/>
      <c r="G26" s="2"/>
      <c r="H26" s="2">
        <f t="shared" ref="H26:H27" si="6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--50.16</f>
        <v>50.16</v>
      </c>
      <c r="Q26" s="2"/>
      <c r="R26" s="19"/>
      <c r="S26" s="2"/>
      <c r="T26" s="2">
        <f>--200.42</f>
        <v>200.42</v>
      </c>
      <c r="U26" s="2"/>
      <c r="V26" s="19"/>
      <c r="W26" s="2"/>
      <c r="X26" s="2">
        <f t="shared" si="2"/>
        <v>-150.26</v>
      </c>
      <c r="Y26" s="2"/>
      <c r="Z26" s="19">
        <f t="shared" si="3"/>
        <v>-0.74972557628979142</v>
      </c>
    </row>
    <row r="27" spans="1:26" s="24" customFormat="1" hidden="1" outlineLevel="1" x14ac:dyDescent="0.3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5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-2.98</f>
        <v>-2.98</v>
      </c>
      <c r="Q27" s="2"/>
      <c r="R27" s="19"/>
      <c r="S27" s="2"/>
      <c r="T27" s="2">
        <f>-2.99</f>
        <v>-2.99</v>
      </c>
      <c r="U27" s="2"/>
      <c r="V27" s="19"/>
      <c r="W27" s="2"/>
      <c r="X27" s="2">
        <f t="shared" si="2"/>
        <v>1.0000000000000231E-2</v>
      </c>
      <c r="Y27" s="2"/>
      <c r="Z27" s="19">
        <f t="shared" si="3"/>
        <v>-3.3444816053512477E-3</v>
      </c>
    </row>
    <row r="28" spans="1:26" s="24" customFormat="1" hidden="1" outlineLevel="1" x14ac:dyDescent="0.3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 t="shared" si="5"/>
        <v>0</v>
      </c>
      <c r="E28" s="2"/>
      <c r="F28" s="19"/>
      <c r="G28" s="2"/>
      <c r="H28" s="2">
        <f>-3.39</f>
        <v>-3.39</v>
      </c>
      <c r="I28" s="2"/>
      <c r="J28" s="19"/>
      <c r="K28" s="2"/>
      <c r="L28" s="2">
        <f t="shared" si="0"/>
        <v>3.39</v>
      </c>
      <c r="M28" s="2"/>
      <c r="N28" s="19">
        <f t="shared" si="1"/>
        <v>-1</v>
      </c>
      <c r="O28" s="11"/>
      <c r="P28" s="2">
        <f>-170.78</f>
        <v>-170.78</v>
      </c>
      <c r="Q28" s="2"/>
      <c r="R28" s="19"/>
      <c r="S28" s="2"/>
      <c r="T28" s="2">
        <f>-191.21</f>
        <v>-191.21</v>
      </c>
      <c r="U28" s="2"/>
      <c r="V28" s="19"/>
      <c r="W28" s="2"/>
      <c r="X28" s="2">
        <f t="shared" si="2"/>
        <v>20.430000000000007</v>
      </c>
      <c r="Y28" s="2"/>
      <c r="Z28" s="19">
        <f t="shared" si="3"/>
        <v>-0.10684587626170182</v>
      </c>
    </row>
    <row r="29" spans="1:26" s="24" customFormat="1" hidden="1" outlineLevel="1" x14ac:dyDescent="0.3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5"/>
        <v>0</v>
      </c>
      <c r="E29" s="2"/>
      <c r="F29" s="19"/>
      <c r="G29" s="2"/>
      <c r="H29" s="2">
        <f>-43.82</f>
        <v>-43.82</v>
      </c>
      <c r="I29" s="2"/>
      <c r="J29" s="19"/>
      <c r="K29" s="2"/>
      <c r="L29" s="2">
        <f t="shared" si="0"/>
        <v>43.82</v>
      </c>
      <c r="M29" s="2"/>
      <c r="N29" s="19">
        <f t="shared" si="1"/>
        <v>-1</v>
      </c>
      <c r="O29" s="11"/>
      <c r="P29" s="2">
        <f>-778.59</f>
        <v>-778.59</v>
      </c>
      <c r="Q29" s="2"/>
      <c r="R29" s="19"/>
      <c r="S29" s="2"/>
      <c r="T29" s="2">
        <f>-687.45</f>
        <v>-687.45</v>
      </c>
      <c r="U29" s="2"/>
      <c r="V29" s="19"/>
      <c r="W29" s="2"/>
      <c r="X29" s="2">
        <f t="shared" si="2"/>
        <v>-91.139999999999986</v>
      </c>
      <c r="Y29" s="2"/>
      <c r="Z29" s="19">
        <f t="shared" si="3"/>
        <v>0.13257691468470431</v>
      </c>
    </row>
    <row r="30" spans="1:26" s="24" customFormat="1" hidden="1" outlineLevel="1" x14ac:dyDescent="0.3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-81.87</f>
        <v>-81.87</v>
      </c>
      <c r="E30" s="2"/>
      <c r="F30" s="19"/>
      <c r="G30" s="2"/>
      <c r="H30" s="2">
        <f>-179.06</f>
        <v>-179.06</v>
      </c>
      <c r="I30" s="2"/>
      <c r="J30" s="19"/>
      <c r="K30" s="2"/>
      <c r="L30" s="2">
        <f t="shared" si="0"/>
        <v>97.19</v>
      </c>
      <c r="M30" s="2"/>
      <c r="N30" s="19">
        <f t="shared" si="1"/>
        <v>-0.54277895677426558</v>
      </c>
      <c r="O30" s="11"/>
      <c r="P30" s="2">
        <f>-8686.84</f>
        <v>-8686.84</v>
      </c>
      <c r="Q30" s="2"/>
      <c r="R30" s="19"/>
      <c r="S30" s="2"/>
      <c r="T30" s="2">
        <f>-6913.38</f>
        <v>-6913.38</v>
      </c>
      <c r="U30" s="2"/>
      <c r="V30" s="19"/>
      <c r="W30" s="2"/>
      <c r="X30" s="2">
        <f t="shared" si="2"/>
        <v>-1773.46</v>
      </c>
      <c r="Y30" s="2"/>
      <c r="Z30" s="19">
        <f t="shared" si="3"/>
        <v>0.25652575151373136</v>
      </c>
    </row>
    <row r="31" spans="1:26" s="24" customFormat="1" hidden="1" outlineLevel="1" x14ac:dyDescent="0.3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>0</f>
        <v>0</v>
      </c>
      <c r="E31" s="2"/>
      <c r="F31" s="19"/>
      <c r="G31" s="2"/>
      <c r="H31" s="2">
        <f>-9.98</f>
        <v>-9.98</v>
      </c>
      <c r="I31" s="2"/>
      <c r="J31" s="19"/>
      <c r="K31" s="2"/>
      <c r="L31" s="2">
        <f t="shared" si="0"/>
        <v>9.98</v>
      </c>
      <c r="M31" s="2"/>
      <c r="N31" s="19">
        <f t="shared" si="1"/>
        <v>-1</v>
      </c>
      <c r="O31" s="11"/>
      <c r="P31" s="2">
        <f>-259.98</f>
        <v>-259.98</v>
      </c>
      <c r="Q31" s="2"/>
      <c r="R31" s="19"/>
      <c r="S31" s="2"/>
      <c r="T31" s="2">
        <f>-127.27</f>
        <v>-127.27</v>
      </c>
      <c r="U31" s="2"/>
      <c r="V31" s="19"/>
      <c r="W31" s="2"/>
      <c r="X31" s="2">
        <f t="shared" si="2"/>
        <v>-132.71000000000004</v>
      </c>
      <c r="Y31" s="2"/>
      <c r="Z31" s="19">
        <f t="shared" si="3"/>
        <v>1.042743773080852</v>
      </c>
    </row>
    <row r="32" spans="1:26" s="24" customFormat="1" hidden="1" outlineLevel="1" x14ac:dyDescent="0.35">
      <c r="A32" s="44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>-2.98</f>
        <v>-2.98</v>
      </c>
      <c r="E32" s="2"/>
      <c r="F32" s="19"/>
      <c r="G32" s="2"/>
      <c r="H32" s="2">
        <f t="shared" ref="H32:H33" si="7">0</f>
        <v>0</v>
      </c>
      <c r="I32" s="2"/>
      <c r="J32" s="19"/>
      <c r="K32" s="2"/>
      <c r="L32" s="2">
        <f t="shared" si="0"/>
        <v>-2.98</v>
      </c>
      <c r="M32" s="2"/>
      <c r="N32" s="19">
        <f t="shared" si="1"/>
        <v>0</v>
      </c>
      <c r="O32" s="11"/>
      <c r="P32" s="2">
        <f>-2.98</f>
        <v>-2.98</v>
      </c>
      <c r="Q32" s="2"/>
      <c r="R32" s="19"/>
      <c r="S32" s="2"/>
      <c r="T32" s="2">
        <f>-28.23</f>
        <v>-28.23</v>
      </c>
      <c r="U32" s="2"/>
      <c r="V32" s="19"/>
      <c r="W32" s="2"/>
      <c r="X32" s="2">
        <f t="shared" si="2"/>
        <v>25.25</v>
      </c>
      <c r="Y32" s="2"/>
      <c r="Z32" s="19">
        <f t="shared" si="3"/>
        <v>-0.8944385405596883</v>
      </c>
    </row>
    <row r="33" spans="1:26" s="24" customFormat="1" hidden="1" outlineLevel="1" x14ac:dyDescent="0.35">
      <c r="A33" s="44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>0</f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-21.87</f>
        <v>-21.87</v>
      </c>
      <c r="Q33" s="2"/>
      <c r="R33" s="19"/>
      <c r="S33" s="2"/>
      <c r="T33" s="2">
        <f>-4.99</f>
        <v>-4.99</v>
      </c>
      <c r="U33" s="2"/>
      <c r="V33" s="19"/>
      <c r="W33" s="2"/>
      <c r="X33" s="2">
        <f t="shared" si="2"/>
        <v>-16.880000000000003</v>
      </c>
      <c r="Y33" s="2"/>
      <c r="Z33" s="19">
        <f t="shared" si="3"/>
        <v>3.3827655310621245</v>
      </c>
    </row>
    <row r="34" spans="1:26" x14ac:dyDescent="0.3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5">
      <c r="A35" s="10"/>
      <c r="B35" s="29" t="s">
        <v>8</v>
      </c>
      <c r="C35" s="10"/>
      <c r="D35" s="4">
        <f>SUM(OSRRefD16x_0)</f>
        <v>30221.7</v>
      </c>
      <c r="E35" s="4"/>
      <c r="F35" s="13">
        <f t="shared" ref="F35:F50" si="8">IF(D$12=0,0,D35/D$12)</f>
        <v>2.8685532370495244</v>
      </c>
      <c r="G35" s="4"/>
      <c r="H35" s="4">
        <f>SUM(OSRRefH16x_0)</f>
        <v>6198.4300000000021</v>
      </c>
      <c r="I35" s="4"/>
      <c r="J35" s="13">
        <f t="shared" ref="J35:J50" si="9">IF(H$12=0,0,H35/H$12)</f>
        <v>0.27648727613355051</v>
      </c>
      <c r="K35" s="4"/>
      <c r="L35" s="4">
        <f t="shared" ref="L35:L50" si="10">+D35-H35</f>
        <v>24023.269999999997</v>
      </c>
      <c r="M35" s="4"/>
      <c r="N35" s="13">
        <f t="shared" ref="N35:N50" si="11">IF(H35=0,0,L35/H35)</f>
        <v>3.8757023956066274</v>
      </c>
      <c r="O35" s="10"/>
      <c r="P35" s="4">
        <f>SUM(OSRRefP16x_0)</f>
        <v>228545.38999999998</v>
      </c>
      <c r="Q35" s="4"/>
      <c r="R35" s="13">
        <f t="shared" ref="R35:R50" si="12">IF(P$12=0,0,P35/P$12)</f>
        <v>0.54200281657427063</v>
      </c>
      <c r="S35" s="4"/>
      <c r="T35" s="4">
        <f>SUM(OSRRefT16x_0)</f>
        <v>233602.79999999996</v>
      </c>
      <c r="U35" s="4"/>
      <c r="V35" s="13">
        <f t="shared" ref="V35:V50" si="13">IF(T$12=0,0,T35/T$12)</f>
        <v>0.49278705308668413</v>
      </c>
      <c r="W35" s="4"/>
      <c r="X35" s="4">
        <f t="shared" ref="X35:X50" si="14">+P35-T35</f>
        <v>-5057.4099999999744</v>
      </c>
      <c r="Y35" s="4"/>
      <c r="Z35" s="13">
        <f t="shared" ref="Z35:Z50" si="15">IF(T35=0,0,X35/T35)</f>
        <v>-2.164961207656747E-2</v>
      </c>
    </row>
    <row r="36" spans="1:26" s="24" customFormat="1" hidden="1" outlineLevel="1" x14ac:dyDescent="0.35">
      <c r="A36" s="44"/>
      <c r="B36" s="11" t="str">
        <f>CONCATENATE("          ", "5017", " - ", "PURCHASES @ COST-DORM/HOUSEWAR")</f>
        <v xml:space="preserve">          5017 - PURCHASES @ COST-DORM/HOUSEWAR</v>
      </c>
      <c r="C36" s="11"/>
      <c r="D36" s="2"/>
      <c r="E36" s="2"/>
      <c r="F36" s="19">
        <f t="shared" si="8"/>
        <v>0</v>
      </c>
      <c r="G36" s="2"/>
      <c r="H36" s="2"/>
      <c r="I36" s="2"/>
      <c r="J36" s="19">
        <f t="shared" si="9"/>
        <v>0</v>
      </c>
      <c r="K36" s="2"/>
      <c r="L36" s="2">
        <f t="shared" si="10"/>
        <v>0</v>
      </c>
      <c r="M36" s="2"/>
      <c r="N36" s="19">
        <f t="shared" si="11"/>
        <v>0</v>
      </c>
      <c r="O36" s="11"/>
      <c r="P36" s="2">
        <v>14.46</v>
      </c>
      <c r="Q36" s="2"/>
      <c r="R36" s="19">
        <f t="shared" si="12"/>
        <v>3.4292359726284367E-5</v>
      </c>
      <c r="S36" s="2"/>
      <c r="T36" s="2">
        <v>239.9</v>
      </c>
      <c r="U36" s="2"/>
      <c r="V36" s="19">
        <f t="shared" si="13"/>
        <v>5.0607104895787017E-4</v>
      </c>
      <c r="W36" s="2"/>
      <c r="X36" s="2">
        <f t="shared" si="14"/>
        <v>-225.44</v>
      </c>
      <c r="Y36" s="2"/>
      <c r="Z36" s="19">
        <f t="shared" si="15"/>
        <v>-0.93972488536890364</v>
      </c>
    </row>
    <row r="37" spans="1:26" s="24" customFormat="1" hidden="1" outlineLevel="1" x14ac:dyDescent="0.3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19">
        <f t="shared" si="8"/>
        <v>0</v>
      </c>
      <c r="G37" s="2"/>
      <c r="H37" s="2">
        <v>57</v>
      </c>
      <c r="I37" s="2"/>
      <c r="J37" s="19">
        <f t="shared" si="9"/>
        <v>2.5425429890492228E-3</v>
      </c>
      <c r="K37" s="2"/>
      <c r="L37" s="2">
        <f t="shared" si="10"/>
        <v>-57</v>
      </c>
      <c r="M37" s="2"/>
      <c r="N37" s="19">
        <f t="shared" si="11"/>
        <v>-1</v>
      </c>
      <c r="O37" s="11"/>
      <c r="P37" s="2">
        <v>25706.15</v>
      </c>
      <c r="Q37" s="2"/>
      <c r="R37" s="19">
        <f t="shared" si="12"/>
        <v>6.0962969777166309E-2</v>
      </c>
      <c r="S37" s="2"/>
      <c r="T37" s="2">
        <v>20223.57</v>
      </c>
      <c r="U37" s="2"/>
      <c r="V37" s="19">
        <f t="shared" si="13"/>
        <v>4.2661789427148454E-2</v>
      </c>
      <c r="W37" s="2"/>
      <c r="X37" s="2">
        <f t="shared" si="14"/>
        <v>5482.5800000000017</v>
      </c>
      <c r="Y37" s="2"/>
      <c r="Z37" s="19">
        <f t="shared" si="15"/>
        <v>0.27109852513675881</v>
      </c>
    </row>
    <row r="38" spans="1:26" s="24" customFormat="1" hidden="1" outlineLevel="1" x14ac:dyDescent="0.3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/>
      <c r="E38" s="2"/>
      <c r="F38" s="19">
        <f t="shared" si="8"/>
        <v>0</v>
      </c>
      <c r="G38" s="2"/>
      <c r="H38" s="2">
        <v>934.22</v>
      </c>
      <c r="I38" s="2"/>
      <c r="J38" s="19">
        <f t="shared" si="9"/>
        <v>4.1671833530343247E-2</v>
      </c>
      <c r="K38" s="2"/>
      <c r="L38" s="2">
        <f t="shared" si="10"/>
        <v>-934.22</v>
      </c>
      <c r="M38" s="2"/>
      <c r="N38" s="19">
        <f t="shared" si="11"/>
        <v>-1</v>
      </c>
      <c r="O38" s="11"/>
      <c r="P38" s="2">
        <v>39626.85</v>
      </c>
      <c r="Q38" s="2"/>
      <c r="R38" s="19">
        <f t="shared" si="12"/>
        <v>9.3976362034544361E-2</v>
      </c>
      <c r="S38" s="2"/>
      <c r="T38" s="2">
        <v>51618.29</v>
      </c>
      <c r="U38" s="2"/>
      <c r="V38" s="19">
        <f t="shared" si="13"/>
        <v>0.10888921286249079</v>
      </c>
      <c r="W38" s="2"/>
      <c r="X38" s="2">
        <f t="shared" si="14"/>
        <v>-11991.440000000002</v>
      </c>
      <c r="Y38" s="2"/>
      <c r="Z38" s="19">
        <f t="shared" si="15"/>
        <v>-0.23230990410569591</v>
      </c>
    </row>
    <row r="39" spans="1:26" s="24" customFormat="1" hidden="1" outlineLevel="1" x14ac:dyDescent="0.3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11947.58</v>
      </c>
      <c r="E39" s="2"/>
      <c r="F39" s="19">
        <f t="shared" si="8"/>
        <v>1.1340285054748129</v>
      </c>
      <c r="G39" s="2"/>
      <c r="H39" s="2">
        <v>24464.959999999999</v>
      </c>
      <c r="I39" s="2"/>
      <c r="J39" s="19">
        <f t="shared" si="9"/>
        <v>1.0912844302696434</v>
      </c>
      <c r="K39" s="2"/>
      <c r="L39" s="2">
        <f t="shared" si="10"/>
        <v>-12517.38</v>
      </c>
      <c r="M39" s="2"/>
      <c r="N39" s="19">
        <f t="shared" si="11"/>
        <v>-0.51164522647901323</v>
      </c>
      <c r="O39" s="11"/>
      <c r="P39" s="2">
        <v>149000.62</v>
      </c>
      <c r="Q39" s="2"/>
      <c r="R39" s="19">
        <f t="shared" si="12"/>
        <v>0.35335981054491011</v>
      </c>
      <c r="S39" s="2"/>
      <c r="T39" s="2">
        <v>164846.69</v>
      </c>
      <c r="U39" s="2"/>
      <c r="V39" s="19">
        <f t="shared" si="13"/>
        <v>0.34774546613394264</v>
      </c>
      <c r="W39" s="2"/>
      <c r="X39" s="2">
        <f t="shared" si="14"/>
        <v>-15846.070000000007</v>
      </c>
      <c r="Y39" s="2"/>
      <c r="Z39" s="19">
        <f t="shared" si="15"/>
        <v>-9.6126103593587517E-2</v>
      </c>
    </row>
    <row r="40" spans="1:26" s="24" customFormat="1" hidden="1" outlineLevel="1" x14ac:dyDescent="0.35">
      <c r="A40" s="44"/>
      <c r="B40" s="11" t="str">
        <f>CONCATENATE("          ", "5028", " - ", "PURCHASES @ COST-ART/TECH")</f>
        <v xml:space="preserve">          5028 - PURCHASES @ COST-ART/TECH</v>
      </c>
      <c r="C40" s="11"/>
      <c r="D40" s="2">
        <v>-2263.88</v>
      </c>
      <c r="E40" s="2"/>
      <c r="F40" s="19">
        <f t="shared" si="8"/>
        <v>-0.21488070830865494</v>
      </c>
      <c r="G40" s="2"/>
      <c r="H40" s="2">
        <v>-50.07</v>
      </c>
      <c r="I40" s="2"/>
      <c r="J40" s="19">
        <f t="shared" si="9"/>
        <v>-2.2334232888016592E-3</v>
      </c>
      <c r="K40" s="2"/>
      <c r="L40" s="2">
        <f t="shared" si="10"/>
        <v>-2213.81</v>
      </c>
      <c r="M40" s="2"/>
      <c r="N40" s="19">
        <f t="shared" si="11"/>
        <v>44.21429998002796</v>
      </c>
      <c r="O40" s="11"/>
      <c r="P40" s="2">
        <v>5398.13</v>
      </c>
      <c r="Q40" s="2"/>
      <c r="R40" s="19">
        <f t="shared" si="12"/>
        <v>1.2801840650708673E-2</v>
      </c>
      <c r="S40" s="2"/>
      <c r="T40" s="2">
        <v>5852.15</v>
      </c>
      <c r="U40" s="2"/>
      <c r="V40" s="19">
        <f t="shared" si="13"/>
        <v>1.2345159187823258E-2</v>
      </c>
      <c r="W40" s="2"/>
      <c r="X40" s="2">
        <f t="shared" si="14"/>
        <v>-454.01999999999953</v>
      </c>
      <c r="Y40" s="2"/>
      <c r="Z40" s="19">
        <f t="shared" si="15"/>
        <v>-7.7581743461804561E-2</v>
      </c>
    </row>
    <row r="41" spans="1:26" s="24" customFormat="1" hidden="1" outlineLevel="1" x14ac:dyDescent="0.35">
      <c r="A41" s="44"/>
      <c r="B41" s="11" t="str">
        <f>CONCATENATE("          ", "5031", " - ", "PURCHASES @ COST-FOOD")</f>
        <v xml:space="preserve">          5031 - PURCHASES @ COST-FOOD</v>
      </c>
      <c r="C41" s="11"/>
      <c r="D41" s="2"/>
      <c r="E41" s="2"/>
      <c r="F41" s="19">
        <f t="shared" si="8"/>
        <v>0</v>
      </c>
      <c r="G41" s="2"/>
      <c r="H41" s="2"/>
      <c r="I41" s="2"/>
      <c r="J41" s="19">
        <f t="shared" si="9"/>
        <v>0</v>
      </c>
      <c r="K41" s="2"/>
      <c r="L41" s="2">
        <f t="shared" si="10"/>
        <v>0</v>
      </c>
      <c r="M41" s="2"/>
      <c r="N41" s="19">
        <f t="shared" si="11"/>
        <v>0</v>
      </c>
      <c r="O41" s="11"/>
      <c r="P41" s="2">
        <v>780.53</v>
      </c>
      <c r="Q41" s="2"/>
      <c r="R41" s="19">
        <f t="shared" si="12"/>
        <v>1.8510522501491518E-3</v>
      </c>
      <c r="S41" s="2"/>
      <c r="T41" s="2">
        <v>2140.2199999999998</v>
      </c>
      <c r="U41" s="2"/>
      <c r="V41" s="19">
        <f t="shared" si="13"/>
        <v>4.5148119233039295E-3</v>
      </c>
      <c r="W41" s="2"/>
      <c r="X41" s="2">
        <f t="shared" si="14"/>
        <v>-1359.6899999999998</v>
      </c>
      <c r="Y41" s="2"/>
      <c r="Z41" s="19">
        <f t="shared" si="15"/>
        <v>-0.63530384726803779</v>
      </c>
    </row>
    <row r="42" spans="1:26" s="24" customFormat="1" hidden="1" outlineLevel="1" x14ac:dyDescent="0.3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/>
      <c r="E42" s="2"/>
      <c r="F42" s="19">
        <f t="shared" si="8"/>
        <v>0</v>
      </c>
      <c r="G42" s="2"/>
      <c r="H42" s="2">
        <v>550.99</v>
      </c>
      <c r="I42" s="2"/>
      <c r="J42" s="19">
        <f t="shared" si="9"/>
        <v>2.4577469500635635E-2</v>
      </c>
      <c r="K42" s="2"/>
      <c r="L42" s="2">
        <f t="shared" si="10"/>
        <v>-550.99</v>
      </c>
      <c r="M42" s="2"/>
      <c r="N42" s="19">
        <f t="shared" si="11"/>
        <v>-1</v>
      </c>
      <c r="O42" s="11"/>
      <c r="P42" s="2">
        <v>1119.08</v>
      </c>
      <c r="Q42" s="2"/>
      <c r="R42" s="19">
        <f t="shared" si="12"/>
        <v>2.6539345727863281E-3</v>
      </c>
      <c r="S42" s="2"/>
      <c r="T42" s="2">
        <v>1363.05</v>
      </c>
      <c r="U42" s="2"/>
      <c r="V42" s="19">
        <f t="shared" si="13"/>
        <v>2.8753653325636719E-3</v>
      </c>
      <c r="W42" s="2"/>
      <c r="X42" s="2">
        <f t="shared" si="14"/>
        <v>-243.97000000000003</v>
      </c>
      <c r="Y42" s="2"/>
      <c r="Z42" s="19">
        <f t="shared" si="15"/>
        <v>-0.17898829830160304</v>
      </c>
    </row>
    <row r="43" spans="1:26" s="24" customFormat="1" hidden="1" outlineLevel="1" x14ac:dyDescent="0.35">
      <c r="A43" s="44"/>
      <c r="B43" s="11" t="str">
        <f>CONCATENATE("          ", "5035", " - ", "PURCHASES @ COST-HEALTH &amp; BEAU")</f>
        <v xml:space="preserve">          5035 - PURCHASES @ COST-HEALTH &amp; BEAU</v>
      </c>
      <c r="C43" s="11"/>
      <c r="D43" s="2"/>
      <c r="E43" s="2"/>
      <c r="F43" s="19">
        <f t="shared" si="8"/>
        <v>0</v>
      </c>
      <c r="G43" s="2"/>
      <c r="H43" s="2"/>
      <c r="I43" s="2"/>
      <c r="J43" s="19">
        <f t="shared" si="9"/>
        <v>0</v>
      </c>
      <c r="K43" s="2"/>
      <c r="L43" s="2">
        <f t="shared" si="10"/>
        <v>0</v>
      </c>
      <c r="M43" s="2"/>
      <c r="N43" s="19">
        <f t="shared" si="11"/>
        <v>0</v>
      </c>
      <c r="O43" s="11"/>
      <c r="P43" s="2">
        <v>36.25</v>
      </c>
      <c r="Q43" s="2"/>
      <c r="R43" s="19">
        <f t="shared" si="12"/>
        <v>8.596805256416377E-5</v>
      </c>
      <c r="S43" s="2"/>
      <c r="T43" s="2">
        <v>78.180000000000007</v>
      </c>
      <c r="U43" s="2"/>
      <c r="V43" s="19">
        <f t="shared" si="13"/>
        <v>1.649213614319562E-4</v>
      </c>
      <c r="W43" s="2"/>
      <c r="X43" s="2">
        <f t="shared" si="14"/>
        <v>-41.930000000000007</v>
      </c>
      <c r="Y43" s="2"/>
      <c r="Z43" s="19">
        <f t="shared" si="15"/>
        <v>-0.53632642619595805</v>
      </c>
    </row>
    <row r="44" spans="1:26" s="24" customFormat="1" hidden="1" outlineLevel="1" x14ac:dyDescent="0.3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-9684</v>
      </c>
      <c r="E44" s="2"/>
      <c r="F44" s="19">
        <f t="shared" si="8"/>
        <v>-0.9191762722675294</v>
      </c>
      <c r="G44" s="2"/>
      <c r="H44" s="2">
        <v>-26164</v>
      </c>
      <c r="I44" s="2"/>
      <c r="J44" s="19">
        <f t="shared" si="9"/>
        <v>-1.167071837990945</v>
      </c>
      <c r="K44" s="2"/>
      <c r="L44" s="2">
        <f t="shared" si="10"/>
        <v>16480</v>
      </c>
      <c r="M44" s="2"/>
      <c r="N44" s="19">
        <f t="shared" si="11"/>
        <v>-0.62987310808744845</v>
      </c>
      <c r="O44" s="11"/>
      <c r="P44" s="2">
        <v>-225111</v>
      </c>
      <c r="Q44" s="2"/>
      <c r="R44" s="19">
        <f t="shared" si="12"/>
        <v>-0.53385804912473023</v>
      </c>
      <c r="S44" s="2"/>
      <c r="T44" s="2">
        <v>-249042</v>
      </c>
      <c r="U44" s="2"/>
      <c r="V44" s="19">
        <f t="shared" si="13"/>
        <v>-0.52535617413324676</v>
      </c>
      <c r="W44" s="2"/>
      <c r="X44" s="2">
        <f t="shared" si="14"/>
        <v>23931</v>
      </c>
      <c r="Y44" s="2"/>
      <c r="Z44" s="19">
        <f t="shared" si="15"/>
        <v>-9.6092225407762549E-2</v>
      </c>
    </row>
    <row r="45" spans="1:26" s="24" customFormat="1" hidden="1" outlineLevel="1" x14ac:dyDescent="0.35">
      <c r="A45" s="44"/>
      <c r="B45" s="11" t="str">
        <f>CONCATENATE("          ", "5300", " - ", "COG$ OFFSET")</f>
        <v xml:space="preserve">          5300 - COG$ OFFSET</v>
      </c>
      <c r="C45" s="11"/>
      <c r="D45" s="2">
        <v>30222</v>
      </c>
      <c r="E45" s="2"/>
      <c r="F45" s="19">
        <f t="shared" si="8"/>
        <v>2.8685817121508954</v>
      </c>
      <c r="G45" s="2"/>
      <c r="H45" s="2">
        <v>6198</v>
      </c>
      <c r="I45" s="2"/>
      <c r="J45" s="19">
        <f t="shared" si="9"/>
        <v>0.27646809554608914</v>
      </c>
      <c r="K45" s="2"/>
      <c r="L45" s="2">
        <f t="shared" si="10"/>
        <v>24024</v>
      </c>
      <c r="M45" s="2"/>
      <c r="N45" s="19">
        <f t="shared" si="11"/>
        <v>3.8760890609874155</v>
      </c>
      <c r="O45" s="11"/>
      <c r="P45" s="2">
        <v>228540</v>
      </c>
      <c r="Q45" s="2"/>
      <c r="R45" s="19">
        <f t="shared" si="12"/>
        <v>0.541990034014179</v>
      </c>
      <c r="S45" s="2"/>
      <c r="T45" s="2">
        <v>233605</v>
      </c>
      <c r="U45" s="2"/>
      <c r="V45" s="19">
        <f t="shared" si="13"/>
        <v>0.49279169400501566</v>
      </c>
      <c r="W45" s="2"/>
      <c r="X45" s="2">
        <f t="shared" si="14"/>
        <v>-5065</v>
      </c>
      <c r="Y45" s="2"/>
      <c r="Z45" s="19">
        <f t="shared" si="15"/>
        <v>-2.1681898931957794E-2</v>
      </c>
    </row>
    <row r="46" spans="1:26" s="24" customFormat="1" hidden="1" outlineLevel="1" x14ac:dyDescent="0.3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8"/>
        <v>0</v>
      </c>
      <c r="G46" s="2"/>
      <c r="H46" s="2"/>
      <c r="I46" s="2"/>
      <c r="J46" s="19">
        <f t="shared" si="9"/>
        <v>0</v>
      </c>
      <c r="K46" s="2"/>
      <c r="L46" s="2">
        <f t="shared" si="10"/>
        <v>0</v>
      </c>
      <c r="M46" s="2"/>
      <c r="N46" s="19">
        <f t="shared" si="11"/>
        <v>0</v>
      </c>
      <c r="O46" s="11"/>
      <c r="P46" s="2">
        <v>6</v>
      </c>
      <c r="Q46" s="2"/>
      <c r="R46" s="19">
        <f t="shared" si="12"/>
        <v>1.4229194907171935E-5</v>
      </c>
      <c r="S46" s="2"/>
      <c r="T46" s="2"/>
      <c r="U46" s="2"/>
      <c r="V46" s="19">
        <f t="shared" si="13"/>
        <v>0</v>
      </c>
      <c r="W46" s="2"/>
      <c r="X46" s="2">
        <f t="shared" si="14"/>
        <v>6</v>
      </c>
      <c r="Y46" s="2"/>
      <c r="Z46" s="19">
        <f t="shared" si="15"/>
        <v>0</v>
      </c>
    </row>
    <row r="47" spans="1:26" s="24" customFormat="1" hidden="1" outlineLevel="1" x14ac:dyDescent="0.35">
      <c r="A47" s="44"/>
      <c r="B47" s="11" t="str">
        <f>CONCATENATE("          ", "5525", " - ", "FREIGHT-IN-TEST FORMS")</f>
        <v xml:space="preserve">          5525 - FREIGHT-IN-TEST FORMS</v>
      </c>
      <c r="C47" s="11"/>
      <c r="D47" s="2"/>
      <c r="E47" s="2"/>
      <c r="F47" s="19">
        <f t="shared" si="8"/>
        <v>0</v>
      </c>
      <c r="G47" s="2"/>
      <c r="H47" s="2"/>
      <c r="I47" s="2"/>
      <c r="J47" s="19">
        <f t="shared" si="9"/>
        <v>0</v>
      </c>
      <c r="K47" s="2"/>
      <c r="L47" s="2">
        <f t="shared" si="10"/>
        <v>0</v>
      </c>
      <c r="M47" s="2"/>
      <c r="N47" s="19">
        <f t="shared" si="11"/>
        <v>0</v>
      </c>
      <c r="O47" s="11"/>
      <c r="P47" s="2">
        <v>1614.32</v>
      </c>
      <c r="Q47" s="2"/>
      <c r="R47" s="19">
        <f t="shared" si="12"/>
        <v>3.8284123204242997E-3</v>
      </c>
      <c r="S47" s="2"/>
      <c r="T47" s="2">
        <v>390.96</v>
      </c>
      <c r="U47" s="2"/>
      <c r="V47" s="19">
        <f t="shared" si="13"/>
        <v>8.247333776597286E-4</v>
      </c>
      <c r="W47" s="2"/>
      <c r="X47" s="2">
        <f t="shared" si="14"/>
        <v>1223.3599999999999</v>
      </c>
      <c r="Y47" s="2"/>
      <c r="Z47" s="19">
        <f t="shared" si="15"/>
        <v>3.1291180683445874</v>
      </c>
    </row>
    <row r="48" spans="1:26" s="24" customFormat="1" hidden="1" outlineLevel="1" x14ac:dyDescent="0.35">
      <c r="A48" s="44"/>
      <c r="B48" s="11" t="str">
        <f>CONCATENATE("          ", "5526", " - ", "FREIGHT-IN-WRITING INSTRUMENTS")</f>
        <v xml:space="preserve">          5526 - FREIGHT-IN-WRITING INSTRUMENTS</v>
      </c>
      <c r="C48" s="11"/>
      <c r="D48" s="2"/>
      <c r="E48" s="2"/>
      <c r="F48" s="19">
        <f t="shared" si="8"/>
        <v>0</v>
      </c>
      <c r="G48" s="2"/>
      <c r="H48" s="2">
        <v>6.5</v>
      </c>
      <c r="I48" s="2"/>
      <c r="J48" s="19">
        <f t="shared" si="9"/>
        <v>2.8993911278631486E-4</v>
      </c>
      <c r="K48" s="2"/>
      <c r="L48" s="2">
        <f t="shared" si="10"/>
        <v>-6.5</v>
      </c>
      <c r="M48" s="2"/>
      <c r="N48" s="19">
        <f t="shared" si="11"/>
        <v>-1</v>
      </c>
      <c r="O48" s="11"/>
      <c r="P48" s="2">
        <v>274.5</v>
      </c>
      <c r="Q48" s="2"/>
      <c r="R48" s="19">
        <f t="shared" si="12"/>
        <v>6.5098566700311602E-4</v>
      </c>
      <c r="S48" s="2"/>
      <c r="T48" s="2">
        <v>262.62</v>
      </c>
      <c r="U48" s="2"/>
      <c r="V48" s="19">
        <f t="shared" si="13"/>
        <v>5.5399907827142917E-4</v>
      </c>
      <c r="W48" s="2"/>
      <c r="X48" s="2">
        <f t="shared" si="14"/>
        <v>11.879999999999995</v>
      </c>
      <c r="Y48" s="2"/>
      <c r="Z48" s="19">
        <f t="shared" si="15"/>
        <v>4.5236463331048644E-2</v>
      </c>
    </row>
    <row r="49" spans="1:26" s="24" customFormat="1" hidden="1" outlineLevel="1" x14ac:dyDescent="0.35">
      <c r="A49" s="44"/>
      <c r="B49" s="11" t="str">
        <f>CONCATENATE("          ", "5527", " - ", "FREIGHT-IN-SCHOOL SUPPLIES")</f>
        <v xml:space="preserve">          5527 - FREIGHT-IN-SCHOOL SUPPLIES</v>
      </c>
      <c r="C49" s="11"/>
      <c r="D49" s="2"/>
      <c r="E49" s="2"/>
      <c r="F49" s="19">
        <f t="shared" si="8"/>
        <v>0</v>
      </c>
      <c r="G49" s="2"/>
      <c r="H49" s="2">
        <v>194.74</v>
      </c>
      <c r="I49" s="2"/>
      <c r="J49" s="19">
        <f t="shared" si="9"/>
        <v>8.6865758190779949E-3</v>
      </c>
      <c r="K49" s="2"/>
      <c r="L49" s="2">
        <f t="shared" si="10"/>
        <v>-194.74</v>
      </c>
      <c r="M49" s="2"/>
      <c r="N49" s="19">
        <f t="shared" si="11"/>
        <v>-1</v>
      </c>
      <c r="O49" s="11"/>
      <c r="P49" s="2">
        <v>1438.72</v>
      </c>
      <c r="Q49" s="2"/>
      <c r="R49" s="19">
        <f t="shared" si="12"/>
        <v>3.4119712161410679E-3</v>
      </c>
      <c r="S49" s="2"/>
      <c r="T49" s="2">
        <v>1990.56</v>
      </c>
      <c r="U49" s="2"/>
      <c r="V49" s="19">
        <f t="shared" si="13"/>
        <v>4.1991029062675199E-3</v>
      </c>
      <c r="W49" s="2"/>
      <c r="X49" s="2">
        <f t="shared" si="14"/>
        <v>-551.83999999999992</v>
      </c>
      <c r="Y49" s="2"/>
      <c r="Z49" s="19">
        <f t="shared" si="15"/>
        <v>-0.27722851860782893</v>
      </c>
    </row>
    <row r="50" spans="1:26" s="24" customFormat="1" hidden="1" outlineLevel="1" x14ac:dyDescent="0.35">
      <c r="A50" s="44"/>
      <c r="B50" s="11" t="str">
        <f>CONCATENATE("          ", "5528", " - ", "FREIGHT-IN-ART/TECH")</f>
        <v xml:space="preserve">          5528 - FREIGHT-IN-ART/TECH</v>
      </c>
      <c r="C50" s="11"/>
      <c r="D50" s="2"/>
      <c r="E50" s="2"/>
      <c r="F50" s="19">
        <f t="shared" si="8"/>
        <v>0</v>
      </c>
      <c r="G50" s="2"/>
      <c r="H50" s="2">
        <v>6.09</v>
      </c>
      <c r="I50" s="2"/>
      <c r="J50" s="19">
        <f t="shared" si="9"/>
        <v>2.7165064567210114E-4</v>
      </c>
      <c r="K50" s="2"/>
      <c r="L50" s="2">
        <f t="shared" si="10"/>
        <v>-6.09</v>
      </c>
      <c r="M50" s="2"/>
      <c r="N50" s="19">
        <f t="shared" si="11"/>
        <v>-1</v>
      </c>
      <c r="O50" s="11"/>
      <c r="P50" s="2">
        <v>100.78</v>
      </c>
      <c r="Q50" s="2"/>
      <c r="R50" s="19">
        <f t="shared" si="12"/>
        <v>2.3900304379079795E-4</v>
      </c>
      <c r="S50" s="2"/>
      <c r="T50" s="2">
        <v>33.61</v>
      </c>
      <c r="U50" s="2"/>
      <c r="V50" s="19">
        <f t="shared" si="13"/>
        <v>7.0900575054080934E-5</v>
      </c>
      <c r="W50" s="2"/>
      <c r="X50" s="2">
        <f t="shared" si="14"/>
        <v>67.17</v>
      </c>
      <c r="Y50" s="2"/>
      <c r="Z50" s="19">
        <f t="shared" si="15"/>
        <v>1.9985123475156203</v>
      </c>
    </row>
    <row r="51" spans="1:26" x14ac:dyDescent="0.3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35">
      <c r="A52" s="10"/>
      <c r="B52" s="28" t="s">
        <v>6</v>
      </c>
      <c r="C52" s="28"/>
      <c r="D52" s="22">
        <f>D12-D35</f>
        <v>-19686.18</v>
      </c>
      <c r="E52" s="14"/>
      <c r="F52" s="21">
        <f>IF(D$12=0,0,D52/D$12)</f>
        <v>-1.8685532370495241</v>
      </c>
      <c r="G52" s="14"/>
      <c r="H52" s="22">
        <f>H12-H35</f>
        <v>16220.069999999998</v>
      </c>
      <c r="I52" s="14"/>
      <c r="J52" s="21">
        <f>IF(H$12=0,0,H52/H$12)</f>
        <v>0.72351272386644949</v>
      </c>
      <c r="K52" s="15"/>
      <c r="L52" s="22">
        <f>+D52-H52</f>
        <v>-35906.25</v>
      </c>
      <c r="M52" s="15"/>
      <c r="N52" s="21">
        <f>IF(H52=0,0,L52/H52)</f>
        <v>-2.2136926659379403</v>
      </c>
      <c r="O52" s="29"/>
      <c r="P52" s="22">
        <f>P12-P35</f>
        <v>193122.87999999998</v>
      </c>
      <c r="Q52" s="14"/>
      <c r="R52" s="21">
        <f>IF(P$12=0,0,P52/P$12)</f>
        <v>0.45799718342572943</v>
      </c>
      <c r="S52" s="14"/>
      <c r="T52" s="22">
        <f>T12-T35</f>
        <v>240441.31000000008</v>
      </c>
      <c r="U52" s="14"/>
      <c r="V52" s="21">
        <f>IF(T$12=0,0,T52/T$12)</f>
        <v>0.50721294691331587</v>
      </c>
      <c r="W52" s="15"/>
      <c r="X52" s="22">
        <f>+P52-T52</f>
        <v>-47318.430000000109</v>
      </c>
      <c r="Y52" s="15"/>
      <c r="Z52" s="21">
        <f>IF(T52=0,0,X52/T52)</f>
        <v>-0.19679825401051132</v>
      </c>
    </row>
    <row r="53" spans="1:26" x14ac:dyDescent="0.3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35">
      <c r="A54" s="10"/>
      <c r="B54" s="29" t="s">
        <v>9</v>
      </c>
      <c r="C54" s="10"/>
      <c r="D54" s="20">
        <f>SUM(OSRRefD22x_0)</f>
        <v>32173.5</v>
      </c>
      <c r="E54" s="20"/>
      <c r="F54" s="36">
        <f t="shared" ref="F54:F64" si="16">IF(D$12=0,0,D54/D$12)</f>
        <v>3.053812246571598</v>
      </c>
      <c r="G54" s="20"/>
      <c r="H54" s="20">
        <f>SUM(OSRRefH22x_0)</f>
        <v>1856.7700000000004</v>
      </c>
      <c r="I54" s="20"/>
      <c r="J54" s="36">
        <f t="shared" ref="J54:J64" si="17">IF(H$12=0,0,H54/H$12)</f>
        <v>8.2823114838191686E-2</v>
      </c>
      <c r="K54" s="4"/>
      <c r="L54" s="20">
        <f t="shared" ref="L54:L64" si="18">+D54-H54</f>
        <v>30316.73</v>
      </c>
      <c r="M54" s="4"/>
      <c r="N54" s="36">
        <f t="shared" ref="N54:N64" si="19">IF(H54=0,0,L54/H54)</f>
        <v>16.32767117090431</v>
      </c>
      <c r="O54" s="10"/>
      <c r="P54" s="20">
        <f>SUM(OSRRefP22x_0)</f>
        <v>140416.28999999998</v>
      </c>
      <c r="Q54" s="20"/>
      <c r="R54" s="36">
        <f t="shared" ref="R54:R64" si="20">IF(P$12=0,0,P54/P$12)</f>
        <v>0.33300179309199623</v>
      </c>
      <c r="S54" s="20"/>
      <c r="T54" s="20">
        <f>SUM(OSRRefT22x_0)</f>
        <v>112471.33999999998</v>
      </c>
      <c r="U54" s="20"/>
      <c r="V54" s="36">
        <f t="shared" ref="V54:V64" si="21">IF(T$12=0,0,T54/T$12)</f>
        <v>0.23725922889327741</v>
      </c>
      <c r="W54" s="4"/>
      <c r="X54" s="20">
        <f t="shared" ref="X54:X64" si="22">+P54-T54</f>
        <v>27944.949999999997</v>
      </c>
      <c r="Y54" s="4"/>
      <c r="Z54" s="36">
        <f t="shared" ref="Z54:Z64" si="23">IF(T54=0,0,X54/T54)</f>
        <v>0.2484628528476677</v>
      </c>
    </row>
    <row r="55" spans="1:26" s="25" customFormat="1" outlineLevel="1" collapsed="1" x14ac:dyDescent="0.35">
      <c r="A55" s="26"/>
      <c r="B55" s="12" t="str">
        <f>CONCATENATE("     ","*Benefits                                         ")</f>
        <v xml:space="preserve">     *Benefits                                         </v>
      </c>
      <c r="C55" s="12"/>
      <c r="D55" s="1">
        <f>SUM(OSRRefD22_0x_0)</f>
        <v>2630.68</v>
      </c>
      <c r="E55" s="1"/>
      <c r="F55" s="5">
        <f t="shared" si="16"/>
        <v>0.24969626558537217</v>
      </c>
      <c r="G55" s="1"/>
      <c r="H55" s="1">
        <f>SUM(OSRRefH22_0x_0)</f>
        <v>1784.4099999999999</v>
      </c>
      <c r="I55" s="1"/>
      <c r="J55" s="5">
        <f t="shared" si="17"/>
        <v>7.9595423422619702E-2</v>
      </c>
      <c r="K55" s="1"/>
      <c r="L55" s="1">
        <f t="shared" si="18"/>
        <v>846.27</v>
      </c>
      <c r="M55" s="1"/>
      <c r="N55" s="5">
        <f t="shared" si="19"/>
        <v>0.47425759774939619</v>
      </c>
      <c r="O55" s="12"/>
      <c r="P55" s="1">
        <f>SUM(OSRRefP22_0x_0)</f>
        <v>18557.940000000002</v>
      </c>
      <c r="Q55" s="1"/>
      <c r="R55" s="5">
        <f t="shared" si="20"/>
        <v>4.4010757555933727E-2</v>
      </c>
      <c r="S55" s="1"/>
      <c r="T55" s="1">
        <f>SUM(OSRRefT22_0x_0)</f>
        <v>21171.719999999998</v>
      </c>
      <c r="U55" s="1"/>
      <c r="V55" s="5">
        <f t="shared" si="21"/>
        <v>4.4661919752573227E-2</v>
      </c>
      <c r="W55" s="1"/>
      <c r="X55" s="1">
        <f t="shared" si="22"/>
        <v>-2613.7799999999952</v>
      </c>
      <c r="Y55" s="1"/>
      <c r="Z55" s="5">
        <f t="shared" si="23"/>
        <v>-0.12345619533982102</v>
      </c>
    </row>
    <row r="56" spans="1:26" s="24" customFormat="1" hidden="1" outlineLevel="2" x14ac:dyDescent="0.35">
      <c r="A56" s="27"/>
      <c r="B56" s="11" t="str">
        <f>CONCATENATE("          ", "6111", " - ", "F.I.C.A.")</f>
        <v xml:space="preserve">          6111 - F.I.C.A.</v>
      </c>
      <c r="C56" s="11"/>
      <c r="D56" s="7">
        <v>318.24</v>
      </c>
      <c r="E56" s="2"/>
      <c r="F56" s="6">
        <f t="shared" si="16"/>
        <v>3.0206387534739629E-2</v>
      </c>
      <c r="G56" s="2"/>
      <c r="H56" s="7">
        <v>464.63</v>
      </c>
      <c r="I56" s="2"/>
      <c r="J56" s="6">
        <f t="shared" si="17"/>
        <v>2.0725293842139305E-2</v>
      </c>
      <c r="K56" s="2"/>
      <c r="L56" s="7">
        <f t="shared" si="18"/>
        <v>-146.38999999999999</v>
      </c>
      <c r="M56" s="2"/>
      <c r="N56" s="6">
        <f t="shared" si="19"/>
        <v>-0.31506790349310199</v>
      </c>
      <c r="O56" s="11"/>
      <c r="P56" s="7">
        <v>3894.14</v>
      </c>
      <c r="Q56" s="2"/>
      <c r="R56" s="6">
        <f t="shared" si="20"/>
        <v>9.2350795093024199E-3</v>
      </c>
      <c r="S56" s="2"/>
      <c r="T56" s="7">
        <v>3255.15</v>
      </c>
      <c r="U56" s="2"/>
      <c r="V56" s="6">
        <f t="shared" si="21"/>
        <v>6.8667660484168867E-3</v>
      </c>
      <c r="W56" s="2"/>
      <c r="X56" s="7">
        <f t="shared" si="22"/>
        <v>638.98999999999978</v>
      </c>
      <c r="Y56" s="2"/>
      <c r="Z56" s="6">
        <f t="shared" si="23"/>
        <v>0.19630124571832319</v>
      </c>
    </row>
    <row r="57" spans="1:26" s="24" customFormat="1" hidden="1" outlineLevel="2" x14ac:dyDescent="0.35">
      <c r="A57" s="27"/>
      <c r="B57" s="11" t="str">
        <f>CONCATENATE("          ", "6112", " - ", "COMPENSATION INSURANCE")</f>
        <v xml:space="preserve">          6112 - COMPENSATION INSURANCE</v>
      </c>
      <c r="C57" s="11"/>
      <c r="D57" s="7">
        <v>79.040000000000006</v>
      </c>
      <c r="E57" s="2"/>
      <c r="F57" s="6">
        <f t="shared" si="16"/>
        <v>7.5022400413078819E-3</v>
      </c>
      <c r="G57" s="2"/>
      <c r="H57" s="7">
        <v>107.55</v>
      </c>
      <c r="I57" s="2"/>
      <c r="J57" s="6">
        <f t="shared" si="17"/>
        <v>4.7973771661797178E-3</v>
      </c>
      <c r="K57" s="2"/>
      <c r="L57" s="7">
        <f t="shared" si="18"/>
        <v>-28.509999999999991</v>
      </c>
      <c r="M57" s="2"/>
      <c r="N57" s="6">
        <f t="shared" si="19"/>
        <v>-0.26508600650860059</v>
      </c>
      <c r="O57" s="11"/>
      <c r="P57" s="7">
        <v>1508.41</v>
      </c>
      <c r="Q57" s="2"/>
      <c r="R57" s="6">
        <f t="shared" si="20"/>
        <v>3.5772433149878699E-3</v>
      </c>
      <c r="S57" s="2"/>
      <c r="T57" s="7">
        <v>913.71</v>
      </c>
      <c r="U57" s="2"/>
      <c r="V57" s="6">
        <f t="shared" si="21"/>
        <v>1.9274788584547542E-3</v>
      </c>
      <c r="W57" s="2"/>
      <c r="X57" s="7">
        <f t="shared" si="22"/>
        <v>594.70000000000005</v>
      </c>
      <c r="Y57" s="2"/>
      <c r="Z57" s="6">
        <f t="shared" si="23"/>
        <v>0.65086296527344567</v>
      </c>
    </row>
    <row r="58" spans="1:26" s="24" customFormat="1" hidden="1" outlineLevel="2" x14ac:dyDescent="0.35">
      <c r="A58" s="27"/>
      <c r="B58" s="11" t="str">
        <f>CONCATENATE("          ", "6113", " - ", "GROUP INSURANCE")</f>
        <v xml:space="preserve">          6113 - GROUP INSURANCE</v>
      </c>
      <c r="C58" s="11"/>
      <c r="D58" s="7">
        <v>1367.58</v>
      </c>
      <c r="E58" s="2"/>
      <c r="F58" s="6">
        <f t="shared" si="16"/>
        <v>0.12980659711148573</v>
      </c>
      <c r="G58" s="2"/>
      <c r="H58" s="7">
        <v>924.25</v>
      </c>
      <c r="I58" s="2"/>
      <c r="J58" s="6">
        <f t="shared" si="17"/>
        <v>4.1227111537346386E-2</v>
      </c>
      <c r="K58" s="2"/>
      <c r="L58" s="7">
        <f t="shared" si="18"/>
        <v>443.32999999999993</v>
      </c>
      <c r="M58" s="2"/>
      <c r="N58" s="6">
        <f t="shared" si="19"/>
        <v>0.47966459291317276</v>
      </c>
      <c r="O58" s="11"/>
      <c r="P58" s="7">
        <v>12765.44</v>
      </c>
      <c r="Q58" s="2"/>
      <c r="R58" s="6">
        <f t="shared" si="20"/>
        <v>3.0273655639301487E-2</v>
      </c>
      <c r="S58" s="2"/>
      <c r="T58" s="7">
        <v>10841.5</v>
      </c>
      <c r="U58" s="2"/>
      <c r="V58" s="6">
        <f t="shared" si="21"/>
        <v>2.2870234586397455E-2</v>
      </c>
      <c r="W58" s="2"/>
      <c r="X58" s="7">
        <f t="shared" si="22"/>
        <v>1923.9400000000005</v>
      </c>
      <c r="Y58" s="2"/>
      <c r="Z58" s="6">
        <f t="shared" si="23"/>
        <v>0.17746068348475769</v>
      </c>
    </row>
    <row r="59" spans="1:26" s="24" customFormat="1" hidden="1" outlineLevel="2" x14ac:dyDescent="0.35">
      <c r="A59" s="27"/>
      <c r="B59" s="11" t="str">
        <f>CONCATENATE("          ", "6114", " - ", "STATE UNEMPLOYMENT INSURANCE")</f>
        <v xml:space="preserve">          6114 - STATE UNEMPLOYMENT INSURANCE</v>
      </c>
      <c r="C59" s="11"/>
      <c r="D59" s="7">
        <v>-215.17</v>
      </c>
      <c r="E59" s="2"/>
      <c r="F59" s="6">
        <f t="shared" si="16"/>
        <v>-2.0423291873585738E-2</v>
      </c>
      <c r="G59" s="2"/>
      <c r="H59" s="7">
        <v>23.5</v>
      </c>
      <c r="I59" s="2"/>
      <c r="J59" s="6">
        <f t="shared" si="17"/>
        <v>1.0482414077659075E-3</v>
      </c>
      <c r="K59" s="2"/>
      <c r="L59" s="7">
        <f t="shared" si="18"/>
        <v>-238.67</v>
      </c>
      <c r="M59" s="2"/>
      <c r="N59" s="6">
        <f t="shared" si="19"/>
        <v>-10.156170212765957</v>
      </c>
      <c r="O59" s="11"/>
      <c r="P59" s="7">
        <v>0</v>
      </c>
      <c r="Q59" s="2"/>
      <c r="R59" s="6">
        <f t="shared" si="20"/>
        <v>0</v>
      </c>
      <c r="S59" s="2"/>
      <c r="T59" s="7">
        <v>208.93</v>
      </c>
      <c r="U59" s="2"/>
      <c r="V59" s="6">
        <f t="shared" si="21"/>
        <v>4.4073957590149148E-4</v>
      </c>
      <c r="W59" s="2"/>
      <c r="X59" s="7">
        <f t="shared" si="22"/>
        <v>-208.93</v>
      </c>
      <c r="Y59" s="2"/>
      <c r="Z59" s="6">
        <f t="shared" si="23"/>
        <v>-1</v>
      </c>
    </row>
    <row r="60" spans="1:26" s="24" customFormat="1" hidden="1" outlineLevel="2" x14ac:dyDescent="0.35">
      <c r="A60" s="27"/>
      <c r="B60" s="11" t="str">
        <f>CONCATENATE("          ", "6115", " - ", "P.E.R.S.")</f>
        <v xml:space="preserve">          6115 - P.E.R.S.</v>
      </c>
      <c r="C60" s="11"/>
      <c r="D60" s="7">
        <v>425.19</v>
      </c>
      <c r="E60" s="2"/>
      <c r="F60" s="6">
        <f t="shared" si="16"/>
        <v>4.0357761173629783E-2</v>
      </c>
      <c r="G60" s="2"/>
      <c r="H60" s="7"/>
      <c r="I60" s="2"/>
      <c r="J60" s="6">
        <f t="shared" si="17"/>
        <v>0</v>
      </c>
      <c r="K60" s="2"/>
      <c r="L60" s="7">
        <f t="shared" si="18"/>
        <v>425.19</v>
      </c>
      <c r="M60" s="2"/>
      <c r="N60" s="6">
        <f t="shared" si="19"/>
        <v>0</v>
      </c>
      <c r="O60" s="11"/>
      <c r="P60" s="7">
        <v>3263.92</v>
      </c>
      <c r="Q60" s="2"/>
      <c r="R60" s="6">
        <f t="shared" si="20"/>
        <v>7.7404923069027704E-3</v>
      </c>
      <c r="S60" s="2"/>
      <c r="T60" s="7">
        <v>2090.4899999999998</v>
      </c>
      <c r="U60" s="2"/>
      <c r="V60" s="6">
        <f t="shared" si="21"/>
        <v>4.4099060739305456E-3</v>
      </c>
      <c r="W60" s="2"/>
      <c r="X60" s="7">
        <f t="shared" si="22"/>
        <v>1173.4300000000003</v>
      </c>
      <c r="Y60" s="2"/>
      <c r="Z60" s="6">
        <f t="shared" si="23"/>
        <v>0.56131815985725853</v>
      </c>
    </row>
    <row r="61" spans="1:26" s="24" customFormat="1" hidden="1" outlineLevel="2" x14ac:dyDescent="0.35">
      <c r="A61" s="27"/>
      <c r="B61" s="11" t="str">
        <f>CONCATENATE("          ", "6117", " - ", "RETIREMENT STAFF HOURLY")</f>
        <v xml:space="preserve">          6117 - RETIREMENT STAFF HOURLY</v>
      </c>
      <c r="C61" s="11"/>
      <c r="D61" s="7"/>
      <c r="E61" s="2"/>
      <c r="F61" s="6">
        <f t="shared" si="16"/>
        <v>0</v>
      </c>
      <c r="G61" s="2"/>
      <c r="H61" s="7"/>
      <c r="I61" s="2"/>
      <c r="J61" s="6">
        <f t="shared" si="17"/>
        <v>0</v>
      </c>
      <c r="K61" s="2"/>
      <c r="L61" s="7">
        <f t="shared" si="18"/>
        <v>0</v>
      </c>
      <c r="M61" s="2"/>
      <c r="N61" s="6">
        <f t="shared" si="19"/>
        <v>0</v>
      </c>
      <c r="O61" s="11"/>
      <c r="P61" s="7">
        <v>46.65</v>
      </c>
      <c r="Q61" s="2"/>
      <c r="R61" s="6">
        <f t="shared" si="20"/>
        <v>1.1063199040326179E-4</v>
      </c>
      <c r="S61" s="2"/>
      <c r="T61" s="7"/>
      <c r="U61" s="2"/>
      <c r="V61" s="6">
        <f t="shared" si="21"/>
        <v>0</v>
      </c>
      <c r="W61" s="2"/>
      <c r="X61" s="7">
        <f t="shared" si="22"/>
        <v>46.65</v>
      </c>
      <c r="Y61" s="2"/>
      <c r="Z61" s="6">
        <f t="shared" si="23"/>
        <v>0</v>
      </c>
    </row>
    <row r="62" spans="1:26" s="24" customFormat="1" hidden="1" outlineLevel="2" x14ac:dyDescent="0.35">
      <c r="A62" s="27"/>
      <c r="B62" s="11" t="str">
        <f>CONCATENATE("          ", "6118", " - ", "VACATION")</f>
        <v xml:space="preserve">          6118 - VACATION</v>
      </c>
      <c r="C62" s="11"/>
      <c r="D62" s="7">
        <v>335.92</v>
      </c>
      <c r="E62" s="2"/>
      <c r="F62" s="6">
        <f t="shared" si="16"/>
        <v>3.1884520175558498E-2</v>
      </c>
      <c r="G62" s="2"/>
      <c r="H62" s="7">
        <v>146.9</v>
      </c>
      <c r="I62" s="2"/>
      <c r="J62" s="6">
        <f t="shared" si="17"/>
        <v>6.5526239489707167E-3</v>
      </c>
      <c r="K62" s="2"/>
      <c r="L62" s="7">
        <f t="shared" si="18"/>
        <v>189.02</v>
      </c>
      <c r="M62" s="2"/>
      <c r="N62" s="6">
        <f t="shared" si="19"/>
        <v>1.2867256637168141</v>
      </c>
      <c r="O62" s="11"/>
      <c r="P62" s="7">
        <v>2749.48</v>
      </c>
      <c r="Q62" s="2"/>
      <c r="R62" s="6">
        <f t="shared" si="20"/>
        <v>6.5204811355618489E-3</v>
      </c>
      <c r="S62" s="2"/>
      <c r="T62" s="7">
        <v>2165.3200000000002</v>
      </c>
      <c r="U62" s="2"/>
      <c r="V62" s="6">
        <f t="shared" si="21"/>
        <v>4.5677605824487513E-3</v>
      </c>
      <c r="W62" s="2"/>
      <c r="X62" s="7">
        <f t="shared" si="22"/>
        <v>584.15999999999985</v>
      </c>
      <c r="Y62" s="2"/>
      <c r="Z62" s="6">
        <f t="shared" si="23"/>
        <v>0.26977998632996497</v>
      </c>
    </row>
    <row r="63" spans="1:26" s="24" customFormat="1" hidden="1" outlineLevel="2" x14ac:dyDescent="0.35">
      <c r="A63" s="27"/>
      <c r="B63" s="11" t="str">
        <f>CONCATENATE("          ", "6119", " - ", "SICK LEAVE")</f>
        <v xml:space="preserve">          6119 - SICK LEAVE</v>
      </c>
      <c r="C63" s="11"/>
      <c r="D63" s="7">
        <v>191.88</v>
      </c>
      <c r="E63" s="2"/>
      <c r="F63" s="6">
        <f t="shared" si="16"/>
        <v>1.8212674837122422E-2</v>
      </c>
      <c r="G63" s="2"/>
      <c r="H63" s="7">
        <v>117.58</v>
      </c>
      <c r="I63" s="2"/>
      <c r="J63" s="6">
        <f t="shared" si="17"/>
        <v>5.2447755202176772E-3</v>
      </c>
      <c r="K63" s="2"/>
      <c r="L63" s="7">
        <f t="shared" si="18"/>
        <v>74.3</v>
      </c>
      <c r="M63" s="2"/>
      <c r="N63" s="6">
        <f t="shared" si="19"/>
        <v>0.63191018880762029</v>
      </c>
      <c r="O63" s="11"/>
      <c r="P63" s="7">
        <v>-6282.95</v>
      </c>
      <c r="Q63" s="2"/>
      <c r="R63" s="6">
        <f t="shared" si="20"/>
        <v>-1.4900220023669319E-2</v>
      </c>
      <c r="S63" s="2"/>
      <c r="T63" s="7">
        <v>1696.62</v>
      </c>
      <c r="U63" s="2"/>
      <c r="V63" s="6">
        <f t="shared" si="21"/>
        <v>3.5790340270233497E-3</v>
      </c>
      <c r="W63" s="2"/>
      <c r="X63" s="7">
        <f t="shared" si="22"/>
        <v>-7979.57</v>
      </c>
      <c r="Y63" s="2"/>
      <c r="Z63" s="6">
        <f t="shared" si="23"/>
        <v>-4.7032158055427855</v>
      </c>
    </row>
    <row r="64" spans="1:26" s="24" customFormat="1" hidden="1" outlineLevel="2" x14ac:dyDescent="0.35">
      <c r="A64" s="27"/>
      <c r="B64" s="11" t="str">
        <f>CONCATENATE("          ", "6156", " - ", "EMPLOYEE MEALS")</f>
        <v xml:space="preserve">          6156 - EMPLOYEE MEALS</v>
      </c>
      <c r="C64" s="11"/>
      <c r="D64" s="7">
        <v>128</v>
      </c>
      <c r="E64" s="2"/>
      <c r="F64" s="6">
        <f t="shared" si="16"/>
        <v>1.2149376585113978E-2</v>
      </c>
      <c r="G64" s="2"/>
      <c r="H64" s="7"/>
      <c r="I64" s="2"/>
      <c r="J64" s="6">
        <f t="shared" si="17"/>
        <v>0</v>
      </c>
      <c r="K64" s="2"/>
      <c r="L64" s="7">
        <f t="shared" si="18"/>
        <v>128</v>
      </c>
      <c r="M64" s="2"/>
      <c r="N64" s="6">
        <f t="shared" si="19"/>
        <v>0</v>
      </c>
      <c r="O64" s="11"/>
      <c r="P64" s="7">
        <v>612.85</v>
      </c>
      <c r="Q64" s="2"/>
      <c r="R64" s="6">
        <f t="shared" si="20"/>
        <v>1.4533936831433868E-3</v>
      </c>
      <c r="S64" s="2"/>
      <c r="T64" s="7"/>
      <c r="U64" s="2"/>
      <c r="V64" s="6">
        <f t="shared" si="21"/>
        <v>0</v>
      </c>
      <c r="W64" s="2"/>
      <c r="X64" s="7">
        <f t="shared" si="22"/>
        <v>612.85</v>
      </c>
      <c r="Y64" s="2"/>
      <c r="Z64" s="6">
        <f t="shared" si="23"/>
        <v>0</v>
      </c>
    </row>
    <row r="65" spans="1:26" s="25" customFormat="1" outlineLevel="1" collapsed="1" x14ac:dyDescent="0.35">
      <c r="A65" s="26"/>
      <c r="B65" s="12" t="str">
        <f>CONCATENATE("     ","*Payroll                                          ")</f>
        <v xml:space="preserve">     *Payroll                                          </v>
      </c>
      <c r="C65" s="12"/>
      <c r="D65" s="1">
        <f>SUM(OSRRefD22_1x_0)</f>
        <v>3952</v>
      </c>
      <c r="E65" s="1"/>
      <c r="F65" s="5">
        <f t="shared" ref="F65:F69" si="24">IF(D$12=0,0,D65/D$12)</f>
        <v>0.37511200206539408</v>
      </c>
      <c r="G65" s="1"/>
      <c r="H65" s="1">
        <f>SUM(OSRRefH22_1x_0)</f>
        <v>5436.18</v>
      </c>
      <c r="I65" s="1"/>
      <c r="J65" s="5">
        <f t="shared" ref="J65:J69" si="25">IF(H$12=0,0,H65/H$12)</f>
        <v>0.24248633940718603</v>
      </c>
      <c r="K65" s="1"/>
      <c r="L65" s="1">
        <f t="shared" ref="L65:L69" si="26">+D65-H65</f>
        <v>-1484.1800000000003</v>
      </c>
      <c r="M65" s="1"/>
      <c r="N65" s="5">
        <f t="shared" ref="N65:N69" si="27">IF(H65=0,0,L65/H65)</f>
        <v>-0.27301892137493611</v>
      </c>
      <c r="O65" s="12"/>
      <c r="P65" s="1">
        <f>SUM(OSRRefP22_1x_0)</f>
        <v>82930.859999999986</v>
      </c>
      <c r="Q65" s="1"/>
      <c r="R65" s="5">
        <f t="shared" ref="R65:R69" si="28">IF(P$12=0,0,P65/P$12)</f>
        <v>0.1966732284598981</v>
      </c>
      <c r="S65" s="1"/>
      <c r="T65" s="1">
        <f>SUM(OSRRefT22_1x_0)</f>
        <v>70341.89</v>
      </c>
      <c r="U65" s="1"/>
      <c r="V65" s="5">
        <f t="shared" ref="V65:V69" si="29">IF(T$12=0,0,T65/T$12)</f>
        <v>0.14838680307619473</v>
      </c>
      <c r="W65" s="1"/>
      <c r="X65" s="1">
        <f t="shared" ref="X65:X69" si="30">+P65-T65</f>
        <v>12588.969999999987</v>
      </c>
      <c r="Y65" s="1"/>
      <c r="Z65" s="5">
        <f t="shared" ref="Z65:Z69" si="31">IF(T65=0,0,X65/T65)</f>
        <v>0.17896832172123875</v>
      </c>
    </row>
    <row r="66" spans="1:26" s="24" customFormat="1" hidden="1" outlineLevel="2" x14ac:dyDescent="0.35">
      <c r="A66" s="27"/>
      <c r="B66" s="11" t="str">
        <f>CONCATENATE("          ", "6002", " - ", "STAFF SALARIES")</f>
        <v xml:space="preserve">          6002 - STAFF SALARIES</v>
      </c>
      <c r="C66" s="11"/>
      <c r="D66" s="7">
        <v>3952</v>
      </c>
      <c r="E66" s="2"/>
      <c r="F66" s="6">
        <f t="shared" si="24"/>
        <v>0.37511200206539408</v>
      </c>
      <c r="G66" s="2"/>
      <c r="H66" s="7">
        <v>1911.92</v>
      </c>
      <c r="I66" s="2"/>
      <c r="J66" s="6">
        <f t="shared" si="25"/>
        <v>8.5283136695140177E-2</v>
      </c>
      <c r="K66" s="2"/>
      <c r="L66" s="7">
        <f t="shared" si="26"/>
        <v>2040.08</v>
      </c>
      <c r="M66" s="2"/>
      <c r="N66" s="6">
        <f t="shared" si="27"/>
        <v>1.0670320933930288</v>
      </c>
      <c r="O66" s="11"/>
      <c r="P66" s="7">
        <v>38729.009999999995</v>
      </c>
      <c r="Q66" s="2"/>
      <c r="R66" s="6">
        <f t="shared" si="28"/>
        <v>9.1847105308635144E-2</v>
      </c>
      <c r="S66" s="2"/>
      <c r="T66" s="7">
        <v>31100.489999999998</v>
      </c>
      <c r="U66" s="2"/>
      <c r="V66" s="6">
        <f t="shared" si="29"/>
        <v>6.5606742798681741E-2</v>
      </c>
      <c r="W66" s="2"/>
      <c r="X66" s="7">
        <f t="shared" si="30"/>
        <v>7628.5199999999968</v>
      </c>
      <c r="Y66" s="2"/>
      <c r="Z66" s="6">
        <f t="shared" si="31"/>
        <v>0.24528616751697471</v>
      </c>
    </row>
    <row r="67" spans="1:26" s="24" customFormat="1" hidden="1" outlineLevel="2" x14ac:dyDescent="0.35">
      <c r="A67" s="27"/>
      <c r="B67" s="11" t="str">
        <f>CONCATENATE("          ", "6004", " - ", "STAFF HOURLY")</f>
        <v xml:space="preserve">          6004 - STAFF HOURLY</v>
      </c>
      <c r="C67" s="11"/>
      <c r="D67" s="7"/>
      <c r="E67" s="2"/>
      <c r="F67" s="6">
        <f t="shared" si="24"/>
        <v>0</v>
      </c>
      <c r="G67" s="2"/>
      <c r="H67" s="7"/>
      <c r="I67" s="2"/>
      <c r="J67" s="6">
        <f t="shared" si="25"/>
        <v>0</v>
      </c>
      <c r="K67" s="2"/>
      <c r="L67" s="7">
        <f t="shared" si="26"/>
        <v>0</v>
      </c>
      <c r="M67" s="2"/>
      <c r="N67" s="6">
        <f t="shared" si="27"/>
        <v>0</v>
      </c>
      <c r="O67" s="11"/>
      <c r="P67" s="7">
        <v>-48</v>
      </c>
      <c r="Q67" s="2"/>
      <c r="R67" s="6">
        <f t="shared" si="28"/>
        <v>-1.1383355925737548E-4</v>
      </c>
      <c r="S67" s="2"/>
      <c r="T67" s="7"/>
      <c r="U67" s="2"/>
      <c r="V67" s="6">
        <f t="shared" si="29"/>
        <v>0</v>
      </c>
      <c r="W67" s="2"/>
      <c r="X67" s="7">
        <f t="shared" si="30"/>
        <v>-48</v>
      </c>
      <c r="Y67" s="2"/>
      <c r="Z67" s="6">
        <f t="shared" si="31"/>
        <v>0</v>
      </c>
    </row>
    <row r="68" spans="1:26" s="24" customFormat="1" hidden="1" outlineLevel="2" x14ac:dyDescent="0.35">
      <c r="A68" s="27"/>
      <c r="B68" s="11" t="str">
        <f>CONCATENATE("          ", "6006", " - ", "TEMPORARY PART TIME")</f>
        <v xml:space="preserve">          6006 - TEMPORARY PART TIME</v>
      </c>
      <c r="C68" s="11"/>
      <c r="D68" s="7"/>
      <c r="E68" s="2"/>
      <c r="F68" s="6">
        <f t="shared" si="24"/>
        <v>0</v>
      </c>
      <c r="G68" s="2"/>
      <c r="H68" s="7"/>
      <c r="I68" s="2"/>
      <c r="J68" s="6">
        <f t="shared" si="25"/>
        <v>0</v>
      </c>
      <c r="K68" s="2"/>
      <c r="L68" s="7">
        <f t="shared" si="26"/>
        <v>0</v>
      </c>
      <c r="M68" s="2"/>
      <c r="N68" s="6">
        <f t="shared" si="27"/>
        <v>0</v>
      </c>
      <c r="O68" s="11"/>
      <c r="P68" s="7"/>
      <c r="Q68" s="2"/>
      <c r="R68" s="6">
        <f t="shared" si="28"/>
        <v>0</v>
      </c>
      <c r="S68" s="2"/>
      <c r="T68" s="7">
        <v>58.75</v>
      </c>
      <c r="U68" s="2"/>
      <c r="V68" s="6">
        <f t="shared" si="29"/>
        <v>1.2393361453220039E-4</v>
      </c>
      <c r="W68" s="2"/>
      <c r="X68" s="7">
        <f t="shared" si="30"/>
        <v>-58.75</v>
      </c>
      <c r="Y68" s="2"/>
      <c r="Z68" s="6">
        <f t="shared" si="31"/>
        <v>-1</v>
      </c>
    </row>
    <row r="69" spans="1:26" s="24" customFormat="1" hidden="1" outlineLevel="2" x14ac:dyDescent="0.35">
      <c r="A69" s="27"/>
      <c r="B69" s="11" t="str">
        <f>CONCATENATE("          ", "6007", " - ", "STUDENT HOURLY")</f>
        <v xml:space="preserve">          6007 - STUDENT HOURLY</v>
      </c>
      <c r="C69" s="11"/>
      <c r="D69" s="7"/>
      <c r="E69" s="2"/>
      <c r="F69" s="6">
        <f t="shared" si="24"/>
        <v>0</v>
      </c>
      <c r="G69" s="2"/>
      <c r="H69" s="7">
        <v>3524.26</v>
      </c>
      <c r="I69" s="2"/>
      <c r="J69" s="6">
        <f t="shared" si="25"/>
        <v>0.15720320271204585</v>
      </c>
      <c r="K69" s="2"/>
      <c r="L69" s="7">
        <f t="shared" si="26"/>
        <v>-3524.26</v>
      </c>
      <c r="M69" s="2"/>
      <c r="N69" s="6">
        <f t="shared" si="27"/>
        <v>-1</v>
      </c>
      <c r="O69" s="11"/>
      <c r="P69" s="7">
        <v>44249.85</v>
      </c>
      <c r="Q69" s="2"/>
      <c r="R69" s="6">
        <f t="shared" si="28"/>
        <v>0.10493995671052034</v>
      </c>
      <c r="S69" s="2"/>
      <c r="T69" s="7">
        <v>39182.65</v>
      </c>
      <c r="U69" s="2"/>
      <c r="V69" s="6">
        <f t="shared" si="29"/>
        <v>8.2656126662980792E-2</v>
      </c>
      <c r="W69" s="2"/>
      <c r="X69" s="7">
        <f t="shared" si="30"/>
        <v>5067.1999999999971</v>
      </c>
      <c r="Y69" s="2"/>
      <c r="Z69" s="6">
        <f t="shared" si="31"/>
        <v>0.12932254454458789</v>
      </c>
    </row>
    <row r="70" spans="1:26" s="25" customFormat="1" outlineLevel="1" collapsed="1" x14ac:dyDescent="0.35">
      <c r="A70" s="26"/>
      <c r="B70" s="12" t="str">
        <f>CONCATENATE("     ","Advertising/Promo                                 ")</f>
        <v xml:space="preserve">     Advertising/Promo                                 </v>
      </c>
      <c r="C70" s="12"/>
      <c r="D70" s="1">
        <f>SUM(OSRRefD22_2x_0)</f>
        <v>0</v>
      </c>
      <c r="E70" s="1"/>
      <c r="F70" s="5">
        <f t="shared" ref="F70:F74" si="32">IF(D$12=0,0,D70/D$12)</f>
        <v>0</v>
      </c>
      <c r="G70" s="1"/>
      <c r="H70" s="1">
        <f>SUM(OSRRefH22_2x_0)</f>
        <v>0</v>
      </c>
      <c r="I70" s="1"/>
      <c r="J70" s="5">
        <f t="shared" ref="J70:J74" si="33">IF(H$12=0,0,H70/H$12)</f>
        <v>0</v>
      </c>
      <c r="K70" s="1"/>
      <c r="L70" s="1">
        <f t="shared" ref="L70:L74" si="34">+D70-H70</f>
        <v>0</v>
      </c>
      <c r="M70" s="1"/>
      <c r="N70" s="5">
        <f t="shared" ref="N70:N74" si="35">IF(H70=0,0,L70/H70)</f>
        <v>0</v>
      </c>
      <c r="O70" s="12"/>
      <c r="P70" s="1">
        <f>SUM(OSRRefP22_2x_0)</f>
        <v>1181.76</v>
      </c>
      <c r="Q70" s="1"/>
      <c r="R70" s="5">
        <f t="shared" ref="R70:R74" si="36">IF(P$12=0,0,P70/P$12)</f>
        <v>2.8025822289165845E-3</v>
      </c>
      <c r="S70" s="1"/>
      <c r="T70" s="1">
        <f>SUM(OSRRefT22_2x_0)</f>
        <v>1967.86</v>
      </c>
      <c r="U70" s="1"/>
      <c r="V70" s="5">
        <f t="shared" ref="V70:V74" si="37">IF(T$12=0,0,T70/T$12)</f>
        <v>4.1512170671206099E-3</v>
      </c>
      <c r="W70" s="1"/>
      <c r="X70" s="1">
        <f t="shared" ref="X70:X74" si="38">+P70-T70</f>
        <v>-786.09999999999991</v>
      </c>
      <c r="Y70" s="1"/>
      <c r="Z70" s="5">
        <f t="shared" ref="Z70:Z74" si="39">IF(T70=0,0,X70/T70)</f>
        <v>-0.3994694744544835</v>
      </c>
    </row>
    <row r="71" spans="1:26" s="24" customFormat="1" hidden="1" outlineLevel="2" x14ac:dyDescent="0.35">
      <c r="A71" s="27"/>
      <c r="B71" s="11" t="str">
        <f>CONCATENATE("          ", "6362", " - ", "ADVERTISING EXPENSE")</f>
        <v xml:space="preserve">          6362 - ADVERTISING EXPENSE</v>
      </c>
      <c r="C71" s="11"/>
      <c r="D71" s="7"/>
      <c r="E71" s="2"/>
      <c r="F71" s="6">
        <f t="shared" si="32"/>
        <v>0</v>
      </c>
      <c r="G71" s="2"/>
      <c r="H71" s="7"/>
      <c r="I71" s="2"/>
      <c r="J71" s="6">
        <f t="shared" si="33"/>
        <v>0</v>
      </c>
      <c r="K71" s="2"/>
      <c r="L71" s="7">
        <f t="shared" si="34"/>
        <v>0</v>
      </c>
      <c r="M71" s="2"/>
      <c r="N71" s="6">
        <f t="shared" si="35"/>
        <v>0</v>
      </c>
      <c r="O71" s="11"/>
      <c r="P71" s="7">
        <v>1181.76</v>
      </c>
      <c r="Q71" s="2"/>
      <c r="R71" s="6">
        <f t="shared" si="36"/>
        <v>2.8025822289165845E-3</v>
      </c>
      <c r="S71" s="2"/>
      <c r="T71" s="7">
        <v>1967.86</v>
      </c>
      <c r="U71" s="2"/>
      <c r="V71" s="6">
        <f t="shared" si="37"/>
        <v>4.1512170671206099E-3</v>
      </c>
      <c r="W71" s="2"/>
      <c r="X71" s="7">
        <f t="shared" si="38"/>
        <v>-786.09999999999991</v>
      </c>
      <c r="Y71" s="2"/>
      <c r="Z71" s="6">
        <f t="shared" si="39"/>
        <v>-0.3994694744544835</v>
      </c>
    </row>
    <row r="72" spans="1:26" s="25" customFormat="1" outlineLevel="1" collapsed="1" x14ac:dyDescent="0.35">
      <c r="A72" s="26"/>
      <c r="B72" s="12" t="str">
        <f>CONCATENATE("     ","Discounts and Markdowns                           ")</f>
        <v xml:space="preserve">     Discounts and Markdowns                           </v>
      </c>
      <c r="C72" s="12"/>
      <c r="D72" s="1">
        <f>SUM(OSRRefD22_3x_0)</f>
        <v>4841.82</v>
      </c>
      <c r="E72" s="1"/>
      <c r="F72" s="5">
        <f t="shared" si="32"/>
        <v>0.45957105107294183</v>
      </c>
      <c r="G72" s="1"/>
      <c r="H72" s="1">
        <f>SUM(OSRRefH22_3x_0)</f>
        <v>758.18</v>
      </c>
      <c r="I72" s="1"/>
      <c r="J72" s="5">
        <f t="shared" si="33"/>
        <v>3.3819390235742798E-2</v>
      </c>
      <c r="K72" s="1"/>
      <c r="L72" s="1">
        <f t="shared" si="34"/>
        <v>4083.64</v>
      </c>
      <c r="M72" s="1"/>
      <c r="N72" s="5">
        <f t="shared" si="35"/>
        <v>5.3861088395895438</v>
      </c>
      <c r="O72" s="12"/>
      <c r="P72" s="1">
        <f>SUM(OSRRefP22_3x_0)</f>
        <v>16768.41</v>
      </c>
      <c r="Q72" s="1"/>
      <c r="R72" s="5">
        <f t="shared" si="36"/>
        <v>3.9766829028895161E-2</v>
      </c>
      <c r="S72" s="1"/>
      <c r="T72" s="1">
        <f>SUM(OSRRefT22_3x_0)</f>
        <v>23763.55</v>
      </c>
      <c r="U72" s="1"/>
      <c r="V72" s="5">
        <f t="shared" si="37"/>
        <v>5.0129406733900768E-2</v>
      </c>
      <c r="W72" s="1"/>
      <c r="X72" s="1">
        <f t="shared" si="38"/>
        <v>-6995.1399999999994</v>
      </c>
      <c r="Y72" s="1"/>
      <c r="Z72" s="5">
        <f t="shared" si="39"/>
        <v>-0.29436426796501364</v>
      </c>
    </row>
    <row r="73" spans="1:26" s="24" customFormat="1" hidden="1" outlineLevel="2" x14ac:dyDescent="0.35">
      <c r="A73" s="27"/>
      <c r="B73" s="11" t="str">
        <f>CONCATENATE("          ", "6382", " - ", "DISCOUNTS/MARK DOWNS")</f>
        <v xml:space="preserve">          6382 - DISCOUNTS/MARK DOWNS</v>
      </c>
      <c r="C73" s="11"/>
      <c r="D73" s="7">
        <v>4841.82</v>
      </c>
      <c r="E73" s="2"/>
      <c r="F73" s="6">
        <f t="shared" si="32"/>
        <v>0.45957105107294183</v>
      </c>
      <c r="G73" s="2"/>
      <c r="H73" s="7">
        <v>758.18</v>
      </c>
      <c r="I73" s="2"/>
      <c r="J73" s="6">
        <f t="shared" si="33"/>
        <v>3.3819390235742798E-2</v>
      </c>
      <c r="K73" s="2"/>
      <c r="L73" s="7">
        <f t="shared" si="34"/>
        <v>4083.64</v>
      </c>
      <c r="M73" s="2"/>
      <c r="N73" s="6">
        <f t="shared" si="35"/>
        <v>5.3861088395895438</v>
      </c>
      <c r="O73" s="11"/>
      <c r="P73" s="7">
        <v>16768.41</v>
      </c>
      <c r="Q73" s="2"/>
      <c r="R73" s="6">
        <f t="shared" si="36"/>
        <v>3.9766829028895161E-2</v>
      </c>
      <c r="S73" s="2"/>
      <c r="T73" s="7">
        <v>23128.639999999999</v>
      </c>
      <c r="U73" s="2"/>
      <c r="V73" s="6">
        <f t="shared" si="37"/>
        <v>4.8790058798536692E-2</v>
      </c>
      <c r="W73" s="2"/>
      <c r="X73" s="7">
        <f t="shared" si="38"/>
        <v>-6360.23</v>
      </c>
      <c r="Y73" s="2"/>
      <c r="Z73" s="6">
        <f t="shared" si="39"/>
        <v>-0.27499368748011122</v>
      </c>
    </row>
    <row r="74" spans="1:26" s="24" customFormat="1" hidden="1" outlineLevel="2" x14ac:dyDescent="0.35">
      <c r="A74" s="27"/>
      <c r="B74" s="11" t="str">
        <f>CONCATENATE("          ", "9175", " - ", "EARNED DISCOUNTS")</f>
        <v xml:space="preserve">          9175 - EARNED DISCOUNTS</v>
      </c>
      <c r="C74" s="11"/>
      <c r="D74" s="7"/>
      <c r="E74" s="2"/>
      <c r="F74" s="6">
        <f t="shared" si="32"/>
        <v>0</v>
      </c>
      <c r="G74" s="2"/>
      <c r="H74" s="7"/>
      <c r="I74" s="2"/>
      <c r="J74" s="6">
        <f t="shared" si="33"/>
        <v>0</v>
      </c>
      <c r="K74" s="2"/>
      <c r="L74" s="7">
        <f t="shared" si="34"/>
        <v>0</v>
      </c>
      <c r="M74" s="2"/>
      <c r="N74" s="6">
        <f t="shared" si="35"/>
        <v>0</v>
      </c>
      <c r="O74" s="11"/>
      <c r="P74" s="7">
        <v>0</v>
      </c>
      <c r="Q74" s="2"/>
      <c r="R74" s="6">
        <f t="shared" si="36"/>
        <v>0</v>
      </c>
      <c r="S74" s="2"/>
      <c r="T74" s="7">
        <v>634.91</v>
      </c>
      <c r="U74" s="2"/>
      <c r="V74" s="6">
        <f t="shared" si="37"/>
        <v>1.3393479353640738E-3</v>
      </c>
      <c r="W74" s="2"/>
      <c r="X74" s="7">
        <f t="shared" si="38"/>
        <v>-634.91</v>
      </c>
      <c r="Y74" s="2"/>
      <c r="Z74" s="6">
        <f t="shared" si="39"/>
        <v>-1</v>
      </c>
    </row>
    <row r="75" spans="1:26" s="25" customFormat="1" outlineLevel="1" collapsed="1" x14ac:dyDescent="0.35">
      <c r="A75" s="26"/>
      <c r="B75" s="12" t="str">
        <f>CONCATENATE("     ","Employees' Appreciation                           ")</f>
        <v xml:space="preserve">     Employees' Appreciation                           </v>
      </c>
      <c r="C75" s="12"/>
      <c r="D75" s="1">
        <f>SUM(OSRRefD22_4x_0)</f>
        <v>0</v>
      </c>
      <c r="E75" s="1"/>
      <c r="F75" s="5">
        <f t="shared" ref="F75:F88" si="40">IF(D$12=0,0,D75/D$12)</f>
        <v>0</v>
      </c>
      <c r="G75" s="1"/>
      <c r="H75" s="1">
        <f>SUM(OSRRefH22_4x_0)</f>
        <v>0</v>
      </c>
      <c r="I75" s="1"/>
      <c r="J75" s="5">
        <f t="shared" ref="J75:J88" si="41">IF(H$12=0,0,H75/H$12)</f>
        <v>0</v>
      </c>
      <c r="K75" s="1"/>
      <c r="L75" s="1">
        <f t="shared" ref="L75:L88" si="42">+D75-H75</f>
        <v>0</v>
      </c>
      <c r="M75" s="1"/>
      <c r="N75" s="5">
        <f t="shared" ref="N75:N88" si="43">IF(H75=0,0,L75/H75)</f>
        <v>0</v>
      </c>
      <c r="O75" s="12"/>
      <c r="P75" s="1">
        <f>SUM(OSRRefP22_4x_0)</f>
        <v>0</v>
      </c>
      <c r="Q75" s="1"/>
      <c r="R75" s="5">
        <f t="shared" ref="R75:R88" si="44">IF(P$12=0,0,P75/P$12)</f>
        <v>0</v>
      </c>
      <c r="S75" s="1"/>
      <c r="T75" s="1">
        <f>SUM(OSRRefT22_4x_0)</f>
        <v>77.849999999999994</v>
      </c>
      <c r="U75" s="1"/>
      <c r="V75" s="5">
        <f t="shared" ref="V75:V88" si="45">IF(T$12=0,0,T75/T$12)</f>
        <v>1.6422522368224338E-4</v>
      </c>
      <c r="W75" s="1"/>
      <c r="X75" s="1">
        <f t="shared" ref="X75:X88" si="46">+P75-T75</f>
        <v>-77.849999999999994</v>
      </c>
      <c r="Y75" s="1"/>
      <c r="Z75" s="5">
        <f t="shared" ref="Z75:Z88" si="47">IF(T75=0,0,X75/T75)</f>
        <v>-1</v>
      </c>
    </row>
    <row r="76" spans="1:26" s="24" customFormat="1" hidden="1" outlineLevel="2" x14ac:dyDescent="0.35">
      <c r="A76" s="27"/>
      <c r="B76" s="11" t="str">
        <f>CONCATENATE("          ", "6277", " - ", "EMPLOYEE APPRECIATION")</f>
        <v xml:space="preserve">          6277 - EMPLOYEE APPRECIATION</v>
      </c>
      <c r="C76" s="11"/>
      <c r="D76" s="7"/>
      <c r="E76" s="2"/>
      <c r="F76" s="6">
        <f t="shared" si="40"/>
        <v>0</v>
      </c>
      <c r="G76" s="2"/>
      <c r="H76" s="7"/>
      <c r="I76" s="2"/>
      <c r="J76" s="6">
        <f t="shared" si="41"/>
        <v>0</v>
      </c>
      <c r="K76" s="2"/>
      <c r="L76" s="7">
        <f t="shared" si="42"/>
        <v>0</v>
      </c>
      <c r="M76" s="2"/>
      <c r="N76" s="6">
        <f t="shared" si="43"/>
        <v>0</v>
      </c>
      <c r="O76" s="11"/>
      <c r="P76" s="7"/>
      <c r="Q76" s="2"/>
      <c r="R76" s="6">
        <f t="shared" si="44"/>
        <v>0</v>
      </c>
      <c r="S76" s="2"/>
      <c r="T76" s="7">
        <v>77.849999999999994</v>
      </c>
      <c r="U76" s="2"/>
      <c r="V76" s="6">
        <f t="shared" si="45"/>
        <v>1.6422522368224338E-4</v>
      </c>
      <c r="W76" s="2"/>
      <c r="X76" s="7">
        <f t="shared" si="46"/>
        <v>-77.849999999999994</v>
      </c>
      <c r="Y76" s="2"/>
      <c r="Z76" s="6">
        <f t="shared" si="47"/>
        <v>-1</v>
      </c>
    </row>
    <row r="77" spans="1:26" s="25" customFormat="1" outlineLevel="1" collapsed="1" x14ac:dyDescent="0.35">
      <c r="A77" s="26"/>
      <c r="B77" s="12" t="str">
        <f>CONCATENATE("     ","Freight out/Postage                               ")</f>
        <v xml:space="preserve">     Freight out/Postage                               </v>
      </c>
      <c r="C77" s="12"/>
      <c r="D77" s="1">
        <f>SUM(OSRRefD22_5x_0)</f>
        <v>0</v>
      </c>
      <c r="E77" s="1"/>
      <c r="F77" s="5">
        <f t="shared" si="40"/>
        <v>0</v>
      </c>
      <c r="G77" s="1"/>
      <c r="H77" s="1">
        <f>SUM(OSRRefH22_5x_0)</f>
        <v>0</v>
      </c>
      <c r="I77" s="1"/>
      <c r="J77" s="5">
        <f t="shared" si="41"/>
        <v>0</v>
      </c>
      <c r="K77" s="1"/>
      <c r="L77" s="1">
        <f t="shared" si="42"/>
        <v>0</v>
      </c>
      <c r="M77" s="1"/>
      <c r="N77" s="5">
        <f t="shared" si="43"/>
        <v>0</v>
      </c>
      <c r="O77" s="12"/>
      <c r="P77" s="1">
        <f>SUM(OSRRefP22_5x_0)</f>
        <v>15.81</v>
      </c>
      <c r="Q77" s="1"/>
      <c r="R77" s="5">
        <f t="shared" si="44"/>
        <v>3.7493928580398048E-5</v>
      </c>
      <c r="S77" s="1"/>
      <c r="T77" s="1">
        <f>SUM(OSRRefT22_5x_0)</f>
        <v>28.02</v>
      </c>
      <c r="U77" s="1"/>
      <c r="V77" s="5">
        <f t="shared" si="45"/>
        <v>5.9108423475612843E-5</v>
      </c>
      <c r="W77" s="1"/>
      <c r="X77" s="1">
        <f t="shared" si="46"/>
        <v>-12.209999999999999</v>
      </c>
      <c r="Y77" s="1"/>
      <c r="Z77" s="5">
        <f t="shared" si="47"/>
        <v>-0.43576017130620981</v>
      </c>
    </row>
    <row r="78" spans="1:26" s="24" customFormat="1" hidden="1" outlineLevel="2" x14ac:dyDescent="0.35">
      <c r="A78" s="27"/>
      <c r="B78" s="11" t="str">
        <f>CONCATENATE("          ", "6305", " - ", "FREIGHT OUT")</f>
        <v xml:space="preserve">          6305 - FREIGHT OUT</v>
      </c>
      <c r="C78" s="11"/>
      <c r="D78" s="7"/>
      <c r="E78" s="2"/>
      <c r="F78" s="6">
        <f t="shared" si="40"/>
        <v>0</v>
      </c>
      <c r="G78" s="2"/>
      <c r="H78" s="7"/>
      <c r="I78" s="2"/>
      <c r="J78" s="6">
        <f t="shared" si="41"/>
        <v>0</v>
      </c>
      <c r="K78" s="2"/>
      <c r="L78" s="7">
        <f t="shared" si="42"/>
        <v>0</v>
      </c>
      <c r="M78" s="2"/>
      <c r="N78" s="6">
        <f t="shared" si="43"/>
        <v>0</v>
      </c>
      <c r="O78" s="11"/>
      <c r="P78" s="7">
        <v>15.81</v>
      </c>
      <c r="Q78" s="2"/>
      <c r="R78" s="6">
        <f t="shared" si="44"/>
        <v>3.7493928580398048E-5</v>
      </c>
      <c r="S78" s="2"/>
      <c r="T78" s="7">
        <v>28.02</v>
      </c>
      <c r="U78" s="2"/>
      <c r="V78" s="6">
        <f t="shared" si="45"/>
        <v>5.9108423475612843E-5</v>
      </c>
      <c r="W78" s="2"/>
      <c r="X78" s="7">
        <f t="shared" si="46"/>
        <v>-12.209999999999999</v>
      </c>
      <c r="Y78" s="2"/>
      <c r="Z78" s="6">
        <f t="shared" si="47"/>
        <v>-0.43576017130620981</v>
      </c>
    </row>
    <row r="79" spans="1:26" s="25" customFormat="1" outlineLevel="1" collapsed="1" x14ac:dyDescent="0.35">
      <c r="A79" s="26"/>
      <c r="B79" s="12" t="str">
        <f>CONCATENATE("     ","Inventory Adjustment                              ")</f>
        <v xml:space="preserve">     Inventory Adjustment                              </v>
      </c>
      <c r="C79" s="12"/>
      <c r="D79" s="1">
        <f>SUM(OSRRefD22_6x_0)</f>
        <v>20749</v>
      </c>
      <c r="E79" s="1"/>
      <c r="F79" s="5">
        <f t="shared" si="40"/>
        <v>1.9694329278478901</v>
      </c>
      <c r="G79" s="1"/>
      <c r="H79" s="1">
        <f>SUM(OSRRefH22_6x_0)</f>
        <v>-6122</v>
      </c>
      <c r="I79" s="1"/>
      <c r="J79" s="5">
        <f t="shared" si="41"/>
        <v>-0.27307803822735688</v>
      </c>
      <c r="K79" s="1"/>
      <c r="L79" s="1">
        <f t="shared" si="42"/>
        <v>26871</v>
      </c>
      <c r="M79" s="1"/>
      <c r="N79" s="5">
        <f t="shared" si="43"/>
        <v>-4.3892518784710877</v>
      </c>
      <c r="O79" s="12"/>
      <c r="P79" s="1">
        <f>SUM(OSRRefP22_6x_0)</f>
        <v>20749</v>
      </c>
      <c r="Q79" s="1"/>
      <c r="R79" s="5">
        <f t="shared" si="44"/>
        <v>4.9206927521485082E-2</v>
      </c>
      <c r="S79" s="1"/>
      <c r="T79" s="1">
        <f>SUM(OSRRefT22_6x_0)</f>
        <v>-6122</v>
      </c>
      <c r="U79" s="1"/>
      <c r="V79" s="5">
        <f t="shared" si="45"/>
        <v>-1.2914410011338395E-2</v>
      </c>
      <c r="W79" s="1"/>
      <c r="X79" s="1">
        <f t="shared" si="46"/>
        <v>26871</v>
      </c>
      <c r="Y79" s="1"/>
      <c r="Z79" s="5">
        <f t="shared" si="47"/>
        <v>-4.3892518784710877</v>
      </c>
    </row>
    <row r="80" spans="1:26" s="24" customFormat="1" hidden="1" outlineLevel="2" x14ac:dyDescent="0.35">
      <c r="A80" s="27"/>
      <c r="B80" s="11" t="str">
        <f>CONCATENATE("          ", "7717", " - ", "INV. SHRINKAGE-DORM/HOUSEWARES")</f>
        <v xml:space="preserve">          7717 - INV. SHRINKAGE-DORM/HOUSEWARES</v>
      </c>
      <c r="C80" s="11"/>
      <c r="D80" s="7">
        <v>-150</v>
      </c>
      <c r="E80" s="2"/>
      <c r="F80" s="6">
        <f t="shared" si="40"/>
        <v>-1.4237550685680443E-2</v>
      </c>
      <c r="G80" s="2"/>
      <c r="H80" s="7">
        <v>-22</v>
      </c>
      <c r="I80" s="2"/>
      <c r="J80" s="6">
        <f t="shared" si="41"/>
        <v>-9.8133238173829648E-4</v>
      </c>
      <c r="K80" s="2"/>
      <c r="L80" s="7">
        <f t="shared" si="42"/>
        <v>-128</v>
      </c>
      <c r="M80" s="2"/>
      <c r="N80" s="6">
        <f t="shared" si="43"/>
        <v>5.8181818181818183</v>
      </c>
      <c r="O80" s="11"/>
      <c r="P80" s="7">
        <v>-150</v>
      </c>
      <c r="Q80" s="2"/>
      <c r="R80" s="6">
        <f t="shared" si="44"/>
        <v>-3.5572987267929839E-4</v>
      </c>
      <c r="S80" s="2"/>
      <c r="T80" s="7">
        <v>-22</v>
      </c>
      <c r="U80" s="2"/>
      <c r="V80" s="6">
        <f t="shared" si="45"/>
        <v>-4.6409183314185672E-5</v>
      </c>
      <c r="W80" s="2"/>
      <c r="X80" s="7">
        <f t="shared" si="46"/>
        <v>-128</v>
      </c>
      <c r="Y80" s="2"/>
      <c r="Z80" s="6">
        <f t="shared" si="47"/>
        <v>5.8181818181818183</v>
      </c>
    </row>
    <row r="81" spans="1:26" s="24" customFormat="1" hidden="1" outlineLevel="2" x14ac:dyDescent="0.35">
      <c r="A81" s="27"/>
      <c r="B81" s="11" t="str">
        <f>CONCATENATE("          ", "7719", " - ", "INV. SHRINKAGE-BOOK RELATED")</f>
        <v xml:space="preserve">          7719 - INV. SHRINKAGE-BOOK RELATED</v>
      </c>
      <c r="C81" s="11"/>
      <c r="D81" s="7">
        <v>-43</v>
      </c>
      <c r="E81" s="2"/>
      <c r="F81" s="6">
        <f t="shared" si="40"/>
        <v>-4.0814311965617269E-3</v>
      </c>
      <c r="G81" s="2"/>
      <c r="H81" s="7">
        <v>-36</v>
      </c>
      <c r="I81" s="2"/>
      <c r="J81" s="6">
        <f t="shared" si="41"/>
        <v>-1.605816624662667E-3</v>
      </c>
      <c r="K81" s="2"/>
      <c r="L81" s="7">
        <f t="shared" si="42"/>
        <v>-7</v>
      </c>
      <c r="M81" s="2"/>
      <c r="N81" s="6">
        <f t="shared" si="43"/>
        <v>0.19444444444444445</v>
      </c>
      <c r="O81" s="11"/>
      <c r="P81" s="7">
        <v>-43</v>
      </c>
      <c r="Q81" s="2"/>
      <c r="R81" s="6">
        <f t="shared" si="44"/>
        <v>-1.0197589683473221E-4</v>
      </c>
      <c r="S81" s="2"/>
      <c r="T81" s="7">
        <v>-36</v>
      </c>
      <c r="U81" s="2"/>
      <c r="V81" s="6">
        <f t="shared" si="45"/>
        <v>-7.5942299968667472E-5</v>
      </c>
      <c r="W81" s="2"/>
      <c r="X81" s="7">
        <f t="shared" si="46"/>
        <v>-7</v>
      </c>
      <c r="Y81" s="2"/>
      <c r="Z81" s="6">
        <f t="shared" si="47"/>
        <v>0.19444444444444445</v>
      </c>
    </row>
    <row r="82" spans="1:26" s="24" customFormat="1" hidden="1" outlineLevel="2" x14ac:dyDescent="0.35">
      <c r="A82" s="27"/>
      <c r="B82" s="11" t="str">
        <f>CONCATENATE("          ", "7725", " - ", "INV. SHRINKAGE-TEST FORMS")</f>
        <v xml:space="preserve">          7725 - INV. SHRINKAGE-TEST FORMS</v>
      </c>
      <c r="C82" s="11"/>
      <c r="D82" s="7">
        <v>4307</v>
      </c>
      <c r="E82" s="2"/>
      <c r="F82" s="6">
        <f t="shared" si="40"/>
        <v>0.4088075386881711</v>
      </c>
      <c r="G82" s="2"/>
      <c r="H82" s="7">
        <v>79</v>
      </c>
      <c r="I82" s="2"/>
      <c r="J82" s="6">
        <f t="shared" si="41"/>
        <v>3.5238753707875193E-3</v>
      </c>
      <c r="K82" s="2"/>
      <c r="L82" s="7">
        <f t="shared" si="42"/>
        <v>4228</v>
      </c>
      <c r="M82" s="2"/>
      <c r="N82" s="6">
        <f t="shared" si="43"/>
        <v>53.518987341772153</v>
      </c>
      <c r="O82" s="11"/>
      <c r="P82" s="7">
        <v>4307</v>
      </c>
      <c r="Q82" s="2"/>
      <c r="R82" s="6">
        <f t="shared" si="44"/>
        <v>1.0214190410864922E-2</v>
      </c>
      <c r="S82" s="2"/>
      <c r="T82" s="7">
        <v>79</v>
      </c>
      <c r="U82" s="2"/>
      <c r="V82" s="6">
        <f t="shared" si="45"/>
        <v>1.6665115826457582E-4</v>
      </c>
      <c r="W82" s="2"/>
      <c r="X82" s="7">
        <f t="shared" si="46"/>
        <v>4228</v>
      </c>
      <c r="Y82" s="2"/>
      <c r="Z82" s="6">
        <f t="shared" si="47"/>
        <v>53.518987341772153</v>
      </c>
    </row>
    <row r="83" spans="1:26" s="24" customFormat="1" hidden="1" outlineLevel="2" x14ac:dyDescent="0.35">
      <c r="A83" s="27"/>
      <c r="B83" s="11" t="str">
        <f>CONCATENATE("          ", "7726", " - ", "INV. SHRINKAGE-WRITING INSTRUM")</f>
        <v xml:space="preserve">          7726 - INV. SHRINKAGE-WRITING INSTRUM</v>
      </c>
      <c r="C83" s="11"/>
      <c r="D83" s="7">
        <v>7931</v>
      </c>
      <c r="E83" s="2"/>
      <c r="F83" s="6">
        <f t="shared" si="40"/>
        <v>0.75278676325421057</v>
      </c>
      <c r="G83" s="2"/>
      <c r="H83" s="7">
        <v>477</v>
      </c>
      <c r="I83" s="2"/>
      <c r="J83" s="6">
        <f t="shared" si="41"/>
        <v>2.1277070276780337E-2</v>
      </c>
      <c r="K83" s="2"/>
      <c r="L83" s="7">
        <f t="shared" si="42"/>
        <v>7454</v>
      </c>
      <c r="M83" s="2"/>
      <c r="N83" s="6">
        <f t="shared" si="43"/>
        <v>15.626834381551364</v>
      </c>
      <c r="O83" s="11"/>
      <c r="P83" s="7">
        <v>7931</v>
      </c>
      <c r="Q83" s="2"/>
      <c r="R83" s="6">
        <f t="shared" si="44"/>
        <v>1.880862413479677E-2</v>
      </c>
      <c r="S83" s="2"/>
      <c r="T83" s="7">
        <v>477</v>
      </c>
      <c r="U83" s="2"/>
      <c r="V83" s="6">
        <f t="shared" si="45"/>
        <v>1.0062354745848439E-3</v>
      </c>
      <c r="W83" s="2"/>
      <c r="X83" s="7">
        <f t="shared" si="46"/>
        <v>7454</v>
      </c>
      <c r="Y83" s="2"/>
      <c r="Z83" s="6">
        <f t="shared" si="47"/>
        <v>15.626834381551364</v>
      </c>
    </row>
    <row r="84" spans="1:26" s="24" customFormat="1" hidden="1" outlineLevel="2" x14ac:dyDescent="0.35">
      <c r="A84" s="27"/>
      <c r="B84" s="11" t="str">
        <f>CONCATENATE("          ", "7727", " - ", "INV. SHRINKAGE-SCHOOL SUPPLIES")</f>
        <v xml:space="preserve">          7727 - INV. SHRINKAGE-SCHOOL SUPPLIES</v>
      </c>
      <c r="C84" s="11"/>
      <c r="D84" s="7">
        <v>12707</v>
      </c>
      <c r="E84" s="2"/>
      <c r="F84" s="6">
        <f t="shared" si="40"/>
        <v>1.206110377086276</v>
      </c>
      <c r="G84" s="2"/>
      <c r="H84" s="7">
        <v>-1177</v>
      </c>
      <c r="I84" s="2"/>
      <c r="J84" s="6">
        <f t="shared" si="41"/>
        <v>-5.2501282422998861E-2</v>
      </c>
      <c r="K84" s="2"/>
      <c r="L84" s="7">
        <f t="shared" si="42"/>
        <v>13884</v>
      </c>
      <c r="M84" s="2"/>
      <c r="N84" s="6">
        <f t="shared" si="43"/>
        <v>-11.796091758708581</v>
      </c>
      <c r="O84" s="11"/>
      <c r="P84" s="7">
        <v>12707</v>
      </c>
      <c r="Q84" s="2"/>
      <c r="R84" s="6">
        <f t="shared" si="44"/>
        <v>3.0135063280905629E-2</v>
      </c>
      <c r="S84" s="2"/>
      <c r="T84" s="7">
        <v>-1177</v>
      </c>
      <c r="U84" s="2"/>
      <c r="V84" s="6">
        <f t="shared" si="45"/>
        <v>-2.4828913073089336E-3</v>
      </c>
      <c r="W84" s="2"/>
      <c r="X84" s="7">
        <f t="shared" si="46"/>
        <v>13884</v>
      </c>
      <c r="Y84" s="2"/>
      <c r="Z84" s="6">
        <f t="shared" si="47"/>
        <v>-11.796091758708581</v>
      </c>
    </row>
    <row r="85" spans="1:26" s="24" customFormat="1" hidden="1" outlineLevel="2" x14ac:dyDescent="0.35">
      <c r="A85" s="27"/>
      <c r="B85" s="11" t="str">
        <f>CONCATENATE("          ", "7728", " - ", "INV. SHRINKAGE-ART/TECH")</f>
        <v xml:space="preserve">          7728 - INV. SHRINKAGE-ART/TECH</v>
      </c>
      <c r="C85" s="11"/>
      <c r="D85" s="7">
        <v>-4554</v>
      </c>
      <c r="E85" s="2"/>
      <c r="F85" s="6">
        <f t="shared" si="40"/>
        <v>-0.43225203881725827</v>
      </c>
      <c r="G85" s="2"/>
      <c r="H85" s="7">
        <v>-4689</v>
      </c>
      <c r="I85" s="2"/>
      <c r="J85" s="6">
        <f t="shared" si="41"/>
        <v>-0.20915761536231237</v>
      </c>
      <c r="K85" s="2"/>
      <c r="L85" s="7">
        <f t="shared" si="42"/>
        <v>135</v>
      </c>
      <c r="M85" s="2"/>
      <c r="N85" s="6">
        <f t="shared" si="43"/>
        <v>-2.8790786948176585E-2</v>
      </c>
      <c r="O85" s="11"/>
      <c r="P85" s="7">
        <v>-4554</v>
      </c>
      <c r="Q85" s="2"/>
      <c r="R85" s="6">
        <f t="shared" si="44"/>
        <v>-1.0799958934543498E-2</v>
      </c>
      <c r="S85" s="2"/>
      <c r="T85" s="7">
        <v>-4689</v>
      </c>
      <c r="U85" s="2"/>
      <c r="V85" s="6">
        <f t="shared" si="45"/>
        <v>-9.8914845709189379E-3</v>
      </c>
      <c r="W85" s="2"/>
      <c r="X85" s="7">
        <f t="shared" si="46"/>
        <v>135</v>
      </c>
      <c r="Y85" s="2"/>
      <c r="Z85" s="6">
        <f t="shared" si="47"/>
        <v>-2.8790786948176585E-2</v>
      </c>
    </row>
    <row r="86" spans="1:26" s="24" customFormat="1" hidden="1" outlineLevel="2" x14ac:dyDescent="0.35">
      <c r="A86" s="27"/>
      <c r="B86" s="11" t="str">
        <f>CONCATENATE("          ", "7731", " - ", "INV. SHRINKAGE-FOOD")</f>
        <v xml:space="preserve">          7731 - INV. SHRINKAGE-FOOD</v>
      </c>
      <c r="C86" s="11"/>
      <c r="D86" s="7">
        <v>-193</v>
      </c>
      <c r="E86" s="2"/>
      <c r="F86" s="6">
        <f t="shared" si="40"/>
        <v>-1.831898188224217E-2</v>
      </c>
      <c r="G86" s="2"/>
      <c r="H86" s="7">
        <v>1284</v>
      </c>
      <c r="I86" s="2"/>
      <c r="J86" s="6">
        <f t="shared" si="41"/>
        <v>5.7274126279635122E-2</v>
      </c>
      <c r="K86" s="2"/>
      <c r="L86" s="7">
        <f t="shared" si="42"/>
        <v>-1477</v>
      </c>
      <c r="M86" s="2"/>
      <c r="N86" s="6">
        <f t="shared" si="43"/>
        <v>-1.1503115264797508</v>
      </c>
      <c r="O86" s="11"/>
      <c r="P86" s="7">
        <v>-193</v>
      </c>
      <c r="Q86" s="2"/>
      <c r="R86" s="6">
        <f t="shared" si="44"/>
        <v>-4.577057695140306E-4</v>
      </c>
      <c r="S86" s="2"/>
      <c r="T86" s="7">
        <v>1284</v>
      </c>
      <c r="U86" s="2"/>
      <c r="V86" s="6">
        <f t="shared" si="45"/>
        <v>2.7086086988824731E-3</v>
      </c>
      <c r="W86" s="2"/>
      <c r="X86" s="7">
        <f t="shared" si="46"/>
        <v>-1477</v>
      </c>
      <c r="Y86" s="2"/>
      <c r="Z86" s="6">
        <f t="shared" si="47"/>
        <v>-1.1503115264797508</v>
      </c>
    </row>
    <row r="87" spans="1:26" s="24" customFormat="1" hidden="1" outlineLevel="2" x14ac:dyDescent="0.35">
      <c r="A87" s="27"/>
      <c r="B87" s="11" t="str">
        <f>CONCATENATE("          ", "7733", " - ", "INV. SHRINKAGE-CANDY")</f>
        <v xml:space="preserve">          7733 - INV. SHRINKAGE-CANDY</v>
      </c>
      <c r="C87" s="11"/>
      <c r="D87" s="7">
        <v>421</v>
      </c>
      <c r="E87" s="2"/>
      <c r="F87" s="6">
        <f t="shared" si="40"/>
        <v>3.9960058924476446E-2</v>
      </c>
      <c r="G87" s="2"/>
      <c r="H87" s="7">
        <v>-1860</v>
      </c>
      <c r="I87" s="2"/>
      <c r="J87" s="6">
        <f t="shared" si="41"/>
        <v>-8.2967192274237794E-2</v>
      </c>
      <c r="K87" s="2"/>
      <c r="L87" s="7">
        <f t="shared" si="42"/>
        <v>2281</v>
      </c>
      <c r="M87" s="2"/>
      <c r="N87" s="6">
        <f t="shared" si="43"/>
        <v>-1.2263440860215054</v>
      </c>
      <c r="O87" s="11"/>
      <c r="P87" s="7">
        <v>421</v>
      </c>
      <c r="Q87" s="2"/>
      <c r="R87" s="6">
        <f t="shared" si="44"/>
        <v>9.9841517598656419E-4</v>
      </c>
      <c r="S87" s="2"/>
      <c r="T87" s="7">
        <v>-1860</v>
      </c>
      <c r="U87" s="2"/>
      <c r="V87" s="6">
        <f t="shared" si="45"/>
        <v>-3.923685498381152E-3</v>
      </c>
      <c r="W87" s="2"/>
      <c r="X87" s="7">
        <f t="shared" si="46"/>
        <v>2281</v>
      </c>
      <c r="Y87" s="2"/>
      <c r="Z87" s="6">
        <f t="shared" si="47"/>
        <v>-1.2263440860215054</v>
      </c>
    </row>
    <row r="88" spans="1:26" s="24" customFormat="1" hidden="1" outlineLevel="2" x14ac:dyDescent="0.35">
      <c r="A88" s="27"/>
      <c r="B88" s="11" t="str">
        <f>CONCATENATE("          ", "7735", " - ", "INV. SHRINKAGE-HEALTH/BEAUTY")</f>
        <v xml:space="preserve">          7735 - INV. SHRINKAGE-HEALTH/BEAUTY</v>
      </c>
      <c r="C88" s="11"/>
      <c r="D88" s="7">
        <v>323</v>
      </c>
      <c r="E88" s="2"/>
      <c r="F88" s="6">
        <f t="shared" si="40"/>
        <v>3.0658192476498553E-2</v>
      </c>
      <c r="G88" s="2"/>
      <c r="H88" s="7">
        <v>-178</v>
      </c>
      <c r="I88" s="2"/>
      <c r="J88" s="6">
        <f t="shared" si="41"/>
        <v>-7.9398710886098532E-3</v>
      </c>
      <c r="K88" s="2"/>
      <c r="L88" s="7">
        <f t="shared" si="42"/>
        <v>501</v>
      </c>
      <c r="M88" s="2"/>
      <c r="N88" s="6">
        <f t="shared" si="43"/>
        <v>-2.8146067415730336</v>
      </c>
      <c r="O88" s="11"/>
      <c r="P88" s="7">
        <v>323</v>
      </c>
      <c r="Q88" s="2"/>
      <c r="R88" s="6">
        <f t="shared" si="44"/>
        <v>7.660049925027559E-4</v>
      </c>
      <c r="S88" s="2"/>
      <c r="T88" s="7">
        <v>-178</v>
      </c>
      <c r="U88" s="2"/>
      <c r="V88" s="6">
        <f t="shared" si="45"/>
        <v>-3.7549248317841135E-4</v>
      </c>
      <c r="W88" s="2"/>
      <c r="X88" s="7">
        <f t="shared" si="46"/>
        <v>501</v>
      </c>
      <c r="Y88" s="2"/>
      <c r="Z88" s="6">
        <f t="shared" si="47"/>
        <v>-2.8146067415730336</v>
      </c>
    </row>
    <row r="89" spans="1:26" s="25" customFormat="1" outlineLevel="1" collapsed="1" x14ac:dyDescent="0.35">
      <c r="A89" s="26"/>
      <c r="B89" s="12" t="str">
        <f>CONCATENATE("     ","Subscriptions &amp; Dues                              ")</f>
        <v xml:space="preserve">     Subscriptions &amp; Dues                              </v>
      </c>
      <c r="C89" s="12"/>
      <c r="D89" s="1">
        <f>SUM(OSRRefD22_7x_0)</f>
        <v>0</v>
      </c>
      <c r="E89" s="1"/>
      <c r="F89" s="5">
        <f t="shared" ref="F89:F94" si="48">IF(D$12=0,0,D89/D$12)</f>
        <v>0</v>
      </c>
      <c r="G89" s="1"/>
      <c r="H89" s="1">
        <f>SUM(OSRRefH22_7x_0)</f>
        <v>0</v>
      </c>
      <c r="I89" s="1"/>
      <c r="J89" s="5">
        <f t="shared" ref="J89:J94" si="49">IF(H$12=0,0,H89/H$12)</f>
        <v>0</v>
      </c>
      <c r="K89" s="1"/>
      <c r="L89" s="1">
        <f t="shared" ref="L89:L94" si="50">+D89-H89</f>
        <v>0</v>
      </c>
      <c r="M89" s="1"/>
      <c r="N89" s="5">
        <f t="shared" ref="N89:N94" si="51">IF(H89=0,0,L89/H89)</f>
        <v>0</v>
      </c>
      <c r="O89" s="12"/>
      <c r="P89" s="1">
        <f>SUM(OSRRefP22_7x_0)</f>
        <v>120</v>
      </c>
      <c r="Q89" s="1"/>
      <c r="R89" s="5">
        <f t="shared" ref="R89:R94" si="52">IF(P$12=0,0,P89/P$12)</f>
        <v>2.8458389814343873E-4</v>
      </c>
      <c r="S89" s="1"/>
      <c r="T89" s="1">
        <f>SUM(OSRRefT22_7x_0)</f>
        <v>172.34</v>
      </c>
      <c r="U89" s="1"/>
      <c r="V89" s="5">
        <f t="shared" ref="V89:V94" si="53">IF(T$12=0,0,T89/T$12)</f>
        <v>3.6355266601667086E-4</v>
      </c>
      <c r="W89" s="1"/>
      <c r="X89" s="1">
        <f t="shared" ref="X89:X94" si="54">+P89-T89</f>
        <v>-52.34</v>
      </c>
      <c r="Y89" s="1"/>
      <c r="Z89" s="5">
        <f t="shared" ref="Z89:Z94" si="55">IF(T89=0,0,X89/T89)</f>
        <v>-0.30370198444934432</v>
      </c>
    </row>
    <row r="90" spans="1:26" s="24" customFormat="1" hidden="1" outlineLevel="2" x14ac:dyDescent="0.35">
      <c r="A90" s="27"/>
      <c r="B90" s="11" t="str">
        <f>CONCATENATE("          ", "6258", " - ", "MEMBERSHIP DUES")</f>
        <v xml:space="preserve">          6258 - MEMBERSHIP DUES</v>
      </c>
      <c r="C90" s="11"/>
      <c r="D90" s="7"/>
      <c r="E90" s="2"/>
      <c r="F90" s="6">
        <f t="shared" si="48"/>
        <v>0</v>
      </c>
      <c r="G90" s="2"/>
      <c r="H90" s="7"/>
      <c r="I90" s="2"/>
      <c r="J90" s="6">
        <f t="shared" si="49"/>
        <v>0</v>
      </c>
      <c r="K90" s="2"/>
      <c r="L90" s="7">
        <f t="shared" si="50"/>
        <v>0</v>
      </c>
      <c r="M90" s="2"/>
      <c r="N90" s="6">
        <f t="shared" si="51"/>
        <v>0</v>
      </c>
      <c r="O90" s="11"/>
      <c r="P90" s="7">
        <v>120</v>
      </c>
      <c r="Q90" s="2"/>
      <c r="R90" s="6">
        <f t="shared" si="52"/>
        <v>2.8458389814343873E-4</v>
      </c>
      <c r="S90" s="2"/>
      <c r="T90" s="7">
        <v>172.34</v>
      </c>
      <c r="U90" s="2"/>
      <c r="V90" s="6">
        <f t="shared" si="53"/>
        <v>3.6355266601667086E-4</v>
      </c>
      <c r="W90" s="2"/>
      <c r="X90" s="7">
        <f t="shared" si="54"/>
        <v>-52.34</v>
      </c>
      <c r="Y90" s="2"/>
      <c r="Z90" s="6">
        <f t="shared" si="55"/>
        <v>-0.30370198444934432</v>
      </c>
    </row>
    <row r="91" spans="1:26" s="25" customFormat="1" outlineLevel="1" collapsed="1" x14ac:dyDescent="0.35">
      <c r="A91" s="26"/>
      <c r="B91" s="12" t="str">
        <f>CONCATENATE("     ","Supplies                                          ")</f>
        <v xml:space="preserve">     Supplies                                          </v>
      </c>
      <c r="C91" s="12"/>
      <c r="D91" s="1">
        <f>SUM(OSRRefD22_8x_0)</f>
        <v>0</v>
      </c>
      <c r="E91" s="1"/>
      <c r="F91" s="5">
        <f t="shared" si="48"/>
        <v>0</v>
      </c>
      <c r="G91" s="1"/>
      <c r="H91" s="1">
        <f>SUM(OSRRefH22_8x_0)</f>
        <v>0</v>
      </c>
      <c r="I91" s="1"/>
      <c r="J91" s="5">
        <f t="shared" si="49"/>
        <v>0</v>
      </c>
      <c r="K91" s="1"/>
      <c r="L91" s="1">
        <f t="shared" si="50"/>
        <v>0</v>
      </c>
      <c r="M91" s="1"/>
      <c r="N91" s="5">
        <f t="shared" si="51"/>
        <v>0</v>
      </c>
      <c r="O91" s="12"/>
      <c r="P91" s="1">
        <f>SUM(OSRRefP22_8x_0)</f>
        <v>355.52</v>
      </c>
      <c r="Q91" s="1"/>
      <c r="R91" s="5">
        <f t="shared" si="52"/>
        <v>8.4312722889962771E-4</v>
      </c>
      <c r="S91" s="1"/>
      <c r="T91" s="1">
        <f>SUM(OSRRefT22_8x_0)</f>
        <v>718.68</v>
      </c>
      <c r="U91" s="1"/>
      <c r="V91" s="5">
        <f t="shared" si="53"/>
        <v>1.5160614483744981E-3</v>
      </c>
      <c r="W91" s="1"/>
      <c r="X91" s="1">
        <f t="shared" si="54"/>
        <v>-363.15999999999997</v>
      </c>
      <c r="Y91" s="1"/>
      <c r="Z91" s="5">
        <f t="shared" si="55"/>
        <v>-0.5053153002727222</v>
      </c>
    </row>
    <row r="92" spans="1:26" s="24" customFormat="1" hidden="1" outlineLevel="2" x14ac:dyDescent="0.35">
      <c r="A92" s="27"/>
      <c r="B92" s="11" t="str">
        <f>CONCATENATE("          ", "6241", " - ", "OFFICE EXPENSE")</f>
        <v xml:space="preserve">          6241 - OFFICE EXPENSE</v>
      </c>
      <c r="C92" s="11"/>
      <c r="D92" s="7"/>
      <c r="E92" s="2"/>
      <c r="F92" s="6">
        <f t="shared" si="48"/>
        <v>0</v>
      </c>
      <c r="G92" s="2"/>
      <c r="H92" s="7"/>
      <c r="I92" s="2"/>
      <c r="J92" s="6">
        <f t="shared" si="49"/>
        <v>0</v>
      </c>
      <c r="K92" s="2"/>
      <c r="L92" s="7">
        <f t="shared" si="50"/>
        <v>0</v>
      </c>
      <c r="M92" s="2"/>
      <c r="N92" s="6">
        <f t="shared" si="51"/>
        <v>0</v>
      </c>
      <c r="O92" s="11"/>
      <c r="P92" s="7">
        <v>252.29</v>
      </c>
      <c r="Q92" s="2"/>
      <c r="R92" s="6">
        <f t="shared" si="52"/>
        <v>5.9831393052173459E-4</v>
      </c>
      <c r="S92" s="2"/>
      <c r="T92" s="7">
        <v>541.23</v>
      </c>
      <c r="U92" s="2"/>
      <c r="V92" s="6">
        <f t="shared" si="53"/>
        <v>1.1417291947789414E-3</v>
      </c>
      <c r="W92" s="2"/>
      <c r="X92" s="7">
        <f t="shared" si="54"/>
        <v>-288.94000000000005</v>
      </c>
      <c r="Y92" s="2"/>
      <c r="Z92" s="6">
        <f t="shared" si="55"/>
        <v>-0.5338580640393179</v>
      </c>
    </row>
    <row r="93" spans="1:26" s="24" customFormat="1" hidden="1" outlineLevel="2" x14ac:dyDescent="0.35">
      <c r="A93" s="27"/>
      <c r="B93" s="11" t="str">
        <f>CONCATENATE("          ", "6245", " - ", "PRINTING")</f>
        <v xml:space="preserve">          6245 - PRINTING</v>
      </c>
      <c r="C93" s="11"/>
      <c r="D93" s="7"/>
      <c r="E93" s="2"/>
      <c r="F93" s="6">
        <f t="shared" si="48"/>
        <v>0</v>
      </c>
      <c r="G93" s="2"/>
      <c r="H93" s="7"/>
      <c r="I93" s="2"/>
      <c r="J93" s="6">
        <f t="shared" si="49"/>
        <v>0</v>
      </c>
      <c r="K93" s="2"/>
      <c r="L93" s="7">
        <f t="shared" si="50"/>
        <v>0</v>
      </c>
      <c r="M93" s="2"/>
      <c r="N93" s="6">
        <f t="shared" si="51"/>
        <v>0</v>
      </c>
      <c r="O93" s="11"/>
      <c r="P93" s="7"/>
      <c r="Q93" s="2"/>
      <c r="R93" s="6">
        <f t="shared" si="52"/>
        <v>0</v>
      </c>
      <c r="S93" s="2"/>
      <c r="T93" s="7">
        <v>3.53</v>
      </c>
      <c r="U93" s="2"/>
      <c r="V93" s="6">
        <f t="shared" si="53"/>
        <v>7.4465644135943371E-6</v>
      </c>
      <c r="W93" s="2"/>
      <c r="X93" s="7">
        <f t="shared" si="54"/>
        <v>-3.53</v>
      </c>
      <c r="Y93" s="2"/>
      <c r="Z93" s="6">
        <f t="shared" si="55"/>
        <v>-1</v>
      </c>
    </row>
    <row r="94" spans="1:26" s="24" customFormat="1" hidden="1" outlineLevel="2" x14ac:dyDescent="0.35">
      <c r="A94" s="27"/>
      <c r="B94" s="11" t="str">
        <f>CONCATENATE("          ", "6247", " - ", "STORE SUPPLIES")</f>
        <v xml:space="preserve">          6247 - STORE SUPPLIES</v>
      </c>
      <c r="C94" s="11"/>
      <c r="D94" s="7"/>
      <c r="E94" s="2"/>
      <c r="F94" s="6">
        <f t="shared" si="48"/>
        <v>0</v>
      </c>
      <c r="G94" s="2"/>
      <c r="H94" s="7"/>
      <c r="I94" s="2"/>
      <c r="J94" s="6">
        <f t="shared" si="49"/>
        <v>0</v>
      </c>
      <c r="K94" s="2"/>
      <c r="L94" s="7">
        <f t="shared" si="50"/>
        <v>0</v>
      </c>
      <c r="M94" s="2"/>
      <c r="N94" s="6">
        <f t="shared" si="51"/>
        <v>0</v>
      </c>
      <c r="O94" s="11"/>
      <c r="P94" s="7">
        <v>103.23</v>
      </c>
      <c r="Q94" s="2"/>
      <c r="R94" s="6">
        <f t="shared" si="52"/>
        <v>2.4481329837789317E-4</v>
      </c>
      <c r="S94" s="2"/>
      <c r="T94" s="7">
        <v>173.92</v>
      </c>
      <c r="U94" s="2"/>
      <c r="V94" s="6">
        <f t="shared" si="53"/>
        <v>3.6688568918196238E-4</v>
      </c>
      <c r="W94" s="2"/>
      <c r="X94" s="7">
        <f t="shared" si="54"/>
        <v>-70.689999999999984</v>
      </c>
      <c r="Y94" s="2"/>
      <c r="Z94" s="6">
        <f t="shared" si="55"/>
        <v>-0.4064512419503219</v>
      </c>
    </row>
    <row r="95" spans="1:26" s="25" customFormat="1" outlineLevel="1" collapsed="1" x14ac:dyDescent="0.35">
      <c r="A95" s="26"/>
      <c r="B95" s="12" t="str">
        <f>CONCATENATE("     ","Telephone/Data Lines                              ")</f>
        <v xml:space="preserve">     Telephone/Data Lines                              </v>
      </c>
      <c r="C95" s="12"/>
      <c r="D95" s="1">
        <f>SUM(OSRRefD22_9x_0)</f>
        <v>0</v>
      </c>
      <c r="E95" s="1"/>
      <c r="F95" s="5">
        <f t="shared" ref="F95:F100" si="56">IF(D$12=0,0,D95/D$12)</f>
        <v>0</v>
      </c>
      <c r="G95" s="1"/>
      <c r="H95" s="1">
        <f>SUM(OSRRefH22_9x_0)</f>
        <v>0</v>
      </c>
      <c r="I95" s="1"/>
      <c r="J95" s="5">
        <f t="shared" ref="J95:J100" si="57">IF(H$12=0,0,H95/H$12)</f>
        <v>0</v>
      </c>
      <c r="K95" s="1"/>
      <c r="L95" s="1">
        <f t="shared" ref="L95:L100" si="58">+D95-H95</f>
        <v>0</v>
      </c>
      <c r="M95" s="1"/>
      <c r="N95" s="5">
        <f t="shared" ref="N95:N100" si="59">IF(H95=0,0,L95/H95)</f>
        <v>0</v>
      </c>
      <c r="O95" s="12"/>
      <c r="P95" s="1">
        <f>SUM(OSRRefP22_9x_0)</f>
        <v>0</v>
      </c>
      <c r="Q95" s="1"/>
      <c r="R95" s="5">
        <f t="shared" ref="R95:R100" si="60">IF(P$12=0,0,P95/P$12)</f>
        <v>0</v>
      </c>
      <c r="S95" s="1"/>
      <c r="T95" s="1">
        <f>SUM(OSRRefT22_9x_0)</f>
        <v>351.43</v>
      </c>
      <c r="U95" s="1"/>
      <c r="V95" s="5">
        <f t="shared" ref="V95:V100" si="61">IF(T$12=0,0,T95/T$12)</f>
        <v>7.4134451327746687E-4</v>
      </c>
      <c r="W95" s="1"/>
      <c r="X95" s="1">
        <f t="shared" ref="X95:X100" si="62">+P95-T95</f>
        <v>-351.43</v>
      </c>
      <c r="Y95" s="1"/>
      <c r="Z95" s="5">
        <f t="shared" ref="Z95:Z100" si="63">IF(T95=0,0,X95/T95)</f>
        <v>-1</v>
      </c>
    </row>
    <row r="96" spans="1:26" s="24" customFormat="1" hidden="1" outlineLevel="2" x14ac:dyDescent="0.35">
      <c r="A96" s="27"/>
      <c r="B96" s="11" t="str">
        <f>CONCATENATE("          ", "6309", " - ", "TELEPHONE")</f>
        <v xml:space="preserve">          6309 - TELEPHONE</v>
      </c>
      <c r="C96" s="11"/>
      <c r="D96" s="7"/>
      <c r="E96" s="2"/>
      <c r="F96" s="6">
        <f t="shared" si="56"/>
        <v>0</v>
      </c>
      <c r="G96" s="2"/>
      <c r="H96" s="7"/>
      <c r="I96" s="2"/>
      <c r="J96" s="6">
        <f t="shared" si="57"/>
        <v>0</v>
      </c>
      <c r="K96" s="2"/>
      <c r="L96" s="7">
        <f t="shared" si="58"/>
        <v>0</v>
      </c>
      <c r="M96" s="2"/>
      <c r="N96" s="6">
        <f t="shared" si="59"/>
        <v>0</v>
      </c>
      <c r="O96" s="11"/>
      <c r="P96" s="7"/>
      <c r="Q96" s="2"/>
      <c r="R96" s="6">
        <f t="shared" si="60"/>
        <v>0</v>
      </c>
      <c r="S96" s="2"/>
      <c r="T96" s="7">
        <v>351.43</v>
      </c>
      <c r="U96" s="2"/>
      <c r="V96" s="6">
        <f t="shared" si="61"/>
        <v>7.4134451327746687E-4</v>
      </c>
      <c r="W96" s="2"/>
      <c r="X96" s="7">
        <f t="shared" si="62"/>
        <v>-351.43</v>
      </c>
      <c r="Y96" s="2"/>
      <c r="Z96" s="6">
        <f t="shared" si="63"/>
        <v>-1</v>
      </c>
    </row>
    <row r="97" spans="1:26" s="25" customFormat="1" outlineLevel="1" collapsed="1" x14ac:dyDescent="0.35">
      <c r="A97" s="26"/>
      <c r="B97" s="12" t="str">
        <f>CONCATENATE("     ","Training                                          ")</f>
        <v xml:space="preserve">     Training                                          </v>
      </c>
      <c r="C97" s="12"/>
      <c r="D97" s="1">
        <f>SUM(OSRRefD22_10x_0)</f>
        <v>0</v>
      </c>
      <c r="E97" s="1"/>
      <c r="F97" s="5">
        <f t="shared" si="56"/>
        <v>0</v>
      </c>
      <c r="G97" s="1"/>
      <c r="H97" s="1">
        <f>SUM(OSRRefH22_10x_0)</f>
        <v>0</v>
      </c>
      <c r="I97" s="1"/>
      <c r="J97" s="5">
        <f t="shared" si="57"/>
        <v>0</v>
      </c>
      <c r="K97" s="1"/>
      <c r="L97" s="1">
        <f t="shared" si="58"/>
        <v>0</v>
      </c>
      <c r="M97" s="1"/>
      <c r="N97" s="5">
        <f t="shared" si="59"/>
        <v>0</v>
      </c>
      <c r="O97" s="12"/>
      <c r="P97" s="1">
        <f>SUM(OSRRefP22_10x_0)</f>
        <v>60</v>
      </c>
      <c r="Q97" s="1"/>
      <c r="R97" s="5">
        <f t="shared" si="60"/>
        <v>1.4229194907171936E-4</v>
      </c>
      <c r="S97" s="1"/>
      <c r="T97" s="1">
        <f>SUM(OSRRefT22_10x_0)</f>
        <v>0</v>
      </c>
      <c r="U97" s="1"/>
      <c r="V97" s="5">
        <f t="shared" si="61"/>
        <v>0</v>
      </c>
      <c r="W97" s="1"/>
      <c r="X97" s="1">
        <f t="shared" si="62"/>
        <v>60</v>
      </c>
      <c r="Y97" s="1"/>
      <c r="Z97" s="5">
        <f t="shared" si="63"/>
        <v>0</v>
      </c>
    </row>
    <row r="98" spans="1:26" s="24" customFormat="1" hidden="1" outlineLevel="2" x14ac:dyDescent="0.35">
      <c r="A98" s="27"/>
      <c r="B98" s="11" t="str">
        <f>CONCATENATE("          ", "6376", " - ", "TRAINING")</f>
        <v xml:space="preserve">          6376 - TRAINING</v>
      </c>
      <c r="C98" s="11"/>
      <c r="D98" s="7"/>
      <c r="E98" s="2"/>
      <c r="F98" s="6">
        <f t="shared" si="56"/>
        <v>0</v>
      </c>
      <c r="G98" s="2"/>
      <c r="H98" s="7"/>
      <c r="I98" s="2"/>
      <c r="J98" s="6">
        <f t="shared" si="57"/>
        <v>0</v>
      </c>
      <c r="K98" s="2"/>
      <c r="L98" s="7">
        <f t="shared" si="58"/>
        <v>0</v>
      </c>
      <c r="M98" s="2"/>
      <c r="N98" s="6">
        <f t="shared" si="59"/>
        <v>0</v>
      </c>
      <c r="O98" s="11"/>
      <c r="P98" s="7">
        <v>60</v>
      </c>
      <c r="Q98" s="2"/>
      <c r="R98" s="6">
        <f t="shared" si="60"/>
        <v>1.4229194907171936E-4</v>
      </c>
      <c r="S98" s="2"/>
      <c r="T98" s="7"/>
      <c r="U98" s="2"/>
      <c r="V98" s="6">
        <f t="shared" si="61"/>
        <v>0</v>
      </c>
      <c r="W98" s="2"/>
      <c r="X98" s="7">
        <f t="shared" si="62"/>
        <v>60</v>
      </c>
      <c r="Y98" s="2"/>
      <c r="Z98" s="6">
        <f t="shared" si="63"/>
        <v>0</v>
      </c>
    </row>
    <row r="99" spans="1:26" s="25" customFormat="1" outlineLevel="1" collapsed="1" x14ac:dyDescent="0.35">
      <c r="A99" s="26"/>
      <c r="B99" s="12" t="str">
        <f>CONCATENATE("     ","Travel                                            ")</f>
        <v xml:space="preserve">     Travel                                            </v>
      </c>
      <c r="C99" s="12"/>
      <c r="D99" s="1">
        <f>SUM(OSRRefD22_11x_0)</f>
        <v>0</v>
      </c>
      <c r="E99" s="1"/>
      <c r="F99" s="5">
        <f t="shared" si="56"/>
        <v>0</v>
      </c>
      <c r="G99" s="1"/>
      <c r="H99" s="1">
        <f>SUM(OSRRefH22_11x_0)</f>
        <v>0</v>
      </c>
      <c r="I99" s="1"/>
      <c r="J99" s="5">
        <f t="shared" si="57"/>
        <v>0</v>
      </c>
      <c r="K99" s="1"/>
      <c r="L99" s="1">
        <f t="shared" si="58"/>
        <v>0</v>
      </c>
      <c r="M99" s="1"/>
      <c r="N99" s="5">
        <f t="shared" si="59"/>
        <v>0</v>
      </c>
      <c r="O99" s="12"/>
      <c r="P99" s="1">
        <f>SUM(OSRRefP22_11x_0)</f>
        <v>-323.01</v>
      </c>
      <c r="Q99" s="1"/>
      <c r="R99" s="5">
        <f t="shared" si="60"/>
        <v>-7.6602870782760109E-4</v>
      </c>
      <c r="S99" s="1"/>
      <c r="T99" s="1">
        <f>SUM(OSRRefT22_11x_0)</f>
        <v>0</v>
      </c>
      <c r="U99" s="1"/>
      <c r="V99" s="5">
        <f t="shared" si="61"/>
        <v>0</v>
      </c>
      <c r="W99" s="1"/>
      <c r="X99" s="1">
        <f t="shared" si="62"/>
        <v>-323.01</v>
      </c>
      <c r="Y99" s="1"/>
      <c r="Z99" s="5">
        <f t="shared" si="63"/>
        <v>0</v>
      </c>
    </row>
    <row r="100" spans="1:26" s="24" customFormat="1" hidden="1" outlineLevel="2" x14ac:dyDescent="0.35">
      <c r="A100" s="27"/>
      <c r="B100" s="11" t="str">
        <f>CONCATENATE("          ", "6292", " - ", "TRAVEL/CONFERENCE")</f>
        <v xml:space="preserve">          6292 - TRAVEL/CONFERENCE</v>
      </c>
      <c r="C100" s="11"/>
      <c r="D100" s="7"/>
      <c r="E100" s="2"/>
      <c r="F100" s="6">
        <f t="shared" si="56"/>
        <v>0</v>
      </c>
      <c r="G100" s="2"/>
      <c r="H100" s="7"/>
      <c r="I100" s="2"/>
      <c r="J100" s="6">
        <f t="shared" si="57"/>
        <v>0</v>
      </c>
      <c r="K100" s="2"/>
      <c r="L100" s="7">
        <f t="shared" si="58"/>
        <v>0</v>
      </c>
      <c r="M100" s="2"/>
      <c r="N100" s="6">
        <f t="shared" si="59"/>
        <v>0</v>
      </c>
      <c r="O100" s="11"/>
      <c r="P100" s="7">
        <v>-323.01</v>
      </c>
      <c r="Q100" s="2"/>
      <c r="R100" s="6">
        <f t="shared" si="60"/>
        <v>-7.6602870782760109E-4</v>
      </c>
      <c r="S100" s="2"/>
      <c r="T100" s="7"/>
      <c r="U100" s="2"/>
      <c r="V100" s="6">
        <f t="shared" si="61"/>
        <v>0</v>
      </c>
      <c r="W100" s="2"/>
      <c r="X100" s="7">
        <f t="shared" si="62"/>
        <v>-323.01</v>
      </c>
      <c r="Y100" s="2"/>
      <c r="Z100" s="6">
        <f t="shared" si="63"/>
        <v>0</v>
      </c>
    </row>
    <row r="101" spans="1:26" s="56" customFormat="1" x14ac:dyDescent="0.35">
      <c r="A101" s="37"/>
      <c r="B101" s="37"/>
      <c r="C101" s="37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7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x14ac:dyDescent="0.35">
      <c r="A102" s="10"/>
      <c r="B102" s="29" t="s">
        <v>0</v>
      </c>
      <c r="C102" s="10"/>
      <c r="D102" s="4">
        <f>SUM(0)</f>
        <v>0</v>
      </c>
      <c r="E102" s="4"/>
      <c r="F102" s="13">
        <f>IF(D$12=0,0,D102/D$12)</f>
        <v>0</v>
      </c>
      <c r="G102" s="4"/>
      <c r="H102" s="4">
        <f>SUM(0)</f>
        <v>0</v>
      </c>
      <c r="I102" s="4"/>
      <c r="J102" s="13">
        <f>IF(H$12=0,0,H102/H$12)</f>
        <v>0</v>
      </c>
      <c r="K102" s="4"/>
      <c r="L102" s="4">
        <f>+D102-H102</f>
        <v>0</v>
      </c>
      <c r="M102" s="4"/>
      <c r="N102" s="13">
        <f>IF(H102=0,0,L102/H102)</f>
        <v>0</v>
      </c>
      <c r="O102" s="10"/>
      <c r="P102" s="4">
        <f>SUM(0)</f>
        <v>0</v>
      </c>
      <c r="Q102" s="4"/>
      <c r="R102" s="13">
        <f>IF(P$12=0,0,P102/P$12)</f>
        <v>0</v>
      </c>
      <c r="S102" s="4"/>
      <c r="T102" s="4">
        <f>SUM(0)</f>
        <v>0</v>
      </c>
      <c r="U102" s="4"/>
      <c r="V102" s="13">
        <f>IF(T$12=0,0,T102/T$12)</f>
        <v>0</v>
      </c>
      <c r="W102" s="4"/>
      <c r="X102" s="4">
        <f>+P102-T102</f>
        <v>0</v>
      </c>
      <c r="Y102" s="4"/>
      <c r="Z102" s="13">
        <f>IF(T102=0,0,X102/T102)</f>
        <v>0</v>
      </c>
    </row>
    <row r="103" spans="1:26" x14ac:dyDescent="0.3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35">
      <c r="A104" s="10"/>
      <c r="B104" s="28" t="s">
        <v>3</v>
      </c>
      <c r="C104" s="28"/>
      <c r="D104" s="22">
        <f>+D52-D54+D102</f>
        <v>-51859.68</v>
      </c>
      <c r="E104" s="14"/>
      <c r="F104" s="21">
        <f>IF(D$12=0,0,D104/D$12)</f>
        <v>-4.9223654836211228</v>
      </c>
      <c r="G104" s="14"/>
      <c r="H104" s="22">
        <f>+H52-H54+H102</f>
        <v>14363.299999999997</v>
      </c>
      <c r="I104" s="14"/>
      <c r="J104" s="21">
        <f>IF(H$12=0,0,H104/H$12)</f>
        <v>0.64068960902825778</v>
      </c>
      <c r="K104" s="15"/>
      <c r="L104" s="22">
        <f>+D104-H104</f>
        <v>-66222.98</v>
      </c>
      <c r="M104" s="15"/>
      <c r="N104" s="21">
        <f>IF(H104=0,0,L104/H104)</f>
        <v>-4.6105686019229566</v>
      </c>
      <c r="O104" s="29"/>
      <c r="P104" s="22">
        <f>+P52-P54+P102</f>
        <v>52706.59</v>
      </c>
      <c r="Q104" s="14"/>
      <c r="R104" s="21">
        <f>IF(P$12=0,0,P104/P$12)</f>
        <v>0.12499539033373321</v>
      </c>
      <c r="S104" s="14"/>
      <c r="T104" s="22">
        <f>+T52-T54+T102</f>
        <v>127969.9700000001</v>
      </c>
      <c r="U104" s="14"/>
      <c r="V104" s="21">
        <f>IF(T$12=0,0,T104/T$12)</f>
        <v>0.26995371802003848</v>
      </c>
      <c r="W104" s="15"/>
      <c r="X104" s="22">
        <f>+P104-T104</f>
        <v>-75263.380000000107</v>
      </c>
      <c r="Y104" s="15"/>
      <c r="Z104" s="21">
        <f>IF(T104=0,0,X104/T104)</f>
        <v>-0.5881331377978759</v>
      </c>
    </row>
    <row r="105" spans="1:26" x14ac:dyDescent="0.3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35">
      <c r="A106" s="51"/>
      <c r="B106" s="10" t="s">
        <v>13</v>
      </c>
      <c r="C106" s="10"/>
      <c r="D106" s="4">
        <v>15170.34</v>
      </c>
      <c r="E106" s="4"/>
      <c r="F106" s="13">
        <f>IF(D$12=0,0,D106/D$12)</f>
        <v>1.439923231126703</v>
      </c>
      <c r="G106" s="4"/>
      <c r="H106" s="4">
        <v>-13187.16</v>
      </c>
      <c r="I106" s="4"/>
      <c r="J106" s="13">
        <f>IF(H$12=0,0,H106/H$12)</f>
        <v>-0.5882266877801815</v>
      </c>
      <c r="K106" s="4"/>
      <c r="L106" s="4">
        <f>+D106-H106</f>
        <v>28357.5</v>
      </c>
      <c r="M106" s="4"/>
      <c r="N106" s="13">
        <f>IF(H106=0,0,L106/H106)</f>
        <v>-2.1503871948167763</v>
      </c>
      <c r="O106" s="10"/>
      <c r="P106" s="4">
        <v>63856.920000000006</v>
      </c>
      <c r="Q106" s="4"/>
      <c r="R106" s="13">
        <f>IF(P$12=0,0,P106/P$12)</f>
        <v>0.15143876014194763</v>
      </c>
      <c r="S106" s="4"/>
      <c r="T106" s="4">
        <v>33788.49</v>
      </c>
      <c r="U106" s="4"/>
      <c r="V106" s="13">
        <f>IF(T$12=0,0,T106/T$12)</f>
        <v>7.1277101196342244E-2</v>
      </c>
      <c r="W106" s="4"/>
      <c r="X106" s="4">
        <f>+P106-T106</f>
        <v>30068.430000000008</v>
      </c>
      <c r="Y106" s="4"/>
      <c r="Z106" s="13">
        <f>IF(T106=0,0,X106/T106)</f>
        <v>0.8899015611529254</v>
      </c>
    </row>
    <row r="107" spans="1:26" x14ac:dyDescent="0.3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" thickBot="1" x14ac:dyDescent="0.4">
      <c r="A108" s="10"/>
      <c r="B108" s="28" t="s">
        <v>4</v>
      </c>
      <c r="C108" s="28"/>
      <c r="D108" s="34">
        <f>+D104-D106</f>
        <v>-67030.02</v>
      </c>
      <c r="E108" s="14"/>
      <c r="F108" s="32">
        <f>IF(D$12=0,0,D108/D$12)</f>
        <v>-6.3622887147478258</v>
      </c>
      <c r="G108" s="14"/>
      <c r="H108" s="34">
        <f>+H104-H106</f>
        <v>27550.46</v>
      </c>
      <c r="I108" s="14"/>
      <c r="J108" s="32">
        <f>IF(H$12=0,0,H108/H$12)</f>
        <v>1.2289162968084395</v>
      </c>
      <c r="K108" s="15"/>
      <c r="L108" s="34">
        <f>D108-H108</f>
        <v>-94580.48000000001</v>
      </c>
      <c r="M108" s="15"/>
      <c r="N108" s="32">
        <f>IF(H108=0,0,L108/H108)</f>
        <v>-3.4329909555049176</v>
      </c>
      <c r="O108" s="29"/>
      <c r="P108" s="34">
        <f>+P104-P106</f>
        <v>-11150.330000000009</v>
      </c>
      <c r="Q108" s="14"/>
      <c r="R108" s="32">
        <f>IF(P$12=0,0,P108/P$12)</f>
        <v>-2.6443369808214431E-2</v>
      </c>
      <c r="S108" s="14"/>
      <c r="T108" s="34">
        <f>+T104-T106</f>
        <v>94181.480000000098</v>
      </c>
      <c r="U108" s="14"/>
      <c r="V108" s="32">
        <f>IF(T$12=0,0,T108/T$12)</f>
        <v>0.19867661682369619</v>
      </c>
      <c r="W108" s="15"/>
      <c r="X108" s="34">
        <f>P108-T108</f>
        <v>-105331.81000000011</v>
      </c>
      <c r="Y108" s="15"/>
      <c r="Z108" s="32">
        <f>IF(T108=0,0,X108/T108)</f>
        <v>-1.1183919598630219</v>
      </c>
    </row>
    <row r="109" spans="1:26" ht="15" thickTop="1" x14ac:dyDescent="0.3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3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" thickBot="1" x14ac:dyDescent="0.4">
      <c r="A111" s="10"/>
      <c r="B111" s="28" t="s">
        <v>5</v>
      </c>
      <c r="C111" s="28"/>
      <c r="D111" s="35">
        <f>SUM(D108:D110)</f>
        <v>-67030.02</v>
      </c>
      <c r="E111" s="14"/>
      <c r="F111" s="33">
        <f>IF(D$12=0,0,D111/D$12)</f>
        <v>-6.3622887147478258</v>
      </c>
      <c r="G111" s="14"/>
      <c r="H111" s="35">
        <f>SUM(H108:H110)</f>
        <v>27550.46</v>
      </c>
      <c r="I111" s="14"/>
      <c r="J111" s="33">
        <f>IF(H$12=0,0,H111/H$12)</f>
        <v>1.2289162968084395</v>
      </c>
      <c r="K111" s="15"/>
      <c r="L111" s="35">
        <f>+D111-H111</f>
        <v>-94580.48000000001</v>
      </c>
      <c r="M111" s="15"/>
      <c r="N111" s="33">
        <f>IF(H111=0,0,L111/H111)</f>
        <v>-3.4329909555049176</v>
      </c>
      <c r="O111" s="29"/>
      <c r="P111" s="35">
        <f>SUM(P108:P110)</f>
        <v>-11150.330000000009</v>
      </c>
      <c r="Q111" s="14"/>
      <c r="R111" s="33">
        <f>IF(P$12=0,0,P111/P$12)</f>
        <v>-2.6443369808214431E-2</v>
      </c>
      <c r="S111" s="14"/>
      <c r="T111" s="35">
        <f>SUM(T108:T110)</f>
        <v>94181.480000000098</v>
      </c>
      <c r="U111" s="14"/>
      <c r="V111" s="33">
        <f>IF(T$12=0,0,T111/T$12)</f>
        <v>0.19867661682369619</v>
      </c>
      <c r="W111" s="15"/>
      <c r="X111" s="35">
        <f>+P111-T111</f>
        <v>-105331.81000000011</v>
      </c>
      <c r="Y111" s="15"/>
      <c r="Z111" s="33">
        <f>IF(T111=0,0,X111/T111)</f>
        <v>-1.1183919598630219</v>
      </c>
    </row>
    <row r="112" spans="1:26" ht="15" thickTop="1" x14ac:dyDescent="0.35">
      <c r="A112" s="9"/>
      <c r="C112" s="9"/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35">
      <c r="A113" s="9"/>
      <c r="B113" s="52">
        <v>44043.522883564816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35">
      <c r="A114" s="9"/>
      <c r="B114" s="61" t="s">
        <v>313</v>
      </c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35">
      <c r="A115" s="9"/>
      <c r="B115" s="54"/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4" x14ac:dyDescent="0.35"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301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21864.080000000005</v>
      </c>
      <c r="E12" s="4"/>
      <c r="F12" s="13"/>
      <c r="G12" s="4"/>
      <c r="H12" s="4">
        <f>SUM(OSRRefH13x_0)</f>
        <v>44099.619999999995</v>
      </c>
      <c r="I12" s="4"/>
      <c r="J12" s="13"/>
      <c r="K12" s="4"/>
      <c r="L12" s="4">
        <f t="shared" ref="L12:L44" si="0">+D12-H12</f>
        <v>-22235.53999999999</v>
      </c>
      <c r="M12" s="4"/>
      <c r="N12" s="13">
        <f t="shared" ref="N12:N44" si="1">IF(H12=0,0,L12/H12)</f>
        <v>-0.50421160091628892</v>
      </c>
      <c r="O12" s="10"/>
      <c r="P12" s="4">
        <f>SUM(OSRRefP13x_0)</f>
        <v>4951110.9999999981</v>
      </c>
      <c r="Q12" s="4"/>
      <c r="R12" s="13"/>
      <c r="S12" s="4"/>
      <c r="T12" s="4">
        <f>SUM(OSRRefT13x_0)</f>
        <v>6047838.7199999997</v>
      </c>
      <c r="U12" s="4"/>
      <c r="V12" s="13"/>
      <c r="W12" s="4"/>
      <c r="X12" s="4">
        <f t="shared" ref="X12:X44" si="2">+P12-T12</f>
        <v>-1096727.7200000016</v>
      </c>
      <c r="Y12" s="4"/>
      <c r="Z12" s="13">
        <f t="shared" ref="Z12:Z44" si="3">IF(T12=0,0,X12/T12)</f>
        <v>-0.18134209108010102</v>
      </c>
    </row>
    <row r="13" spans="1:26" s="24" customFormat="1" hidden="1" outlineLevel="1" x14ac:dyDescent="0.3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3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--15904.07</f>
        <v>15904.07</v>
      </c>
      <c r="E14" s="2"/>
      <c r="F14" s="19"/>
      <c r="G14" s="2"/>
      <c r="H14" s="2">
        <f>--23249.99</f>
        <v>23249.99</v>
      </c>
      <c r="I14" s="2"/>
      <c r="J14" s="19"/>
      <c r="K14" s="2"/>
      <c r="L14" s="2">
        <f t="shared" si="0"/>
        <v>-7345.9200000000019</v>
      </c>
      <c r="M14" s="2"/>
      <c r="N14" s="19">
        <f t="shared" si="1"/>
        <v>-0.31595368428115461</v>
      </c>
      <c r="O14" s="11"/>
      <c r="P14" s="2">
        <f>--2451163.71</f>
        <v>2451163.71</v>
      </c>
      <c r="Q14" s="2"/>
      <c r="R14" s="19"/>
      <c r="S14" s="2"/>
      <c r="T14" s="2">
        <f>--3126487.75</f>
        <v>3126487.75</v>
      </c>
      <c r="U14" s="2"/>
      <c r="V14" s="19"/>
      <c r="W14" s="2"/>
      <c r="X14" s="2">
        <f t="shared" si="2"/>
        <v>-675324.04</v>
      </c>
      <c r="Y14" s="2"/>
      <c r="Z14" s="19">
        <f t="shared" si="3"/>
        <v>-0.21600085911099445</v>
      </c>
    </row>
    <row r="15" spans="1:26" s="24" customFormat="1" hidden="1" outlineLevel="1" x14ac:dyDescent="0.3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--15376.45</f>
        <v>15376.45</v>
      </c>
      <c r="E15" s="2"/>
      <c r="F15" s="19"/>
      <c r="G15" s="2"/>
      <c r="H15" s="2">
        <f>--10246.08</f>
        <v>10246.08</v>
      </c>
      <c r="I15" s="2"/>
      <c r="J15" s="19"/>
      <c r="K15" s="2"/>
      <c r="L15" s="2">
        <f t="shared" si="0"/>
        <v>5130.3700000000008</v>
      </c>
      <c r="M15" s="2"/>
      <c r="N15" s="19">
        <f t="shared" si="1"/>
        <v>0.50071539554639444</v>
      </c>
      <c r="O15" s="11"/>
      <c r="P15" s="2">
        <f>--1271803.19</f>
        <v>1271803.19</v>
      </c>
      <c r="Q15" s="2"/>
      <c r="R15" s="19"/>
      <c r="S15" s="2"/>
      <c r="T15" s="2">
        <f>--1404207.63</f>
        <v>1404207.63</v>
      </c>
      <c r="U15" s="2"/>
      <c r="V15" s="19"/>
      <c r="W15" s="2"/>
      <c r="X15" s="2">
        <f t="shared" si="2"/>
        <v>-132404.43999999994</v>
      </c>
      <c r="Y15" s="2"/>
      <c r="Z15" s="19">
        <f t="shared" si="3"/>
        <v>-9.4291212475465583E-2</v>
      </c>
    </row>
    <row r="16" spans="1:26" s="24" customFormat="1" hidden="1" outlineLevel="1" x14ac:dyDescent="0.3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--895</f>
        <v>895</v>
      </c>
      <c r="E16" s="2"/>
      <c r="F16" s="19"/>
      <c r="G16" s="2"/>
      <c r="H16" s="2">
        <f>--167.99</f>
        <v>167.99</v>
      </c>
      <c r="I16" s="2"/>
      <c r="J16" s="19"/>
      <c r="K16" s="2"/>
      <c r="L16" s="2">
        <f t="shared" si="0"/>
        <v>727.01</v>
      </c>
      <c r="M16" s="2"/>
      <c r="N16" s="19">
        <f t="shared" si="1"/>
        <v>4.3276980772665032</v>
      </c>
      <c r="O16" s="11"/>
      <c r="P16" s="2">
        <f>--34659.88</f>
        <v>34659.879999999997</v>
      </c>
      <c r="Q16" s="2"/>
      <c r="R16" s="19"/>
      <c r="S16" s="2"/>
      <c r="T16" s="2">
        <f>--15422.64</f>
        <v>15422.64</v>
      </c>
      <c r="U16" s="2"/>
      <c r="V16" s="19"/>
      <c r="W16" s="2"/>
      <c r="X16" s="2">
        <f t="shared" si="2"/>
        <v>19237.239999999998</v>
      </c>
      <c r="Y16" s="2"/>
      <c r="Z16" s="19">
        <f t="shared" si="3"/>
        <v>1.2473376801896432</v>
      </c>
    </row>
    <row r="17" spans="1:26" s="24" customFormat="1" hidden="1" outlineLevel="1" x14ac:dyDescent="0.3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--70418.64</f>
        <v>70418.64</v>
      </c>
      <c r="U17" s="2"/>
      <c r="V17" s="19"/>
      <c r="W17" s="2"/>
      <c r="X17" s="2">
        <f t="shared" si="2"/>
        <v>-28223.339999999997</v>
      </c>
      <c r="Y17" s="2"/>
      <c r="Z17" s="19">
        <f t="shared" si="3"/>
        <v>-0.40079359669542036</v>
      </c>
    </row>
    <row r="18" spans="1:26" s="24" customFormat="1" hidden="1" outlineLevel="1" x14ac:dyDescent="0.3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--3.88</f>
        <v>3.88</v>
      </c>
      <c r="I18" s="2"/>
      <c r="J18" s="19"/>
      <c r="K18" s="2"/>
      <c r="L18" s="2">
        <f t="shared" si="0"/>
        <v>-3.88</v>
      </c>
      <c r="M18" s="2"/>
      <c r="N18" s="19">
        <f t="shared" si="1"/>
        <v>-1</v>
      </c>
      <c r="O18" s="11"/>
      <c r="P18" s="2">
        <f>--1052.48</f>
        <v>1052.48</v>
      </c>
      <c r="Q18" s="2"/>
      <c r="R18" s="19"/>
      <c r="S18" s="2"/>
      <c r="T18" s="2">
        <f>--9.71</f>
        <v>9.7100000000000009</v>
      </c>
      <c r="U18" s="2"/>
      <c r="V18" s="19"/>
      <c r="W18" s="2"/>
      <c r="X18" s="2">
        <f t="shared" si="2"/>
        <v>1042.77</v>
      </c>
      <c r="Y18" s="2"/>
      <c r="Z18" s="19">
        <f t="shared" si="3"/>
        <v>107.39134912461378</v>
      </c>
    </row>
    <row r="19" spans="1:26" s="24" customFormat="1" hidden="1" outlineLevel="1" x14ac:dyDescent="0.3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--64.99</f>
        <v>64.989999999999995</v>
      </c>
      <c r="E19" s="2"/>
      <c r="F19" s="19"/>
      <c r="G19" s="2"/>
      <c r="H19" s="2">
        <f>--748.56</f>
        <v>748.56</v>
      </c>
      <c r="I19" s="2"/>
      <c r="J19" s="19"/>
      <c r="K19" s="2"/>
      <c r="L19" s="2">
        <f t="shared" si="0"/>
        <v>-683.56999999999994</v>
      </c>
      <c r="M19" s="2"/>
      <c r="N19" s="19">
        <f t="shared" si="1"/>
        <v>-0.91317997221331626</v>
      </c>
      <c r="O19" s="11"/>
      <c r="P19" s="2">
        <f>--2778.35</f>
        <v>2778.35</v>
      </c>
      <c r="Q19" s="2"/>
      <c r="R19" s="19"/>
      <c r="S19" s="2"/>
      <c r="T19" s="2">
        <f>--7463.59</f>
        <v>7463.59</v>
      </c>
      <c r="U19" s="2"/>
      <c r="V19" s="19"/>
      <c r="W19" s="2"/>
      <c r="X19" s="2">
        <f t="shared" si="2"/>
        <v>-4685.24</v>
      </c>
      <c r="Y19" s="2"/>
      <c r="Z19" s="19">
        <f t="shared" si="3"/>
        <v>-0.62774616504925906</v>
      </c>
    </row>
    <row r="20" spans="1:26" s="24" customFormat="1" hidden="1" outlineLevel="1" x14ac:dyDescent="0.3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--13.9</f>
        <v>13.9</v>
      </c>
      <c r="E20" s="2"/>
      <c r="F20" s="19"/>
      <c r="G20" s="2"/>
      <c r="H20" s="2">
        <f>--93.58</f>
        <v>93.58</v>
      </c>
      <c r="I20" s="2"/>
      <c r="J20" s="19"/>
      <c r="K20" s="2"/>
      <c r="L20" s="2">
        <f t="shared" si="0"/>
        <v>-79.679999999999993</v>
      </c>
      <c r="M20" s="2"/>
      <c r="N20" s="19">
        <f t="shared" si="1"/>
        <v>-0.85146398803163059</v>
      </c>
      <c r="O20" s="11"/>
      <c r="P20" s="2">
        <f>--1233.88</f>
        <v>1233.8800000000001</v>
      </c>
      <c r="Q20" s="2"/>
      <c r="R20" s="19"/>
      <c r="S20" s="2"/>
      <c r="T20" s="2">
        <f>--2221.33</f>
        <v>2221.33</v>
      </c>
      <c r="U20" s="2"/>
      <c r="V20" s="19"/>
      <c r="W20" s="2"/>
      <c r="X20" s="2">
        <f t="shared" si="2"/>
        <v>-987.44999999999982</v>
      </c>
      <c r="Y20" s="2"/>
      <c r="Z20" s="19">
        <f t="shared" si="3"/>
        <v>-0.44453097918814399</v>
      </c>
    </row>
    <row r="21" spans="1:26" s="24" customFormat="1" hidden="1" outlineLevel="1" x14ac:dyDescent="0.3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0</f>
        <v>0</v>
      </c>
      <c r="E21" s="2"/>
      <c r="F21" s="19"/>
      <c r="G21" s="2"/>
      <c r="H21" s="2">
        <f>--141</f>
        <v>141</v>
      </c>
      <c r="I21" s="2"/>
      <c r="J21" s="19"/>
      <c r="K21" s="2"/>
      <c r="L21" s="2">
        <f t="shared" si="0"/>
        <v>-141</v>
      </c>
      <c r="M21" s="2"/>
      <c r="N21" s="19">
        <f t="shared" si="1"/>
        <v>-1</v>
      </c>
      <c r="O21" s="11"/>
      <c r="P21" s="2">
        <f>--4179.3</f>
        <v>4179.3</v>
      </c>
      <c r="Q21" s="2"/>
      <c r="R21" s="19"/>
      <c r="S21" s="2"/>
      <c r="T21" s="2">
        <f>--6524.46</f>
        <v>6524.46</v>
      </c>
      <c r="U21" s="2"/>
      <c r="V21" s="19"/>
      <c r="W21" s="2"/>
      <c r="X21" s="2">
        <f t="shared" si="2"/>
        <v>-2345.16</v>
      </c>
      <c r="Y21" s="2"/>
      <c r="Z21" s="19">
        <f t="shared" si="3"/>
        <v>-0.35944124111420711</v>
      </c>
    </row>
    <row r="22" spans="1:26" s="24" customFormat="1" hidden="1" outlineLevel="1" x14ac:dyDescent="0.35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-16200.52</f>
        <v>-16200.52</v>
      </c>
      <c r="E22" s="2"/>
      <c r="F22" s="19"/>
      <c r="G22" s="2"/>
      <c r="H22" s="2">
        <f>--2784.85</f>
        <v>2784.85</v>
      </c>
      <c r="I22" s="2"/>
      <c r="J22" s="19"/>
      <c r="K22" s="2"/>
      <c r="L22" s="2">
        <f t="shared" si="0"/>
        <v>-18985.37</v>
      </c>
      <c r="M22" s="2"/>
      <c r="N22" s="19">
        <f t="shared" si="1"/>
        <v>-6.8173761602958862</v>
      </c>
      <c r="O22" s="11"/>
      <c r="P22" s="2">
        <f>--591246.5</f>
        <v>591246.5</v>
      </c>
      <c r="Q22" s="2"/>
      <c r="R22" s="19"/>
      <c r="S22" s="2"/>
      <c r="T22" s="2">
        <f>--792359.45</f>
        <v>792359.45</v>
      </c>
      <c r="U22" s="2"/>
      <c r="V22" s="19"/>
      <c r="W22" s="2"/>
      <c r="X22" s="2">
        <f t="shared" si="2"/>
        <v>-201112.94999999995</v>
      </c>
      <c r="Y22" s="2"/>
      <c r="Z22" s="19">
        <f t="shared" si="3"/>
        <v>-0.25381529809482295</v>
      </c>
    </row>
    <row r="23" spans="1:26" s="24" customFormat="1" hidden="1" outlineLevel="1" x14ac:dyDescent="0.35">
      <c r="A23" s="44"/>
      <c r="B23" s="11" t="str">
        <f>CONCATENATE("          ", "4101", " - ", "NON-TAXABLE SALES-NEW TEXT")</f>
        <v xml:space="preserve">          4101 - NON-TAXABLE SALES-NEW TEXT</v>
      </c>
      <c r="C23" s="11"/>
      <c r="D23" s="2">
        <f>--2671.34</f>
        <v>2671.34</v>
      </c>
      <c r="E23" s="2"/>
      <c r="F23" s="19"/>
      <c r="G23" s="2"/>
      <c r="H23" s="2">
        <f>--1051.16</f>
        <v>1051.1600000000001</v>
      </c>
      <c r="I23" s="2"/>
      <c r="J23" s="19"/>
      <c r="K23" s="2"/>
      <c r="L23" s="2">
        <f t="shared" si="0"/>
        <v>1620.18</v>
      </c>
      <c r="M23" s="2"/>
      <c r="N23" s="19">
        <f t="shared" si="1"/>
        <v>1.5413257734312569</v>
      </c>
      <c r="O23" s="11"/>
      <c r="P23" s="2">
        <f>--153953.68</f>
        <v>153953.68</v>
      </c>
      <c r="Q23" s="2"/>
      <c r="R23" s="19"/>
      <c r="S23" s="2"/>
      <c r="T23" s="2">
        <f>--281995.26</f>
        <v>281995.26</v>
      </c>
      <c r="U23" s="2"/>
      <c r="V23" s="19"/>
      <c r="W23" s="2"/>
      <c r="X23" s="2">
        <f t="shared" si="2"/>
        <v>-128041.58000000002</v>
      </c>
      <c r="Y23" s="2"/>
      <c r="Z23" s="19">
        <f t="shared" si="3"/>
        <v>-0.45405578802991231</v>
      </c>
    </row>
    <row r="24" spans="1:26" s="24" customFormat="1" hidden="1" outlineLevel="1" x14ac:dyDescent="0.35">
      <c r="A24" s="44"/>
      <c r="B24" s="11" t="str">
        <f>CONCATENATE("          ", "4102", " - ", "NON-TAXABLE SALES-USED TEXT")</f>
        <v xml:space="preserve">          4102 - NON-TAXABLE SALES-USED TEXT</v>
      </c>
      <c r="C24" s="11"/>
      <c r="D24" s="2">
        <f>--1718.15</f>
        <v>1718.15</v>
      </c>
      <c r="E24" s="2"/>
      <c r="F24" s="19"/>
      <c r="G24" s="2"/>
      <c r="H24" s="2">
        <f>--2191.44</f>
        <v>2191.44</v>
      </c>
      <c r="I24" s="2"/>
      <c r="J24" s="19"/>
      <c r="K24" s="2"/>
      <c r="L24" s="2">
        <f t="shared" si="0"/>
        <v>-473.28999999999996</v>
      </c>
      <c r="M24" s="2"/>
      <c r="N24" s="19">
        <f t="shared" si="1"/>
        <v>-0.21597214616872923</v>
      </c>
      <c r="O24" s="11"/>
      <c r="P24" s="2">
        <f>--71943.61</f>
        <v>71943.61</v>
      </c>
      <c r="Q24" s="2"/>
      <c r="R24" s="19"/>
      <c r="S24" s="2"/>
      <c r="T24" s="2">
        <f>--98541.39</f>
        <v>98541.39</v>
      </c>
      <c r="U24" s="2"/>
      <c r="V24" s="19"/>
      <c r="W24" s="2"/>
      <c r="X24" s="2">
        <f t="shared" si="2"/>
        <v>-26597.78</v>
      </c>
      <c r="Y24" s="2"/>
      <c r="Z24" s="19">
        <f t="shared" si="3"/>
        <v>-0.26991480432739989</v>
      </c>
    </row>
    <row r="25" spans="1:26" s="24" customFormat="1" hidden="1" outlineLevel="1" x14ac:dyDescent="0.35">
      <c r="A25" s="44"/>
      <c r="B25" s="11" t="str">
        <f>CONCATENATE("          ", "4103", " - ", "NON-TAXABLE SALES-RENTAL TEXT")</f>
        <v xml:space="preserve">          4103 - NON-TAXABLE SALES-RENTAL TEXT</v>
      </c>
      <c r="C25" s="11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--664.97</f>
        <v>664.97</v>
      </c>
      <c r="Q25" s="2"/>
      <c r="R25" s="19"/>
      <c r="S25" s="2"/>
      <c r="T25" s="2">
        <f>--830.85</f>
        <v>830.85</v>
      </c>
      <c r="U25" s="2"/>
      <c r="V25" s="19"/>
      <c r="W25" s="2"/>
      <c r="X25" s="2">
        <f t="shared" si="2"/>
        <v>-165.88</v>
      </c>
      <c r="Y25" s="2"/>
      <c r="Z25" s="19">
        <f t="shared" si="3"/>
        <v>-0.19965095986038392</v>
      </c>
    </row>
    <row r="26" spans="1:26" s="24" customFormat="1" hidden="1" outlineLevel="1" x14ac:dyDescent="0.35">
      <c r="A26" s="44"/>
      <c r="B26" s="11" t="str">
        <f>CONCATENATE("          ", "4104", " - ", "NON-TAXABLE SALES-DIGITAL TEXT")</f>
        <v xml:space="preserve">          4104 - NON-TAXABLE SALES-DIGITAL TEXT</v>
      </c>
      <c r="C26" s="11"/>
      <c r="D26" s="2">
        <f>--1836.93</f>
        <v>1836.93</v>
      </c>
      <c r="E26" s="2"/>
      <c r="F26" s="19"/>
      <c r="G26" s="2"/>
      <c r="H26" s="2">
        <f>--1779.5</f>
        <v>1779.5</v>
      </c>
      <c r="I26" s="2"/>
      <c r="J26" s="19"/>
      <c r="K26" s="2"/>
      <c r="L26" s="2">
        <f t="shared" si="0"/>
        <v>57.430000000000064</v>
      </c>
      <c r="M26" s="2"/>
      <c r="N26" s="19">
        <f t="shared" si="1"/>
        <v>3.2273110424276517E-2</v>
      </c>
      <c r="O26" s="11"/>
      <c r="P26" s="2">
        <f>--533640.31</f>
        <v>533640.31000000006</v>
      </c>
      <c r="Q26" s="2"/>
      <c r="R26" s="19"/>
      <c r="S26" s="2"/>
      <c r="T26" s="2">
        <f>--535221.75</f>
        <v>535221.75</v>
      </c>
      <c r="U26" s="2"/>
      <c r="V26" s="19"/>
      <c r="W26" s="2"/>
      <c r="X26" s="2">
        <f t="shared" si="2"/>
        <v>-1581.4399999999441</v>
      </c>
      <c r="Y26" s="2"/>
      <c r="Z26" s="19">
        <f t="shared" si="3"/>
        <v>-2.9547379193763036E-3</v>
      </c>
    </row>
    <row r="27" spans="1:26" s="24" customFormat="1" hidden="1" outlineLevel="1" x14ac:dyDescent="0.35">
      <c r="A27" s="44"/>
      <c r="B27" s="11" t="str">
        <f>CONCATENATE("          ", "4111", " - ", "NON-TAXABLE SALES-NO VALUE TEX")</f>
        <v xml:space="preserve">          4111 - NON-TAXABLE SALES-NO VALUE TEX</v>
      </c>
      <c r="C27" s="11"/>
      <c r="D27" s="2">
        <f>--679.21</f>
        <v>679.21</v>
      </c>
      <c r="E27" s="2"/>
      <c r="F27" s="19"/>
      <c r="G27" s="2"/>
      <c r="H27" s="2">
        <f>--3194.97</f>
        <v>3194.97</v>
      </c>
      <c r="I27" s="2"/>
      <c r="J27" s="19"/>
      <c r="K27" s="2"/>
      <c r="L27" s="2">
        <f t="shared" si="0"/>
        <v>-2515.7599999999998</v>
      </c>
      <c r="M27" s="2"/>
      <c r="N27" s="19">
        <f t="shared" si="1"/>
        <v>-0.78741271436038518</v>
      </c>
      <c r="O27" s="11"/>
      <c r="P27" s="2">
        <f>--16342.67</f>
        <v>16342.67</v>
      </c>
      <c r="Q27" s="2"/>
      <c r="R27" s="19"/>
      <c r="S27" s="2"/>
      <c r="T27" s="2">
        <f>--25086.75</f>
        <v>25086.75</v>
      </c>
      <c r="U27" s="2"/>
      <c r="V27" s="19"/>
      <c r="W27" s="2"/>
      <c r="X27" s="2">
        <f t="shared" si="2"/>
        <v>-8744.08</v>
      </c>
      <c r="Y27" s="2"/>
      <c r="Z27" s="19">
        <f t="shared" si="3"/>
        <v>-0.34855371859647022</v>
      </c>
    </row>
    <row r="28" spans="1:26" s="24" customFormat="1" hidden="1" outlineLevel="1" x14ac:dyDescent="0.35">
      <c r="A28" s="44"/>
      <c r="B28" s="11" t="str">
        <f>CONCATENATE("          ", "4113", " - ", "NON-TAXABLE SALES-TRADE BOOKS")</f>
        <v xml:space="preserve">          4113 - NON-TAXABLE SALES-TRADE BOOKS</v>
      </c>
      <c r="C28" s="11"/>
      <c r="D28" s="2">
        <f t="shared" ref="D28:D29" si="5">0</f>
        <v>0</v>
      </c>
      <c r="E28" s="2"/>
      <c r="F28" s="19"/>
      <c r="G28" s="2"/>
      <c r="H28" s="2">
        <f>--1600</f>
        <v>1600</v>
      </c>
      <c r="I28" s="2"/>
      <c r="J28" s="19"/>
      <c r="K28" s="2"/>
      <c r="L28" s="2">
        <f t="shared" si="0"/>
        <v>-1600</v>
      </c>
      <c r="M28" s="2"/>
      <c r="N28" s="19">
        <f t="shared" si="1"/>
        <v>-1</v>
      </c>
      <c r="O28" s="11"/>
      <c r="P28" s="2">
        <f>--8266.16</f>
        <v>8266.16</v>
      </c>
      <c r="Q28" s="2"/>
      <c r="R28" s="19"/>
      <c r="S28" s="2"/>
      <c r="T28" s="2">
        <f>--5373</f>
        <v>5373</v>
      </c>
      <c r="U28" s="2"/>
      <c r="V28" s="19"/>
      <c r="W28" s="2"/>
      <c r="X28" s="2">
        <f t="shared" si="2"/>
        <v>2893.16</v>
      </c>
      <c r="Y28" s="2"/>
      <c r="Z28" s="19">
        <f t="shared" si="3"/>
        <v>0.53846268378931694</v>
      </c>
    </row>
    <row r="29" spans="1:26" s="24" customFormat="1" hidden="1" outlineLevel="1" x14ac:dyDescent="0.35">
      <c r="A29" s="44"/>
      <c r="B29" s="11" t="str">
        <f>CONCATENATE("          ", "4114", " - ", "NON-TAXABLE SALES-REMAINDERS")</f>
        <v xml:space="preserve">          4114 - NON-TAXABLE SALES-REMAINDERS</v>
      </c>
      <c r="C29" s="11"/>
      <c r="D29" s="2">
        <f t="shared" si="5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--3.19</f>
        <v>3.19</v>
      </c>
      <c r="Q29" s="2"/>
      <c r="R29" s="19"/>
      <c r="S29" s="2"/>
      <c r="T29" s="2">
        <f>0</f>
        <v>0</v>
      </c>
      <c r="U29" s="2"/>
      <c r="V29" s="19"/>
      <c r="W29" s="2"/>
      <c r="X29" s="2">
        <f t="shared" si="2"/>
        <v>3.19</v>
      </c>
      <c r="Y29" s="2"/>
      <c r="Z29" s="19">
        <f t="shared" si="3"/>
        <v>0</v>
      </c>
    </row>
    <row r="30" spans="1:26" s="24" customFormat="1" hidden="1" outlineLevel="1" x14ac:dyDescent="0.35">
      <c r="A30" s="44"/>
      <c r="B30" s="11" t="str">
        <f>CONCATENATE("          ", "4118", " - ", "NON-TAXABLE SALES-STUDY GUIDES")</f>
        <v xml:space="preserve">          4118 - NON-TAXABLE SALES-STUDY GUIDES</v>
      </c>
      <c r="C30" s="11"/>
      <c r="D30" s="2">
        <f>--10.09</f>
        <v>10.09</v>
      </c>
      <c r="E30" s="2"/>
      <c r="F30" s="19"/>
      <c r="G30" s="2"/>
      <c r="H30" s="2">
        <f>--2507</f>
        <v>2507</v>
      </c>
      <c r="I30" s="2"/>
      <c r="J30" s="19"/>
      <c r="K30" s="2"/>
      <c r="L30" s="2">
        <f t="shared" si="0"/>
        <v>-2496.91</v>
      </c>
      <c r="M30" s="2"/>
      <c r="N30" s="19">
        <f t="shared" si="1"/>
        <v>-0.99597526924611079</v>
      </c>
      <c r="O30" s="11"/>
      <c r="P30" s="2">
        <f>--126.03</f>
        <v>126.03</v>
      </c>
      <c r="Q30" s="2"/>
      <c r="R30" s="19"/>
      <c r="S30" s="2"/>
      <c r="T30" s="2">
        <f>--2773.48</f>
        <v>2773.48</v>
      </c>
      <c r="U30" s="2"/>
      <c r="V30" s="19"/>
      <c r="W30" s="2"/>
      <c r="X30" s="2">
        <f t="shared" si="2"/>
        <v>-2647.45</v>
      </c>
      <c r="Y30" s="2"/>
      <c r="Z30" s="19">
        <f t="shared" si="3"/>
        <v>-0.95455889352005419</v>
      </c>
    </row>
    <row r="31" spans="1:26" s="24" customFormat="1" hidden="1" outlineLevel="1" x14ac:dyDescent="0.35">
      <c r="A31" s="44"/>
      <c r="B31" s="11" t="str">
        <f>CONCATENATE("          ", "4201", " - ", "SALES RETURN TAXABLE-NEW TEXT")</f>
        <v xml:space="preserve">          4201 - SALES RETURN TAXABLE-NEW TEXT</v>
      </c>
      <c r="C31" s="11"/>
      <c r="D31" s="2">
        <f>0</f>
        <v>0</v>
      </c>
      <c r="E31" s="2"/>
      <c r="F31" s="19"/>
      <c r="G31" s="2"/>
      <c r="H31" s="2">
        <f>-1869.01</f>
        <v>-1869.01</v>
      </c>
      <c r="I31" s="2"/>
      <c r="J31" s="19"/>
      <c r="K31" s="2"/>
      <c r="L31" s="2">
        <f t="shared" si="0"/>
        <v>1869.01</v>
      </c>
      <c r="M31" s="2"/>
      <c r="N31" s="19">
        <f t="shared" si="1"/>
        <v>-1</v>
      </c>
      <c r="O31" s="11"/>
      <c r="P31" s="2">
        <f>-121451.61</f>
        <v>-121451.61</v>
      </c>
      <c r="Q31" s="2"/>
      <c r="R31" s="19"/>
      <c r="S31" s="2"/>
      <c r="T31" s="2">
        <f>-180616.86</f>
        <v>-180616.86</v>
      </c>
      <c r="U31" s="2"/>
      <c r="V31" s="19"/>
      <c r="W31" s="2"/>
      <c r="X31" s="2">
        <f t="shared" si="2"/>
        <v>59165.249999999985</v>
      </c>
      <c r="Y31" s="2"/>
      <c r="Z31" s="19">
        <f t="shared" si="3"/>
        <v>-0.32757323984040021</v>
      </c>
    </row>
    <row r="32" spans="1:26" s="24" customFormat="1" hidden="1" outlineLevel="1" x14ac:dyDescent="0.35">
      <c r="A32" s="44"/>
      <c r="B32" s="11" t="str">
        <f>CONCATENATE("          ", "4202", " - ", "SALES RETURN TAXABLE-USED TEXT")</f>
        <v xml:space="preserve">          4202 - SALES RETURN TAXABLE-USED TEXT</v>
      </c>
      <c r="C32" s="11"/>
      <c r="D32" s="2">
        <f>-186.35</f>
        <v>-186.35</v>
      </c>
      <c r="E32" s="2"/>
      <c r="F32" s="19"/>
      <c r="G32" s="2"/>
      <c r="H32" s="2">
        <f>-393.35</f>
        <v>-393.35</v>
      </c>
      <c r="I32" s="2"/>
      <c r="J32" s="19"/>
      <c r="K32" s="2"/>
      <c r="L32" s="2">
        <f t="shared" si="0"/>
        <v>207.00000000000003</v>
      </c>
      <c r="M32" s="2"/>
      <c r="N32" s="19">
        <f t="shared" si="1"/>
        <v>-0.52624888775899326</v>
      </c>
      <c r="O32" s="11"/>
      <c r="P32" s="2">
        <f>-45799.46</f>
        <v>-45799.46</v>
      </c>
      <c r="Q32" s="2"/>
      <c r="R32" s="19"/>
      <c r="S32" s="2"/>
      <c r="T32" s="2">
        <f>-47688.8</f>
        <v>-47688.800000000003</v>
      </c>
      <c r="U32" s="2"/>
      <c r="V32" s="19"/>
      <c r="W32" s="2"/>
      <c r="X32" s="2">
        <f t="shared" si="2"/>
        <v>1889.3400000000038</v>
      </c>
      <c r="Y32" s="2"/>
      <c r="Z32" s="19">
        <f t="shared" si="3"/>
        <v>-3.9618107396285997E-2</v>
      </c>
    </row>
    <row r="33" spans="1:26" s="24" customFormat="1" hidden="1" outlineLevel="1" x14ac:dyDescent="0.35">
      <c r="A33" s="44"/>
      <c r="B33" s="11" t="str">
        <f>CONCATENATE("          ", "4203", " - ", "SALES RETURN TAXABLE-RENTAL TE")</f>
        <v xml:space="preserve">          4203 - SALES RETURN TAXABLE-RENTAL TE</v>
      </c>
      <c r="C33" s="11"/>
      <c r="D33" s="2">
        <f t="shared" ref="D33:D34" si="6"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-144.99</f>
        <v>-144.99</v>
      </c>
      <c r="Q33" s="2"/>
      <c r="R33" s="19"/>
      <c r="S33" s="2"/>
      <c r="T33" s="2">
        <f>-1699.5</f>
        <v>-1699.5</v>
      </c>
      <c r="U33" s="2"/>
      <c r="V33" s="19"/>
      <c r="W33" s="2"/>
      <c r="X33" s="2">
        <f t="shared" si="2"/>
        <v>1554.51</v>
      </c>
      <c r="Y33" s="2"/>
      <c r="Z33" s="19">
        <f t="shared" si="3"/>
        <v>-0.9146866725507502</v>
      </c>
    </row>
    <row r="34" spans="1:26" s="24" customFormat="1" hidden="1" outlineLevel="1" x14ac:dyDescent="0.35">
      <c r="A34" s="44"/>
      <c r="B34" s="11" t="str">
        <f>CONCATENATE("          ", "4204", " - ", "SALES RETURN TAXABLE-DIGITAL T")</f>
        <v xml:space="preserve">          4204 - SALES RETURN TAXABLE-DIGITAL T</v>
      </c>
      <c r="C34" s="11"/>
      <c r="D34" s="2">
        <f t="shared" si="6"/>
        <v>0</v>
      </c>
      <c r="E34" s="2"/>
      <c r="F34" s="19"/>
      <c r="G34" s="2"/>
      <c r="H34" s="2">
        <f>-44.1</f>
        <v>-44.1</v>
      </c>
      <c r="I34" s="2"/>
      <c r="J34" s="19"/>
      <c r="K34" s="2"/>
      <c r="L34" s="2">
        <f t="shared" si="0"/>
        <v>44.1</v>
      </c>
      <c r="M34" s="2"/>
      <c r="N34" s="19">
        <f t="shared" si="1"/>
        <v>-1</v>
      </c>
      <c r="O34" s="11"/>
      <c r="P34" s="2">
        <f>-17255.33</f>
        <v>-17255.330000000002</v>
      </c>
      <c r="Q34" s="2"/>
      <c r="R34" s="19"/>
      <c r="S34" s="2"/>
      <c r="T34" s="2">
        <f>-27147</f>
        <v>-27147</v>
      </c>
      <c r="U34" s="2"/>
      <c r="V34" s="19"/>
      <c r="W34" s="2"/>
      <c r="X34" s="2">
        <f t="shared" si="2"/>
        <v>9891.6699999999983</v>
      </c>
      <c r="Y34" s="2"/>
      <c r="Z34" s="19">
        <f t="shared" si="3"/>
        <v>-0.36437433233874822</v>
      </c>
    </row>
    <row r="35" spans="1:26" s="24" customFormat="1" hidden="1" outlineLevel="1" x14ac:dyDescent="0.35">
      <c r="A35" s="44"/>
      <c r="B35" s="11" t="str">
        <f>CONCATENATE("          ", "4213", " - ", "NON-TAXABLE SALES-TRADE BOOKS")</f>
        <v xml:space="preserve">          4213 - NON-TAXABLE SALES-TRADE BOOKS</v>
      </c>
      <c r="C35" s="11"/>
      <c r="D35" s="2">
        <f>-100.7</f>
        <v>-100.7</v>
      </c>
      <c r="E35" s="2"/>
      <c r="F35" s="19"/>
      <c r="G35" s="2"/>
      <c r="H35" s="2">
        <f>-5.95</f>
        <v>-5.95</v>
      </c>
      <c r="I35" s="2"/>
      <c r="J35" s="19"/>
      <c r="K35" s="2"/>
      <c r="L35" s="2">
        <f t="shared" si="0"/>
        <v>-94.75</v>
      </c>
      <c r="M35" s="2"/>
      <c r="N35" s="19">
        <f t="shared" si="1"/>
        <v>15.92436974789916</v>
      </c>
      <c r="O35" s="11"/>
      <c r="P35" s="2">
        <f>-2869.37</f>
        <v>-2869.37</v>
      </c>
      <c r="Q35" s="2"/>
      <c r="R35" s="19"/>
      <c r="S35" s="2"/>
      <c r="T35" s="2">
        <f>-1554.3</f>
        <v>-1554.3</v>
      </c>
      <c r="U35" s="2"/>
      <c r="V35" s="19"/>
      <c r="W35" s="2"/>
      <c r="X35" s="2">
        <f t="shared" si="2"/>
        <v>-1315.07</v>
      </c>
      <c r="Y35" s="2"/>
      <c r="Z35" s="19">
        <f t="shared" si="3"/>
        <v>0.84608505436530912</v>
      </c>
    </row>
    <row r="36" spans="1:26" s="24" customFormat="1" hidden="1" outlineLevel="1" x14ac:dyDescent="0.35">
      <c r="A36" s="44"/>
      <c r="B36" s="11" t="str">
        <f>CONCATENATE("          ", "4214", " - ", "SALES RETURN TAXABLE-REMAINDER")</f>
        <v xml:space="preserve">          4214 - SALES RETURN TAXABLE-REMAINDER</v>
      </c>
      <c r="C36" s="11"/>
      <c r="D36" s="2">
        <f t="shared" ref="D36:D37" si="7">0</f>
        <v>0</v>
      </c>
      <c r="E36" s="2"/>
      <c r="F36" s="19"/>
      <c r="G36" s="2"/>
      <c r="H36" s="2">
        <f t="shared" ref="H36:H37" si="8"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-11.94</f>
        <v>-11.94</v>
      </c>
      <c r="Q36" s="2"/>
      <c r="R36" s="19"/>
      <c r="S36" s="2"/>
      <c r="T36" s="2">
        <f>-19.84</f>
        <v>-19.84</v>
      </c>
      <c r="U36" s="2"/>
      <c r="V36" s="19"/>
      <c r="W36" s="2"/>
      <c r="X36" s="2">
        <f t="shared" si="2"/>
        <v>7.9</v>
      </c>
      <c r="Y36" s="2"/>
      <c r="Z36" s="19">
        <f t="shared" si="3"/>
        <v>-0.39818548387096775</v>
      </c>
    </row>
    <row r="37" spans="1:26" s="24" customFormat="1" hidden="1" outlineLevel="1" x14ac:dyDescent="0.35">
      <c r="A37" s="44"/>
      <c r="B37" s="11" t="str">
        <f>CONCATENATE("          ", "4218", " - ", "SALES RETURN TAXABLE-STUDY GUI")</f>
        <v xml:space="preserve">          4218 - SALES RETURN TAXABLE-STUDY GUI</v>
      </c>
      <c r="C37" s="11"/>
      <c r="D37" s="2">
        <f t="shared" si="7"/>
        <v>0</v>
      </c>
      <c r="E37" s="2"/>
      <c r="F37" s="19"/>
      <c r="G37" s="2"/>
      <c r="H37" s="2">
        <f t="shared" si="8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-39.25</f>
        <v>-39.25</v>
      </c>
      <c r="Q37" s="2"/>
      <c r="R37" s="19"/>
      <c r="S37" s="2"/>
      <c r="T37" s="2">
        <f>-67.6</f>
        <v>-67.599999999999994</v>
      </c>
      <c r="U37" s="2"/>
      <c r="V37" s="19"/>
      <c r="W37" s="2"/>
      <c r="X37" s="2">
        <f t="shared" si="2"/>
        <v>28.349999999999994</v>
      </c>
      <c r="Y37" s="2"/>
      <c r="Z37" s="19">
        <f t="shared" si="3"/>
        <v>-0.41937869822485202</v>
      </c>
    </row>
    <row r="38" spans="1:26" s="24" customFormat="1" hidden="1" outlineLevel="1" x14ac:dyDescent="0.35">
      <c r="A38" s="44"/>
      <c r="B38" s="11" t="str">
        <f>CONCATENATE("          ", "4301", " - ", "SALES RETURN NON TAXABLE-NEW T")</f>
        <v xml:space="preserve">          4301 - SALES RETURN NON TAXABLE-NEW T</v>
      </c>
      <c r="C38" s="11"/>
      <c r="D38" s="2">
        <f>-253.49</f>
        <v>-253.49</v>
      </c>
      <c r="E38" s="2"/>
      <c r="F38" s="19"/>
      <c r="G38" s="2"/>
      <c r="H38" s="2">
        <f>-429.12</f>
        <v>-429.12</v>
      </c>
      <c r="I38" s="2"/>
      <c r="J38" s="19"/>
      <c r="K38" s="2"/>
      <c r="L38" s="2">
        <f t="shared" si="0"/>
        <v>175.63</v>
      </c>
      <c r="M38" s="2"/>
      <c r="N38" s="19">
        <f t="shared" si="1"/>
        <v>-0.40927945563012674</v>
      </c>
      <c r="O38" s="11"/>
      <c r="P38" s="2">
        <f>-21543.36</f>
        <v>-21543.360000000001</v>
      </c>
      <c r="Q38" s="2"/>
      <c r="R38" s="19"/>
      <c r="S38" s="2"/>
      <c r="T38" s="2">
        <f>-51917.32</f>
        <v>-51917.32</v>
      </c>
      <c r="U38" s="2"/>
      <c r="V38" s="19"/>
      <c r="W38" s="2"/>
      <c r="X38" s="2">
        <f t="shared" si="2"/>
        <v>30373.96</v>
      </c>
      <c r="Y38" s="2"/>
      <c r="Z38" s="19">
        <f t="shared" si="3"/>
        <v>-0.58504483667492846</v>
      </c>
    </row>
    <row r="39" spans="1:26" s="24" customFormat="1" hidden="1" outlineLevel="1" x14ac:dyDescent="0.35">
      <c r="A39" s="44"/>
      <c r="B39" s="11" t="str">
        <f>CONCATENATE("          ", "4302", " - ", "SALES RETURN NON TAXABLE-TEXT")</f>
        <v xml:space="preserve">          4302 - SALES RETURN NON TAXABLE-TEXT</v>
      </c>
      <c r="C39" s="11"/>
      <c r="D39" s="2">
        <f>-95.75</f>
        <v>-95.75</v>
      </c>
      <c r="E39" s="2"/>
      <c r="F39" s="19"/>
      <c r="G39" s="2"/>
      <c r="H39" s="2">
        <f>-452.04</f>
        <v>-452.04</v>
      </c>
      <c r="I39" s="2"/>
      <c r="J39" s="19"/>
      <c r="K39" s="2"/>
      <c r="L39" s="2">
        <f t="shared" si="0"/>
        <v>356.29</v>
      </c>
      <c r="M39" s="2"/>
      <c r="N39" s="19">
        <f t="shared" si="1"/>
        <v>-0.78818246172905049</v>
      </c>
      <c r="O39" s="11"/>
      <c r="P39" s="2">
        <f>-1475.62</f>
        <v>-1475.62</v>
      </c>
      <c r="Q39" s="2"/>
      <c r="R39" s="19"/>
      <c r="S39" s="2"/>
      <c r="T39" s="2">
        <f>-6780.29</f>
        <v>-6780.29</v>
      </c>
      <c r="U39" s="2"/>
      <c r="V39" s="19"/>
      <c r="W39" s="2"/>
      <c r="X39" s="2">
        <f t="shared" si="2"/>
        <v>5304.67</v>
      </c>
      <c r="Y39" s="2"/>
      <c r="Z39" s="19">
        <f t="shared" si="3"/>
        <v>-0.78236624097199381</v>
      </c>
    </row>
    <row r="40" spans="1:26" s="24" customFormat="1" hidden="1" outlineLevel="1" x14ac:dyDescent="0.35">
      <c r="A40" s="44"/>
      <c r="B40" s="11" t="str">
        <f>CONCATENATE("          ", "4303", " - ", "SALES RETURN NON-TAXABLE-RENTA")</f>
        <v xml:space="preserve">          4303 - SALES RETURN NON-TAXABLE-RENTA</v>
      </c>
      <c r="C40" s="11"/>
      <c r="D40" s="2">
        <f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-184.99</f>
        <v>-184.99</v>
      </c>
      <c r="Q40" s="2"/>
      <c r="R40" s="19"/>
      <c r="S40" s="2"/>
      <c r="T40" s="2">
        <f>-509.85</f>
        <v>-509.85</v>
      </c>
      <c r="U40" s="2"/>
      <c r="V40" s="19"/>
      <c r="W40" s="2"/>
      <c r="X40" s="2">
        <f t="shared" si="2"/>
        <v>324.86</v>
      </c>
      <c r="Y40" s="2"/>
      <c r="Z40" s="19">
        <f t="shared" si="3"/>
        <v>-0.63716779444934779</v>
      </c>
    </row>
    <row r="41" spans="1:26" s="24" customFormat="1" hidden="1" outlineLevel="1" x14ac:dyDescent="0.35">
      <c r="A41" s="44"/>
      <c r="B41" s="11" t="str">
        <f>CONCATENATE("          ", "4304", " - ", "SALES RETURN NON TAXABLE-DIGIT")</f>
        <v xml:space="preserve">          4304 - SALES RETURN NON TAXABLE-DIGIT</v>
      </c>
      <c r="C41" s="11"/>
      <c r="D41" s="2">
        <f>-398.87</f>
        <v>-398.87</v>
      </c>
      <c r="E41" s="2"/>
      <c r="F41" s="19"/>
      <c r="G41" s="2"/>
      <c r="H41" s="2">
        <f>-124.01</f>
        <v>-124.01</v>
      </c>
      <c r="I41" s="2"/>
      <c r="J41" s="19"/>
      <c r="K41" s="2"/>
      <c r="L41" s="2">
        <f t="shared" si="0"/>
        <v>-274.86</v>
      </c>
      <c r="M41" s="2"/>
      <c r="N41" s="19">
        <f t="shared" si="1"/>
        <v>2.216434158535602</v>
      </c>
      <c r="O41" s="11"/>
      <c r="P41" s="2">
        <f>-19873.2</f>
        <v>-19873.2</v>
      </c>
      <c r="Q41" s="2"/>
      <c r="R41" s="19"/>
      <c r="S41" s="2"/>
      <c r="T41" s="2">
        <f>-6171.97</f>
        <v>-6171.97</v>
      </c>
      <c r="U41" s="2"/>
      <c r="V41" s="19"/>
      <c r="W41" s="2"/>
      <c r="X41" s="2">
        <f t="shared" si="2"/>
        <v>-13701.23</v>
      </c>
      <c r="Y41" s="2"/>
      <c r="Z41" s="19">
        <f t="shared" si="3"/>
        <v>2.2199119567982346</v>
      </c>
    </row>
    <row r="42" spans="1:26" s="24" customFormat="1" hidden="1" outlineLevel="1" x14ac:dyDescent="0.35">
      <c r="A42" s="44"/>
      <c r="B42" s="11" t="str">
        <f>CONCATENATE("          ", "4311", " - ", "SALES RETURN NON TAXABLE-NO VA")</f>
        <v xml:space="preserve">          4311 - SALES RETURN NON TAXABLE-NO VA</v>
      </c>
      <c r="C42" s="11"/>
      <c r="D42" s="2">
        <f>-70.37</f>
        <v>-70.37</v>
      </c>
      <c r="E42" s="2"/>
      <c r="F42" s="19"/>
      <c r="G42" s="2"/>
      <c r="H42" s="2">
        <f>-289.3</f>
        <v>-289.3</v>
      </c>
      <c r="I42" s="2"/>
      <c r="J42" s="19"/>
      <c r="K42" s="2"/>
      <c r="L42" s="2">
        <f t="shared" si="0"/>
        <v>218.93</v>
      </c>
      <c r="M42" s="2"/>
      <c r="N42" s="19">
        <f t="shared" si="1"/>
        <v>-0.75675769097822332</v>
      </c>
      <c r="O42" s="11"/>
      <c r="P42" s="2">
        <f>-1011.65</f>
        <v>-1011.65</v>
      </c>
      <c r="Q42" s="2"/>
      <c r="R42" s="19"/>
      <c r="S42" s="2"/>
      <c r="T42" s="2">
        <f>-2399.84</f>
        <v>-2399.84</v>
      </c>
      <c r="U42" s="2"/>
      <c r="V42" s="19"/>
      <c r="W42" s="2"/>
      <c r="X42" s="2">
        <f t="shared" si="2"/>
        <v>1388.19</v>
      </c>
      <c r="Y42" s="2"/>
      <c r="Z42" s="19">
        <f t="shared" si="3"/>
        <v>-0.57845106340422692</v>
      </c>
    </row>
    <row r="43" spans="1:26" s="24" customFormat="1" hidden="1" outlineLevel="1" x14ac:dyDescent="0.35">
      <c r="A43" s="44"/>
      <c r="B43" s="11" t="str">
        <f>CONCATENATE("          ", "4313", " - ", "SALES RETURN NON TAXABLE-TRADE")</f>
        <v xml:space="preserve">          4313 - SALES RETURN NON TAXABLE-TRADE</v>
      </c>
      <c r="C43" s="11"/>
      <c r="D43" s="2">
        <f t="shared" ref="D43:D44" si="9">0</f>
        <v>0</v>
      </c>
      <c r="E43" s="2"/>
      <c r="F43" s="19"/>
      <c r="G43" s="2"/>
      <c r="H43" s="2">
        <f>-800</f>
        <v>-800</v>
      </c>
      <c r="I43" s="2"/>
      <c r="J43" s="19"/>
      <c r="K43" s="2"/>
      <c r="L43" s="2">
        <f t="shared" si="0"/>
        <v>800</v>
      </c>
      <c r="M43" s="2"/>
      <c r="N43" s="19">
        <f t="shared" si="1"/>
        <v>-1</v>
      </c>
      <c r="O43" s="11"/>
      <c r="P43" s="2">
        <f>-2481.44</f>
        <v>-2481.44</v>
      </c>
      <c r="Q43" s="2"/>
      <c r="R43" s="19"/>
      <c r="S43" s="2"/>
      <c r="T43" s="2">
        <f>-800</f>
        <v>-800</v>
      </c>
      <c r="U43" s="2"/>
      <c r="V43" s="19"/>
      <c r="W43" s="2"/>
      <c r="X43" s="2">
        <f t="shared" si="2"/>
        <v>-1681.44</v>
      </c>
      <c r="Y43" s="2"/>
      <c r="Z43" s="19">
        <f t="shared" si="3"/>
        <v>2.1017999999999999</v>
      </c>
    </row>
    <row r="44" spans="1:26" s="24" customFormat="1" hidden="1" outlineLevel="1" x14ac:dyDescent="0.35">
      <c r="A44" s="44"/>
      <c r="B44" s="11" t="str">
        <f>CONCATENATE("          ", "4318", " - ", "SALES RETURN NON TAXABLE-STUDY")</f>
        <v xml:space="preserve">          4318 - SALES RETURN NON TAXABLE-STUDY</v>
      </c>
      <c r="C44" s="11"/>
      <c r="D44" s="2">
        <f t="shared" si="9"/>
        <v>0</v>
      </c>
      <c r="E44" s="2"/>
      <c r="F44" s="19"/>
      <c r="G44" s="2"/>
      <c r="H44" s="2">
        <f>-1253.5</f>
        <v>-1253.5</v>
      </c>
      <c r="I44" s="2"/>
      <c r="J44" s="19"/>
      <c r="K44" s="2"/>
      <c r="L44" s="2">
        <f t="shared" si="0"/>
        <v>1253.5</v>
      </c>
      <c r="M44" s="2"/>
      <c r="N44" s="19">
        <f t="shared" si="1"/>
        <v>-1</v>
      </c>
      <c r="O44" s="11"/>
      <c r="P44" s="2">
        <f>0</f>
        <v>0</v>
      </c>
      <c r="Q44" s="2"/>
      <c r="R44" s="19"/>
      <c r="S44" s="2"/>
      <c r="T44" s="2">
        <f>-1258.54</f>
        <v>-1258.54</v>
      </c>
      <c r="U44" s="2"/>
      <c r="V44" s="19"/>
      <c r="W44" s="2"/>
      <c r="X44" s="2">
        <f t="shared" si="2"/>
        <v>1258.54</v>
      </c>
      <c r="Y44" s="2"/>
      <c r="Z44" s="19">
        <f t="shared" si="3"/>
        <v>-1</v>
      </c>
    </row>
    <row r="45" spans="1:26" x14ac:dyDescent="0.3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collapsed="1" x14ac:dyDescent="0.35">
      <c r="A46" s="10"/>
      <c r="B46" s="29" t="s">
        <v>8</v>
      </c>
      <c r="C46" s="10"/>
      <c r="D46" s="4">
        <f>SUM(OSRRefD16x_0)</f>
        <v>92599.11</v>
      </c>
      <c r="E46" s="4"/>
      <c r="F46" s="13">
        <f t="shared" ref="F46:F62" si="10">IF(D$12=0,0,D46/D$12)</f>
        <v>4.2352163914511829</v>
      </c>
      <c r="G46" s="4"/>
      <c r="H46" s="4">
        <f>SUM(OSRRefH16x_0)</f>
        <v>82576.810000000012</v>
      </c>
      <c r="I46" s="4"/>
      <c r="J46" s="13">
        <f t="shared" ref="J46:J62" si="11">IF(H$12=0,0,H46/H$12)</f>
        <v>1.8725061576494315</v>
      </c>
      <c r="K46" s="4"/>
      <c r="L46" s="4">
        <f t="shared" ref="L46:L62" si="12">+D46-H46</f>
        <v>10022.299999999988</v>
      </c>
      <c r="M46" s="4"/>
      <c r="N46" s="13">
        <f t="shared" ref="N46:N62" si="13">IF(H46=0,0,L46/H46)</f>
        <v>0.12136942562930182</v>
      </c>
      <c r="O46" s="10"/>
      <c r="P46" s="4">
        <f>SUM(OSRRefP16x_0)</f>
        <v>3627976.85</v>
      </c>
      <c r="Q46" s="4"/>
      <c r="R46" s="13">
        <f t="shared" ref="R46:R62" si="14">IF(P$12=0,0,P46/P$12)</f>
        <v>0.73276015221634128</v>
      </c>
      <c r="S46" s="4"/>
      <c r="T46" s="4">
        <f>SUM(OSRRefT16x_0)</f>
        <v>4397343.8000000017</v>
      </c>
      <c r="U46" s="4"/>
      <c r="V46" s="13">
        <f t="shared" ref="V46:V62" si="15">IF(T$12=0,0,T46/T$12)</f>
        <v>0.72709343016342898</v>
      </c>
      <c r="W46" s="4"/>
      <c r="X46" s="4">
        <f t="shared" ref="X46:X62" si="16">+P46-T46</f>
        <v>-769366.95000000158</v>
      </c>
      <c r="Y46" s="4"/>
      <c r="Z46" s="13">
        <f t="shared" ref="Z46:Z62" si="17">IF(T46=0,0,X46/T46)</f>
        <v>-0.17496174622507371</v>
      </c>
    </row>
    <row r="47" spans="1:26" s="24" customFormat="1" hidden="1" outlineLevel="1" x14ac:dyDescent="0.35">
      <c r="A47" s="44"/>
      <c r="B47" s="11" t="str">
        <f>CONCATENATE("          ", "5001", " - ", "PURCHASES @ COST-NEW TEXT")</f>
        <v xml:space="preserve">          5001 - PURCHASES @ COST-NEW TEXT</v>
      </c>
      <c r="C47" s="11"/>
      <c r="D47" s="2">
        <v>21388.809999999998</v>
      </c>
      <c r="E47" s="2"/>
      <c r="F47" s="19">
        <f t="shared" si="10"/>
        <v>0.97826252007859427</v>
      </c>
      <c r="G47" s="2"/>
      <c r="H47" s="2">
        <v>35029.230000000003</v>
      </c>
      <c r="I47" s="2"/>
      <c r="J47" s="19">
        <f t="shared" si="11"/>
        <v>0.79432044992677953</v>
      </c>
      <c r="K47" s="2"/>
      <c r="L47" s="2">
        <f t="shared" si="12"/>
        <v>-13640.420000000006</v>
      </c>
      <c r="M47" s="2"/>
      <c r="N47" s="19">
        <f t="shared" si="13"/>
        <v>-0.38940108018360681</v>
      </c>
      <c r="O47" s="11"/>
      <c r="P47" s="2">
        <v>1662669.27</v>
      </c>
      <c r="Q47" s="2"/>
      <c r="R47" s="19">
        <f t="shared" si="14"/>
        <v>0.33581740946627953</v>
      </c>
      <c r="S47" s="2"/>
      <c r="T47" s="2">
        <v>2431202.9900000002</v>
      </c>
      <c r="U47" s="2"/>
      <c r="V47" s="19">
        <f t="shared" si="15"/>
        <v>0.40199534123820024</v>
      </c>
      <c r="W47" s="2"/>
      <c r="X47" s="2">
        <f t="shared" si="16"/>
        <v>-768533.7200000002</v>
      </c>
      <c r="Y47" s="2"/>
      <c r="Z47" s="19">
        <f t="shared" si="17"/>
        <v>-0.31611252666318912</v>
      </c>
    </row>
    <row r="48" spans="1:26" s="24" customFormat="1" hidden="1" outlineLevel="1" x14ac:dyDescent="0.35">
      <c r="A48" s="44"/>
      <c r="B48" s="11" t="str">
        <f>CONCATENATE("          ", "5002", " - ", "PURCHASES @ COST-USED TEXT")</f>
        <v xml:space="preserve">          5002 - PURCHASES @ COST-USED TEXT</v>
      </c>
      <c r="C48" s="11"/>
      <c r="D48" s="2">
        <v>121021.81</v>
      </c>
      <c r="E48" s="2"/>
      <c r="F48" s="19">
        <f t="shared" si="10"/>
        <v>5.5351887662321015</v>
      </c>
      <c r="G48" s="2"/>
      <c r="H48" s="2">
        <v>573715.04</v>
      </c>
      <c r="I48" s="2"/>
      <c r="J48" s="19">
        <f t="shared" si="11"/>
        <v>13.009523438070444</v>
      </c>
      <c r="K48" s="2"/>
      <c r="L48" s="2">
        <f t="shared" si="12"/>
        <v>-452693.23000000004</v>
      </c>
      <c r="M48" s="2"/>
      <c r="N48" s="19">
        <f t="shared" si="13"/>
        <v>-0.78905588739664212</v>
      </c>
      <c r="O48" s="11"/>
      <c r="P48" s="2">
        <v>731343.19</v>
      </c>
      <c r="Q48" s="2"/>
      <c r="R48" s="19">
        <f t="shared" si="14"/>
        <v>0.14771294563987764</v>
      </c>
      <c r="S48" s="2"/>
      <c r="T48" s="2">
        <v>1006777.4099999999</v>
      </c>
      <c r="U48" s="2"/>
      <c r="V48" s="19">
        <f t="shared" si="15"/>
        <v>0.16646895802142025</v>
      </c>
      <c r="W48" s="2"/>
      <c r="X48" s="2">
        <f t="shared" si="16"/>
        <v>-275434.21999999997</v>
      </c>
      <c r="Y48" s="2"/>
      <c r="Z48" s="19">
        <f t="shared" si="17"/>
        <v>-0.27358005579406075</v>
      </c>
    </row>
    <row r="49" spans="1:26" s="24" customFormat="1" hidden="1" outlineLevel="1" x14ac:dyDescent="0.35">
      <c r="A49" s="44"/>
      <c r="B49" s="11" t="str">
        <f>CONCATENATE("          ", "5003", " - ", "PURCHASES @ COST-RENTAL TEXT")</f>
        <v xml:space="preserve">          5003 - PURCHASES @ COST-RENTAL TEXT</v>
      </c>
      <c r="C49" s="11"/>
      <c r="D49" s="2">
        <v>24656.6</v>
      </c>
      <c r="E49" s="2"/>
      <c r="F49" s="19">
        <f t="shared" si="10"/>
        <v>1.1277218158733409</v>
      </c>
      <c r="G49" s="2"/>
      <c r="H49" s="2">
        <v>288.39999999999998</v>
      </c>
      <c r="I49" s="2"/>
      <c r="J49" s="19">
        <f t="shared" si="11"/>
        <v>6.5397388911741195E-3</v>
      </c>
      <c r="K49" s="2"/>
      <c r="L49" s="2">
        <f t="shared" si="12"/>
        <v>24368.199999999997</v>
      </c>
      <c r="M49" s="2"/>
      <c r="N49" s="19">
        <f t="shared" si="13"/>
        <v>84.494452149791954</v>
      </c>
      <c r="O49" s="11"/>
      <c r="P49" s="2">
        <v>24578.2</v>
      </c>
      <c r="Q49" s="2"/>
      <c r="R49" s="19">
        <f t="shared" si="14"/>
        <v>4.9641787469519487E-3</v>
      </c>
      <c r="S49" s="2"/>
      <c r="T49" s="2">
        <v>15917.98</v>
      </c>
      <c r="U49" s="2"/>
      <c r="V49" s="19">
        <f t="shared" si="15"/>
        <v>2.6320113245347919E-3</v>
      </c>
      <c r="W49" s="2"/>
      <c r="X49" s="2">
        <f t="shared" si="16"/>
        <v>8660.2200000000012</v>
      </c>
      <c r="Y49" s="2"/>
      <c r="Z49" s="19">
        <f t="shared" si="17"/>
        <v>0.5440527001541654</v>
      </c>
    </row>
    <row r="50" spans="1:26" s="24" customFormat="1" hidden="1" outlineLevel="1" x14ac:dyDescent="0.35">
      <c r="A50" s="44"/>
      <c r="B50" s="11" t="str">
        <f>CONCATENATE("          ", "5004", " - ", "PURCHASES @ COST-DIGITAL TEXT")</f>
        <v xml:space="preserve">          5004 - PURCHASES @ COST-DIGITAL TEXT</v>
      </c>
      <c r="C50" s="11"/>
      <c r="D50" s="2">
        <v>5038.95</v>
      </c>
      <c r="E50" s="2"/>
      <c r="F50" s="19">
        <f t="shared" si="10"/>
        <v>0.23046704915093608</v>
      </c>
      <c r="G50" s="2"/>
      <c r="H50" s="2">
        <v>5564.47</v>
      </c>
      <c r="I50" s="2"/>
      <c r="J50" s="19">
        <f t="shared" si="11"/>
        <v>0.12617954531127482</v>
      </c>
      <c r="K50" s="2"/>
      <c r="L50" s="2">
        <f t="shared" si="12"/>
        <v>-525.52000000000044</v>
      </c>
      <c r="M50" s="2"/>
      <c r="N50" s="19">
        <f t="shared" si="13"/>
        <v>-9.4442058273294743E-2</v>
      </c>
      <c r="O50" s="11"/>
      <c r="P50" s="2">
        <v>451308.6</v>
      </c>
      <c r="Q50" s="2"/>
      <c r="R50" s="19">
        <f t="shared" si="14"/>
        <v>9.1152995761961328E-2</v>
      </c>
      <c r="S50" s="2"/>
      <c r="T50" s="2">
        <v>507143.44999999995</v>
      </c>
      <c r="U50" s="2"/>
      <c r="V50" s="19">
        <f t="shared" si="15"/>
        <v>8.385531980588265E-2</v>
      </c>
      <c r="W50" s="2"/>
      <c r="X50" s="2">
        <f t="shared" si="16"/>
        <v>-55834.849999999977</v>
      </c>
      <c r="Y50" s="2"/>
      <c r="Z50" s="19">
        <f t="shared" si="17"/>
        <v>-0.11009675861928214</v>
      </c>
    </row>
    <row r="51" spans="1:26" s="24" customFormat="1" hidden="1" outlineLevel="1" x14ac:dyDescent="0.35">
      <c r="A51" s="44"/>
      <c r="B51" s="11" t="str">
        <f>CONCATENATE("          ", "5011", " - ", "PURCHASES @ COST-NO VALUE TEXT")</f>
        <v xml:space="preserve">          5011 - PURCHASES @ COST-NO VALUE TEXT</v>
      </c>
      <c r="C51" s="11"/>
      <c r="D51" s="2">
        <v>99</v>
      </c>
      <c r="E51" s="2"/>
      <c r="F51" s="19">
        <f t="shared" si="10"/>
        <v>4.5279746506598937E-3</v>
      </c>
      <c r="G51" s="2"/>
      <c r="H51" s="2">
        <v>1551</v>
      </c>
      <c r="I51" s="2"/>
      <c r="J51" s="19">
        <f t="shared" si="11"/>
        <v>3.5170371082562622E-2</v>
      </c>
      <c r="K51" s="2"/>
      <c r="L51" s="2">
        <f t="shared" si="12"/>
        <v>-1452</v>
      </c>
      <c r="M51" s="2"/>
      <c r="N51" s="19">
        <f t="shared" si="13"/>
        <v>-0.93617021276595747</v>
      </c>
      <c r="O51" s="11"/>
      <c r="P51" s="2">
        <v>6462</v>
      </c>
      <c r="Q51" s="2"/>
      <c r="R51" s="19">
        <f t="shared" si="14"/>
        <v>1.3051616091822628E-3</v>
      </c>
      <c r="S51" s="2"/>
      <c r="T51" s="2">
        <v>5295</v>
      </c>
      <c r="U51" s="2"/>
      <c r="V51" s="19">
        <f t="shared" si="15"/>
        <v>8.7551937892946989E-4</v>
      </c>
      <c r="W51" s="2"/>
      <c r="X51" s="2">
        <f t="shared" si="16"/>
        <v>1167</v>
      </c>
      <c r="Y51" s="2"/>
      <c r="Z51" s="19">
        <f t="shared" si="17"/>
        <v>0.22039660056657223</v>
      </c>
    </row>
    <row r="52" spans="1:26" s="24" customFormat="1" hidden="1" outlineLevel="1" x14ac:dyDescent="0.35">
      <c r="A52" s="44"/>
      <c r="B52" s="11" t="str">
        <f>CONCATENATE("          ", "5013", " - ", "PURCHASES @ COST-TRADE BOOKS")</f>
        <v xml:space="preserve">          5013 - PURCHASES @ COST-TRADE BOOKS</v>
      </c>
      <c r="C52" s="11"/>
      <c r="D52" s="2">
        <v>-420.76</v>
      </c>
      <c r="E52" s="2"/>
      <c r="F52" s="19">
        <f t="shared" si="10"/>
        <v>-1.9244349636481382E-2</v>
      </c>
      <c r="G52" s="2"/>
      <c r="H52" s="2">
        <v>839.85</v>
      </c>
      <c r="I52" s="2"/>
      <c r="J52" s="19">
        <f t="shared" si="11"/>
        <v>1.9044381788323801E-2</v>
      </c>
      <c r="K52" s="2"/>
      <c r="L52" s="2">
        <f t="shared" si="12"/>
        <v>-1260.6100000000001</v>
      </c>
      <c r="M52" s="2"/>
      <c r="N52" s="19">
        <f t="shared" si="13"/>
        <v>-1.5009942251592547</v>
      </c>
      <c r="O52" s="11"/>
      <c r="P52" s="2">
        <v>2777.09</v>
      </c>
      <c r="Q52" s="2"/>
      <c r="R52" s="19">
        <f t="shared" si="14"/>
        <v>5.6090239140265709E-4</v>
      </c>
      <c r="S52" s="2"/>
      <c r="T52" s="2">
        <v>6715.59</v>
      </c>
      <c r="U52" s="2"/>
      <c r="V52" s="19">
        <f t="shared" si="15"/>
        <v>1.1104115554192557E-3</v>
      </c>
      <c r="W52" s="2"/>
      <c r="X52" s="2">
        <f t="shared" si="16"/>
        <v>-3938.5</v>
      </c>
      <c r="Y52" s="2"/>
      <c r="Z52" s="19">
        <f t="shared" si="17"/>
        <v>-0.586471181236496</v>
      </c>
    </row>
    <row r="53" spans="1:26" s="24" customFormat="1" hidden="1" outlineLevel="1" x14ac:dyDescent="0.35">
      <c r="A53" s="44"/>
      <c r="B53" s="11" t="str">
        <f>CONCATENATE("          ", "5014", " - ", "PURCHASES @ COST-REMAINDERS")</f>
        <v xml:space="preserve">          5014 - PURCHASES @ COST-REMAINDERS</v>
      </c>
      <c r="C53" s="11"/>
      <c r="D53" s="2">
        <v>132</v>
      </c>
      <c r="E53" s="2"/>
      <c r="F53" s="19">
        <f t="shared" si="10"/>
        <v>6.0372995342131922E-3</v>
      </c>
      <c r="G53" s="2"/>
      <c r="H53" s="2">
        <v>62.4</v>
      </c>
      <c r="I53" s="2"/>
      <c r="J53" s="19">
        <f t="shared" si="11"/>
        <v>1.414978178950295E-3</v>
      </c>
      <c r="K53" s="2"/>
      <c r="L53" s="2">
        <f t="shared" si="12"/>
        <v>69.599999999999994</v>
      </c>
      <c r="M53" s="2"/>
      <c r="N53" s="19">
        <f t="shared" si="13"/>
        <v>1.1153846153846154</v>
      </c>
      <c r="O53" s="11"/>
      <c r="P53" s="2">
        <v>732.61</v>
      </c>
      <c r="Q53" s="2"/>
      <c r="R53" s="19">
        <f t="shared" si="14"/>
        <v>1.479688094247938E-4</v>
      </c>
      <c r="S53" s="2"/>
      <c r="T53" s="2">
        <v>1261.47</v>
      </c>
      <c r="U53" s="2"/>
      <c r="V53" s="19">
        <f t="shared" si="15"/>
        <v>2.0858195107425088E-4</v>
      </c>
      <c r="W53" s="2"/>
      <c r="X53" s="2">
        <f t="shared" si="16"/>
        <v>-528.86</v>
      </c>
      <c r="Y53" s="2"/>
      <c r="Z53" s="19">
        <f t="shared" si="17"/>
        <v>-0.41924104417861702</v>
      </c>
    </row>
    <row r="54" spans="1:26" s="24" customFormat="1" hidden="1" outlineLevel="1" x14ac:dyDescent="0.35">
      <c r="A54" s="44"/>
      <c r="B54" s="11" t="str">
        <f>CONCATENATE("          ", "5018", " - ", "PURCHASES @ COST-STUDY GUIDES")</f>
        <v xml:space="preserve">          5018 - PURCHASES @ COST-STUDY GUIDES</v>
      </c>
      <c r="C54" s="11"/>
      <c r="D54" s="2">
        <v>-249.38</v>
      </c>
      <c r="E54" s="2"/>
      <c r="F54" s="19">
        <f t="shared" si="10"/>
        <v>-1.1405922407894589E-2</v>
      </c>
      <c r="G54" s="2"/>
      <c r="H54" s="2">
        <v>1034</v>
      </c>
      <c r="I54" s="2"/>
      <c r="J54" s="19">
        <f t="shared" si="11"/>
        <v>2.3446914055041748E-2</v>
      </c>
      <c r="K54" s="2"/>
      <c r="L54" s="2">
        <f t="shared" si="12"/>
        <v>-1283.3800000000001</v>
      </c>
      <c r="M54" s="2"/>
      <c r="N54" s="19">
        <f t="shared" si="13"/>
        <v>-1.2411798839458414</v>
      </c>
      <c r="O54" s="11"/>
      <c r="P54" s="2">
        <v>-454.52</v>
      </c>
      <c r="Q54" s="2"/>
      <c r="R54" s="19">
        <f t="shared" si="14"/>
        <v>-9.1801617859102772E-5</v>
      </c>
      <c r="S54" s="2"/>
      <c r="T54" s="2">
        <v>3717</v>
      </c>
      <c r="U54" s="2"/>
      <c r="V54" s="19">
        <f t="shared" si="15"/>
        <v>6.1459972265927093E-4</v>
      </c>
      <c r="W54" s="2"/>
      <c r="X54" s="2">
        <f t="shared" si="16"/>
        <v>-4171.5200000000004</v>
      </c>
      <c r="Y54" s="2"/>
      <c r="Z54" s="19">
        <f t="shared" si="17"/>
        <v>-1.122281409739037</v>
      </c>
    </row>
    <row r="55" spans="1:26" s="24" customFormat="1" hidden="1" outlineLevel="1" x14ac:dyDescent="0.35">
      <c r="A55" s="44"/>
      <c r="B55" s="11" t="str">
        <f>CONCATENATE("          ", "5200", " - ", "PURCHASES OFFSET")</f>
        <v xml:space="preserve">          5200 - PURCHASES OFFSET</v>
      </c>
      <c r="C55" s="11"/>
      <c r="D55" s="2">
        <v>-173310</v>
      </c>
      <c r="E55" s="2"/>
      <c r="F55" s="19">
        <f t="shared" si="10"/>
        <v>-7.926699865715821</v>
      </c>
      <c r="G55" s="2"/>
      <c r="H55" s="2">
        <v>-615260</v>
      </c>
      <c r="I55" s="2"/>
      <c r="J55" s="19">
        <f t="shared" si="11"/>
        <v>-13.951594140720488</v>
      </c>
      <c r="K55" s="2"/>
      <c r="L55" s="2">
        <f t="shared" si="12"/>
        <v>441950</v>
      </c>
      <c r="M55" s="2"/>
      <c r="N55" s="19">
        <f t="shared" si="13"/>
        <v>-0.71831420862724704</v>
      </c>
      <c r="O55" s="11"/>
      <c r="P55" s="2">
        <v>-1792162</v>
      </c>
      <c r="Q55" s="2"/>
      <c r="R55" s="19">
        <f t="shared" si="14"/>
        <v>-0.36197168675879021</v>
      </c>
      <c r="S55" s="2"/>
      <c r="T55" s="2">
        <v>-2524887</v>
      </c>
      <c r="U55" s="2"/>
      <c r="V55" s="19">
        <f t="shared" si="15"/>
        <v>-0.41748583533656136</v>
      </c>
      <c r="W55" s="2"/>
      <c r="X55" s="2">
        <f t="shared" si="16"/>
        <v>732725</v>
      </c>
      <c r="Y55" s="2"/>
      <c r="Z55" s="19">
        <f t="shared" si="17"/>
        <v>-0.29020110602969557</v>
      </c>
    </row>
    <row r="56" spans="1:26" s="24" customFormat="1" hidden="1" outlineLevel="1" x14ac:dyDescent="0.35">
      <c r="A56" s="44"/>
      <c r="B56" s="11" t="str">
        <f>CONCATENATE("          ", "5300", " - ", "COG$ OFFSET")</f>
        <v xml:space="preserve">          5300 - COG$ OFFSET</v>
      </c>
      <c r="C56" s="11"/>
      <c r="D56" s="2">
        <v>91172.53</v>
      </c>
      <c r="E56" s="2"/>
      <c r="F56" s="19">
        <f t="shared" si="10"/>
        <v>4.1699687341063507</v>
      </c>
      <c r="G56" s="2"/>
      <c r="H56" s="2">
        <v>77586</v>
      </c>
      <c r="I56" s="2"/>
      <c r="J56" s="19">
        <f t="shared" si="11"/>
        <v>1.75933488769291</v>
      </c>
      <c r="K56" s="2"/>
      <c r="L56" s="2">
        <f t="shared" si="12"/>
        <v>13586.529999999999</v>
      </c>
      <c r="M56" s="2"/>
      <c r="N56" s="19">
        <f t="shared" si="13"/>
        <v>0.17511574253086895</v>
      </c>
      <c r="O56" s="11"/>
      <c r="P56" s="2">
        <v>2452013</v>
      </c>
      <c r="Q56" s="2"/>
      <c r="R56" s="19">
        <f t="shared" si="14"/>
        <v>0.4952450066257858</v>
      </c>
      <c r="S56" s="2"/>
      <c r="T56" s="2">
        <v>2863313</v>
      </c>
      <c r="U56" s="2"/>
      <c r="V56" s="19">
        <f t="shared" si="15"/>
        <v>0.47344400744866427</v>
      </c>
      <c r="W56" s="2"/>
      <c r="X56" s="2">
        <f t="shared" si="16"/>
        <v>-411300</v>
      </c>
      <c r="Y56" s="2"/>
      <c r="Z56" s="19">
        <f t="shared" si="17"/>
        <v>-0.14364479188967466</v>
      </c>
    </row>
    <row r="57" spans="1:26" s="24" customFormat="1" hidden="1" outlineLevel="1" x14ac:dyDescent="0.35">
      <c r="A57" s="44"/>
      <c r="B57" s="11" t="str">
        <f>CONCATENATE("          ", "5500", " - ", "FREIGHT-IN")</f>
        <v xml:space="preserve">          5500 - FREIGHT-IN</v>
      </c>
      <c r="C57" s="11"/>
      <c r="D57" s="2">
        <v>67.13</v>
      </c>
      <c r="E57" s="2"/>
      <c r="F57" s="19">
        <f t="shared" si="10"/>
        <v>3.0703327100888756E-3</v>
      </c>
      <c r="G57" s="2"/>
      <c r="H57" s="2"/>
      <c r="I57" s="2"/>
      <c r="J57" s="19">
        <f t="shared" si="11"/>
        <v>0</v>
      </c>
      <c r="K57" s="2"/>
      <c r="L57" s="2">
        <f t="shared" si="12"/>
        <v>67.13</v>
      </c>
      <c r="M57" s="2"/>
      <c r="N57" s="19">
        <f t="shared" si="13"/>
        <v>0</v>
      </c>
      <c r="O57" s="11"/>
      <c r="P57" s="2">
        <v>108.38</v>
      </c>
      <c r="Q57" s="2"/>
      <c r="R57" s="19">
        <f t="shared" si="14"/>
        <v>2.1890036397891308E-5</v>
      </c>
      <c r="S57" s="2"/>
      <c r="T57" s="2">
        <v>174.83</v>
      </c>
      <c r="U57" s="2"/>
      <c r="V57" s="19">
        <f t="shared" si="15"/>
        <v>2.8907847595512602E-5</v>
      </c>
      <c r="W57" s="2"/>
      <c r="X57" s="2">
        <f t="shared" si="16"/>
        <v>-66.450000000000017</v>
      </c>
      <c r="Y57" s="2"/>
      <c r="Z57" s="19">
        <f t="shared" si="17"/>
        <v>-0.38008350969513249</v>
      </c>
    </row>
    <row r="58" spans="1:26" s="24" customFormat="1" hidden="1" outlineLevel="1" x14ac:dyDescent="0.35">
      <c r="A58" s="44"/>
      <c r="B58" s="11" t="str">
        <f>CONCATENATE("          ", "5501", " - ", "FREIGHT-IN-NEW TEXT")</f>
        <v xml:space="preserve">          5501 - FREIGHT-IN-NEW TEXT</v>
      </c>
      <c r="C58" s="11"/>
      <c r="D58" s="2">
        <v>2483.06</v>
      </c>
      <c r="E58" s="2"/>
      <c r="F58" s="19">
        <f t="shared" si="10"/>
        <v>0.11356800743502582</v>
      </c>
      <c r="G58" s="2"/>
      <c r="H58" s="2">
        <v>1815.25</v>
      </c>
      <c r="I58" s="2"/>
      <c r="J58" s="19">
        <f t="shared" si="11"/>
        <v>4.1162486207364152E-2</v>
      </c>
      <c r="K58" s="2"/>
      <c r="L58" s="2">
        <f t="shared" si="12"/>
        <v>667.81</v>
      </c>
      <c r="M58" s="2"/>
      <c r="N58" s="19">
        <f t="shared" si="13"/>
        <v>0.36788872056190602</v>
      </c>
      <c r="O58" s="11"/>
      <c r="P58" s="2">
        <v>72230.790000000008</v>
      </c>
      <c r="Q58" s="2"/>
      <c r="R58" s="19">
        <f t="shared" si="14"/>
        <v>1.4588804411777486E-2</v>
      </c>
      <c r="S58" s="2"/>
      <c r="T58" s="2">
        <v>66019.19</v>
      </c>
      <c r="U58" s="2"/>
      <c r="V58" s="19">
        <f t="shared" si="15"/>
        <v>1.0916162460099466E-2</v>
      </c>
      <c r="W58" s="2"/>
      <c r="X58" s="2">
        <f t="shared" si="16"/>
        <v>6211.6000000000058</v>
      </c>
      <c r="Y58" s="2"/>
      <c r="Z58" s="19">
        <f t="shared" si="17"/>
        <v>9.4087794776034142E-2</v>
      </c>
    </row>
    <row r="59" spans="1:26" s="24" customFormat="1" hidden="1" outlineLevel="1" x14ac:dyDescent="0.35">
      <c r="A59" s="44"/>
      <c r="B59" s="11" t="str">
        <f>CONCATENATE("          ", "5502", " - ", "FREIGHT-IN-USED TEXT")</f>
        <v xml:space="preserve">          5502 - FREIGHT-IN-USED TEXT</v>
      </c>
      <c r="C59" s="11"/>
      <c r="D59" s="2">
        <v>519.36</v>
      </c>
      <c r="E59" s="2"/>
      <c r="F59" s="19">
        <f t="shared" si="10"/>
        <v>2.3754029440067905E-2</v>
      </c>
      <c r="G59" s="2"/>
      <c r="H59" s="2">
        <v>351.17</v>
      </c>
      <c r="I59" s="2"/>
      <c r="J59" s="19">
        <f t="shared" si="11"/>
        <v>7.9631071650957553E-3</v>
      </c>
      <c r="K59" s="2"/>
      <c r="L59" s="2">
        <f t="shared" si="12"/>
        <v>168.19</v>
      </c>
      <c r="M59" s="2"/>
      <c r="N59" s="19">
        <f t="shared" si="13"/>
        <v>0.47894182304866584</v>
      </c>
      <c r="O59" s="11"/>
      <c r="P59" s="2">
        <v>16200.12</v>
      </c>
      <c r="Q59" s="2"/>
      <c r="R59" s="19">
        <f t="shared" si="14"/>
        <v>3.2720171290847662E-3</v>
      </c>
      <c r="S59" s="2"/>
      <c r="T59" s="2">
        <v>14394.46</v>
      </c>
      <c r="U59" s="2"/>
      <c r="V59" s="19">
        <f t="shared" si="15"/>
        <v>2.3800998449905754E-3</v>
      </c>
      <c r="W59" s="2"/>
      <c r="X59" s="2">
        <f t="shared" si="16"/>
        <v>1805.6600000000017</v>
      </c>
      <c r="Y59" s="2"/>
      <c r="Z59" s="19">
        <f t="shared" si="17"/>
        <v>0.12544131561725844</v>
      </c>
    </row>
    <row r="60" spans="1:26" s="24" customFormat="1" hidden="1" outlineLevel="1" x14ac:dyDescent="0.35">
      <c r="A60" s="44"/>
      <c r="B60" s="11" t="str">
        <f>CONCATENATE("          ", "5504", " - ", "FREIGHT-IN-DIGITAL TEXT")</f>
        <v xml:space="preserve">          5504 - FREIGHT-IN-DIGITAL TEXT</v>
      </c>
      <c r="C60" s="11"/>
      <c r="D60" s="2"/>
      <c r="E60" s="2"/>
      <c r="F60" s="19">
        <f t="shared" si="10"/>
        <v>0</v>
      </c>
      <c r="G60" s="2"/>
      <c r="H60" s="2"/>
      <c r="I60" s="2"/>
      <c r="J60" s="19">
        <f t="shared" si="11"/>
        <v>0</v>
      </c>
      <c r="K60" s="2"/>
      <c r="L60" s="2">
        <f t="shared" si="12"/>
        <v>0</v>
      </c>
      <c r="M60" s="2"/>
      <c r="N60" s="19">
        <f t="shared" si="13"/>
        <v>0</v>
      </c>
      <c r="O60" s="11"/>
      <c r="P60" s="2">
        <v>118.75</v>
      </c>
      <c r="Q60" s="2"/>
      <c r="R60" s="19">
        <f t="shared" si="14"/>
        <v>2.3984515798575319E-5</v>
      </c>
      <c r="S60" s="2"/>
      <c r="T60" s="2">
        <v>243.53</v>
      </c>
      <c r="U60" s="2"/>
      <c r="V60" s="19">
        <f t="shared" si="15"/>
        <v>4.0267277497770313E-5</v>
      </c>
      <c r="W60" s="2"/>
      <c r="X60" s="2">
        <f t="shared" si="16"/>
        <v>-124.78</v>
      </c>
      <c r="Y60" s="2"/>
      <c r="Z60" s="19">
        <f t="shared" si="17"/>
        <v>-0.5123804048782491</v>
      </c>
    </row>
    <row r="61" spans="1:26" s="24" customFormat="1" hidden="1" outlineLevel="1" x14ac:dyDescent="0.35">
      <c r="A61" s="44"/>
      <c r="B61" s="11" t="str">
        <f>CONCATENATE("          ", "5513", " - ", "FREIGHT-IN-TRADE BOOKS")</f>
        <v xml:space="preserve">          5513 - FREIGHT-IN-TRADE BOOKS</v>
      </c>
      <c r="C61" s="11"/>
      <c r="D61" s="2"/>
      <c r="E61" s="2"/>
      <c r="F61" s="19">
        <f t="shared" si="10"/>
        <v>0</v>
      </c>
      <c r="G61" s="2"/>
      <c r="H61" s="2"/>
      <c r="I61" s="2"/>
      <c r="J61" s="19">
        <f t="shared" si="11"/>
        <v>0</v>
      </c>
      <c r="K61" s="2"/>
      <c r="L61" s="2">
        <f t="shared" si="12"/>
        <v>0</v>
      </c>
      <c r="M61" s="2"/>
      <c r="N61" s="19">
        <f t="shared" si="13"/>
        <v>0</v>
      </c>
      <c r="O61" s="11"/>
      <c r="P61" s="2">
        <v>30.24</v>
      </c>
      <c r="Q61" s="2"/>
      <c r="R61" s="19">
        <f t="shared" si="14"/>
        <v>6.1077200652540432E-6</v>
      </c>
      <c r="S61" s="2"/>
      <c r="T61" s="2">
        <v>54.9</v>
      </c>
      <c r="U61" s="2"/>
      <c r="V61" s="19">
        <f t="shared" si="15"/>
        <v>9.0776230223282143E-6</v>
      </c>
      <c r="W61" s="2"/>
      <c r="X61" s="2">
        <f t="shared" si="16"/>
        <v>-24.66</v>
      </c>
      <c r="Y61" s="2"/>
      <c r="Z61" s="19">
        <f t="shared" si="17"/>
        <v>-0.44918032786885248</v>
      </c>
    </row>
    <row r="62" spans="1:26" s="24" customFormat="1" hidden="1" outlineLevel="1" x14ac:dyDescent="0.35">
      <c r="A62" s="44"/>
      <c r="B62" s="11" t="str">
        <f>CONCATENATE("          ", "5518", " - ", "FREIGHT-IN-STUDY GUIDES")</f>
        <v xml:space="preserve">          5518 - FREIGHT-IN-STUDY GUIDES</v>
      </c>
      <c r="C62" s="11"/>
      <c r="D62" s="2"/>
      <c r="E62" s="2"/>
      <c r="F62" s="19">
        <f t="shared" si="10"/>
        <v>0</v>
      </c>
      <c r="G62" s="2"/>
      <c r="H62" s="2"/>
      <c r="I62" s="2"/>
      <c r="J62" s="19">
        <f t="shared" si="11"/>
        <v>0</v>
      </c>
      <c r="K62" s="2"/>
      <c r="L62" s="2">
        <f t="shared" si="12"/>
        <v>0</v>
      </c>
      <c r="M62" s="2"/>
      <c r="N62" s="19">
        <f t="shared" si="13"/>
        <v>0</v>
      </c>
      <c r="O62" s="11"/>
      <c r="P62" s="2">
        <v>21.13</v>
      </c>
      <c r="Q62" s="2"/>
      <c r="R62" s="19">
        <f t="shared" si="14"/>
        <v>4.2677290006222863E-6</v>
      </c>
      <c r="S62" s="2"/>
      <c r="T62" s="2"/>
      <c r="U62" s="2"/>
      <c r="V62" s="19">
        <f t="shared" si="15"/>
        <v>0</v>
      </c>
      <c r="W62" s="2"/>
      <c r="X62" s="2">
        <f t="shared" si="16"/>
        <v>21.13</v>
      </c>
      <c r="Y62" s="2"/>
      <c r="Z62" s="19">
        <f t="shared" si="17"/>
        <v>0</v>
      </c>
    </row>
    <row r="63" spans="1:26" x14ac:dyDescent="0.3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35">
      <c r="A64" s="10"/>
      <c r="B64" s="28" t="s">
        <v>6</v>
      </c>
      <c r="C64" s="28"/>
      <c r="D64" s="22">
        <f>D12-D46</f>
        <v>-70735.03</v>
      </c>
      <c r="E64" s="14"/>
      <c r="F64" s="21">
        <f>IF(D$12=0,0,D64/D$12)</f>
        <v>-3.2352163914511829</v>
      </c>
      <c r="G64" s="14"/>
      <c r="H64" s="22">
        <f>H12-H46</f>
        <v>-38477.190000000017</v>
      </c>
      <c r="I64" s="14"/>
      <c r="J64" s="21">
        <f>IF(H$12=0,0,H64/H$12)</f>
        <v>-0.87250615764943151</v>
      </c>
      <c r="K64" s="15"/>
      <c r="L64" s="22">
        <f>+D64-H64</f>
        <v>-32257.839999999982</v>
      </c>
      <c r="M64" s="15"/>
      <c r="N64" s="21">
        <f>IF(H64=0,0,L64/H64)</f>
        <v>0.83836267669234599</v>
      </c>
      <c r="O64" s="29"/>
      <c r="P64" s="22">
        <f>P12-P46</f>
        <v>1323134.149999998</v>
      </c>
      <c r="Q64" s="14"/>
      <c r="R64" s="21">
        <f>IF(P$12=0,0,P64/P$12)</f>
        <v>0.26723984778365878</v>
      </c>
      <c r="S64" s="14"/>
      <c r="T64" s="22">
        <f>T12-T46</f>
        <v>1650494.9199999981</v>
      </c>
      <c r="U64" s="14"/>
      <c r="V64" s="21">
        <f>IF(T$12=0,0,T64/T$12)</f>
        <v>0.27290656983657102</v>
      </c>
      <c r="W64" s="15"/>
      <c r="X64" s="22">
        <f>+P64-T64</f>
        <v>-327360.77</v>
      </c>
      <c r="Y64" s="15"/>
      <c r="Z64" s="21">
        <f>IF(T64=0,0,X64/T64)</f>
        <v>-0.19834097399100167</v>
      </c>
    </row>
    <row r="65" spans="1:26" x14ac:dyDescent="0.35">
      <c r="A65" s="9"/>
      <c r="B65" s="10"/>
      <c r="C65" s="9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35">
      <c r="A66" s="10"/>
      <c r="B66" s="29" t="s">
        <v>9</v>
      </c>
      <c r="C66" s="10"/>
      <c r="D66" s="20">
        <f>SUM(OSRRefD22x_0)</f>
        <v>3082.3200000000061</v>
      </c>
      <c r="E66" s="20"/>
      <c r="F66" s="36">
        <f t="shared" ref="F66:F76" si="18">IF(D$12=0,0,D66/D$12)</f>
        <v>0.14097643257800033</v>
      </c>
      <c r="G66" s="20"/>
      <c r="H66" s="20">
        <f>SUM(OSRRefH22x_0)</f>
        <v>-138527.96000000002</v>
      </c>
      <c r="I66" s="20"/>
      <c r="J66" s="36">
        <f t="shared" ref="J66:J76" si="19">IF(H$12=0,0,H66/H$12)</f>
        <v>-3.1412506502323612</v>
      </c>
      <c r="K66" s="4"/>
      <c r="L66" s="20">
        <f t="shared" ref="L66:L76" si="20">+D66-H66</f>
        <v>141610.28000000003</v>
      </c>
      <c r="M66" s="4"/>
      <c r="N66" s="36">
        <f t="shared" ref="N66:N76" si="21">IF(H66=0,0,L66/H66)</f>
        <v>-1.0222505261753656</v>
      </c>
      <c r="O66" s="10"/>
      <c r="P66" s="20">
        <f>SUM(OSRRefP22x_0)</f>
        <v>512310.92000000004</v>
      </c>
      <c r="Q66" s="20"/>
      <c r="R66" s="36">
        <f t="shared" ref="R66:R76" si="22">IF(P$12=0,0,P66/P$12)</f>
        <v>0.10347393140650658</v>
      </c>
      <c r="S66" s="20"/>
      <c r="T66" s="20">
        <f>SUM(OSRRefT22x_0)</f>
        <v>533676.05000000005</v>
      </c>
      <c r="U66" s="20"/>
      <c r="V66" s="36">
        <f t="shared" ref="V66:V76" si="23">IF(T$12=0,0,T66/T$12)</f>
        <v>8.8242440764028846E-2</v>
      </c>
      <c r="W66" s="4"/>
      <c r="X66" s="20">
        <f t="shared" ref="X66:X76" si="24">+P66-T66</f>
        <v>-21365.130000000005</v>
      </c>
      <c r="Y66" s="4"/>
      <c r="Z66" s="36">
        <f t="shared" ref="Z66:Z76" si="25">IF(T66=0,0,X66/T66)</f>
        <v>-4.0033893220428392E-2</v>
      </c>
    </row>
    <row r="67" spans="1:26" s="25" customFormat="1" outlineLevel="1" collapsed="1" x14ac:dyDescent="0.35">
      <c r="A67" s="26"/>
      <c r="B67" s="12" t="str">
        <f>CONCATENATE("     ","*Benefits                                         ")</f>
        <v xml:space="preserve">     *Benefits                                         </v>
      </c>
      <c r="C67" s="12"/>
      <c r="D67" s="1">
        <f>SUM(OSRRefD22_0x_0)</f>
        <v>9832.65</v>
      </c>
      <c r="E67" s="1"/>
      <c r="F67" s="5">
        <f t="shared" si="18"/>
        <v>0.44971707019001017</v>
      </c>
      <c r="G67" s="1"/>
      <c r="H67" s="1">
        <f>SUM(OSRRefH22_0x_0)</f>
        <v>4169.8200000000006</v>
      </c>
      <c r="I67" s="1"/>
      <c r="J67" s="5">
        <f t="shared" si="19"/>
        <v>9.4554556252412172E-2</v>
      </c>
      <c r="K67" s="1"/>
      <c r="L67" s="1">
        <f t="shared" si="20"/>
        <v>5662.829999999999</v>
      </c>
      <c r="M67" s="1"/>
      <c r="N67" s="5">
        <f t="shared" si="21"/>
        <v>1.3580514266802879</v>
      </c>
      <c r="O67" s="12"/>
      <c r="P67" s="1">
        <f>SUM(OSRRefP22_0x_0)</f>
        <v>126499.94000000002</v>
      </c>
      <c r="Q67" s="1"/>
      <c r="R67" s="5">
        <f t="shared" si="22"/>
        <v>2.5549808921674362E-2</v>
      </c>
      <c r="S67" s="1"/>
      <c r="T67" s="1">
        <f>SUM(OSRRefT22_0x_0)</f>
        <v>143646.07999999999</v>
      </c>
      <c r="U67" s="1"/>
      <c r="V67" s="5">
        <f t="shared" si="23"/>
        <v>2.3751638668036437E-2</v>
      </c>
      <c r="W67" s="1"/>
      <c r="X67" s="1">
        <f t="shared" si="24"/>
        <v>-17146.13999999997</v>
      </c>
      <c r="Y67" s="1"/>
      <c r="Z67" s="5">
        <f t="shared" si="25"/>
        <v>-0.11936378632817528</v>
      </c>
    </row>
    <row r="68" spans="1:26" s="24" customFormat="1" hidden="1" outlineLevel="2" x14ac:dyDescent="0.35">
      <c r="A68" s="27"/>
      <c r="B68" s="11" t="str">
        <f>CONCATENATE("          ", "6111", " - ", "F.I.C.A.")</f>
        <v xml:space="preserve">          6111 - F.I.C.A.</v>
      </c>
      <c r="C68" s="11"/>
      <c r="D68" s="7">
        <v>1850.99</v>
      </c>
      <c r="E68" s="2"/>
      <c r="F68" s="6">
        <f t="shared" si="18"/>
        <v>8.4658947460858155E-2</v>
      </c>
      <c r="G68" s="2"/>
      <c r="H68" s="7">
        <v>2012.27</v>
      </c>
      <c r="I68" s="2"/>
      <c r="J68" s="6">
        <f t="shared" si="19"/>
        <v>4.5630098399940866E-2</v>
      </c>
      <c r="K68" s="2"/>
      <c r="L68" s="7">
        <f t="shared" si="20"/>
        <v>-161.27999999999997</v>
      </c>
      <c r="M68" s="2"/>
      <c r="N68" s="6">
        <f t="shared" si="21"/>
        <v>-8.0148290239381387E-2</v>
      </c>
      <c r="O68" s="11"/>
      <c r="P68" s="7">
        <v>21700.400000000001</v>
      </c>
      <c r="Q68" s="2"/>
      <c r="R68" s="6">
        <f t="shared" si="22"/>
        <v>4.3829354664034013E-3</v>
      </c>
      <c r="S68" s="2"/>
      <c r="T68" s="7">
        <v>24218.91</v>
      </c>
      <c r="U68" s="2"/>
      <c r="V68" s="6">
        <f t="shared" si="23"/>
        <v>4.0045561929270496E-3</v>
      </c>
      <c r="W68" s="2"/>
      <c r="X68" s="7">
        <f t="shared" si="24"/>
        <v>-2518.5099999999984</v>
      </c>
      <c r="Y68" s="2"/>
      <c r="Z68" s="6">
        <f t="shared" si="25"/>
        <v>-0.10398940332161928</v>
      </c>
    </row>
    <row r="69" spans="1:26" s="24" customFormat="1" hidden="1" outlineLevel="2" x14ac:dyDescent="0.35">
      <c r="A69" s="27"/>
      <c r="B69" s="11" t="str">
        <f>CONCATENATE("          ", "6112", " - ", "COMPENSATION INSURANCE")</f>
        <v xml:space="preserve">          6112 - COMPENSATION INSURANCE</v>
      </c>
      <c r="C69" s="11"/>
      <c r="D69" s="7">
        <v>154.72</v>
      </c>
      <c r="E69" s="2"/>
      <c r="F69" s="6">
        <f t="shared" si="18"/>
        <v>7.0764468479807959E-3</v>
      </c>
      <c r="G69" s="2"/>
      <c r="H69" s="7">
        <v>139.22999999999999</v>
      </c>
      <c r="I69" s="2"/>
      <c r="J69" s="6">
        <f t="shared" si="19"/>
        <v>3.1571700617828453E-3</v>
      </c>
      <c r="K69" s="2"/>
      <c r="L69" s="7">
        <f t="shared" si="20"/>
        <v>15.490000000000009</v>
      </c>
      <c r="M69" s="2"/>
      <c r="N69" s="6">
        <f t="shared" si="21"/>
        <v>0.11125475831358192</v>
      </c>
      <c r="O69" s="11"/>
      <c r="P69" s="7">
        <v>1246.55</v>
      </c>
      <c r="Q69" s="2"/>
      <c r="R69" s="6">
        <f t="shared" si="22"/>
        <v>2.5177177405232893E-4</v>
      </c>
      <c r="S69" s="2"/>
      <c r="T69" s="7">
        <v>1017.08</v>
      </c>
      <c r="U69" s="2"/>
      <c r="V69" s="6">
        <f t="shared" si="23"/>
        <v>1.6817247401729657E-4</v>
      </c>
      <c r="W69" s="2"/>
      <c r="X69" s="7">
        <f t="shared" si="24"/>
        <v>229.46999999999991</v>
      </c>
      <c r="Y69" s="2"/>
      <c r="Z69" s="6">
        <f t="shared" si="25"/>
        <v>0.22561647068077231</v>
      </c>
    </row>
    <row r="70" spans="1:26" s="24" customFormat="1" hidden="1" outlineLevel="2" x14ac:dyDescent="0.35">
      <c r="A70" s="27"/>
      <c r="B70" s="11" t="str">
        <f>CONCATENATE("          ", "6113", " - ", "GROUP INSURANCE")</f>
        <v xml:space="preserve">          6113 - GROUP INSURANCE</v>
      </c>
      <c r="C70" s="11"/>
      <c r="D70" s="7">
        <v>4248.21</v>
      </c>
      <c r="E70" s="2"/>
      <c r="F70" s="6">
        <f t="shared" si="18"/>
        <v>0.19430088071393806</v>
      </c>
      <c r="G70" s="2"/>
      <c r="H70" s="7">
        <v>5576.65</v>
      </c>
      <c r="I70" s="2"/>
      <c r="J70" s="6">
        <f t="shared" si="19"/>
        <v>0.12645573816735836</v>
      </c>
      <c r="K70" s="2"/>
      <c r="L70" s="7">
        <f t="shared" si="20"/>
        <v>-1328.4399999999996</v>
      </c>
      <c r="M70" s="2"/>
      <c r="N70" s="6">
        <f t="shared" si="21"/>
        <v>-0.23821469878869925</v>
      </c>
      <c r="O70" s="11"/>
      <c r="P70" s="7">
        <v>50500.68</v>
      </c>
      <c r="Q70" s="2"/>
      <c r="R70" s="6">
        <f t="shared" si="22"/>
        <v>1.0199868271989867E-2</v>
      </c>
      <c r="S70" s="2"/>
      <c r="T70" s="7">
        <v>63693.340000000004</v>
      </c>
      <c r="U70" s="2"/>
      <c r="V70" s="6">
        <f t="shared" si="23"/>
        <v>1.0531587059252797E-2</v>
      </c>
      <c r="W70" s="2"/>
      <c r="X70" s="7">
        <f t="shared" si="24"/>
        <v>-13192.660000000003</v>
      </c>
      <c r="Y70" s="2"/>
      <c r="Z70" s="6">
        <f t="shared" si="25"/>
        <v>-0.20712777819470612</v>
      </c>
    </row>
    <row r="71" spans="1:26" s="24" customFormat="1" hidden="1" outlineLevel="2" x14ac:dyDescent="0.35">
      <c r="A71" s="27"/>
      <c r="B71" s="11" t="str">
        <f>CONCATENATE("          ", "6114", " - ", "STATE UNEMPLOYMENT INSURANCE")</f>
        <v xml:space="preserve">          6114 - STATE UNEMPLOYMENT INSURANCE</v>
      </c>
      <c r="C71" s="11"/>
      <c r="D71" s="7">
        <v>-745.41</v>
      </c>
      <c r="E71" s="2"/>
      <c r="F71" s="6">
        <f t="shared" si="18"/>
        <v>-3.4092904892407995E-2</v>
      </c>
      <c r="G71" s="2"/>
      <c r="H71" s="7">
        <v>101.75</v>
      </c>
      <c r="I71" s="2"/>
      <c r="J71" s="6">
        <f t="shared" si="19"/>
        <v>2.3072761171184699E-3</v>
      </c>
      <c r="K71" s="2"/>
      <c r="L71" s="7">
        <f t="shared" si="20"/>
        <v>-847.16</v>
      </c>
      <c r="M71" s="2"/>
      <c r="N71" s="6">
        <f t="shared" si="21"/>
        <v>-8.3258968058968055</v>
      </c>
      <c r="O71" s="11"/>
      <c r="P71" s="7">
        <v>0</v>
      </c>
      <c r="Q71" s="2"/>
      <c r="R71" s="6">
        <f t="shared" si="22"/>
        <v>0</v>
      </c>
      <c r="S71" s="2"/>
      <c r="T71" s="7">
        <v>927.11</v>
      </c>
      <c r="U71" s="2"/>
      <c r="V71" s="6">
        <f t="shared" si="23"/>
        <v>1.5329608525010405E-4</v>
      </c>
      <c r="W71" s="2"/>
      <c r="X71" s="7">
        <f t="shared" si="24"/>
        <v>-927.11</v>
      </c>
      <c r="Y71" s="2"/>
      <c r="Z71" s="6">
        <f t="shared" si="25"/>
        <v>-1</v>
      </c>
    </row>
    <row r="72" spans="1:26" s="24" customFormat="1" hidden="1" outlineLevel="2" x14ac:dyDescent="0.35">
      <c r="A72" s="27"/>
      <c r="B72" s="11" t="str">
        <f>CONCATENATE("          ", "6115", " - ", "P.E.R.S.")</f>
        <v xml:space="preserve">          6115 - P.E.R.S.</v>
      </c>
      <c r="C72" s="11"/>
      <c r="D72" s="7">
        <v>1363.4</v>
      </c>
      <c r="E72" s="2"/>
      <c r="F72" s="6">
        <f t="shared" si="18"/>
        <v>6.2357986249592927E-2</v>
      </c>
      <c r="G72" s="2"/>
      <c r="H72" s="7"/>
      <c r="I72" s="2"/>
      <c r="J72" s="6">
        <f t="shared" si="19"/>
        <v>0</v>
      </c>
      <c r="K72" s="2"/>
      <c r="L72" s="7">
        <f t="shared" si="20"/>
        <v>1363.4</v>
      </c>
      <c r="M72" s="2"/>
      <c r="N72" s="6">
        <f t="shared" si="21"/>
        <v>0</v>
      </c>
      <c r="O72" s="11"/>
      <c r="P72" s="7">
        <v>17203.09</v>
      </c>
      <c r="Q72" s="2"/>
      <c r="R72" s="6">
        <f t="shared" si="22"/>
        <v>3.4745918643310576E-3</v>
      </c>
      <c r="S72" s="2"/>
      <c r="T72" s="7">
        <v>15019.929999999998</v>
      </c>
      <c r="U72" s="2"/>
      <c r="V72" s="6">
        <f t="shared" si="23"/>
        <v>2.4835202615985101E-3</v>
      </c>
      <c r="W72" s="2"/>
      <c r="X72" s="7">
        <f t="shared" si="24"/>
        <v>2183.1600000000017</v>
      </c>
      <c r="Y72" s="2"/>
      <c r="Z72" s="6">
        <f t="shared" si="25"/>
        <v>0.14535087713458064</v>
      </c>
    </row>
    <row r="73" spans="1:26" s="24" customFormat="1" hidden="1" outlineLevel="2" x14ac:dyDescent="0.35">
      <c r="A73" s="27"/>
      <c r="B73" s="11" t="str">
        <f>CONCATENATE("          ", "6117", " - ", "RETIREMENT STAFF HOURLY")</f>
        <v xml:space="preserve">          6117 - RETIREMENT STAFF HOURLY</v>
      </c>
      <c r="C73" s="11"/>
      <c r="D73" s="7">
        <v>220.92</v>
      </c>
      <c r="E73" s="2"/>
      <c r="F73" s="6">
        <f t="shared" si="18"/>
        <v>1.0104244038624078E-2</v>
      </c>
      <c r="G73" s="2"/>
      <c r="H73" s="7">
        <v>254.39</v>
      </c>
      <c r="I73" s="2"/>
      <c r="J73" s="6">
        <f t="shared" si="19"/>
        <v>5.7685304317814986E-3</v>
      </c>
      <c r="K73" s="2"/>
      <c r="L73" s="7">
        <f t="shared" si="20"/>
        <v>-33.47</v>
      </c>
      <c r="M73" s="2"/>
      <c r="N73" s="6">
        <f t="shared" si="21"/>
        <v>-0.13156963717127246</v>
      </c>
      <c r="O73" s="11"/>
      <c r="P73" s="7">
        <v>2010.19</v>
      </c>
      <c r="Q73" s="2"/>
      <c r="R73" s="6">
        <f t="shared" si="22"/>
        <v>4.0600786368958416E-4</v>
      </c>
      <c r="S73" s="2"/>
      <c r="T73" s="7">
        <v>3156.29</v>
      </c>
      <c r="U73" s="2"/>
      <c r="V73" s="6">
        <f t="shared" si="23"/>
        <v>5.2188726355454132E-4</v>
      </c>
      <c r="W73" s="2"/>
      <c r="X73" s="7">
        <f t="shared" si="24"/>
        <v>-1146.0999999999999</v>
      </c>
      <c r="Y73" s="2"/>
      <c r="Z73" s="6">
        <f t="shared" si="25"/>
        <v>-0.36311619021065872</v>
      </c>
    </row>
    <row r="74" spans="1:26" s="24" customFormat="1" hidden="1" outlineLevel="2" x14ac:dyDescent="0.35">
      <c r="A74" s="27"/>
      <c r="B74" s="11" t="str">
        <f>CONCATENATE("          ", "6118", " - ", "VACATION")</f>
        <v xml:space="preserve">          6118 - VACATION</v>
      </c>
      <c r="C74" s="11"/>
      <c r="D74" s="7">
        <v>1355.16</v>
      </c>
      <c r="E74" s="2"/>
      <c r="F74" s="6">
        <f t="shared" si="18"/>
        <v>6.1981112399881438E-2</v>
      </c>
      <c r="G74" s="2"/>
      <c r="H74" s="7">
        <v>1023.5</v>
      </c>
      <c r="I74" s="2"/>
      <c r="J74" s="6">
        <f t="shared" si="19"/>
        <v>2.3208816765314534E-2</v>
      </c>
      <c r="K74" s="2"/>
      <c r="L74" s="7">
        <f t="shared" si="20"/>
        <v>331.66000000000008</v>
      </c>
      <c r="M74" s="2"/>
      <c r="N74" s="6">
        <f t="shared" si="21"/>
        <v>0.32404494382022481</v>
      </c>
      <c r="O74" s="11"/>
      <c r="P74" s="7">
        <v>13353.38</v>
      </c>
      <c r="Q74" s="2"/>
      <c r="R74" s="6">
        <f t="shared" si="22"/>
        <v>2.6970471879947762E-3</v>
      </c>
      <c r="S74" s="2"/>
      <c r="T74" s="7">
        <v>18390.510000000002</v>
      </c>
      <c r="U74" s="2"/>
      <c r="V74" s="6">
        <f t="shared" si="23"/>
        <v>3.0408400176385659E-3</v>
      </c>
      <c r="W74" s="2"/>
      <c r="X74" s="7">
        <f t="shared" si="24"/>
        <v>-5037.1300000000028</v>
      </c>
      <c r="Y74" s="2"/>
      <c r="Z74" s="6">
        <f t="shared" si="25"/>
        <v>-0.27389833125889396</v>
      </c>
    </row>
    <row r="75" spans="1:26" s="24" customFormat="1" hidden="1" outlineLevel="2" x14ac:dyDescent="0.35">
      <c r="A75" s="27"/>
      <c r="B75" s="11" t="str">
        <f>CONCATENATE("          ", "6119", " - ", "SICK LEAVE")</f>
        <v xml:space="preserve">          6119 - SICK LEAVE</v>
      </c>
      <c r="C75" s="11"/>
      <c r="D75" s="7">
        <v>944.6</v>
      </c>
      <c r="E75" s="2"/>
      <c r="F75" s="6">
        <f t="shared" si="18"/>
        <v>4.3203281363771072E-2</v>
      </c>
      <c r="G75" s="2"/>
      <c r="H75" s="7">
        <v>-5655.34</v>
      </c>
      <c r="I75" s="2"/>
      <c r="J75" s="6">
        <f t="shared" si="19"/>
        <v>-0.12824010728437119</v>
      </c>
      <c r="K75" s="2"/>
      <c r="L75" s="7">
        <f t="shared" si="20"/>
        <v>6599.9400000000005</v>
      </c>
      <c r="M75" s="2"/>
      <c r="N75" s="6">
        <f t="shared" si="21"/>
        <v>-1.1670279770977519</v>
      </c>
      <c r="O75" s="11"/>
      <c r="P75" s="7">
        <v>13903.49</v>
      </c>
      <c r="Q75" s="2"/>
      <c r="R75" s="6">
        <f t="shared" si="22"/>
        <v>2.8081555836659703E-3</v>
      </c>
      <c r="S75" s="2"/>
      <c r="T75" s="7">
        <v>8754.35</v>
      </c>
      <c r="U75" s="2"/>
      <c r="V75" s="6">
        <f t="shared" si="23"/>
        <v>1.4475171057471586E-3</v>
      </c>
      <c r="W75" s="2"/>
      <c r="X75" s="7">
        <f t="shared" si="24"/>
        <v>5149.1399999999994</v>
      </c>
      <c r="Y75" s="2"/>
      <c r="Z75" s="6">
        <f t="shared" si="25"/>
        <v>0.58818073300701923</v>
      </c>
    </row>
    <row r="76" spans="1:26" s="24" customFormat="1" hidden="1" outlineLevel="2" x14ac:dyDescent="0.35">
      <c r="A76" s="27"/>
      <c r="B76" s="11" t="str">
        <f>CONCATENATE("          ", "6156", " - ", "EMPLOYEE MEALS")</f>
        <v xml:space="preserve">          6156 - EMPLOYEE MEALS</v>
      </c>
      <c r="C76" s="11"/>
      <c r="D76" s="7">
        <v>440.06</v>
      </c>
      <c r="E76" s="2"/>
      <c r="F76" s="6">
        <f t="shared" si="18"/>
        <v>2.0127076007771645E-2</v>
      </c>
      <c r="G76" s="2"/>
      <c r="H76" s="7">
        <v>717.37</v>
      </c>
      <c r="I76" s="2"/>
      <c r="J76" s="6">
        <f t="shared" si="19"/>
        <v>1.626703359348675E-2</v>
      </c>
      <c r="K76" s="2"/>
      <c r="L76" s="7">
        <f t="shared" si="20"/>
        <v>-277.31</v>
      </c>
      <c r="M76" s="2"/>
      <c r="N76" s="6">
        <f t="shared" si="21"/>
        <v>-0.38656481313687496</v>
      </c>
      <c r="O76" s="11"/>
      <c r="P76" s="7">
        <v>6582.16</v>
      </c>
      <c r="Q76" s="2"/>
      <c r="R76" s="6">
        <f t="shared" si="22"/>
        <v>1.3294309095473727E-3</v>
      </c>
      <c r="S76" s="2"/>
      <c r="T76" s="7">
        <v>8468.56</v>
      </c>
      <c r="U76" s="2"/>
      <c r="V76" s="6">
        <f t="shared" si="23"/>
        <v>1.4002622080504156E-3</v>
      </c>
      <c r="W76" s="2"/>
      <c r="X76" s="7">
        <f t="shared" si="24"/>
        <v>-1886.3999999999996</v>
      </c>
      <c r="Y76" s="2"/>
      <c r="Z76" s="6">
        <f t="shared" si="25"/>
        <v>-0.22275333704903783</v>
      </c>
    </row>
    <row r="77" spans="1:26" s="25" customFormat="1" outlineLevel="1" collapsed="1" x14ac:dyDescent="0.35">
      <c r="A77" s="26"/>
      <c r="B77" s="12" t="str">
        <f>CONCATENATE("     ","*Payroll                                          ")</f>
        <v xml:space="preserve">     *Payroll                                          </v>
      </c>
      <c r="C77" s="12"/>
      <c r="D77" s="1">
        <f>SUM(OSRRefD22_1x_0)</f>
        <v>24597.489999999998</v>
      </c>
      <c r="E77" s="1"/>
      <c r="F77" s="5">
        <f t="shared" ref="F77:F82" si="26">IF(D$12=0,0,D77/D$12)</f>
        <v>1.1250182948470731</v>
      </c>
      <c r="G77" s="1"/>
      <c r="H77" s="1">
        <f>SUM(OSRRefH22_1x_0)</f>
        <v>24586.86</v>
      </c>
      <c r="I77" s="1"/>
      <c r="J77" s="5">
        <f t="shared" ref="J77:J82" si="27">IF(H$12=0,0,H77/H$12)</f>
        <v>0.55752997418118344</v>
      </c>
      <c r="K77" s="1"/>
      <c r="L77" s="1">
        <f t="shared" ref="L77:L82" si="28">+D77-H77</f>
        <v>10.629999999997381</v>
      </c>
      <c r="M77" s="1"/>
      <c r="N77" s="5">
        <f t="shared" ref="N77:N82" si="29">IF(H77=0,0,L77/H77)</f>
        <v>4.3234475650804456E-4</v>
      </c>
      <c r="O77" s="12"/>
      <c r="P77" s="1">
        <f>SUM(OSRRefP22_1x_0)</f>
        <v>331883.90000000002</v>
      </c>
      <c r="Q77" s="1"/>
      <c r="R77" s="5">
        <f t="shared" ref="R77:R82" si="30">IF(P$12=0,0,P77/P$12)</f>
        <v>6.703220751867614E-2</v>
      </c>
      <c r="S77" s="1"/>
      <c r="T77" s="1">
        <f>SUM(OSRRefT22_1x_0)</f>
        <v>344412.48</v>
      </c>
      <c r="U77" s="1"/>
      <c r="V77" s="5">
        <f t="shared" ref="V77:V82" si="31">IF(T$12=0,0,T77/T$12)</f>
        <v>5.6948026550549286E-2</v>
      </c>
      <c r="W77" s="1"/>
      <c r="X77" s="1">
        <f t="shared" ref="X77:X82" si="32">+P77-T77</f>
        <v>-12528.579999999958</v>
      </c>
      <c r="Y77" s="1"/>
      <c r="Z77" s="5">
        <f t="shared" ref="Z77:Z82" si="33">IF(T77=0,0,X77/T77)</f>
        <v>-3.6376672529404158E-2</v>
      </c>
    </row>
    <row r="78" spans="1:26" s="24" customFormat="1" hidden="1" outlineLevel="2" x14ac:dyDescent="0.35">
      <c r="A78" s="27"/>
      <c r="B78" s="11" t="str">
        <f>CONCATENATE("          ", "6002", " - ", "STAFF SALARIES")</f>
        <v xml:space="preserve">          6002 - STAFF SALARIES</v>
      </c>
      <c r="C78" s="11"/>
      <c r="D78" s="7">
        <v>14558.33</v>
      </c>
      <c r="E78" s="2"/>
      <c r="F78" s="6">
        <f t="shared" si="26"/>
        <v>0.66585605248425717</v>
      </c>
      <c r="G78" s="2"/>
      <c r="H78" s="7">
        <v>13661.74</v>
      </c>
      <c r="I78" s="2"/>
      <c r="J78" s="6">
        <f t="shared" si="27"/>
        <v>0.3097926920912244</v>
      </c>
      <c r="K78" s="2"/>
      <c r="L78" s="7">
        <f t="shared" si="28"/>
        <v>896.59000000000015</v>
      </c>
      <c r="M78" s="2"/>
      <c r="N78" s="6">
        <f t="shared" si="29"/>
        <v>6.562780436459778E-2</v>
      </c>
      <c r="O78" s="11"/>
      <c r="P78" s="7">
        <v>186567.11000000002</v>
      </c>
      <c r="Q78" s="2"/>
      <c r="R78" s="6">
        <f t="shared" si="30"/>
        <v>3.7681867766648752E-2</v>
      </c>
      <c r="S78" s="2"/>
      <c r="T78" s="7">
        <v>166496.35999999999</v>
      </c>
      <c r="U78" s="2"/>
      <c r="V78" s="6">
        <f t="shared" si="31"/>
        <v>2.752989418342161E-2</v>
      </c>
      <c r="W78" s="2"/>
      <c r="X78" s="7">
        <f t="shared" si="32"/>
        <v>20070.750000000029</v>
      </c>
      <c r="Y78" s="2"/>
      <c r="Z78" s="6">
        <f t="shared" si="33"/>
        <v>0.12054768044178282</v>
      </c>
    </row>
    <row r="79" spans="1:26" s="24" customFormat="1" hidden="1" outlineLevel="2" x14ac:dyDescent="0.35">
      <c r="A79" s="27"/>
      <c r="B79" s="11" t="str">
        <f>CONCATENATE("          ", "6004", " - ", "STAFF HOURLY")</f>
        <v xml:space="preserve">          6004 - STAFF HOURLY</v>
      </c>
      <c r="C79" s="11"/>
      <c r="D79" s="7">
        <v>5669.27</v>
      </c>
      <c r="E79" s="2"/>
      <c r="F79" s="6">
        <f t="shared" si="26"/>
        <v>0.25929606916915776</v>
      </c>
      <c r="G79" s="2"/>
      <c r="H79" s="7">
        <v>4906.1499999999996</v>
      </c>
      <c r="I79" s="2"/>
      <c r="J79" s="6">
        <f t="shared" si="27"/>
        <v>0.11125152552334919</v>
      </c>
      <c r="K79" s="2"/>
      <c r="L79" s="7">
        <f t="shared" si="28"/>
        <v>763.1200000000008</v>
      </c>
      <c r="M79" s="2"/>
      <c r="N79" s="6">
        <f t="shared" si="29"/>
        <v>0.15554355248005072</v>
      </c>
      <c r="O79" s="11"/>
      <c r="P79" s="7">
        <v>51297.07</v>
      </c>
      <c r="Q79" s="2"/>
      <c r="R79" s="6">
        <f t="shared" si="30"/>
        <v>1.0360719038615782E-2</v>
      </c>
      <c r="S79" s="2"/>
      <c r="T79" s="7">
        <v>73255.8</v>
      </c>
      <c r="U79" s="2"/>
      <c r="V79" s="6">
        <f t="shared" si="31"/>
        <v>1.2112723799618785E-2</v>
      </c>
      <c r="W79" s="2"/>
      <c r="X79" s="7">
        <f t="shared" si="32"/>
        <v>-21958.730000000003</v>
      </c>
      <c r="Y79" s="2"/>
      <c r="Z79" s="6">
        <f t="shared" si="33"/>
        <v>-0.29975414915952053</v>
      </c>
    </row>
    <row r="80" spans="1:26" s="24" customFormat="1" hidden="1" outlineLevel="2" x14ac:dyDescent="0.35">
      <c r="A80" s="27"/>
      <c r="B80" s="11" t="str">
        <f>CONCATENATE("          ", "6005", " - ", "TEMPORARY WAGES-HOURLY")</f>
        <v xml:space="preserve">          6005 - TEMPORARY WAGES-HOURLY</v>
      </c>
      <c r="C80" s="11"/>
      <c r="D80" s="7">
        <v>1731.67</v>
      </c>
      <c r="E80" s="2"/>
      <c r="F80" s="6">
        <f t="shared" si="26"/>
        <v>7.9201594578870896E-2</v>
      </c>
      <c r="G80" s="2"/>
      <c r="H80" s="7">
        <v>1429.54</v>
      </c>
      <c r="I80" s="2"/>
      <c r="J80" s="6">
        <f t="shared" si="27"/>
        <v>3.241615233872764E-2</v>
      </c>
      <c r="K80" s="2"/>
      <c r="L80" s="7">
        <f t="shared" si="28"/>
        <v>302.13000000000011</v>
      </c>
      <c r="M80" s="2"/>
      <c r="N80" s="6">
        <f t="shared" si="29"/>
        <v>0.21134770625515908</v>
      </c>
      <c r="O80" s="11"/>
      <c r="P80" s="7">
        <v>26163.919999999998</v>
      </c>
      <c r="Q80" s="2"/>
      <c r="R80" s="6">
        <f t="shared" si="30"/>
        <v>5.2844543376224058E-3</v>
      </c>
      <c r="S80" s="2"/>
      <c r="T80" s="7">
        <v>39906.780000000006</v>
      </c>
      <c r="U80" s="2"/>
      <c r="V80" s="6">
        <f t="shared" si="31"/>
        <v>6.5985192144806413E-3</v>
      </c>
      <c r="W80" s="2"/>
      <c r="X80" s="7">
        <f t="shared" si="32"/>
        <v>-13742.860000000008</v>
      </c>
      <c r="Y80" s="2"/>
      <c r="Z80" s="6">
        <f t="shared" si="33"/>
        <v>-0.34437406375558255</v>
      </c>
    </row>
    <row r="81" spans="1:26" s="24" customFormat="1" hidden="1" outlineLevel="2" x14ac:dyDescent="0.35">
      <c r="A81" s="27"/>
      <c r="B81" s="11" t="str">
        <f>CONCATENATE("          ", "6006", " - ", "TEMPORARY PART TIME")</f>
        <v xml:space="preserve">          6006 - TEMPORARY PART TIME</v>
      </c>
      <c r="C81" s="11"/>
      <c r="D81" s="7">
        <v>899.18</v>
      </c>
      <c r="E81" s="2"/>
      <c r="F81" s="6">
        <f t="shared" si="26"/>
        <v>4.1125901478589529E-2</v>
      </c>
      <c r="G81" s="2"/>
      <c r="H81" s="7"/>
      <c r="I81" s="2"/>
      <c r="J81" s="6">
        <f t="shared" si="27"/>
        <v>0</v>
      </c>
      <c r="K81" s="2"/>
      <c r="L81" s="7">
        <f t="shared" si="28"/>
        <v>899.18</v>
      </c>
      <c r="M81" s="2"/>
      <c r="N81" s="6">
        <f t="shared" si="29"/>
        <v>0</v>
      </c>
      <c r="O81" s="11"/>
      <c r="P81" s="7">
        <v>6181.55</v>
      </c>
      <c r="Q81" s="2"/>
      <c r="R81" s="6">
        <f t="shared" si="30"/>
        <v>1.2485177569236485E-3</v>
      </c>
      <c r="S81" s="2"/>
      <c r="T81" s="7">
        <v>3834.31</v>
      </c>
      <c r="U81" s="2"/>
      <c r="V81" s="6">
        <f t="shared" si="31"/>
        <v>6.3399673462191794E-4</v>
      </c>
      <c r="W81" s="2"/>
      <c r="X81" s="7">
        <f t="shared" si="32"/>
        <v>2347.2400000000002</v>
      </c>
      <c r="Y81" s="2"/>
      <c r="Z81" s="6">
        <f t="shared" si="33"/>
        <v>0.61216750862606317</v>
      </c>
    </row>
    <row r="82" spans="1:26" s="24" customFormat="1" hidden="1" outlineLevel="2" x14ac:dyDescent="0.35">
      <c r="A82" s="27"/>
      <c r="B82" s="11" t="str">
        <f>CONCATENATE("          ", "6007", " - ", "STUDENT HOURLY")</f>
        <v xml:space="preserve">          6007 - STUDENT HOURLY</v>
      </c>
      <c r="C82" s="11"/>
      <c r="D82" s="7">
        <v>1739.04</v>
      </c>
      <c r="E82" s="2"/>
      <c r="F82" s="6">
        <f t="shared" si="26"/>
        <v>7.9538677136197791E-2</v>
      </c>
      <c r="G82" s="2"/>
      <c r="H82" s="7">
        <v>4589.43</v>
      </c>
      <c r="I82" s="2"/>
      <c r="J82" s="6">
        <f t="shared" si="27"/>
        <v>0.10406960422788225</v>
      </c>
      <c r="K82" s="2"/>
      <c r="L82" s="7">
        <f t="shared" si="28"/>
        <v>-2850.3900000000003</v>
      </c>
      <c r="M82" s="2"/>
      <c r="N82" s="6">
        <f t="shared" si="29"/>
        <v>-0.62107712722494957</v>
      </c>
      <c r="O82" s="11"/>
      <c r="P82" s="7">
        <v>61674.25</v>
      </c>
      <c r="Q82" s="2"/>
      <c r="R82" s="6">
        <f t="shared" si="30"/>
        <v>1.2456648618865548E-2</v>
      </c>
      <c r="S82" s="2"/>
      <c r="T82" s="7">
        <v>60919.229999999996</v>
      </c>
      <c r="U82" s="2"/>
      <c r="V82" s="6">
        <f t="shared" si="31"/>
        <v>1.0072892618406331E-2</v>
      </c>
      <c r="W82" s="2"/>
      <c r="X82" s="7">
        <f t="shared" si="32"/>
        <v>755.02000000000407</v>
      </c>
      <c r="Y82" s="2"/>
      <c r="Z82" s="6">
        <f t="shared" si="33"/>
        <v>1.2393787643080915E-2</v>
      </c>
    </row>
    <row r="83" spans="1:26" s="25" customFormat="1" outlineLevel="1" collapsed="1" x14ac:dyDescent="0.35">
      <c r="A83" s="26"/>
      <c r="B83" s="12" t="str">
        <f>CONCATENATE("     ","Advertising/Promo                                 ")</f>
        <v xml:space="preserve">     Advertising/Promo                                 </v>
      </c>
      <c r="C83" s="12"/>
      <c r="D83" s="1">
        <f>SUM(OSRRefD22_2x_0)</f>
        <v>0</v>
      </c>
      <c r="E83" s="1"/>
      <c r="F83" s="5">
        <f t="shared" ref="F83:F87" si="34">IF(D$12=0,0,D83/D$12)</f>
        <v>0</v>
      </c>
      <c r="G83" s="1"/>
      <c r="H83" s="1">
        <f>SUM(OSRRefH22_2x_0)</f>
        <v>88.87</v>
      </c>
      <c r="I83" s="1"/>
      <c r="J83" s="5">
        <f t="shared" ref="J83:J87" si="35">IF(H$12=0,0,H83/H$12)</f>
        <v>2.0152101083864217E-3</v>
      </c>
      <c r="K83" s="1"/>
      <c r="L83" s="1">
        <f t="shared" ref="L83:L87" si="36">+D83-H83</f>
        <v>-88.87</v>
      </c>
      <c r="M83" s="1"/>
      <c r="N83" s="5">
        <f t="shared" ref="N83:N87" si="37">IF(H83=0,0,L83/H83)</f>
        <v>-1</v>
      </c>
      <c r="O83" s="12"/>
      <c r="P83" s="1">
        <f>SUM(OSRRefP22_2x_0)</f>
        <v>3981.59</v>
      </c>
      <c r="Q83" s="1"/>
      <c r="R83" s="5">
        <f t="shared" ref="R83:R87" si="38">IF(P$12=0,0,P83/P$12)</f>
        <v>8.0418112217641694E-4</v>
      </c>
      <c r="S83" s="1"/>
      <c r="T83" s="1">
        <f>SUM(OSRRefT22_2x_0)</f>
        <v>6510.95</v>
      </c>
      <c r="U83" s="1"/>
      <c r="V83" s="5">
        <f t="shared" ref="V83:V87" si="39">IF(T$12=0,0,T83/T$12)</f>
        <v>1.0765746742664461E-3</v>
      </c>
      <c r="W83" s="1"/>
      <c r="X83" s="1">
        <f t="shared" ref="X83:X87" si="40">+P83-T83</f>
        <v>-2529.3599999999997</v>
      </c>
      <c r="Y83" s="1"/>
      <c r="Z83" s="5">
        <f t="shared" ref="Z83:Z87" si="41">IF(T83=0,0,X83/T83)</f>
        <v>-0.38847787189273453</v>
      </c>
    </row>
    <row r="84" spans="1:26" s="24" customFormat="1" hidden="1" outlineLevel="2" x14ac:dyDescent="0.35">
      <c r="A84" s="27"/>
      <c r="B84" s="11" t="str">
        <f>CONCATENATE("          ", "6362", " - ", "ADVERTISING EXPENSE")</f>
        <v xml:space="preserve">          6362 - ADVERTISING EXPENSE</v>
      </c>
      <c r="C84" s="11"/>
      <c r="D84" s="7"/>
      <c r="E84" s="2"/>
      <c r="F84" s="6">
        <f t="shared" si="34"/>
        <v>0</v>
      </c>
      <c r="G84" s="2"/>
      <c r="H84" s="7">
        <v>88.87</v>
      </c>
      <c r="I84" s="2"/>
      <c r="J84" s="6">
        <f t="shared" si="35"/>
        <v>2.0152101083864217E-3</v>
      </c>
      <c r="K84" s="2"/>
      <c r="L84" s="7">
        <f t="shared" si="36"/>
        <v>-88.87</v>
      </c>
      <c r="M84" s="2"/>
      <c r="N84" s="6">
        <f t="shared" si="37"/>
        <v>-1</v>
      </c>
      <c r="O84" s="11"/>
      <c r="P84" s="7">
        <v>3981.59</v>
      </c>
      <c r="Q84" s="2"/>
      <c r="R84" s="6">
        <f t="shared" si="38"/>
        <v>8.0418112217641694E-4</v>
      </c>
      <c r="S84" s="2"/>
      <c r="T84" s="7">
        <v>6510.95</v>
      </c>
      <c r="U84" s="2"/>
      <c r="V84" s="6">
        <f t="shared" si="39"/>
        <v>1.0765746742664461E-3</v>
      </c>
      <c r="W84" s="2"/>
      <c r="X84" s="7">
        <f t="shared" si="40"/>
        <v>-2529.3599999999997</v>
      </c>
      <c r="Y84" s="2"/>
      <c r="Z84" s="6">
        <f t="shared" si="41"/>
        <v>-0.38847787189273453</v>
      </c>
    </row>
    <row r="85" spans="1:26" s="25" customFormat="1" outlineLevel="1" collapsed="1" x14ac:dyDescent="0.35">
      <c r="A85" s="26"/>
      <c r="B85" s="12" t="str">
        <f>CONCATENATE("     ","Discounts and Markdowns                           ")</f>
        <v xml:space="preserve">     Discounts and Markdowns                           </v>
      </c>
      <c r="C85" s="12"/>
      <c r="D85" s="1">
        <f>SUM(OSRRefD22_3x_0)</f>
        <v>321.91000000000003</v>
      </c>
      <c r="E85" s="1"/>
      <c r="F85" s="5">
        <f t="shared" si="34"/>
        <v>1.4723235553474006E-2</v>
      </c>
      <c r="G85" s="1"/>
      <c r="H85" s="1">
        <f>SUM(OSRRefH22_3x_0)</f>
        <v>276.29000000000002</v>
      </c>
      <c r="I85" s="1"/>
      <c r="J85" s="5">
        <f t="shared" si="35"/>
        <v>6.2651333503554009E-3</v>
      </c>
      <c r="K85" s="1"/>
      <c r="L85" s="1">
        <f t="shared" si="36"/>
        <v>45.620000000000005</v>
      </c>
      <c r="M85" s="1"/>
      <c r="N85" s="5">
        <f t="shared" si="37"/>
        <v>0.1651163632415216</v>
      </c>
      <c r="O85" s="12"/>
      <c r="P85" s="1">
        <f>SUM(OSRRefP22_3x_0)</f>
        <v>629.67000000000007</v>
      </c>
      <c r="Q85" s="1"/>
      <c r="R85" s="5">
        <f t="shared" si="38"/>
        <v>1.2717751631906462E-4</v>
      </c>
      <c r="S85" s="1"/>
      <c r="T85" s="1">
        <f>SUM(OSRRefT22_3x_0)</f>
        <v>33246.07</v>
      </c>
      <c r="U85" s="1"/>
      <c r="V85" s="5">
        <f t="shared" si="39"/>
        <v>5.4971819751172199E-3</v>
      </c>
      <c r="W85" s="1"/>
      <c r="X85" s="1">
        <f t="shared" si="40"/>
        <v>-32616.400000000001</v>
      </c>
      <c r="Y85" s="1"/>
      <c r="Z85" s="5">
        <f t="shared" si="41"/>
        <v>-0.98106031780598435</v>
      </c>
    </row>
    <row r="86" spans="1:26" s="24" customFormat="1" hidden="1" outlineLevel="2" x14ac:dyDescent="0.35">
      <c r="A86" s="27"/>
      <c r="B86" s="11" t="str">
        <f>CONCATENATE("          ", "6382", " - ", "DISCOUNTS/MARK DOWNS")</f>
        <v xml:space="preserve">          6382 - DISCOUNTS/MARK DOWNS</v>
      </c>
      <c r="C86" s="11"/>
      <c r="D86" s="7">
        <v>321.91000000000003</v>
      </c>
      <c r="E86" s="2"/>
      <c r="F86" s="6">
        <f t="shared" si="34"/>
        <v>1.4723235553474006E-2</v>
      </c>
      <c r="G86" s="2"/>
      <c r="H86" s="7">
        <v>276.16000000000003</v>
      </c>
      <c r="I86" s="2"/>
      <c r="J86" s="6">
        <f t="shared" si="35"/>
        <v>6.262185479149255E-3</v>
      </c>
      <c r="K86" s="2"/>
      <c r="L86" s="7">
        <f t="shared" si="36"/>
        <v>45.75</v>
      </c>
      <c r="M86" s="2"/>
      <c r="N86" s="6">
        <f t="shared" si="37"/>
        <v>0.16566483198146001</v>
      </c>
      <c r="O86" s="11"/>
      <c r="P86" s="7">
        <v>1081.94</v>
      </c>
      <c r="Q86" s="2"/>
      <c r="R86" s="6">
        <f t="shared" si="38"/>
        <v>2.1852469072093121E-4</v>
      </c>
      <c r="S86" s="2"/>
      <c r="T86" s="7">
        <v>33456.300000000003</v>
      </c>
      <c r="U86" s="2"/>
      <c r="V86" s="6">
        <f t="shared" si="39"/>
        <v>5.5319431534047265E-3</v>
      </c>
      <c r="W86" s="2"/>
      <c r="X86" s="7">
        <f t="shared" si="40"/>
        <v>-32374.360000000004</v>
      </c>
      <c r="Y86" s="2"/>
      <c r="Z86" s="6">
        <f t="shared" si="41"/>
        <v>-0.96766109820870816</v>
      </c>
    </row>
    <row r="87" spans="1:26" s="24" customFormat="1" hidden="1" outlineLevel="2" x14ac:dyDescent="0.35">
      <c r="A87" s="27"/>
      <c r="B87" s="11" t="str">
        <f>CONCATENATE("          ", "9175", " - ", "EARNED DISCOUNTS")</f>
        <v xml:space="preserve">          9175 - EARNED DISCOUNTS</v>
      </c>
      <c r="C87" s="11"/>
      <c r="D87" s="7"/>
      <c r="E87" s="2"/>
      <c r="F87" s="6">
        <f t="shared" si="34"/>
        <v>0</v>
      </c>
      <c r="G87" s="2"/>
      <c r="H87" s="7">
        <v>0.13</v>
      </c>
      <c r="I87" s="2"/>
      <c r="J87" s="6">
        <f t="shared" si="35"/>
        <v>2.9478712061464479E-6</v>
      </c>
      <c r="K87" s="2"/>
      <c r="L87" s="7">
        <f t="shared" si="36"/>
        <v>-0.13</v>
      </c>
      <c r="M87" s="2"/>
      <c r="N87" s="6">
        <f t="shared" si="37"/>
        <v>-1</v>
      </c>
      <c r="O87" s="11"/>
      <c r="P87" s="7">
        <v>-452.27</v>
      </c>
      <c r="Q87" s="2"/>
      <c r="R87" s="6">
        <f t="shared" si="38"/>
        <v>-9.1347174401866597E-5</v>
      </c>
      <c r="S87" s="2"/>
      <c r="T87" s="7">
        <v>-210.23</v>
      </c>
      <c r="U87" s="2"/>
      <c r="V87" s="6">
        <f t="shared" si="39"/>
        <v>-3.4761178287505657E-5</v>
      </c>
      <c r="W87" s="2"/>
      <c r="X87" s="7">
        <f t="shared" si="40"/>
        <v>-242.04</v>
      </c>
      <c r="Y87" s="2"/>
      <c r="Z87" s="6">
        <f t="shared" si="41"/>
        <v>1.1513104694858012</v>
      </c>
    </row>
    <row r="88" spans="1:26" s="25" customFormat="1" outlineLevel="1" collapsed="1" x14ac:dyDescent="0.35">
      <c r="A88" s="26"/>
      <c r="B88" s="12" t="str">
        <f>CONCATENATE("     ","Employees' Appreciation                           ")</f>
        <v xml:space="preserve">     Employees' Appreciation                           </v>
      </c>
      <c r="C88" s="12"/>
      <c r="D88" s="1">
        <f>SUM(OSRRefD22_4x_0)</f>
        <v>0</v>
      </c>
      <c r="E88" s="1"/>
      <c r="F88" s="5">
        <f t="shared" ref="F88:F94" si="42">IF(D$12=0,0,D88/D$12)</f>
        <v>0</v>
      </c>
      <c r="G88" s="1"/>
      <c r="H88" s="1">
        <f>SUM(OSRRefH22_4x_0)</f>
        <v>45.37</v>
      </c>
      <c r="I88" s="1"/>
      <c r="J88" s="5">
        <f t="shared" ref="J88:J94" si="43">IF(H$12=0,0,H88/H$12)</f>
        <v>1.0288070509451102E-3</v>
      </c>
      <c r="K88" s="1"/>
      <c r="L88" s="1">
        <f t="shared" ref="L88:L94" si="44">+D88-H88</f>
        <v>-45.37</v>
      </c>
      <c r="M88" s="1"/>
      <c r="N88" s="5">
        <f t="shared" ref="N88:N94" si="45">IF(H88=0,0,L88/H88)</f>
        <v>-1</v>
      </c>
      <c r="O88" s="12"/>
      <c r="P88" s="1">
        <f>SUM(OSRRefP22_4x_0)</f>
        <v>120.18</v>
      </c>
      <c r="Q88" s="1"/>
      <c r="R88" s="5">
        <f t="shared" ref="R88:R94" si="46">IF(P$12=0,0,P88/P$12)</f>
        <v>2.4273339862507636E-5</v>
      </c>
      <c r="S88" s="1"/>
      <c r="T88" s="1">
        <f>SUM(OSRRefT22_4x_0)</f>
        <v>545.34</v>
      </c>
      <c r="U88" s="1"/>
      <c r="V88" s="5">
        <f t="shared" ref="V88:V94" si="47">IF(T$12=0,0,T88/T$12)</f>
        <v>9.0171055355126937E-5</v>
      </c>
      <c r="W88" s="1"/>
      <c r="X88" s="1">
        <f t="shared" ref="X88:X94" si="48">+P88-T88</f>
        <v>-425.16</v>
      </c>
      <c r="Y88" s="1"/>
      <c r="Z88" s="5">
        <f t="shared" ref="Z88:Z94" si="49">IF(T88=0,0,X88/T88)</f>
        <v>-0.77962372098140609</v>
      </c>
    </row>
    <row r="89" spans="1:26" s="24" customFormat="1" hidden="1" outlineLevel="2" x14ac:dyDescent="0.35">
      <c r="A89" s="27"/>
      <c r="B89" s="11" t="str">
        <f>CONCATENATE("          ", "6277", " - ", "EMPLOYEE APPRECIATION")</f>
        <v xml:space="preserve">          6277 - EMPLOYEE APPRECIATION</v>
      </c>
      <c r="C89" s="11"/>
      <c r="D89" s="7"/>
      <c r="E89" s="2"/>
      <c r="F89" s="6">
        <f t="shared" si="42"/>
        <v>0</v>
      </c>
      <c r="G89" s="2"/>
      <c r="H89" s="7">
        <v>45.37</v>
      </c>
      <c r="I89" s="2"/>
      <c r="J89" s="6">
        <f t="shared" si="43"/>
        <v>1.0288070509451102E-3</v>
      </c>
      <c r="K89" s="2"/>
      <c r="L89" s="7">
        <f t="shared" si="44"/>
        <v>-45.37</v>
      </c>
      <c r="M89" s="2"/>
      <c r="N89" s="6">
        <f t="shared" si="45"/>
        <v>-1</v>
      </c>
      <c r="O89" s="11"/>
      <c r="P89" s="7">
        <v>120.18</v>
      </c>
      <c r="Q89" s="2"/>
      <c r="R89" s="6">
        <f t="shared" si="46"/>
        <v>2.4273339862507636E-5</v>
      </c>
      <c r="S89" s="2"/>
      <c r="T89" s="7">
        <v>545.34</v>
      </c>
      <c r="U89" s="2"/>
      <c r="V89" s="6">
        <f t="shared" si="47"/>
        <v>9.0171055355126937E-5</v>
      </c>
      <c r="W89" s="2"/>
      <c r="X89" s="7">
        <f t="shared" si="48"/>
        <v>-425.16</v>
      </c>
      <c r="Y89" s="2"/>
      <c r="Z89" s="6">
        <f t="shared" si="49"/>
        <v>-0.77962372098140609</v>
      </c>
    </row>
    <row r="90" spans="1:26" s="25" customFormat="1" outlineLevel="1" collapsed="1" x14ac:dyDescent="0.35">
      <c r="A90" s="26"/>
      <c r="B90" s="12" t="str">
        <f>CONCATENATE("     ","Equipment Rental                                  ")</f>
        <v xml:space="preserve">     Equipment Rental                                  </v>
      </c>
      <c r="C90" s="12"/>
      <c r="D90" s="1">
        <f>SUM(OSRRefD22_5x_0)</f>
        <v>91.26</v>
      </c>
      <c r="E90" s="1"/>
      <c r="F90" s="5">
        <f t="shared" si="42"/>
        <v>4.1739693597901209E-3</v>
      </c>
      <c r="G90" s="1"/>
      <c r="H90" s="1">
        <f>SUM(OSRRefH22_5x_0)</f>
        <v>91.26</v>
      </c>
      <c r="I90" s="1"/>
      <c r="J90" s="5">
        <f t="shared" si="43"/>
        <v>2.0694055867148064E-3</v>
      </c>
      <c r="K90" s="1"/>
      <c r="L90" s="1">
        <f t="shared" si="44"/>
        <v>0</v>
      </c>
      <c r="M90" s="1"/>
      <c r="N90" s="5">
        <f t="shared" si="45"/>
        <v>0</v>
      </c>
      <c r="O90" s="12"/>
      <c r="P90" s="1">
        <f>SUM(OSRRefP22_5x_0)</f>
        <v>1095.1199999999999</v>
      </c>
      <c r="Q90" s="1"/>
      <c r="R90" s="5">
        <f t="shared" si="46"/>
        <v>2.2118671950598569E-4</v>
      </c>
      <c r="S90" s="1"/>
      <c r="T90" s="1">
        <f>SUM(OSRRefT22_5x_0)</f>
        <v>1095.1199999999999</v>
      </c>
      <c r="U90" s="1"/>
      <c r="V90" s="5">
        <f t="shared" si="47"/>
        <v>1.8107625727162248E-4</v>
      </c>
      <c r="W90" s="1"/>
      <c r="X90" s="1">
        <f t="shared" si="48"/>
        <v>0</v>
      </c>
      <c r="Y90" s="1"/>
      <c r="Z90" s="5">
        <f t="shared" si="49"/>
        <v>0</v>
      </c>
    </row>
    <row r="91" spans="1:26" s="24" customFormat="1" hidden="1" outlineLevel="2" x14ac:dyDescent="0.35">
      <c r="A91" s="27"/>
      <c r="B91" s="11" t="str">
        <f>CONCATENATE("          ", "6351", " - ", "EQUIPMENT RENTAL")</f>
        <v xml:space="preserve">          6351 - EQUIPMENT RENTAL</v>
      </c>
      <c r="C91" s="11"/>
      <c r="D91" s="7">
        <v>91.26</v>
      </c>
      <c r="E91" s="2"/>
      <c r="F91" s="6">
        <f t="shared" si="42"/>
        <v>4.1739693597901209E-3</v>
      </c>
      <c r="G91" s="2"/>
      <c r="H91" s="7">
        <v>91.26</v>
      </c>
      <c r="I91" s="2"/>
      <c r="J91" s="6">
        <f t="shared" si="43"/>
        <v>2.0694055867148064E-3</v>
      </c>
      <c r="K91" s="2"/>
      <c r="L91" s="7">
        <f t="shared" si="44"/>
        <v>0</v>
      </c>
      <c r="M91" s="2"/>
      <c r="N91" s="6">
        <f t="shared" si="45"/>
        <v>0</v>
      </c>
      <c r="O91" s="11"/>
      <c r="P91" s="7">
        <v>1095.1199999999999</v>
      </c>
      <c r="Q91" s="2"/>
      <c r="R91" s="6">
        <f t="shared" si="46"/>
        <v>2.2118671950598569E-4</v>
      </c>
      <c r="S91" s="2"/>
      <c r="T91" s="7">
        <v>1095.1199999999999</v>
      </c>
      <c r="U91" s="2"/>
      <c r="V91" s="6">
        <f t="shared" si="47"/>
        <v>1.8107625727162248E-4</v>
      </c>
      <c r="W91" s="2"/>
      <c r="X91" s="7">
        <f t="shared" si="48"/>
        <v>0</v>
      </c>
      <c r="Y91" s="2"/>
      <c r="Z91" s="6">
        <f t="shared" si="49"/>
        <v>0</v>
      </c>
    </row>
    <row r="92" spans="1:26" s="25" customFormat="1" outlineLevel="1" collapsed="1" x14ac:dyDescent="0.35">
      <c r="A92" s="26"/>
      <c r="B92" s="12" t="str">
        <f>CONCATENATE("     ","Freight out/Postage                               ")</f>
        <v xml:space="preserve">     Freight out/Postage                               </v>
      </c>
      <c r="C92" s="12"/>
      <c r="D92" s="1">
        <f>SUM(OSRRefD22_6x_0)</f>
        <v>6701.46</v>
      </c>
      <c r="E92" s="1"/>
      <c r="F92" s="5">
        <f t="shared" si="42"/>
        <v>0.30650546467082074</v>
      </c>
      <c r="G92" s="1"/>
      <c r="H92" s="1">
        <f>SUM(OSRRefH22_6x_0)</f>
        <v>5639.35</v>
      </c>
      <c r="I92" s="1"/>
      <c r="J92" s="5">
        <f t="shared" si="43"/>
        <v>0.12787751912601517</v>
      </c>
      <c r="K92" s="1"/>
      <c r="L92" s="1">
        <f t="shared" si="44"/>
        <v>1062.1099999999997</v>
      </c>
      <c r="M92" s="1"/>
      <c r="N92" s="5">
        <f t="shared" si="45"/>
        <v>0.18833908163174826</v>
      </c>
      <c r="O92" s="12"/>
      <c r="P92" s="1">
        <f>SUM(OSRRefP22_6x_0)</f>
        <v>30550.660000000003</v>
      </c>
      <c r="Q92" s="1"/>
      <c r="R92" s="5">
        <f t="shared" si="46"/>
        <v>6.1704655783318156E-3</v>
      </c>
      <c r="S92" s="1"/>
      <c r="T92" s="1">
        <f>SUM(OSRRefT22_6x_0)</f>
        <v>34098.36</v>
      </c>
      <c r="U92" s="1"/>
      <c r="V92" s="5">
        <f t="shared" si="47"/>
        <v>5.6381066987183153E-3</v>
      </c>
      <c r="W92" s="1"/>
      <c r="X92" s="1">
        <f t="shared" si="48"/>
        <v>-3547.6999999999971</v>
      </c>
      <c r="Y92" s="1"/>
      <c r="Z92" s="5">
        <f t="shared" si="49"/>
        <v>-0.10404312700082928</v>
      </c>
    </row>
    <row r="93" spans="1:26" s="24" customFormat="1" hidden="1" outlineLevel="2" x14ac:dyDescent="0.35">
      <c r="A93" s="27"/>
      <c r="B93" s="11" t="str">
        <f>CONCATENATE("          ", "6305", " - ", "FREIGHT OUT")</f>
        <v xml:space="preserve">          6305 - FREIGHT OUT</v>
      </c>
      <c r="C93" s="11"/>
      <c r="D93" s="7">
        <v>6699.46</v>
      </c>
      <c r="E93" s="2"/>
      <c r="F93" s="6">
        <f t="shared" si="42"/>
        <v>0.30641399043545386</v>
      </c>
      <c r="G93" s="2"/>
      <c r="H93" s="7">
        <v>5639.35</v>
      </c>
      <c r="I93" s="2"/>
      <c r="J93" s="6">
        <f t="shared" si="43"/>
        <v>0.12787751912601517</v>
      </c>
      <c r="K93" s="2"/>
      <c r="L93" s="7">
        <f t="shared" si="44"/>
        <v>1060.1099999999997</v>
      </c>
      <c r="M93" s="2"/>
      <c r="N93" s="6">
        <f t="shared" si="45"/>
        <v>0.18798443082979413</v>
      </c>
      <c r="O93" s="11"/>
      <c r="P93" s="7">
        <v>30546.710000000003</v>
      </c>
      <c r="Q93" s="2"/>
      <c r="R93" s="6">
        <f t="shared" si="46"/>
        <v>6.1696677775957788E-3</v>
      </c>
      <c r="S93" s="2"/>
      <c r="T93" s="7">
        <v>34093.57</v>
      </c>
      <c r="U93" s="2"/>
      <c r="V93" s="6">
        <f t="shared" si="47"/>
        <v>5.6373146802433253E-3</v>
      </c>
      <c r="W93" s="2"/>
      <c r="X93" s="7">
        <f t="shared" si="48"/>
        <v>-3546.8599999999969</v>
      </c>
      <c r="Y93" s="2"/>
      <c r="Z93" s="6">
        <f t="shared" si="49"/>
        <v>-0.10403310653592443</v>
      </c>
    </row>
    <row r="94" spans="1:26" s="24" customFormat="1" hidden="1" outlineLevel="2" x14ac:dyDescent="0.35">
      <c r="A94" s="27"/>
      <c r="B94" s="11" t="str">
        <f>CONCATENATE("          ", "6307", " - ", "POSTAGE")</f>
        <v xml:space="preserve">          6307 - POSTAGE</v>
      </c>
      <c r="C94" s="11"/>
      <c r="D94" s="7">
        <v>2</v>
      </c>
      <c r="E94" s="2"/>
      <c r="F94" s="6">
        <f t="shared" si="42"/>
        <v>9.1474235366866553E-5</v>
      </c>
      <c r="G94" s="2"/>
      <c r="H94" s="7"/>
      <c r="I94" s="2"/>
      <c r="J94" s="6">
        <f t="shared" si="43"/>
        <v>0</v>
      </c>
      <c r="K94" s="2"/>
      <c r="L94" s="7">
        <f t="shared" si="44"/>
        <v>2</v>
      </c>
      <c r="M94" s="2"/>
      <c r="N94" s="6">
        <f t="shared" si="45"/>
        <v>0</v>
      </c>
      <c r="O94" s="11"/>
      <c r="P94" s="7">
        <v>3.95</v>
      </c>
      <c r="Q94" s="2"/>
      <c r="R94" s="6">
        <f t="shared" si="46"/>
        <v>7.9780073603682119E-7</v>
      </c>
      <c r="S94" s="2"/>
      <c r="T94" s="7">
        <v>4.79</v>
      </c>
      <c r="U94" s="2"/>
      <c r="V94" s="6">
        <f t="shared" si="47"/>
        <v>7.9201847499002089E-7</v>
      </c>
      <c r="W94" s="2"/>
      <c r="X94" s="7">
        <f t="shared" si="48"/>
        <v>-0.83999999999999986</v>
      </c>
      <c r="Y94" s="2"/>
      <c r="Z94" s="6">
        <f t="shared" si="49"/>
        <v>-0.17536534446764088</v>
      </c>
    </row>
    <row r="95" spans="1:26" s="25" customFormat="1" outlineLevel="1" collapsed="1" x14ac:dyDescent="0.35">
      <c r="A95" s="26"/>
      <c r="B95" s="12" t="str">
        <f>CONCATENATE("     ","General                                           ")</f>
        <v xml:space="preserve">     General                                           </v>
      </c>
      <c r="C95" s="12"/>
      <c r="D95" s="1">
        <f>SUM(OSRRefD22_7x_0)</f>
        <v>-1613.24</v>
      </c>
      <c r="E95" s="1"/>
      <c r="F95" s="5">
        <f t="shared" ref="F95:F106" si="50">IF(D$12=0,0,D95/D$12)</f>
        <v>-7.3784947731621892E-2</v>
      </c>
      <c r="G95" s="1"/>
      <c r="H95" s="1">
        <f>SUM(OSRRefH22_7x_0)</f>
        <v>-1897.83</v>
      </c>
      <c r="I95" s="1"/>
      <c r="J95" s="5">
        <f t="shared" ref="J95:J106" si="51">IF(H$12=0,0,H95/H$12)</f>
        <v>-4.3035064701237788E-2</v>
      </c>
      <c r="K95" s="1"/>
      <c r="L95" s="1">
        <f t="shared" ref="L95:L106" si="52">+D95-H95</f>
        <v>284.58999999999992</v>
      </c>
      <c r="M95" s="1"/>
      <c r="N95" s="5">
        <f t="shared" ref="N95:N106" si="53">IF(H95=0,0,L95/H95)</f>
        <v>-0.14995547546408264</v>
      </c>
      <c r="O95" s="12"/>
      <c r="P95" s="1">
        <f>SUM(OSRRefP22_7x_0)</f>
        <v>5979.79</v>
      </c>
      <c r="Q95" s="1"/>
      <c r="R95" s="5">
        <f t="shared" ref="R95:R106" si="54">IF(P$12=0,0,P95/P$12)</f>
        <v>1.207767307176107E-3</v>
      </c>
      <c r="S95" s="1"/>
      <c r="T95" s="1">
        <f>SUM(OSRRefT22_7x_0)</f>
        <v>19809.28</v>
      </c>
      <c r="U95" s="1"/>
      <c r="V95" s="5">
        <f t="shared" ref="V95:V106" si="55">IF(T$12=0,0,T95/T$12)</f>
        <v>3.2754312601775202E-3</v>
      </c>
      <c r="W95" s="1"/>
      <c r="X95" s="1">
        <f t="shared" ref="X95:X106" si="56">+P95-T95</f>
        <v>-13829.489999999998</v>
      </c>
      <c r="Y95" s="1"/>
      <c r="Z95" s="5">
        <f t="shared" ref="Z95:Z106" si="57">IF(T95=0,0,X95/T95)</f>
        <v>-0.69813188566166962</v>
      </c>
    </row>
    <row r="96" spans="1:26" s="24" customFormat="1" hidden="1" outlineLevel="2" x14ac:dyDescent="0.35">
      <c r="A96" s="27"/>
      <c r="B96" s="11" t="str">
        <f>CONCATENATE("          ", "6279", " - ", "GENERAL EXPENSE")</f>
        <v xml:space="preserve">          6279 - GENERAL EXPENSE</v>
      </c>
      <c r="C96" s="11"/>
      <c r="D96" s="7">
        <v>-1613.24</v>
      </c>
      <c r="E96" s="2"/>
      <c r="F96" s="6">
        <f t="shared" si="50"/>
        <v>-7.3784947731621892E-2</v>
      </c>
      <c r="G96" s="2"/>
      <c r="H96" s="7">
        <v>-1897.83</v>
      </c>
      <c r="I96" s="2"/>
      <c r="J96" s="6">
        <f t="shared" si="51"/>
        <v>-4.3035064701237788E-2</v>
      </c>
      <c r="K96" s="2"/>
      <c r="L96" s="7">
        <f t="shared" si="52"/>
        <v>284.58999999999992</v>
      </c>
      <c r="M96" s="2"/>
      <c r="N96" s="6">
        <f t="shared" si="53"/>
        <v>-0.14995547546408264</v>
      </c>
      <c r="O96" s="11"/>
      <c r="P96" s="7">
        <v>5979.79</v>
      </c>
      <c r="Q96" s="2"/>
      <c r="R96" s="6">
        <f t="shared" si="54"/>
        <v>1.207767307176107E-3</v>
      </c>
      <c r="S96" s="2"/>
      <c r="T96" s="7">
        <v>19809.28</v>
      </c>
      <c r="U96" s="2"/>
      <c r="V96" s="6">
        <f t="shared" si="55"/>
        <v>3.2754312601775202E-3</v>
      </c>
      <c r="W96" s="2"/>
      <c r="X96" s="7">
        <f t="shared" si="56"/>
        <v>-13829.489999999998</v>
      </c>
      <c r="Y96" s="2"/>
      <c r="Z96" s="6">
        <f t="shared" si="57"/>
        <v>-0.69813188566166962</v>
      </c>
    </row>
    <row r="97" spans="1:26" s="25" customFormat="1" outlineLevel="1" collapsed="1" x14ac:dyDescent="0.35">
      <c r="A97" s="26"/>
      <c r="B97" s="12" t="str">
        <f>CONCATENATE("     ","Inventory Adjustment                              ")</f>
        <v xml:space="preserve">     Inventory Adjustment                              </v>
      </c>
      <c r="C97" s="12"/>
      <c r="D97" s="1">
        <f>SUM(OSRRefD22_8x_0)</f>
        <v>-50217</v>
      </c>
      <c r="E97" s="1"/>
      <c r="F97" s="5">
        <f t="shared" si="50"/>
        <v>-2.2967808387089685</v>
      </c>
      <c r="G97" s="1"/>
      <c r="H97" s="1">
        <f>SUM(OSRRefH22_8x_0)</f>
        <v>-171366</v>
      </c>
      <c r="I97" s="1"/>
      <c r="J97" s="5">
        <f t="shared" si="51"/>
        <v>-3.8858838239422475</v>
      </c>
      <c r="K97" s="1"/>
      <c r="L97" s="1">
        <f t="shared" si="52"/>
        <v>121149</v>
      </c>
      <c r="M97" s="1"/>
      <c r="N97" s="5">
        <f t="shared" si="53"/>
        <v>-0.70696054059731805</v>
      </c>
      <c r="O97" s="12"/>
      <c r="P97" s="1">
        <f>SUM(OSRRefP22_8x_0)</f>
        <v>-33417</v>
      </c>
      <c r="Q97" s="1"/>
      <c r="R97" s="5">
        <f t="shared" si="54"/>
        <v>-6.7493942268715065E-3</v>
      </c>
      <c r="S97" s="1"/>
      <c r="T97" s="1">
        <f>SUM(OSRRefT22_8x_0)</f>
        <v>-94916</v>
      </c>
      <c r="U97" s="1"/>
      <c r="V97" s="5">
        <f t="shared" si="55"/>
        <v>-1.5694201580825226E-2</v>
      </c>
      <c r="W97" s="1"/>
      <c r="X97" s="1">
        <f t="shared" si="56"/>
        <v>61499</v>
      </c>
      <c r="Y97" s="1"/>
      <c r="Z97" s="5">
        <f t="shared" si="57"/>
        <v>-0.64793080197227026</v>
      </c>
    </row>
    <row r="98" spans="1:26" s="24" customFormat="1" hidden="1" outlineLevel="2" x14ac:dyDescent="0.35">
      <c r="A98" s="27"/>
      <c r="B98" s="11" t="str">
        <f>CONCATENATE("          ", "6408", " - ", "INVENTORY ADJUSTMENT")</f>
        <v xml:space="preserve">          6408 - INVENTORY ADJUSTMENT</v>
      </c>
      <c r="C98" s="11"/>
      <c r="D98" s="7">
        <v>-16800</v>
      </c>
      <c r="E98" s="2"/>
      <c r="F98" s="6">
        <f t="shared" si="50"/>
        <v>-0.76838357708167904</v>
      </c>
      <c r="G98" s="2"/>
      <c r="H98" s="7">
        <v>-76450</v>
      </c>
      <c r="I98" s="2"/>
      <c r="J98" s="6">
        <f t="shared" si="51"/>
        <v>-1.733575028537661</v>
      </c>
      <c r="K98" s="2"/>
      <c r="L98" s="7">
        <f t="shared" si="52"/>
        <v>59650</v>
      </c>
      <c r="M98" s="2"/>
      <c r="N98" s="6">
        <f t="shared" si="53"/>
        <v>-0.78024852844996728</v>
      </c>
      <c r="O98" s="11"/>
      <c r="P98" s="7">
        <v>0</v>
      </c>
      <c r="Q98" s="2"/>
      <c r="R98" s="6">
        <f t="shared" si="54"/>
        <v>0</v>
      </c>
      <c r="S98" s="2"/>
      <c r="T98" s="7">
        <v>0</v>
      </c>
      <c r="U98" s="2"/>
      <c r="V98" s="6">
        <f t="shared" si="55"/>
        <v>0</v>
      </c>
      <c r="W98" s="2"/>
      <c r="X98" s="7">
        <f t="shared" si="56"/>
        <v>0</v>
      </c>
      <c r="Y98" s="2"/>
      <c r="Z98" s="6">
        <f t="shared" si="57"/>
        <v>0</v>
      </c>
    </row>
    <row r="99" spans="1:26" s="24" customFormat="1" hidden="1" outlineLevel="2" x14ac:dyDescent="0.35">
      <c r="A99" s="27"/>
      <c r="B99" s="11" t="str">
        <f>CONCATENATE("          ", "7701", " - ", "INV. SHRINKAGE-NEW TEXT")</f>
        <v xml:space="preserve">          7701 - INV. SHRINKAGE-NEW TEXT</v>
      </c>
      <c r="C99" s="11"/>
      <c r="D99" s="7">
        <v>-4346</v>
      </c>
      <c r="E99" s="2"/>
      <c r="F99" s="6">
        <f t="shared" si="50"/>
        <v>-0.19877351345220101</v>
      </c>
      <c r="G99" s="2"/>
      <c r="H99" s="7">
        <v>-79917</v>
      </c>
      <c r="I99" s="2"/>
      <c r="J99" s="6">
        <f t="shared" si="51"/>
        <v>-1.8121924860123513</v>
      </c>
      <c r="K99" s="2"/>
      <c r="L99" s="7">
        <f t="shared" si="52"/>
        <v>75571</v>
      </c>
      <c r="M99" s="2"/>
      <c r="N99" s="6">
        <f t="shared" si="53"/>
        <v>-0.94561857927599879</v>
      </c>
      <c r="O99" s="11"/>
      <c r="P99" s="7">
        <v>-4346</v>
      </c>
      <c r="Q99" s="2"/>
      <c r="R99" s="6">
        <f t="shared" si="54"/>
        <v>-8.7778278451038593E-4</v>
      </c>
      <c r="S99" s="2"/>
      <c r="T99" s="7">
        <v>-79917</v>
      </c>
      <c r="U99" s="2"/>
      <c r="V99" s="6">
        <f t="shared" si="55"/>
        <v>-1.3214142059661274E-2</v>
      </c>
      <c r="W99" s="2"/>
      <c r="X99" s="7">
        <f t="shared" si="56"/>
        <v>75571</v>
      </c>
      <c r="Y99" s="2"/>
      <c r="Z99" s="6">
        <f t="shared" si="57"/>
        <v>-0.94561857927599879</v>
      </c>
    </row>
    <row r="100" spans="1:26" s="24" customFormat="1" hidden="1" outlineLevel="2" x14ac:dyDescent="0.35">
      <c r="A100" s="27"/>
      <c r="B100" s="11" t="str">
        <f>CONCATENATE("          ", "7702", " - ", "INV. SHRINKAGE-USED TEXT")</f>
        <v xml:space="preserve">          7702 - INV. SHRINKAGE-USED TEXT</v>
      </c>
      <c r="C100" s="11"/>
      <c r="D100" s="7">
        <v>-29494</v>
      </c>
      <c r="E100" s="2"/>
      <c r="F100" s="6">
        <f t="shared" si="50"/>
        <v>-1.3489705489551809</v>
      </c>
      <c r="G100" s="2"/>
      <c r="H100" s="7">
        <v>-5215</v>
      </c>
      <c r="I100" s="2"/>
      <c r="J100" s="6">
        <f t="shared" si="51"/>
        <v>-0.11825498723118251</v>
      </c>
      <c r="K100" s="2"/>
      <c r="L100" s="7">
        <f t="shared" si="52"/>
        <v>-24279</v>
      </c>
      <c r="M100" s="2"/>
      <c r="N100" s="6">
        <f t="shared" si="53"/>
        <v>4.6556088207094914</v>
      </c>
      <c r="O100" s="11"/>
      <c r="P100" s="7">
        <v>-29494</v>
      </c>
      <c r="Q100" s="2"/>
      <c r="R100" s="6">
        <f t="shared" si="54"/>
        <v>-5.9570468123215196E-3</v>
      </c>
      <c r="S100" s="2"/>
      <c r="T100" s="7">
        <v>-5215</v>
      </c>
      <c r="U100" s="2"/>
      <c r="V100" s="6">
        <f t="shared" si="55"/>
        <v>-8.6229151295886413E-4</v>
      </c>
      <c r="W100" s="2"/>
      <c r="X100" s="7">
        <f t="shared" si="56"/>
        <v>-24279</v>
      </c>
      <c r="Y100" s="2"/>
      <c r="Z100" s="6">
        <f t="shared" si="57"/>
        <v>4.6556088207094914</v>
      </c>
    </row>
    <row r="101" spans="1:26" s="24" customFormat="1" hidden="1" outlineLevel="2" x14ac:dyDescent="0.35">
      <c r="A101" s="27"/>
      <c r="B101" s="11" t="str">
        <f>CONCATENATE("          ", "7703", " - ", "INV. SHRINKAGE-RENTAL TEXT")</f>
        <v xml:space="preserve">          7703 - INV. SHRINKAGE-RENTAL TEXT</v>
      </c>
      <c r="C101" s="11"/>
      <c r="D101" s="7">
        <v>526</v>
      </c>
      <c r="E101" s="2"/>
      <c r="F101" s="6">
        <f t="shared" si="50"/>
        <v>2.4057723901485903E-2</v>
      </c>
      <c r="G101" s="2"/>
      <c r="H101" s="7">
        <v>30858</v>
      </c>
      <c r="I101" s="2"/>
      <c r="J101" s="6">
        <f t="shared" si="51"/>
        <v>0.69973392060974682</v>
      </c>
      <c r="K101" s="2"/>
      <c r="L101" s="7">
        <f t="shared" si="52"/>
        <v>-30332</v>
      </c>
      <c r="M101" s="2"/>
      <c r="N101" s="6">
        <f t="shared" si="53"/>
        <v>-0.98295417719878153</v>
      </c>
      <c r="O101" s="11"/>
      <c r="P101" s="7">
        <v>526</v>
      </c>
      <c r="Q101" s="2"/>
      <c r="R101" s="6">
        <f t="shared" si="54"/>
        <v>1.0623878155832099E-4</v>
      </c>
      <c r="S101" s="2"/>
      <c r="T101" s="7">
        <v>30858</v>
      </c>
      <c r="U101" s="2"/>
      <c r="V101" s="6">
        <f t="shared" si="55"/>
        <v>5.1023186015119138E-3</v>
      </c>
      <c r="W101" s="2"/>
      <c r="X101" s="7">
        <f t="shared" si="56"/>
        <v>-30332</v>
      </c>
      <c r="Y101" s="2"/>
      <c r="Z101" s="6">
        <f t="shared" si="57"/>
        <v>-0.98295417719878153</v>
      </c>
    </row>
    <row r="102" spans="1:26" s="24" customFormat="1" hidden="1" outlineLevel="2" x14ac:dyDescent="0.35">
      <c r="A102" s="27"/>
      <c r="B102" s="11" t="str">
        <f>CONCATENATE("          ", "7704", " - ", "INV. SHRINKAGE-DIGITAL TEXT")</f>
        <v xml:space="preserve">          7704 - INV. SHRINKAGE-DIGITAL TEXT</v>
      </c>
      <c r="C102" s="11"/>
      <c r="D102" s="7">
        <v>816</v>
      </c>
      <c r="E102" s="2"/>
      <c r="F102" s="6">
        <f t="shared" si="50"/>
        <v>3.7321488029681549E-2</v>
      </c>
      <c r="G102" s="2"/>
      <c r="H102" s="7">
        <v>-37301</v>
      </c>
      <c r="I102" s="2"/>
      <c r="J102" s="6">
        <f t="shared" si="51"/>
        <v>-0.84583495277283582</v>
      </c>
      <c r="K102" s="2"/>
      <c r="L102" s="7">
        <f t="shared" si="52"/>
        <v>38117</v>
      </c>
      <c r="M102" s="2"/>
      <c r="N102" s="6">
        <f t="shared" si="53"/>
        <v>-1.0218760891128924</v>
      </c>
      <c r="O102" s="11"/>
      <c r="P102" s="7">
        <v>816</v>
      </c>
      <c r="Q102" s="2"/>
      <c r="R102" s="6">
        <f t="shared" si="54"/>
        <v>1.6481149382431546E-4</v>
      </c>
      <c r="S102" s="2"/>
      <c r="T102" s="7">
        <v>-37301</v>
      </c>
      <c r="U102" s="2"/>
      <c r="V102" s="6">
        <f t="shared" si="55"/>
        <v>-6.1676578571195767E-3</v>
      </c>
      <c r="W102" s="2"/>
      <c r="X102" s="7">
        <f t="shared" si="56"/>
        <v>38117</v>
      </c>
      <c r="Y102" s="2"/>
      <c r="Z102" s="6">
        <f t="shared" si="57"/>
        <v>-1.0218760891128924</v>
      </c>
    </row>
    <row r="103" spans="1:26" s="24" customFormat="1" hidden="1" outlineLevel="2" x14ac:dyDescent="0.35">
      <c r="A103" s="27"/>
      <c r="B103" s="11" t="str">
        <f>CONCATENATE("          ", "7711", " - ", "INV. SHRINKAGE-NO VALUE TEXT")</f>
        <v xml:space="preserve">          7711 - INV. SHRINKAGE-NO VALUE TEXT</v>
      </c>
      <c r="C103" s="11"/>
      <c r="D103" s="7">
        <v>-1126</v>
      </c>
      <c r="E103" s="2"/>
      <c r="F103" s="6">
        <f t="shared" si="50"/>
        <v>-5.1499994511545868E-2</v>
      </c>
      <c r="G103" s="2"/>
      <c r="H103" s="7">
        <v>-2516</v>
      </c>
      <c r="I103" s="2"/>
      <c r="J103" s="6">
        <f t="shared" si="51"/>
        <v>-5.7052645805111254E-2</v>
      </c>
      <c r="K103" s="2"/>
      <c r="L103" s="7">
        <f t="shared" si="52"/>
        <v>1390</v>
      </c>
      <c r="M103" s="2"/>
      <c r="N103" s="6">
        <f t="shared" si="53"/>
        <v>-0.55246422893481717</v>
      </c>
      <c r="O103" s="11"/>
      <c r="P103" s="7">
        <v>-1126</v>
      </c>
      <c r="Q103" s="2"/>
      <c r="R103" s="6">
        <f t="shared" si="54"/>
        <v>-2.2742370348796469E-4</v>
      </c>
      <c r="S103" s="2"/>
      <c r="T103" s="7">
        <v>-2516</v>
      </c>
      <c r="U103" s="2"/>
      <c r="V103" s="6">
        <f t="shared" si="55"/>
        <v>-4.1601638477555171E-4</v>
      </c>
      <c r="W103" s="2"/>
      <c r="X103" s="7">
        <f t="shared" si="56"/>
        <v>1390</v>
      </c>
      <c r="Y103" s="2"/>
      <c r="Z103" s="6">
        <f t="shared" si="57"/>
        <v>-0.55246422893481717</v>
      </c>
    </row>
    <row r="104" spans="1:26" s="24" customFormat="1" hidden="1" outlineLevel="2" x14ac:dyDescent="0.35">
      <c r="A104" s="27"/>
      <c r="B104" s="11" t="str">
        <f>CONCATENATE("          ", "7713", " - ", "INV. SHRINKAGE-TRADE BOOKS")</f>
        <v xml:space="preserve">          7713 - INV. SHRINKAGE-TRADE BOOKS</v>
      </c>
      <c r="C104" s="11"/>
      <c r="D104" s="7">
        <v>-422</v>
      </c>
      <c r="E104" s="2"/>
      <c r="F104" s="6">
        <f t="shared" si="50"/>
        <v>-1.930106366240884E-2</v>
      </c>
      <c r="G104" s="2"/>
      <c r="H104" s="7">
        <v>732</v>
      </c>
      <c r="I104" s="2"/>
      <c r="J104" s="6">
        <f t="shared" si="51"/>
        <v>1.6598782483839999E-2</v>
      </c>
      <c r="K104" s="2"/>
      <c r="L104" s="7">
        <f t="shared" si="52"/>
        <v>-1154</v>
      </c>
      <c r="M104" s="2"/>
      <c r="N104" s="6">
        <f t="shared" si="53"/>
        <v>-1.5765027322404372</v>
      </c>
      <c r="O104" s="11"/>
      <c r="P104" s="7">
        <v>-422</v>
      </c>
      <c r="Q104" s="2"/>
      <c r="R104" s="6">
        <f t="shared" si="54"/>
        <v>-8.5233395090516078E-5</v>
      </c>
      <c r="S104" s="2"/>
      <c r="T104" s="7">
        <v>732</v>
      </c>
      <c r="U104" s="2"/>
      <c r="V104" s="6">
        <f t="shared" si="55"/>
        <v>1.2103497363104286E-4</v>
      </c>
      <c r="W104" s="2"/>
      <c r="X104" s="7">
        <f t="shared" si="56"/>
        <v>-1154</v>
      </c>
      <c r="Y104" s="2"/>
      <c r="Z104" s="6">
        <f t="shared" si="57"/>
        <v>-1.5765027322404372</v>
      </c>
    </row>
    <row r="105" spans="1:26" s="24" customFormat="1" hidden="1" outlineLevel="2" x14ac:dyDescent="0.35">
      <c r="A105" s="27"/>
      <c r="B105" s="11" t="str">
        <f>CONCATENATE("          ", "7714", " - ", "INV. SHRINKAGE-REMAINDERS")</f>
        <v xml:space="preserve">          7714 - INV. SHRINKAGE-REMAINDERS</v>
      </c>
      <c r="C105" s="11"/>
      <c r="D105" s="7">
        <v>171</v>
      </c>
      <c r="E105" s="2"/>
      <c r="F105" s="6">
        <f t="shared" si="50"/>
        <v>7.8210471238670896E-3</v>
      </c>
      <c r="G105" s="2"/>
      <c r="H105" s="7">
        <v>-23</v>
      </c>
      <c r="I105" s="2"/>
      <c r="J105" s="6">
        <f t="shared" si="51"/>
        <v>-5.2154644416437153E-4</v>
      </c>
      <c r="K105" s="2"/>
      <c r="L105" s="7">
        <f t="shared" si="52"/>
        <v>194</v>
      </c>
      <c r="M105" s="2"/>
      <c r="N105" s="6">
        <f t="shared" si="53"/>
        <v>-8.4347826086956523</v>
      </c>
      <c r="O105" s="11"/>
      <c r="P105" s="7">
        <v>171</v>
      </c>
      <c r="Q105" s="2"/>
      <c r="R105" s="6">
        <f t="shared" si="54"/>
        <v>3.4537702749948462E-5</v>
      </c>
      <c r="S105" s="2"/>
      <c r="T105" s="7">
        <v>-23</v>
      </c>
      <c r="U105" s="2"/>
      <c r="V105" s="6">
        <f t="shared" si="55"/>
        <v>-3.8030114665491612E-6</v>
      </c>
      <c r="W105" s="2"/>
      <c r="X105" s="7">
        <f t="shared" si="56"/>
        <v>194</v>
      </c>
      <c r="Y105" s="2"/>
      <c r="Z105" s="6">
        <f t="shared" si="57"/>
        <v>-8.4347826086956523</v>
      </c>
    </row>
    <row r="106" spans="1:26" s="24" customFormat="1" hidden="1" outlineLevel="2" x14ac:dyDescent="0.35">
      <c r="A106" s="27"/>
      <c r="B106" s="11" t="str">
        <f>CONCATENATE("          ", "7718", " - ", "INV. SHRINKAGE-STUDY GUIDES")</f>
        <v xml:space="preserve">          7718 - INV. SHRINKAGE-STUDY GUIDES</v>
      </c>
      <c r="C106" s="11"/>
      <c r="D106" s="7">
        <v>458</v>
      </c>
      <c r="E106" s="2"/>
      <c r="F106" s="6">
        <f t="shared" si="50"/>
        <v>2.0947599899012438E-2</v>
      </c>
      <c r="G106" s="2"/>
      <c r="H106" s="7">
        <v>-1534</v>
      </c>
      <c r="I106" s="2"/>
      <c r="J106" s="6">
        <f t="shared" si="51"/>
        <v>-3.4784880232528084E-2</v>
      </c>
      <c r="K106" s="2"/>
      <c r="L106" s="7">
        <f t="shared" si="52"/>
        <v>1992</v>
      </c>
      <c r="M106" s="2"/>
      <c r="N106" s="6">
        <f t="shared" si="53"/>
        <v>-1.2985658409387224</v>
      </c>
      <c r="O106" s="11"/>
      <c r="P106" s="7">
        <v>458</v>
      </c>
      <c r="Q106" s="2"/>
      <c r="R106" s="6">
        <f t="shared" si="54"/>
        <v>9.2504490406294709E-5</v>
      </c>
      <c r="S106" s="2"/>
      <c r="T106" s="7">
        <v>-1534</v>
      </c>
      <c r="U106" s="2"/>
      <c r="V106" s="6">
        <f t="shared" si="55"/>
        <v>-2.5364432998636579E-4</v>
      </c>
      <c r="W106" s="2"/>
      <c r="X106" s="7">
        <f t="shared" si="56"/>
        <v>1992</v>
      </c>
      <c r="Y106" s="2"/>
      <c r="Z106" s="6">
        <f t="shared" si="57"/>
        <v>-1.2985658409387224</v>
      </c>
    </row>
    <row r="107" spans="1:26" s="25" customFormat="1" outlineLevel="1" collapsed="1" x14ac:dyDescent="0.35">
      <c r="A107" s="26"/>
      <c r="B107" s="12" t="str">
        <f>CONCATENATE("     ","Repair and Maintenance                            ")</f>
        <v xml:space="preserve">     Repair and Maintenance                            </v>
      </c>
      <c r="C107" s="12"/>
      <c r="D107" s="1">
        <f>SUM(OSRRefD22_9x_0)</f>
        <v>11567.81</v>
      </c>
      <c r="E107" s="1"/>
      <c r="F107" s="5">
        <f t="shared" ref="F107:F110" si="58">IF(D$12=0,0,D107/D$12)</f>
        <v>0.52907828730959627</v>
      </c>
      <c r="G107" s="1"/>
      <c r="H107" s="1">
        <f>SUM(OSRRefH22_9x_0)</f>
        <v>-1693.99</v>
      </c>
      <c r="I107" s="1"/>
      <c r="J107" s="5">
        <f t="shared" ref="J107:J110" si="59">IF(H$12=0,0,H107/H$12)</f>
        <v>-3.8412802650000161E-2</v>
      </c>
      <c r="K107" s="1"/>
      <c r="L107" s="1">
        <f t="shared" ref="L107:L110" si="60">+D107-H107</f>
        <v>13261.8</v>
      </c>
      <c r="M107" s="1"/>
      <c r="N107" s="5">
        <f t="shared" ref="N107:N110" si="61">IF(H107=0,0,L107/H107)</f>
        <v>-7.8287357068223535</v>
      </c>
      <c r="O107" s="12"/>
      <c r="P107" s="1">
        <f>SUM(OSRRefP22_9x_0)</f>
        <v>11855.98</v>
      </c>
      <c r="Q107" s="1"/>
      <c r="R107" s="5">
        <f t="shared" ref="R107:R110" si="62">IF(P$12=0,0,P107/P$12)</f>
        <v>2.394610017832362E-3</v>
      </c>
      <c r="S107" s="1"/>
      <c r="T107" s="1">
        <f>SUM(OSRRefT22_9x_0)</f>
        <v>6822.55</v>
      </c>
      <c r="U107" s="1"/>
      <c r="V107" s="5">
        <f t="shared" ref="V107:V110" si="63">IF(T$12=0,0,T107/T$12)</f>
        <v>1.1280972122219557E-3</v>
      </c>
      <c r="W107" s="1"/>
      <c r="X107" s="1">
        <f t="shared" ref="X107:X110" si="64">+P107-T107</f>
        <v>5033.4299999999994</v>
      </c>
      <c r="Y107" s="1"/>
      <c r="Z107" s="5">
        <f t="shared" ref="Z107:Z110" si="65">IF(T107=0,0,X107/T107)</f>
        <v>0.73776373936431383</v>
      </c>
    </row>
    <row r="108" spans="1:26" s="24" customFormat="1" hidden="1" outlineLevel="2" x14ac:dyDescent="0.35">
      <c r="A108" s="27"/>
      <c r="B108" s="11" t="str">
        <f>CONCATENATE("          ", "6371", " - ", "COMPUTER SOFTWARE MAINTENANCE")</f>
        <v xml:space="preserve">          6371 - COMPUTER SOFTWARE MAINTENANCE</v>
      </c>
      <c r="C108" s="11"/>
      <c r="D108" s="7">
        <v>11550</v>
      </c>
      <c r="E108" s="2"/>
      <c r="F108" s="6">
        <f t="shared" si="58"/>
        <v>0.52826370924365429</v>
      </c>
      <c r="G108" s="2"/>
      <c r="H108" s="7"/>
      <c r="I108" s="2"/>
      <c r="J108" s="6">
        <f t="shared" si="59"/>
        <v>0</v>
      </c>
      <c r="K108" s="2"/>
      <c r="L108" s="7">
        <f t="shared" si="60"/>
        <v>11550</v>
      </c>
      <c r="M108" s="2"/>
      <c r="N108" s="6">
        <f t="shared" si="61"/>
        <v>0</v>
      </c>
      <c r="O108" s="11"/>
      <c r="P108" s="7">
        <v>11550</v>
      </c>
      <c r="Q108" s="2"/>
      <c r="R108" s="6">
        <f t="shared" si="62"/>
        <v>2.3328097471456417E-3</v>
      </c>
      <c r="S108" s="2"/>
      <c r="T108" s="7">
        <v>5950</v>
      </c>
      <c r="U108" s="2"/>
      <c r="V108" s="6">
        <f t="shared" si="63"/>
        <v>9.8382253156380477E-4</v>
      </c>
      <c r="W108" s="2"/>
      <c r="X108" s="7">
        <f t="shared" si="64"/>
        <v>5600</v>
      </c>
      <c r="Y108" s="2"/>
      <c r="Z108" s="6">
        <f t="shared" si="65"/>
        <v>0.94117647058823528</v>
      </c>
    </row>
    <row r="109" spans="1:26" s="24" customFormat="1" hidden="1" outlineLevel="2" x14ac:dyDescent="0.35">
      <c r="A109" s="27"/>
      <c r="B109" s="11" t="str">
        <f>CONCATENATE("          ", "6373", " - ", "MAINTENANCE CONTRACTS")</f>
        <v xml:space="preserve">          6373 - MAINTENANCE CONTRACTS</v>
      </c>
      <c r="C109" s="11"/>
      <c r="D109" s="7">
        <v>17.809999999999999</v>
      </c>
      <c r="E109" s="2"/>
      <c r="F109" s="6">
        <f t="shared" si="58"/>
        <v>8.145780659419465E-4</v>
      </c>
      <c r="G109" s="2"/>
      <c r="H109" s="7">
        <v>-1693.99</v>
      </c>
      <c r="I109" s="2"/>
      <c r="J109" s="6">
        <f t="shared" si="59"/>
        <v>-3.8412802650000161E-2</v>
      </c>
      <c r="K109" s="2"/>
      <c r="L109" s="7">
        <f t="shared" si="60"/>
        <v>1711.8</v>
      </c>
      <c r="M109" s="2"/>
      <c r="N109" s="6">
        <f t="shared" si="61"/>
        <v>-1.0105136393957461</v>
      </c>
      <c r="O109" s="11"/>
      <c r="P109" s="7">
        <v>305.98</v>
      </c>
      <c r="Q109" s="2"/>
      <c r="R109" s="6">
        <f t="shared" si="62"/>
        <v>6.1800270686720649E-5</v>
      </c>
      <c r="S109" s="2"/>
      <c r="T109" s="7">
        <v>326.55</v>
      </c>
      <c r="U109" s="2"/>
      <c r="V109" s="6">
        <f t="shared" si="63"/>
        <v>5.3994495408766458E-5</v>
      </c>
      <c r="W109" s="2"/>
      <c r="X109" s="7">
        <f t="shared" si="64"/>
        <v>-20.569999999999993</v>
      </c>
      <c r="Y109" s="2"/>
      <c r="Z109" s="6">
        <f t="shared" si="65"/>
        <v>-6.29918848568366E-2</v>
      </c>
    </row>
    <row r="110" spans="1:26" s="24" customFormat="1" hidden="1" outlineLevel="2" x14ac:dyDescent="0.35">
      <c r="A110" s="27"/>
      <c r="B110" s="11" t="str">
        <f>CONCATENATE("          ", "6375", " - ", "OUTSIDE REPAIRS &amp; MAINTENANCE")</f>
        <v xml:space="preserve">          6375 - OUTSIDE REPAIRS &amp; MAINTENANCE</v>
      </c>
      <c r="C110" s="11"/>
      <c r="D110" s="7"/>
      <c r="E110" s="2"/>
      <c r="F110" s="6">
        <f t="shared" si="58"/>
        <v>0</v>
      </c>
      <c r="G110" s="2"/>
      <c r="H110" s="7"/>
      <c r="I110" s="2"/>
      <c r="J110" s="6">
        <f t="shared" si="59"/>
        <v>0</v>
      </c>
      <c r="K110" s="2"/>
      <c r="L110" s="7">
        <f t="shared" si="60"/>
        <v>0</v>
      </c>
      <c r="M110" s="2"/>
      <c r="N110" s="6">
        <f t="shared" si="61"/>
        <v>0</v>
      </c>
      <c r="O110" s="11"/>
      <c r="P110" s="7"/>
      <c r="Q110" s="2"/>
      <c r="R110" s="6">
        <f t="shared" si="62"/>
        <v>0</v>
      </c>
      <c r="S110" s="2"/>
      <c r="T110" s="7">
        <v>546</v>
      </c>
      <c r="U110" s="2"/>
      <c r="V110" s="6">
        <f t="shared" si="63"/>
        <v>9.0280185249384432E-5</v>
      </c>
      <c r="W110" s="2"/>
      <c r="X110" s="7">
        <f t="shared" si="64"/>
        <v>-546</v>
      </c>
      <c r="Y110" s="2"/>
      <c r="Z110" s="6">
        <f t="shared" si="65"/>
        <v>-1</v>
      </c>
    </row>
    <row r="111" spans="1:26" s="25" customFormat="1" outlineLevel="1" collapsed="1" x14ac:dyDescent="0.35">
      <c r="A111" s="26"/>
      <c r="B111" s="12" t="str">
        <f>CONCATENATE("     ","Subscriptions &amp; Dues                              ")</f>
        <v xml:space="preserve">     Subscriptions &amp; Dues                              </v>
      </c>
      <c r="C111" s="12"/>
      <c r="D111" s="1">
        <f>SUM(OSRRefD22_10x_0)</f>
        <v>981.28</v>
      </c>
      <c r="E111" s="1"/>
      <c r="F111" s="5">
        <f t="shared" ref="F111:F113" si="66">IF(D$12=0,0,D111/D$12)</f>
        <v>4.4880918840399402E-2</v>
      </c>
      <c r="G111" s="1"/>
      <c r="H111" s="1">
        <f>SUM(OSRRefH22_10x_0)</f>
        <v>436.08</v>
      </c>
      <c r="I111" s="1"/>
      <c r="J111" s="5">
        <f t="shared" ref="J111:J113" si="67">IF(H$12=0,0,H111/H$12)</f>
        <v>9.8885205813564834E-3</v>
      </c>
      <c r="K111" s="1"/>
      <c r="L111" s="1">
        <f t="shared" ref="L111:L113" si="68">+D111-H111</f>
        <v>545.20000000000005</v>
      </c>
      <c r="M111" s="1"/>
      <c r="N111" s="5">
        <f t="shared" ref="N111:N113" si="69">IF(H111=0,0,L111/H111)</f>
        <v>1.250229315721886</v>
      </c>
      <c r="O111" s="12"/>
      <c r="P111" s="1">
        <f>SUM(OSRRefP22_10x_0)</f>
        <v>6291.84</v>
      </c>
      <c r="Q111" s="1"/>
      <c r="R111" s="5">
        <f t="shared" ref="R111:R113" si="70">IF(P$12=0,0,P111/P$12)</f>
        <v>1.2707935653230159E-3</v>
      </c>
      <c r="S111" s="1"/>
      <c r="T111" s="1">
        <f>SUM(OSRRefT22_10x_0)</f>
        <v>7419.75</v>
      </c>
      <c r="U111" s="1"/>
      <c r="V111" s="5">
        <f t="shared" ref="V111:V113" si="71">IF(T$12=0,0,T111/T$12)</f>
        <v>1.2268432316925278E-3</v>
      </c>
      <c r="W111" s="1"/>
      <c r="X111" s="1">
        <f t="shared" ref="X111:X113" si="72">+P111-T111</f>
        <v>-1127.9099999999999</v>
      </c>
      <c r="Y111" s="1"/>
      <c r="Z111" s="5">
        <f t="shared" ref="Z111:Z113" si="73">IF(T111=0,0,X111/T111)</f>
        <v>-0.1520145557464874</v>
      </c>
    </row>
    <row r="112" spans="1:26" s="24" customFormat="1" hidden="1" outlineLevel="2" x14ac:dyDescent="0.35">
      <c r="A112" s="27"/>
      <c r="B112" s="11" t="str">
        <f>CONCATENATE("          ", "6258", " - ", "MEMBERSHIP DUES")</f>
        <v xml:space="preserve">          6258 - MEMBERSHIP DUES</v>
      </c>
      <c r="C112" s="11"/>
      <c r="D112" s="7">
        <v>981.28</v>
      </c>
      <c r="E112" s="2"/>
      <c r="F112" s="6">
        <f t="shared" si="66"/>
        <v>4.4880918840399402E-2</v>
      </c>
      <c r="G112" s="2"/>
      <c r="H112" s="7">
        <v>436.08</v>
      </c>
      <c r="I112" s="2"/>
      <c r="J112" s="6">
        <f t="shared" si="67"/>
        <v>9.8885205813564834E-3</v>
      </c>
      <c r="K112" s="2"/>
      <c r="L112" s="7">
        <f t="shared" si="68"/>
        <v>545.20000000000005</v>
      </c>
      <c r="M112" s="2"/>
      <c r="N112" s="6">
        <f t="shared" si="69"/>
        <v>1.250229315721886</v>
      </c>
      <c r="O112" s="11"/>
      <c r="P112" s="7">
        <v>4439.76</v>
      </c>
      <c r="Q112" s="2"/>
      <c r="R112" s="6">
        <f t="shared" si="70"/>
        <v>8.9671994831059165E-4</v>
      </c>
      <c r="S112" s="2"/>
      <c r="T112" s="7">
        <v>5621.61</v>
      </c>
      <c r="U112" s="2"/>
      <c r="V112" s="6">
        <f t="shared" si="71"/>
        <v>9.2952379523771425E-4</v>
      </c>
      <c r="W112" s="2"/>
      <c r="X112" s="7">
        <f t="shared" si="72"/>
        <v>-1181.8499999999995</v>
      </c>
      <c r="Y112" s="2"/>
      <c r="Z112" s="6">
        <f t="shared" si="73"/>
        <v>-0.21023336730936504</v>
      </c>
    </row>
    <row r="113" spans="1:26" s="24" customFormat="1" hidden="1" outlineLevel="2" x14ac:dyDescent="0.35">
      <c r="A113" s="27"/>
      <c r="B113" s="11" t="str">
        <f>CONCATENATE("          ", "6275", " - ", "SUBSCRIPTIONS")</f>
        <v xml:space="preserve">          6275 - SUBSCRIPTIONS</v>
      </c>
      <c r="C113" s="11"/>
      <c r="D113" s="7"/>
      <c r="E113" s="2"/>
      <c r="F113" s="6">
        <f t="shared" si="66"/>
        <v>0</v>
      </c>
      <c r="G113" s="2"/>
      <c r="H113" s="7"/>
      <c r="I113" s="2"/>
      <c r="J113" s="6">
        <f t="shared" si="67"/>
        <v>0</v>
      </c>
      <c r="K113" s="2"/>
      <c r="L113" s="7">
        <f t="shared" si="68"/>
        <v>0</v>
      </c>
      <c r="M113" s="2"/>
      <c r="N113" s="6">
        <f t="shared" si="69"/>
        <v>0</v>
      </c>
      <c r="O113" s="11"/>
      <c r="P113" s="7">
        <v>1852.08</v>
      </c>
      <c r="Q113" s="2"/>
      <c r="R113" s="6">
        <f t="shared" si="70"/>
        <v>3.7407361701242422E-4</v>
      </c>
      <c r="S113" s="2"/>
      <c r="T113" s="7">
        <v>1798.14</v>
      </c>
      <c r="U113" s="2"/>
      <c r="V113" s="6">
        <f t="shared" si="71"/>
        <v>2.9731943645481342E-4</v>
      </c>
      <c r="W113" s="2"/>
      <c r="X113" s="7">
        <f t="shared" si="72"/>
        <v>53.939999999999827</v>
      </c>
      <c r="Y113" s="2"/>
      <c r="Z113" s="6">
        <f t="shared" si="73"/>
        <v>2.9997664253061398E-2</v>
      </c>
    </row>
    <row r="114" spans="1:26" s="25" customFormat="1" outlineLevel="1" collapsed="1" x14ac:dyDescent="0.35">
      <c r="A114" s="26"/>
      <c r="B114" s="12" t="str">
        <f>CONCATENATE("     ","Supplies                                          ")</f>
        <v xml:space="preserve">     Supplies                                          </v>
      </c>
      <c r="C114" s="12"/>
      <c r="D114" s="1">
        <f>SUM(OSRRefD22_11x_0)</f>
        <v>516.1</v>
      </c>
      <c r="E114" s="1"/>
      <c r="F114" s="5">
        <f t="shared" ref="F114:F118" si="74">IF(D$12=0,0,D114/D$12)</f>
        <v>2.3604926436419912E-2</v>
      </c>
      <c r="G114" s="1"/>
      <c r="H114" s="1">
        <f>SUM(OSRRefH22_11x_0)</f>
        <v>292.61</v>
      </c>
      <c r="I114" s="1"/>
      <c r="J114" s="5">
        <f t="shared" ref="J114:J118" si="75">IF(H$12=0,0,H114/H$12)</f>
        <v>6.6352045663885546E-3</v>
      </c>
      <c r="K114" s="1"/>
      <c r="L114" s="1">
        <f t="shared" ref="L114:L118" si="76">+D114-H114</f>
        <v>223.49</v>
      </c>
      <c r="M114" s="1"/>
      <c r="N114" s="5">
        <f t="shared" ref="N114:N118" si="77">IF(H114=0,0,L114/H114)</f>
        <v>0.76378114213458181</v>
      </c>
      <c r="O114" s="12"/>
      <c r="P114" s="1">
        <f>SUM(OSRRefP22_11x_0)</f>
        <v>14036.529999999999</v>
      </c>
      <c r="Q114" s="1"/>
      <c r="R114" s="5">
        <f t="shared" ref="R114:R118" si="78">IF(P$12=0,0,P114/P$12)</f>
        <v>2.8350263203551695E-3</v>
      </c>
      <c r="S114" s="1"/>
      <c r="T114" s="1">
        <f>SUM(OSRRefT22_11x_0)</f>
        <v>18324.07</v>
      </c>
      <c r="U114" s="1"/>
      <c r="V114" s="5">
        <f t="shared" ref="V114:V118" si="79">IF(T$12=0,0,T114/T$12)</f>
        <v>3.0298542749499775E-3</v>
      </c>
      <c r="W114" s="1"/>
      <c r="X114" s="1">
        <f t="shared" ref="X114:X118" si="80">+P114-T114</f>
        <v>-4287.5400000000009</v>
      </c>
      <c r="Y114" s="1"/>
      <c r="Z114" s="5">
        <f t="shared" ref="Z114:Z118" si="81">IF(T114=0,0,X114/T114)</f>
        <v>-0.23398404393783701</v>
      </c>
    </row>
    <row r="115" spans="1:26" s="24" customFormat="1" hidden="1" outlineLevel="2" x14ac:dyDescent="0.35">
      <c r="A115" s="27"/>
      <c r="B115" s="11" t="str">
        <f>CONCATENATE("          ", "6234", " - ", "EXPENDABLE SUPPLIES &amp; EQUIPMEN")</f>
        <v xml:space="preserve">          6234 - EXPENDABLE SUPPLIES &amp; EQUIPMEN</v>
      </c>
      <c r="C115" s="11"/>
      <c r="D115" s="7"/>
      <c r="E115" s="2"/>
      <c r="F115" s="6">
        <f t="shared" si="74"/>
        <v>0</v>
      </c>
      <c r="G115" s="2"/>
      <c r="H115" s="7"/>
      <c r="I115" s="2"/>
      <c r="J115" s="6">
        <f t="shared" si="75"/>
        <v>0</v>
      </c>
      <c r="K115" s="2"/>
      <c r="L115" s="7">
        <f t="shared" si="76"/>
        <v>0</v>
      </c>
      <c r="M115" s="2"/>
      <c r="N115" s="6">
        <f t="shared" si="77"/>
        <v>0</v>
      </c>
      <c r="O115" s="11"/>
      <c r="P115" s="7"/>
      <c r="Q115" s="2"/>
      <c r="R115" s="6">
        <f t="shared" si="78"/>
        <v>0</v>
      </c>
      <c r="S115" s="2"/>
      <c r="T115" s="7">
        <v>272.45999999999998</v>
      </c>
      <c r="U115" s="2"/>
      <c r="V115" s="6">
        <f t="shared" si="79"/>
        <v>4.5050804529390622E-5</v>
      </c>
      <c r="W115" s="2"/>
      <c r="X115" s="7">
        <f t="shared" si="80"/>
        <v>-272.45999999999998</v>
      </c>
      <c r="Y115" s="2"/>
      <c r="Z115" s="6">
        <f t="shared" si="81"/>
        <v>-1</v>
      </c>
    </row>
    <row r="116" spans="1:26" s="24" customFormat="1" hidden="1" outlineLevel="2" x14ac:dyDescent="0.35">
      <c r="A116" s="27"/>
      <c r="B116" s="11" t="str">
        <f>CONCATENATE("          ", "6241", " - ", "OFFICE EXPENSE")</f>
        <v xml:space="preserve">          6241 - OFFICE EXPENSE</v>
      </c>
      <c r="C116" s="11"/>
      <c r="D116" s="7">
        <v>62.67</v>
      </c>
      <c r="E116" s="2"/>
      <c r="F116" s="6">
        <f t="shared" si="74"/>
        <v>2.8663451652207635E-3</v>
      </c>
      <c r="G116" s="2"/>
      <c r="H116" s="7">
        <v>292.61</v>
      </c>
      <c r="I116" s="2"/>
      <c r="J116" s="6">
        <f t="shared" si="75"/>
        <v>6.6352045663885546E-3</v>
      </c>
      <c r="K116" s="2"/>
      <c r="L116" s="7">
        <f t="shared" si="76"/>
        <v>-229.94</v>
      </c>
      <c r="M116" s="2"/>
      <c r="N116" s="6">
        <f t="shared" si="77"/>
        <v>-0.78582413451351629</v>
      </c>
      <c r="O116" s="11"/>
      <c r="P116" s="7">
        <v>4341.16</v>
      </c>
      <c r="Q116" s="2"/>
      <c r="R116" s="6">
        <f t="shared" si="78"/>
        <v>8.7680522614015351E-4</v>
      </c>
      <c r="S116" s="2"/>
      <c r="T116" s="7">
        <v>8763.01</v>
      </c>
      <c r="U116" s="2"/>
      <c r="V116" s="6">
        <f t="shared" si="79"/>
        <v>1.4489490222384766E-3</v>
      </c>
      <c r="W116" s="2"/>
      <c r="X116" s="7">
        <f t="shared" si="80"/>
        <v>-4421.8500000000004</v>
      </c>
      <c r="Y116" s="2"/>
      <c r="Z116" s="6">
        <f t="shared" si="81"/>
        <v>-0.50460401163527147</v>
      </c>
    </row>
    <row r="117" spans="1:26" s="24" customFormat="1" hidden="1" outlineLevel="2" x14ac:dyDescent="0.35">
      <c r="A117" s="27"/>
      <c r="B117" s="11" t="str">
        <f>CONCATENATE("          ", "6245", " - ", "PRINTING")</f>
        <v xml:space="preserve">          6245 - PRINTING</v>
      </c>
      <c r="C117" s="11"/>
      <c r="D117" s="7"/>
      <c r="E117" s="2"/>
      <c r="F117" s="6">
        <f t="shared" si="74"/>
        <v>0</v>
      </c>
      <c r="G117" s="2"/>
      <c r="H117" s="7"/>
      <c r="I117" s="2"/>
      <c r="J117" s="6">
        <f t="shared" si="75"/>
        <v>0</v>
      </c>
      <c r="K117" s="2"/>
      <c r="L117" s="7">
        <f t="shared" si="76"/>
        <v>0</v>
      </c>
      <c r="M117" s="2"/>
      <c r="N117" s="6">
        <f t="shared" si="77"/>
        <v>0</v>
      </c>
      <c r="O117" s="11"/>
      <c r="P117" s="7">
        <v>5198.58</v>
      </c>
      <c r="Q117" s="2"/>
      <c r="R117" s="6">
        <f t="shared" si="78"/>
        <v>1.049982519075012E-3</v>
      </c>
      <c r="S117" s="2"/>
      <c r="T117" s="7">
        <v>611.15</v>
      </c>
      <c r="U117" s="2"/>
      <c r="V117" s="6">
        <f t="shared" si="79"/>
        <v>1.0105262859919651E-4</v>
      </c>
      <c r="W117" s="2"/>
      <c r="X117" s="7">
        <f t="shared" si="80"/>
        <v>4587.43</v>
      </c>
      <c r="Y117" s="2"/>
      <c r="Z117" s="6">
        <f t="shared" si="81"/>
        <v>7.5062259674384366</v>
      </c>
    </row>
    <row r="118" spans="1:26" s="24" customFormat="1" hidden="1" outlineLevel="2" x14ac:dyDescent="0.35">
      <c r="A118" s="27"/>
      <c r="B118" s="11" t="str">
        <f>CONCATENATE("          ", "6247", " - ", "STORE SUPPLIES")</f>
        <v xml:space="preserve">          6247 - STORE SUPPLIES</v>
      </c>
      <c r="C118" s="11"/>
      <c r="D118" s="7">
        <v>453.43</v>
      </c>
      <c r="E118" s="2"/>
      <c r="F118" s="6">
        <f t="shared" si="74"/>
        <v>2.0738581271199149E-2</v>
      </c>
      <c r="G118" s="2"/>
      <c r="H118" s="7"/>
      <c r="I118" s="2"/>
      <c r="J118" s="6">
        <f t="shared" si="75"/>
        <v>0</v>
      </c>
      <c r="K118" s="2"/>
      <c r="L118" s="7">
        <f t="shared" si="76"/>
        <v>453.43</v>
      </c>
      <c r="M118" s="2"/>
      <c r="N118" s="6">
        <f t="shared" si="77"/>
        <v>0</v>
      </c>
      <c r="O118" s="11"/>
      <c r="P118" s="7">
        <v>4496.79</v>
      </c>
      <c r="Q118" s="2"/>
      <c r="R118" s="6">
        <f t="shared" si="78"/>
        <v>9.0823857514000421E-4</v>
      </c>
      <c r="S118" s="2"/>
      <c r="T118" s="7">
        <v>8677.4500000000007</v>
      </c>
      <c r="U118" s="2"/>
      <c r="V118" s="6">
        <f t="shared" si="79"/>
        <v>1.434801819582914E-3</v>
      </c>
      <c r="W118" s="2"/>
      <c r="X118" s="7">
        <f t="shared" si="80"/>
        <v>-4180.6600000000008</v>
      </c>
      <c r="Y118" s="2"/>
      <c r="Z118" s="6">
        <f t="shared" si="81"/>
        <v>-0.48178439518522154</v>
      </c>
    </row>
    <row r="119" spans="1:26" s="25" customFormat="1" outlineLevel="1" collapsed="1" x14ac:dyDescent="0.35">
      <c r="A119" s="26"/>
      <c r="B119" s="12" t="str">
        <f>CONCATENATE("     ","Telephone/Data Lines                              ")</f>
        <v xml:space="preserve">     Telephone/Data Lines                              </v>
      </c>
      <c r="C119" s="12"/>
      <c r="D119" s="1">
        <f>SUM(OSRRefD22_12x_0)</f>
        <v>302.60000000000002</v>
      </c>
      <c r="E119" s="1"/>
      <c r="F119" s="5">
        <f t="shared" ref="F119:F121" si="82">IF(D$12=0,0,D119/D$12)</f>
        <v>1.384005181100691E-2</v>
      </c>
      <c r="G119" s="1"/>
      <c r="H119" s="1">
        <f>SUM(OSRRefH22_12x_0)</f>
        <v>803.35</v>
      </c>
      <c r="I119" s="1"/>
      <c r="J119" s="5">
        <f t="shared" ref="J119:J121" si="83">IF(H$12=0,0,H119/H$12)</f>
        <v>1.8216710257367298E-2</v>
      </c>
      <c r="K119" s="1"/>
      <c r="L119" s="1">
        <f t="shared" ref="L119:L121" si="84">+D119-H119</f>
        <v>-500.75</v>
      </c>
      <c r="M119" s="1"/>
      <c r="N119" s="5">
        <f t="shared" ref="N119:N121" si="85">IF(H119=0,0,L119/H119)</f>
        <v>-0.62332731686064602</v>
      </c>
      <c r="O119" s="12"/>
      <c r="P119" s="1">
        <f>SUM(OSRRefP22_12x_0)</f>
        <v>8561.64</v>
      </c>
      <c r="Q119" s="1"/>
      <c r="R119" s="5">
        <f t="shared" ref="R119:R121" si="86">IF(P$12=0,0,P119/P$12)</f>
        <v>1.7292361249828579E-3</v>
      </c>
      <c r="S119" s="1"/>
      <c r="T119" s="1">
        <f>SUM(OSRRefT22_12x_0)</f>
        <v>9463.4500000000007</v>
      </c>
      <c r="U119" s="1"/>
      <c r="V119" s="5">
        <f t="shared" ref="V119:V121" si="87">IF(T$12=0,0,T119/T$12)</f>
        <v>1.5647656027441158E-3</v>
      </c>
      <c r="W119" s="1"/>
      <c r="X119" s="1">
        <f t="shared" ref="X119:X121" si="88">+P119-T119</f>
        <v>-901.81000000000131</v>
      </c>
      <c r="Y119" s="1"/>
      <c r="Z119" s="5">
        <f t="shared" ref="Z119:Z121" si="89">IF(T119=0,0,X119/T119)</f>
        <v>-9.5293999545620386E-2</v>
      </c>
    </row>
    <row r="120" spans="1:26" s="24" customFormat="1" hidden="1" outlineLevel="2" x14ac:dyDescent="0.35">
      <c r="A120" s="27"/>
      <c r="B120" s="11" t="str">
        <f>CONCATENATE("          ", "6303", " - ", "DATA PHONE LINES")</f>
        <v xml:space="preserve">          6303 - DATA PHONE LINES</v>
      </c>
      <c r="C120" s="11"/>
      <c r="D120" s="7"/>
      <c r="E120" s="2"/>
      <c r="F120" s="6">
        <f t="shared" si="82"/>
        <v>0</v>
      </c>
      <c r="G120" s="2"/>
      <c r="H120" s="7">
        <v>295</v>
      </c>
      <c r="I120" s="2"/>
      <c r="J120" s="6">
        <f t="shared" si="83"/>
        <v>6.6894000447169392E-3</v>
      </c>
      <c r="K120" s="2"/>
      <c r="L120" s="7">
        <f t="shared" si="84"/>
        <v>-295</v>
      </c>
      <c r="M120" s="2"/>
      <c r="N120" s="6">
        <f t="shared" si="85"/>
        <v>-1</v>
      </c>
      <c r="O120" s="11"/>
      <c r="P120" s="7">
        <v>2950</v>
      </c>
      <c r="Q120" s="2"/>
      <c r="R120" s="6">
        <f t="shared" si="86"/>
        <v>5.9582586615408164E-4</v>
      </c>
      <c r="S120" s="2"/>
      <c r="T120" s="7">
        <v>3540</v>
      </c>
      <c r="U120" s="2"/>
      <c r="V120" s="6">
        <f t="shared" si="87"/>
        <v>5.8533306919930563E-4</v>
      </c>
      <c r="W120" s="2"/>
      <c r="X120" s="7">
        <f t="shared" si="88"/>
        <v>-590</v>
      </c>
      <c r="Y120" s="2"/>
      <c r="Z120" s="6">
        <f t="shared" si="89"/>
        <v>-0.16666666666666666</v>
      </c>
    </row>
    <row r="121" spans="1:26" s="24" customFormat="1" hidden="1" outlineLevel="2" x14ac:dyDescent="0.35">
      <c r="A121" s="27"/>
      <c r="B121" s="11" t="str">
        <f>CONCATENATE("          ", "6309", " - ", "TELEPHONE")</f>
        <v xml:space="preserve">          6309 - TELEPHONE</v>
      </c>
      <c r="C121" s="11"/>
      <c r="D121" s="7">
        <v>302.60000000000002</v>
      </c>
      <c r="E121" s="2"/>
      <c r="F121" s="6">
        <f t="shared" si="82"/>
        <v>1.384005181100691E-2</v>
      </c>
      <c r="G121" s="2"/>
      <c r="H121" s="7">
        <v>508.35</v>
      </c>
      <c r="I121" s="2"/>
      <c r="J121" s="6">
        <f t="shared" si="83"/>
        <v>1.152731021265036E-2</v>
      </c>
      <c r="K121" s="2"/>
      <c r="L121" s="7">
        <f t="shared" si="84"/>
        <v>-205.75</v>
      </c>
      <c r="M121" s="2"/>
      <c r="N121" s="6">
        <f t="shared" si="85"/>
        <v>-0.40474082816956819</v>
      </c>
      <c r="O121" s="11"/>
      <c r="P121" s="7">
        <v>5611.64</v>
      </c>
      <c r="Q121" s="2"/>
      <c r="R121" s="6">
        <f t="shared" si="86"/>
        <v>1.1334102588287764E-3</v>
      </c>
      <c r="S121" s="2"/>
      <c r="T121" s="7">
        <v>5923.45</v>
      </c>
      <c r="U121" s="2"/>
      <c r="V121" s="6">
        <f t="shared" si="87"/>
        <v>9.7943253354480981E-4</v>
      </c>
      <c r="W121" s="2"/>
      <c r="X121" s="7">
        <f t="shared" si="88"/>
        <v>-311.80999999999949</v>
      </c>
      <c r="Y121" s="2"/>
      <c r="Z121" s="6">
        <f t="shared" si="89"/>
        <v>-5.2639931121221499E-2</v>
      </c>
    </row>
    <row r="122" spans="1:26" s="25" customFormat="1" outlineLevel="1" collapsed="1" x14ac:dyDescent="0.35">
      <c r="A122" s="26"/>
      <c r="B122" s="12" t="str">
        <f>CONCATENATE("     ","Training                                          ")</f>
        <v xml:space="preserve">     Training                                          </v>
      </c>
      <c r="C122" s="12"/>
      <c r="D122" s="1">
        <f>SUM(OSRRefD22_13x_0)</f>
        <v>0</v>
      </c>
      <c r="E122" s="1"/>
      <c r="F122" s="5">
        <f t="shared" ref="F122:F125" si="90">IF(D$12=0,0,D122/D$12)</f>
        <v>0</v>
      </c>
      <c r="G122" s="1"/>
      <c r="H122" s="1">
        <f>SUM(OSRRefH22_13x_0)</f>
        <v>0</v>
      </c>
      <c r="I122" s="1"/>
      <c r="J122" s="5">
        <f t="shared" ref="J122:J125" si="91">IF(H$12=0,0,H122/H$12)</f>
        <v>0</v>
      </c>
      <c r="K122" s="1"/>
      <c r="L122" s="1">
        <f t="shared" ref="L122:L125" si="92">+D122-H122</f>
        <v>0</v>
      </c>
      <c r="M122" s="1"/>
      <c r="N122" s="5">
        <f t="shared" ref="N122:N125" si="93">IF(H122=0,0,L122/H122)</f>
        <v>0</v>
      </c>
      <c r="O122" s="12"/>
      <c r="P122" s="1">
        <f>SUM(OSRRefP22_13x_0)</f>
        <v>4157.1499999999996</v>
      </c>
      <c r="Q122" s="1"/>
      <c r="R122" s="5">
        <f t="shared" ref="R122:R125" si="94">IF(P$12=0,0,P122/P$12)</f>
        <v>8.3963983033303051E-4</v>
      </c>
      <c r="S122" s="1"/>
      <c r="T122" s="1">
        <f>SUM(OSRRefT22_13x_0)</f>
        <v>3130.28</v>
      </c>
      <c r="U122" s="1"/>
      <c r="V122" s="5">
        <f t="shared" ref="V122:V125" si="95">IF(T$12=0,0,T122/T$12)</f>
        <v>5.175865536308482E-4</v>
      </c>
      <c r="W122" s="1"/>
      <c r="X122" s="1">
        <f t="shared" ref="X122:X125" si="96">+P122-T122</f>
        <v>1026.8699999999994</v>
      </c>
      <c r="Y122" s="1"/>
      <c r="Z122" s="5">
        <f t="shared" ref="Z122:Z125" si="97">IF(T122=0,0,X122/T122)</f>
        <v>0.32804413662675524</v>
      </c>
    </row>
    <row r="123" spans="1:26" s="24" customFormat="1" hidden="1" outlineLevel="2" x14ac:dyDescent="0.35">
      <c r="A123" s="27"/>
      <c r="B123" s="11" t="str">
        <f>CONCATENATE("          ", "6376", " - ", "TRAINING")</f>
        <v xml:space="preserve">          6376 - TRAINING</v>
      </c>
      <c r="C123" s="11"/>
      <c r="D123" s="7"/>
      <c r="E123" s="2"/>
      <c r="F123" s="6">
        <f t="shared" si="90"/>
        <v>0</v>
      </c>
      <c r="G123" s="2"/>
      <c r="H123" s="7"/>
      <c r="I123" s="2"/>
      <c r="J123" s="6">
        <f t="shared" si="91"/>
        <v>0</v>
      </c>
      <c r="K123" s="2"/>
      <c r="L123" s="7">
        <f t="shared" si="92"/>
        <v>0</v>
      </c>
      <c r="M123" s="2"/>
      <c r="N123" s="6">
        <f t="shared" si="93"/>
        <v>0</v>
      </c>
      <c r="O123" s="11"/>
      <c r="P123" s="7">
        <v>4157.1499999999996</v>
      </c>
      <c r="Q123" s="2"/>
      <c r="R123" s="6">
        <f t="shared" si="94"/>
        <v>8.3963983033303051E-4</v>
      </c>
      <c r="S123" s="2"/>
      <c r="T123" s="7">
        <v>3130.28</v>
      </c>
      <c r="U123" s="2"/>
      <c r="V123" s="6">
        <f t="shared" si="95"/>
        <v>5.175865536308482E-4</v>
      </c>
      <c r="W123" s="2"/>
      <c r="X123" s="7">
        <f t="shared" si="96"/>
        <v>1026.8699999999994</v>
      </c>
      <c r="Y123" s="2"/>
      <c r="Z123" s="6">
        <f t="shared" si="97"/>
        <v>0.32804413662675524</v>
      </c>
    </row>
    <row r="124" spans="1:26" s="25" customFormat="1" outlineLevel="1" collapsed="1" x14ac:dyDescent="0.35">
      <c r="A124" s="26"/>
      <c r="B124" s="12" t="str">
        <f>CONCATENATE("     ","Travel                                            ")</f>
        <v xml:space="preserve">     Travel                                            </v>
      </c>
      <c r="C124" s="12"/>
      <c r="D124" s="1">
        <f>SUM(OSRRefD22_14x_0)</f>
        <v>0</v>
      </c>
      <c r="E124" s="1"/>
      <c r="F124" s="5">
        <f t="shared" si="90"/>
        <v>0</v>
      </c>
      <c r="G124" s="1"/>
      <c r="H124" s="1">
        <f>SUM(OSRRefH22_14x_0)</f>
        <v>0</v>
      </c>
      <c r="I124" s="1"/>
      <c r="J124" s="5">
        <f t="shared" si="91"/>
        <v>0</v>
      </c>
      <c r="K124" s="1"/>
      <c r="L124" s="1">
        <f t="shared" si="92"/>
        <v>0</v>
      </c>
      <c r="M124" s="1"/>
      <c r="N124" s="5">
        <f t="shared" si="93"/>
        <v>0</v>
      </c>
      <c r="O124" s="12"/>
      <c r="P124" s="1">
        <f>SUM(OSRRefP22_14x_0)</f>
        <v>83.93</v>
      </c>
      <c r="Q124" s="1"/>
      <c r="R124" s="5">
        <f t="shared" si="94"/>
        <v>1.6951750829258329E-5</v>
      </c>
      <c r="S124" s="1"/>
      <c r="T124" s="1">
        <f>SUM(OSRRefT22_14x_0)</f>
        <v>68.27</v>
      </c>
      <c r="U124" s="1"/>
      <c r="V124" s="5">
        <f t="shared" si="95"/>
        <v>1.1288330122665704E-5</v>
      </c>
      <c r="W124" s="1"/>
      <c r="X124" s="1">
        <f t="shared" si="96"/>
        <v>15.660000000000011</v>
      </c>
      <c r="Y124" s="1"/>
      <c r="Z124" s="5">
        <f t="shared" si="97"/>
        <v>0.22938333089204646</v>
      </c>
    </row>
    <row r="125" spans="1:26" s="24" customFormat="1" hidden="1" outlineLevel="2" x14ac:dyDescent="0.35">
      <c r="A125" s="27"/>
      <c r="B125" s="11" t="str">
        <f>CONCATENATE("          ", "6292", " - ", "TRAVEL/CONFERENCE")</f>
        <v xml:space="preserve">          6292 - TRAVEL/CONFERENCE</v>
      </c>
      <c r="C125" s="11"/>
      <c r="D125" s="7"/>
      <c r="E125" s="2"/>
      <c r="F125" s="6">
        <f t="shared" si="90"/>
        <v>0</v>
      </c>
      <c r="G125" s="2"/>
      <c r="H125" s="7"/>
      <c r="I125" s="2"/>
      <c r="J125" s="6">
        <f t="shared" si="91"/>
        <v>0</v>
      </c>
      <c r="K125" s="2"/>
      <c r="L125" s="7">
        <f t="shared" si="92"/>
        <v>0</v>
      </c>
      <c r="M125" s="2"/>
      <c r="N125" s="6">
        <f t="shared" si="93"/>
        <v>0</v>
      </c>
      <c r="O125" s="11"/>
      <c r="P125" s="7">
        <v>83.93</v>
      </c>
      <c r="Q125" s="2"/>
      <c r="R125" s="6">
        <f t="shared" si="94"/>
        <v>1.6951750829258329E-5</v>
      </c>
      <c r="S125" s="2"/>
      <c r="T125" s="7">
        <v>68.27</v>
      </c>
      <c r="U125" s="2"/>
      <c r="V125" s="6">
        <f t="shared" si="95"/>
        <v>1.1288330122665704E-5</v>
      </c>
      <c r="W125" s="2"/>
      <c r="X125" s="7">
        <f t="shared" si="96"/>
        <v>15.660000000000011</v>
      </c>
      <c r="Y125" s="2"/>
      <c r="Z125" s="6">
        <f t="shared" si="97"/>
        <v>0.22938333089204646</v>
      </c>
    </row>
    <row r="126" spans="1:26" s="56" customFormat="1" x14ac:dyDescent="0.35">
      <c r="A126" s="37"/>
      <c r="B126" s="37"/>
      <c r="C126" s="37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7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3" customFormat="1" collapsed="1" x14ac:dyDescent="0.35">
      <c r="A127" s="10"/>
      <c r="B127" s="29" t="s">
        <v>0</v>
      </c>
      <c r="C127" s="10"/>
      <c r="D127" s="4">
        <f>SUM(OSRRefD25x_0)</f>
        <v>-16039.510000000002</v>
      </c>
      <c r="E127" s="4"/>
      <c r="F127" s="13">
        <f t="shared" ref="F127:F130" si="98">IF(D$12=0,0,D127/D$12)</f>
        <v>-0.73360095645460488</v>
      </c>
      <c r="G127" s="4"/>
      <c r="H127" s="4">
        <f>SUM(OSRRefH25x_0)</f>
        <v>5230.5599999999995</v>
      </c>
      <c r="I127" s="4"/>
      <c r="J127" s="13">
        <f t="shared" ref="J127:J130" si="99">IF(H$12=0,0,H127/H$12)</f>
        <v>0.11860782473862587</v>
      </c>
      <c r="K127" s="4"/>
      <c r="L127" s="4">
        <f t="shared" ref="L127:L130" si="100">+D127-H127</f>
        <v>-21270.07</v>
      </c>
      <c r="M127" s="4"/>
      <c r="N127" s="13">
        <f t="shared" ref="N127:N130" si="101">IF(H127=0,0,L127/H127)</f>
        <v>-4.0664995717475758</v>
      </c>
      <c r="O127" s="10"/>
      <c r="P127" s="4">
        <f>SUM(OSRRefP25x_0)</f>
        <v>177870.38</v>
      </c>
      <c r="Q127" s="4"/>
      <c r="R127" s="13">
        <f t="shared" ref="R127:R130" si="102">IF(P$12=0,0,P127/P$12)</f>
        <v>3.5925346856493436E-2</v>
      </c>
      <c r="S127" s="4"/>
      <c r="T127" s="4">
        <f>SUM(OSRRefT25x_0)</f>
        <v>109875.87</v>
      </c>
      <c r="U127" s="4"/>
      <c r="V127" s="13">
        <f t="shared" ref="V127:V130" si="103">IF(T$12=0,0,T127/T$12)</f>
        <v>1.8167791022046301E-2</v>
      </c>
      <c r="W127" s="4"/>
      <c r="X127" s="4">
        <f t="shared" ref="X127:X130" si="104">+P127-T127</f>
        <v>67994.510000000009</v>
      </c>
      <c r="Y127" s="4"/>
      <c r="Z127" s="13">
        <f t="shared" ref="Z127:Z130" si="105">IF(T127=0,0,X127/T127)</f>
        <v>0.61883023087780797</v>
      </c>
    </row>
    <row r="128" spans="1:26" s="24" customFormat="1" hidden="1" outlineLevel="1" x14ac:dyDescent="0.35">
      <c r="A128" s="44"/>
      <c r="B128" s="11" t="str">
        <f>CONCATENATE("          ", "9150", " - ", "MISC. INCOME")</f>
        <v xml:space="preserve">          9150 - MISC. INCOME</v>
      </c>
      <c r="C128" s="11"/>
      <c r="D128" s="2">
        <f>--1895.85</f>
        <v>1895.85</v>
      </c>
      <c r="E128" s="2"/>
      <c r="F128" s="19">
        <f t="shared" si="98"/>
        <v>8.6710714560136973E-2</v>
      </c>
      <c r="G128" s="2"/>
      <c r="H128" s="2">
        <f>--2639.86</f>
        <v>2639.86</v>
      </c>
      <c r="I128" s="2"/>
      <c r="J128" s="19">
        <f t="shared" si="99"/>
        <v>5.9861286786598168E-2</v>
      </c>
      <c r="K128" s="2"/>
      <c r="L128" s="2">
        <f t="shared" si="100"/>
        <v>-744.01000000000022</v>
      </c>
      <c r="M128" s="2"/>
      <c r="N128" s="19">
        <f t="shared" si="101"/>
        <v>-0.28183691559400886</v>
      </c>
      <c r="O128" s="11"/>
      <c r="P128" s="2">
        <f>--23186.55</f>
        <v>23186.55</v>
      </c>
      <c r="Q128" s="2"/>
      <c r="R128" s="19">
        <f t="shared" si="102"/>
        <v>4.6831004192796344E-3</v>
      </c>
      <c r="S128" s="2"/>
      <c r="T128" s="2">
        <f>--96045.53</f>
        <v>96045.53</v>
      </c>
      <c r="U128" s="2"/>
      <c r="V128" s="19">
        <f t="shared" si="103"/>
        <v>1.5880967473947454E-2</v>
      </c>
      <c r="W128" s="2"/>
      <c r="X128" s="2">
        <f t="shared" si="104"/>
        <v>-72858.98</v>
      </c>
      <c r="Y128" s="2"/>
      <c r="Z128" s="19">
        <f t="shared" si="105"/>
        <v>-0.75858793220257092</v>
      </c>
    </row>
    <row r="129" spans="1:26" s="24" customFormat="1" hidden="1" outlineLevel="1" x14ac:dyDescent="0.35">
      <c r="A129" s="44"/>
      <c r="B129" s="11" t="str">
        <f>CONCATENATE("          ", "9151", " - ", "MISC. INCOME")</f>
        <v xml:space="preserve">          9151 - MISC. INCOME</v>
      </c>
      <c r="C129" s="11"/>
      <c r="D129" s="2">
        <f>-18698.07</f>
        <v>-18698.07</v>
      </c>
      <c r="E129" s="2"/>
      <c r="F129" s="19">
        <f t="shared" si="98"/>
        <v>-0.85519582804307315</v>
      </c>
      <c r="G129" s="2"/>
      <c r="H129" s="2">
        <f>0</f>
        <v>0</v>
      </c>
      <c r="I129" s="2"/>
      <c r="J129" s="19">
        <f t="shared" si="99"/>
        <v>0</v>
      </c>
      <c r="K129" s="2"/>
      <c r="L129" s="2">
        <f t="shared" si="100"/>
        <v>-18698.07</v>
      </c>
      <c r="M129" s="2"/>
      <c r="N129" s="19">
        <f t="shared" si="101"/>
        <v>0</v>
      </c>
      <c r="O129" s="11"/>
      <c r="P129" s="2">
        <f>--144046.23</f>
        <v>144046.23000000001</v>
      </c>
      <c r="Q129" s="2"/>
      <c r="R129" s="19">
        <f t="shared" si="102"/>
        <v>2.9093718561349173E-2</v>
      </c>
      <c r="S129" s="2"/>
      <c r="T129" s="2">
        <f>0</f>
        <v>0</v>
      </c>
      <c r="U129" s="2"/>
      <c r="V129" s="19">
        <f t="shared" si="103"/>
        <v>0</v>
      </c>
      <c r="W129" s="2"/>
      <c r="X129" s="2">
        <f t="shared" si="104"/>
        <v>144046.23000000001</v>
      </c>
      <c r="Y129" s="2"/>
      <c r="Z129" s="19">
        <f t="shared" si="105"/>
        <v>0</v>
      </c>
    </row>
    <row r="130" spans="1:26" s="24" customFormat="1" hidden="1" outlineLevel="1" x14ac:dyDescent="0.35">
      <c r="A130" s="44"/>
      <c r="B130" s="11" t="str">
        <f>CONCATENATE("          ", "9152", " - ", "MISC. INCOME")</f>
        <v xml:space="preserve">          9152 - MISC. INCOME</v>
      </c>
      <c r="C130" s="11"/>
      <c r="D130" s="2">
        <f>--762.71</f>
        <v>762.71</v>
      </c>
      <c r="E130" s="2"/>
      <c r="F130" s="19">
        <f t="shared" si="98"/>
        <v>3.4884157028331392E-2</v>
      </c>
      <c r="G130" s="2"/>
      <c r="H130" s="2">
        <f>--2590.7</f>
        <v>2590.6999999999998</v>
      </c>
      <c r="I130" s="2"/>
      <c r="J130" s="19">
        <f t="shared" si="99"/>
        <v>5.8746537952027708E-2</v>
      </c>
      <c r="K130" s="2"/>
      <c r="L130" s="2">
        <f t="shared" si="100"/>
        <v>-1827.9899999999998</v>
      </c>
      <c r="M130" s="2"/>
      <c r="N130" s="19">
        <f t="shared" si="101"/>
        <v>-0.70559694291118225</v>
      </c>
      <c r="O130" s="11"/>
      <c r="P130" s="2">
        <f>--10637.6</f>
        <v>10637.6</v>
      </c>
      <c r="Q130" s="2"/>
      <c r="R130" s="19">
        <f t="shared" si="102"/>
        <v>2.1485278758646299E-3</v>
      </c>
      <c r="S130" s="2"/>
      <c r="T130" s="2">
        <f>--13830.34</f>
        <v>13830.34</v>
      </c>
      <c r="U130" s="2"/>
      <c r="V130" s="19">
        <f t="shared" si="103"/>
        <v>2.2868235480988488E-3</v>
      </c>
      <c r="W130" s="2"/>
      <c r="X130" s="2">
        <f t="shared" si="104"/>
        <v>-3192.74</v>
      </c>
      <c r="Y130" s="2"/>
      <c r="Z130" s="19">
        <f t="shared" si="105"/>
        <v>-0.23085043462416685</v>
      </c>
    </row>
    <row r="131" spans="1:26" x14ac:dyDescent="0.3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35">
      <c r="A132" s="10"/>
      <c r="B132" s="28" t="s">
        <v>3</v>
      </c>
      <c r="C132" s="28"/>
      <c r="D132" s="22">
        <f>+D64-D66+D127</f>
        <v>-89856.860000000015</v>
      </c>
      <c r="E132" s="14"/>
      <c r="F132" s="21">
        <f>IF(D$12=0,0,D132/D$12)</f>
        <v>-4.1097937804837885</v>
      </c>
      <c r="G132" s="14"/>
      <c r="H132" s="22">
        <f>+H64-H66+H127</f>
        <v>105281.33</v>
      </c>
      <c r="I132" s="14"/>
      <c r="J132" s="21">
        <f>IF(H$12=0,0,H132/H$12)</f>
        <v>2.3873523173215556</v>
      </c>
      <c r="K132" s="15"/>
      <c r="L132" s="22">
        <f>+D132-H132</f>
        <v>-195138.19</v>
      </c>
      <c r="M132" s="15"/>
      <c r="N132" s="21">
        <f>IF(H132=0,0,L132/H132)</f>
        <v>-1.8534928272657649</v>
      </c>
      <c r="O132" s="29"/>
      <c r="P132" s="22">
        <f>+P64-P66+P127</f>
        <v>988693.60999999801</v>
      </c>
      <c r="Q132" s="14"/>
      <c r="R132" s="21">
        <f>IF(P$12=0,0,P132/P$12)</f>
        <v>0.19969126323364561</v>
      </c>
      <c r="S132" s="14"/>
      <c r="T132" s="22">
        <f>+T64-T66+T127</f>
        <v>1226694.7399999979</v>
      </c>
      <c r="U132" s="14"/>
      <c r="V132" s="21">
        <f>IF(T$12=0,0,T132/T$12)</f>
        <v>0.20283192009458842</v>
      </c>
      <c r="W132" s="15"/>
      <c r="X132" s="22">
        <f>+P132-T132</f>
        <v>-238001.12999999989</v>
      </c>
      <c r="Y132" s="15"/>
      <c r="Z132" s="21">
        <f>IF(T132=0,0,X132/T132)</f>
        <v>-0.19401822005040986</v>
      </c>
    </row>
    <row r="133" spans="1:26" x14ac:dyDescent="0.3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35">
      <c r="A134" s="51"/>
      <c r="B134" s="10" t="s">
        <v>13</v>
      </c>
      <c r="C134" s="10"/>
      <c r="D134" s="4">
        <v>166065.79999999999</v>
      </c>
      <c r="E134" s="4"/>
      <c r="F134" s="13">
        <f>IF(D$12=0,0,D134/D$12)</f>
        <v>7.5953710377934929</v>
      </c>
      <c r="G134" s="4"/>
      <c r="H134" s="4">
        <v>-193404.02</v>
      </c>
      <c r="I134" s="4"/>
      <c r="J134" s="13">
        <f>IF(H$12=0,0,H134/H$12)</f>
        <v>-4.3856164746997823</v>
      </c>
      <c r="K134" s="4"/>
      <c r="L134" s="4">
        <f>+D134-H134</f>
        <v>359469.81999999995</v>
      </c>
      <c r="M134" s="4"/>
      <c r="N134" s="13">
        <f>IF(H134=0,0,L134/H134)</f>
        <v>-1.8586470953395899</v>
      </c>
      <c r="O134" s="10"/>
      <c r="P134" s="4">
        <v>749790.05</v>
      </c>
      <c r="Q134" s="4"/>
      <c r="R134" s="13">
        <f>IF(P$12=0,0,P134/P$12)</f>
        <v>0.15143874778812277</v>
      </c>
      <c r="S134" s="4"/>
      <c r="T134" s="4">
        <v>431072.35000000003</v>
      </c>
      <c r="U134" s="4"/>
      <c r="V134" s="13">
        <f>IF(T$12=0,0,T134/T$12)</f>
        <v>7.1277090867925802E-2</v>
      </c>
      <c r="W134" s="4"/>
      <c r="X134" s="4">
        <f>+P134-T134</f>
        <v>318717.7</v>
      </c>
      <c r="Y134" s="4"/>
      <c r="Z134" s="13">
        <f>IF(T134=0,0,X134/T134)</f>
        <v>0.73936010973563948</v>
      </c>
    </row>
    <row r="135" spans="1:26" x14ac:dyDescent="0.3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" thickBot="1" x14ac:dyDescent="0.4">
      <c r="A136" s="10"/>
      <c r="B136" s="28" t="s">
        <v>4</v>
      </c>
      <c r="C136" s="28"/>
      <c r="D136" s="34">
        <f>+D132-D134</f>
        <v>-255922.66</v>
      </c>
      <c r="E136" s="14"/>
      <c r="F136" s="32">
        <f>IF(D$12=0,0,D136/D$12)</f>
        <v>-11.705164818277281</v>
      </c>
      <c r="G136" s="14"/>
      <c r="H136" s="34">
        <f>+H132-H134</f>
        <v>298685.34999999998</v>
      </c>
      <c r="I136" s="14"/>
      <c r="J136" s="32">
        <f>IF(H$12=0,0,H136/H$12)</f>
        <v>6.7729687920213371</v>
      </c>
      <c r="K136" s="15"/>
      <c r="L136" s="34">
        <f>D136-H136</f>
        <v>-554608.01</v>
      </c>
      <c r="M136" s="15"/>
      <c r="N136" s="32">
        <f>IF(H136=0,0,L136/H136)</f>
        <v>-1.85683030654165</v>
      </c>
      <c r="O136" s="29"/>
      <c r="P136" s="34">
        <f>+P132-P134</f>
        <v>238903.55999999796</v>
      </c>
      <c r="Q136" s="14"/>
      <c r="R136" s="32">
        <f>IF(P$12=0,0,P136/P$12)</f>
        <v>4.8252515445522844E-2</v>
      </c>
      <c r="S136" s="14"/>
      <c r="T136" s="34">
        <f>+T132-T134</f>
        <v>795622.3899999978</v>
      </c>
      <c r="U136" s="14"/>
      <c r="V136" s="32">
        <f>IF(T$12=0,0,T136/T$12)</f>
        <v>0.13155482922666262</v>
      </c>
      <c r="W136" s="15"/>
      <c r="X136" s="34">
        <f>P136-T136</f>
        <v>-556718.82999999984</v>
      </c>
      <c r="Y136" s="15"/>
      <c r="Z136" s="32">
        <f>IF(T136=0,0,X136/T136)</f>
        <v>-0.69972745487969656</v>
      </c>
    </row>
    <row r="137" spans="1:26" ht="15" thickTop="1" x14ac:dyDescent="0.3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3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ht="15" thickBot="1" x14ac:dyDescent="0.4">
      <c r="A139" s="10"/>
      <c r="B139" s="28" t="s">
        <v>5</v>
      </c>
      <c r="C139" s="28"/>
      <c r="D139" s="35">
        <f>SUM(D136:D138)</f>
        <v>-255922.66</v>
      </c>
      <c r="E139" s="14"/>
      <c r="F139" s="33">
        <f>IF(D$12=0,0,D139/D$12)</f>
        <v>-11.705164818277281</v>
      </c>
      <c r="G139" s="14"/>
      <c r="H139" s="35">
        <f>SUM(H136:H138)</f>
        <v>298685.34999999998</v>
      </c>
      <c r="I139" s="14"/>
      <c r="J139" s="33">
        <f>IF(H$12=0,0,H139/H$12)</f>
        <v>6.7729687920213371</v>
      </c>
      <c r="K139" s="15"/>
      <c r="L139" s="35">
        <f>+D139-H139</f>
        <v>-554608.01</v>
      </c>
      <c r="M139" s="15"/>
      <c r="N139" s="33">
        <f>IF(H139=0,0,L139/H139)</f>
        <v>-1.85683030654165</v>
      </c>
      <c r="O139" s="29"/>
      <c r="P139" s="35">
        <f>SUM(P136:P138)</f>
        <v>238903.55999999796</v>
      </c>
      <c r="Q139" s="14"/>
      <c r="R139" s="33">
        <f>IF(P$12=0,0,P139/P$12)</f>
        <v>4.8252515445522844E-2</v>
      </c>
      <c r="S139" s="14"/>
      <c r="T139" s="35">
        <f>SUM(T136:T138)</f>
        <v>795622.3899999978</v>
      </c>
      <c r="U139" s="14"/>
      <c r="V139" s="33">
        <f>IF(T$12=0,0,T139/T$12)</f>
        <v>0.13155482922666262</v>
      </c>
      <c r="W139" s="15"/>
      <c r="X139" s="35">
        <f>+P139-T139</f>
        <v>-556718.82999999984</v>
      </c>
      <c r="Y139" s="15"/>
      <c r="Z139" s="33">
        <f>IF(T139=0,0,X139/T139)</f>
        <v>-0.69972745487969656</v>
      </c>
    </row>
    <row r="140" spans="1:26" ht="15" thickTop="1" x14ac:dyDescent="0.35">
      <c r="A140" s="9"/>
      <c r="C140" s="9"/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35">
      <c r="A141" s="9"/>
      <c r="B141" s="52">
        <v>44043.522361342591</v>
      </c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  <row r="142" spans="1:26" x14ac:dyDescent="0.35">
      <c r="A142" s="9"/>
      <c r="B142" s="61" t="s">
        <v>313</v>
      </c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  <row r="143" spans="1:26" x14ac:dyDescent="0.35">
      <c r="A143" s="9"/>
      <c r="B143" s="54"/>
      <c r="D143" s="17"/>
      <c r="E143" s="17"/>
      <c r="G143" s="17"/>
      <c r="H143" s="17"/>
      <c r="I143" s="17"/>
      <c r="J143" s="42"/>
      <c r="K143" s="17"/>
      <c r="L143" s="17"/>
      <c r="M143" s="17"/>
      <c r="P143" s="17"/>
      <c r="Q143" s="17"/>
      <c r="R143" s="42"/>
      <c r="S143" s="17"/>
      <c r="T143" s="17"/>
      <c r="U143" s="17"/>
      <c r="V143" s="42"/>
      <c r="W143" s="17"/>
      <c r="X143" s="17"/>
    </row>
    <row r="144" spans="1:26" x14ac:dyDescent="0.35"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","311", " - ", "Textbooks")</f>
        <v>Department 311 - Textbooks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16646.41</v>
      </c>
      <c r="E12" s="4"/>
      <c r="F12" s="13"/>
      <c r="G12" s="4"/>
      <c r="H12" s="4">
        <f>SUM(OSRRefH13x_0)</f>
        <v>36102.43</v>
      </c>
      <c r="I12" s="4"/>
      <c r="J12" s="13"/>
      <c r="K12" s="4"/>
      <c r="L12" s="4">
        <f t="shared" ref="L12:L42" si="0">+D12-H12</f>
        <v>-19456.02</v>
      </c>
      <c r="M12" s="4"/>
      <c r="N12" s="13">
        <f t="shared" ref="N12:N42" si="1">IF(H12=0,0,L12/H12)</f>
        <v>-0.5389116466675512</v>
      </c>
      <c r="O12" s="10"/>
      <c r="P12" s="4">
        <f>SUM(OSRRefP13x_0)</f>
        <v>3348053.5699999994</v>
      </c>
      <c r="Q12" s="4"/>
      <c r="R12" s="13"/>
      <c r="S12" s="4"/>
      <c r="T12" s="4">
        <f>SUM(OSRRefT13x_0)</f>
        <v>3937368.4900000007</v>
      </c>
      <c r="U12" s="4"/>
      <c r="V12" s="13"/>
      <c r="W12" s="4"/>
      <c r="X12" s="4">
        <f t="shared" ref="X12:X42" si="2">+P12-T12</f>
        <v>-589314.92000000132</v>
      </c>
      <c r="Y12" s="4"/>
      <c r="Z12" s="13">
        <f t="shared" ref="Z12:Z42" si="3">IF(T12=0,0,X12/T12)</f>
        <v>-0.14967228022897122</v>
      </c>
    </row>
    <row r="13" spans="1:26" s="24" customFormat="1" hidden="1" outlineLevel="1" x14ac:dyDescent="0.3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--6687.78</f>
        <v>6687.78</v>
      </c>
      <c r="E13" s="2"/>
      <c r="F13" s="19"/>
      <c r="G13" s="2"/>
      <c r="H13" s="2">
        <f>--21461.03</f>
        <v>21461.03</v>
      </c>
      <c r="I13" s="2"/>
      <c r="J13" s="19"/>
      <c r="K13" s="2"/>
      <c r="L13" s="2">
        <f t="shared" si="0"/>
        <v>-14773.25</v>
      </c>
      <c r="M13" s="2"/>
      <c r="N13" s="19">
        <f t="shared" si="1"/>
        <v>-0.68837562782401407</v>
      </c>
      <c r="O13" s="11"/>
      <c r="P13" s="2">
        <f>--2020717.57</f>
        <v>2020717.57</v>
      </c>
      <c r="Q13" s="2"/>
      <c r="R13" s="19"/>
      <c r="S13" s="2"/>
      <c r="T13" s="2">
        <f>--2561646.36</f>
        <v>2561646.36</v>
      </c>
      <c r="U13" s="2"/>
      <c r="V13" s="19"/>
      <c r="W13" s="2"/>
      <c r="X13" s="2">
        <f t="shared" si="2"/>
        <v>-540928.7899999998</v>
      </c>
      <c r="Y13" s="2"/>
      <c r="Z13" s="19">
        <f t="shared" si="3"/>
        <v>-0.21116450671981118</v>
      </c>
    </row>
    <row r="14" spans="1:26" s="24" customFormat="1" hidden="1" outlineLevel="1" x14ac:dyDescent="0.3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--3174.55</f>
        <v>3174.55</v>
      </c>
      <c r="E14" s="2"/>
      <c r="F14" s="19"/>
      <c r="G14" s="2"/>
      <c r="H14" s="2">
        <f>--6822.7</f>
        <v>6822.7</v>
      </c>
      <c r="I14" s="2"/>
      <c r="J14" s="19"/>
      <c r="K14" s="2"/>
      <c r="L14" s="2">
        <f t="shared" si="0"/>
        <v>-3648.1499999999996</v>
      </c>
      <c r="M14" s="2"/>
      <c r="N14" s="19">
        <f t="shared" si="1"/>
        <v>-0.53470766705263306</v>
      </c>
      <c r="O14" s="11"/>
      <c r="P14" s="2">
        <f>--690438.4</f>
        <v>690438.4</v>
      </c>
      <c r="Q14" s="2"/>
      <c r="R14" s="19"/>
      <c r="S14" s="2"/>
      <c r="T14" s="2">
        <f>--652470.99</f>
        <v>652470.99</v>
      </c>
      <c r="U14" s="2"/>
      <c r="V14" s="19"/>
      <c r="W14" s="2"/>
      <c r="X14" s="2">
        <f t="shared" si="2"/>
        <v>37967.410000000033</v>
      </c>
      <c r="Y14" s="2"/>
      <c r="Z14" s="19">
        <f t="shared" si="3"/>
        <v>5.8190188654977645E-2</v>
      </c>
    </row>
    <row r="15" spans="1:26" s="24" customFormat="1" hidden="1" outlineLevel="1" x14ac:dyDescent="0.3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--895</f>
        <v>895</v>
      </c>
      <c r="E15" s="2"/>
      <c r="F15" s="19"/>
      <c r="G15" s="2"/>
      <c r="H15" s="2">
        <f>--167.99</f>
        <v>167.99</v>
      </c>
      <c r="I15" s="2"/>
      <c r="J15" s="19"/>
      <c r="K15" s="2"/>
      <c r="L15" s="2">
        <f t="shared" si="0"/>
        <v>727.01</v>
      </c>
      <c r="M15" s="2"/>
      <c r="N15" s="19">
        <f t="shared" si="1"/>
        <v>4.3276980772665032</v>
      </c>
      <c r="O15" s="11"/>
      <c r="P15" s="2">
        <f>--34659.88</f>
        <v>34659.879999999997</v>
      </c>
      <c r="Q15" s="2"/>
      <c r="R15" s="19"/>
      <c r="S15" s="2"/>
      <c r="T15" s="2">
        <f>--15422.64</f>
        <v>15422.64</v>
      </c>
      <c r="U15" s="2"/>
      <c r="V15" s="19"/>
      <c r="W15" s="2"/>
      <c r="X15" s="2">
        <f t="shared" si="2"/>
        <v>19237.239999999998</v>
      </c>
      <c r="Y15" s="2"/>
      <c r="Z15" s="19">
        <f t="shared" si="3"/>
        <v>1.2473376801896432</v>
      </c>
    </row>
    <row r="16" spans="1:26" s="24" customFormat="1" hidden="1" outlineLevel="1" x14ac:dyDescent="0.3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 t="shared" ref="D16:D17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>
        <f>--70418.64</f>
        <v>70418.64</v>
      </c>
      <c r="U16" s="2"/>
      <c r="V16" s="19"/>
      <c r="W16" s="2"/>
      <c r="X16" s="2">
        <f t="shared" si="2"/>
        <v>-28223.339999999997</v>
      </c>
      <c r="Y16" s="2"/>
      <c r="Z16" s="19">
        <f t="shared" si="3"/>
        <v>-0.40079359669542036</v>
      </c>
    </row>
    <row r="17" spans="1:26" s="24" customFormat="1" hidden="1" outlineLevel="1" x14ac:dyDescent="0.3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 t="shared" si="4"/>
        <v>0</v>
      </c>
      <c r="E17" s="2"/>
      <c r="F17" s="19"/>
      <c r="G17" s="2"/>
      <c r="H17" s="2">
        <f>--3.88</f>
        <v>3.88</v>
      </c>
      <c r="I17" s="2"/>
      <c r="J17" s="19"/>
      <c r="K17" s="2"/>
      <c r="L17" s="2">
        <f t="shared" si="0"/>
        <v>-3.88</v>
      </c>
      <c r="M17" s="2"/>
      <c r="N17" s="19">
        <f t="shared" si="1"/>
        <v>-1</v>
      </c>
      <c r="O17" s="11"/>
      <c r="P17" s="2">
        <f>--1052.48</f>
        <v>1052.48</v>
      </c>
      <c r="Q17" s="2"/>
      <c r="R17" s="19"/>
      <c r="S17" s="2"/>
      <c r="T17" s="2">
        <f>--9.71</f>
        <v>9.7100000000000009</v>
      </c>
      <c r="U17" s="2"/>
      <c r="V17" s="19"/>
      <c r="W17" s="2"/>
      <c r="X17" s="2">
        <f t="shared" si="2"/>
        <v>1042.77</v>
      </c>
      <c r="Y17" s="2"/>
      <c r="Z17" s="19">
        <f t="shared" si="3"/>
        <v>107.39134912461378</v>
      </c>
    </row>
    <row r="18" spans="1:26" s="24" customFormat="1" hidden="1" outlineLevel="1" x14ac:dyDescent="0.3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--64.99</f>
        <v>64.989999999999995</v>
      </c>
      <c r="E18" s="2"/>
      <c r="F18" s="19"/>
      <c r="G18" s="2"/>
      <c r="H18" s="2">
        <f>--748.56</f>
        <v>748.56</v>
      </c>
      <c r="I18" s="2"/>
      <c r="J18" s="19"/>
      <c r="K18" s="2"/>
      <c r="L18" s="2">
        <f t="shared" si="0"/>
        <v>-683.56999999999994</v>
      </c>
      <c r="M18" s="2"/>
      <c r="N18" s="19">
        <f t="shared" si="1"/>
        <v>-0.91317997221331626</v>
      </c>
      <c r="O18" s="11"/>
      <c r="P18" s="2">
        <f>--2778.35</f>
        <v>2778.35</v>
      </c>
      <c r="Q18" s="2"/>
      <c r="R18" s="19"/>
      <c r="S18" s="2"/>
      <c r="T18" s="2">
        <f>--7463.59</f>
        <v>7463.59</v>
      </c>
      <c r="U18" s="2"/>
      <c r="V18" s="19"/>
      <c r="W18" s="2"/>
      <c r="X18" s="2">
        <f t="shared" si="2"/>
        <v>-4685.24</v>
      </c>
      <c r="Y18" s="2"/>
      <c r="Z18" s="19">
        <f t="shared" si="3"/>
        <v>-0.62774616504925906</v>
      </c>
    </row>
    <row r="19" spans="1:26" s="24" customFormat="1" hidden="1" outlineLevel="1" x14ac:dyDescent="0.3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--13.9</f>
        <v>13.9</v>
      </c>
      <c r="E19" s="2"/>
      <c r="F19" s="19"/>
      <c r="G19" s="2"/>
      <c r="H19" s="2">
        <f>--93.58</f>
        <v>93.58</v>
      </c>
      <c r="I19" s="2"/>
      <c r="J19" s="19"/>
      <c r="K19" s="2"/>
      <c r="L19" s="2">
        <f t="shared" si="0"/>
        <v>-79.679999999999993</v>
      </c>
      <c r="M19" s="2"/>
      <c r="N19" s="19">
        <f t="shared" si="1"/>
        <v>-0.85146398803163059</v>
      </c>
      <c r="O19" s="11"/>
      <c r="P19" s="2">
        <f>--1233.88</f>
        <v>1233.8800000000001</v>
      </c>
      <c r="Q19" s="2"/>
      <c r="R19" s="19"/>
      <c r="S19" s="2"/>
      <c r="T19" s="2">
        <f>--2221.33</f>
        <v>2221.33</v>
      </c>
      <c r="U19" s="2"/>
      <c r="V19" s="19"/>
      <c r="W19" s="2"/>
      <c r="X19" s="2">
        <f t="shared" si="2"/>
        <v>-987.44999999999982</v>
      </c>
      <c r="Y19" s="2"/>
      <c r="Z19" s="19">
        <f t="shared" si="3"/>
        <v>-0.44453097918814399</v>
      </c>
    </row>
    <row r="20" spans="1:26" s="24" customFormat="1" hidden="1" outlineLevel="1" x14ac:dyDescent="0.3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0</f>
        <v>0</v>
      </c>
      <c r="E20" s="2"/>
      <c r="F20" s="19"/>
      <c r="G20" s="2"/>
      <c r="H20" s="2">
        <f>--141</f>
        <v>141</v>
      </c>
      <c r="I20" s="2"/>
      <c r="J20" s="19"/>
      <c r="K20" s="2"/>
      <c r="L20" s="2">
        <f t="shared" si="0"/>
        <v>-141</v>
      </c>
      <c r="M20" s="2"/>
      <c r="N20" s="19">
        <f t="shared" si="1"/>
        <v>-1</v>
      </c>
      <c r="O20" s="11"/>
      <c r="P20" s="2">
        <f>--4179.3</f>
        <v>4179.3</v>
      </c>
      <c r="Q20" s="2"/>
      <c r="R20" s="19"/>
      <c r="S20" s="2"/>
      <c r="T20" s="2">
        <f>--6524.46</f>
        <v>6524.46</v>
      </c>
      <c r="U20" s="2"/>
      <c r="V20" s="19"/>
      <c r="W20" s="2"/>
      <c r="X20" s="2">
        <f t="shared" si="2"/>
        <v>-2345.16</v>
      </c>
      <c r="Y20" s="2"/>
      <c r="Z20" s="19">
        <f t="shared" si="3"/>
        <v>-0.35944124111420711</v>
      </c>
    </row>
    <row r="21" spans="1:26" s="24" customFormat="1" hidden="1" outlineLevel="1" x14ac:dyDescent="0.3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--2671.34</f>
        <v>2671.34</v>
      </c>
      <c r="E21" s="2"/>
      <c r="F21" s="19"/>
      <c r="G21" s="2"/>
      <c r="H21" s="2">
        <f>--1051.16</f>
        <v>1051.1600000000001</v>
      </c>
      <c r="I21" s="2"/>
      <c r="J21" s="19"/>
      <c r="K21" s="2"/>
      <c r="L21" s="2">
        <f t="shared" si="0"/>
        <v>1620.18</v>
      </c>
      <c r="M21" s="2"/>
      <c r="N21" s="19">
        <f t="shared" si="1"/>
        <v>1.5413257734312569</v>
      </c>
      <c r="O21" s="11"/>
      <c r="P21" s="2">
        <f>--153953.68</f>
        <v>153953.68</v>
      </c>
      <c r="Q21" s="2"/>
      <c r="R21" s="19"/>
      <c r="S21" s="2"/>
      <c r="T21" s="2">
        <f>--281995.26</f>
        <v>281995.26</v>
      </c>
      <c r="U21" s="2"/>
      <c r="V21" s="19"/>
      <c r="W21" s="2"/>
      <c r="X21" s="2">
        <f t="shared" si="2"/>
        <v>-128041.58000000002</v>
      </c>
      <c r="Y21" s="2"/>
      <c r="Z21" s="19">
        <f t="shared" si="3"/>
        <v>-0.45405578802991231</v>
      </c>
    </row>
    <row r="22" spans="1:26" s="24" customFormat="1" hidden="1" outlineLevel="1" x14ac:dyDescent="0.3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--1718.15</f>
        <v>1718.15</v>
      </c>
      <c r="E22" s="2"/>
      <c r="F22" s="19"/>
      <c r="G22" s="2"/>
      <c r="H22" s="2">
        <f>--2191.44</f>
        <v>2191.44</v>
      </c>
      <c r="I22" s="2"/>
      <c r="J22" s="19"/>
      <c r="K22" s="2"/>
      <c r="L22" s="2">
        <f t="shared" si="0"/>
        <v>-473.28999999999996</v>
      </c>
      <c r="M22" s="2"/>
      <c r="N22" s="19">
        <f t="shared" si="1"/>
        <v>-0.21597214616872923</v>
      </c>
      <c r="O22" s="11"/>
      <c r="P22" s="2">
        <f>--71943.61</f>
        <v>71943.61</v>
      </c>
      <c r="Q22" s="2"/>
      <c r="R22" s="19"/>
      <c r="S22" s="2"/>
      <c r="T22" s="2">
        <f>--98541.39</f>
        <v>98541.39</v>
      </c>
      <c r="U22" s="2"/>
      <c r="V22" s="19"/>
      <c r="W22" s="2"/>
      <c r="X22" s="2">
        <f t="shared" si="2"/>
        <v>-26597.78</v>
      </c>
      <c r="Y22" s="2"/>
      <c r="Z22" s="19">
        <f t="shared" si="3"/>
        <v>-0.26991480432739989</v>
      </c>
    </row>
    <row r="23" spans="1:26" s="24" customFormat="1" hidden="1" outlineLevel="1" x14ac:dyDescent="0.3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--664.97</f>
        <v>664.97</v>
      </c>
      <c r="Q23" s="2"/>
      <c r="R23" s="19"/>
      <c r="S23" s="2"/>
      <c r="T23" s="2">
        <f>--830.85</f>
        <v>830.85</v>
      </c>
      <c r="U23" s="2"/>
      <c r="V23" s="19"/>
      <c r="W23" s="2"/>
      <c r="X23" s="2">
        <f t="shared" si="2"/>
        <v>-165.88</v>
      </c>
      <c r="Y23" s="2"/>
      <c r="Z23" s="19">
        <f t="shared" si="3"/>
        <v>-0.19965095986038392</v>
      </c>
    </row>
    <row r="24" spans="1:26" s="24" customFormat="1" hidden="1" outlineLevel="1" x14ac:dyDescent="0.3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--1836.93</f>
        <v>1836.93</v>
      </c>
      <c r="E24" s="2"/>
      <c r="F24" s="19"/>
      <c r="G24" s="2"/>
      <c r="H24" s="2">
        <f>--1779.5</f>
        <v>1779.5</v>
      </c>
      <c r="I24" s="2"/>
      <c r="J24" s="19"/>
      <c r="K24" s="2"/>
      <c r="L24" s="2">
        <f t="shared" si="0"/>
        <v>57.430000000000064</v>
      </c>
      <c r="M24" s="2"/>
      <c r="N24" s="19">
        <f t="shared" si="1"/>
        <v>3.2273110424276517E-2</v>
      </c>
      <c r="O24" s="11"/>
      <c r="P24" s="2">
        <f>--533640.31</f>
        <v>533640.31000000006</v>
      </c>
      <c r="Q24" s="2"/>
      <c r="R24" s="19"/>
      <c r="S24" s="2"/>
      <c r="T24" s="2">
        <f>--535221.75</f>
        <v>535221.75</v>
      </c>
      <c r="U24" s="2"/>
      <c r="V24" s="19"/>
      <c r="W24" s="2"/>
      <c r="X24" s="2">
        <f t="shared" si="2"/>
        <v>-1581.4399999999441</v>
      </c>
      <c r="Y24" s="2"/>
      <c r="Z24" s="19">
        <f t="shared" si="3"/>
        <v>-2.9547379193763036E-3</v>
      </c>
    </row>
    <row r="25" spans="1:26" s="24" customFormat="1" hidden="1" outlineLevel="1" x14ac:dyDescent="0.3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--679.21</f>
        <v>679.21</v>
      </c>
      <c r="E25" s="2"/>
      <c r="F25" s="19"/>
      <c r="G25" s="2"/>
      <c r="H25" s="2">
        <f>--3194.97</f>
        <v>3194.97</v>
      </c>
      <c r="I25" s="2"/>
      <c r="J25" s="19"/>
      <c r="K25" s="2"/>
      <c r="L25" s="2">
        <f t="shared" si="0"/>
        <v>-2515.7599999999998</v>
      </c>
      <c r="M25" s="2"/>
      <c r="N25" s="19">
        <f t="shared" si="1"/>
        <v>-0.78741271436038518</v>
      </c>
      <c r="O25" s="11"/>
      <c r="P25" s="2">
        <f>--16342.67</f>
        <v>16342.67</v>
      </c>
      <c r="Q25" s="2"/>
      <c r="R25" s="19"/>
      <c r="S25" s="2"/>
      <c r="T25" s="2">
        <f>--25086.75</f>
        <v>25086.75</v>
      </c>
      <c r="U25" s="2"/>
      <c r="V25" s="19"/>
      <c r="W25" s="2"/>
      <c r="X25" s="2">
        <f t="shared" si="2"/>
        <v>-8744.08</v>
      </c>
      <c r="Y25" s="2"/>
      <c r="Z25" s="19">
        <f t="shared" si="3"/>
        <v>-0.34855371859647022</v>
      </c>
    </row>
    <row r="26" spans="1:26" s="24" customFormat="1" hidden="1" outlineLevel="1" x14ac:dyDescent="0.3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ref="D26:D27" si="5">0</f>
        <v>0</v>
      </c>
      <c r="E26" s="2"/>
      <c r="F26" s="19"/>
      <c r="G26" s="2"/>
      <c r="H26" s="2">
        <f>--1600</f>
        <v>1600</v>
      </c>
      <c r="I26" s="2"/>
      <c r="J26" s="19"/>
      <c r="K26" s="2"/>
      <c r="L26" s="2">
        <f t="shared" si="0"/>
        <v>-1600</v>
      </c>
      <c r="M26" s="2"/>
      <c r="N26" s="19">
        <f t="shared" si="1"/>
        <v>-1</v>
      </c>
      <c r="O26" s="11"/>
      <c r="P26" s="2">
        <f>--8266.16</f>
        <v>8266.16</v>
      </c>
      <c r="Q26" s="2"/>
      <c r="R26" s="19"/>
      <c r="S26" s="2"/>
      <c r="T26" s="2">
        <f>--5373</f>
        <v>5373</v>
      </c>
      <c r="U26" s="2"/>
      <c r="V26" s="19"/>
      <c r="W26" s="2"/>
      <c r="X26" s="2">
        <f t="shared" si="2"/>
        <v>2893.16</v>
      </c>
      <c r="Y26" s="2"/>
      <c r="Z26" s="19">
        <f t="shared" si="3"/>
        <v>0.53846268378931694</v>
      </c>
    </row>
    <row r="27" spans="1:26" s="24" customFormat="1" hidden="1" outlineLevel="1" x14ac:dyDescent="0.35">
      <c r="A27" s="44"/>
      <c r="B27" s="11" t="str">
        <f>CONCATENATE("          ", "4114", " - ", "NON-TAXABLE SALES-REMAINDERS")</f>
        <v xml:space="preserve">          4114 - NON-TAXABLE SALES-REMAINDERS</v>
      </c>
      <c r="C27" s="11"/>
      <c r="D27" s="2">
        <f t="shared" si="5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--3.19</f>
        <v>3.19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3.19</v>
      </c>
      <c r="Y27" s="2"/>
      <c r="Z27" s="19">
        <f t="shared" si="3"/>
        <v>0</v>
      </c>
    </row>
    <row r="28" spans="1:26" s="24" customFormat="1" hidden="1" outlineLevel="1" x14ac:dyDescent="0.3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--10.09</f>
        <v>10.09</v>
      </c>
      <c r="E28" s="2"/>
      <c r="F28" s="19"/>
      <c r="G28" s="2"/>
      <c r="H28" s="2">
        <f>--2507</f>
        <v>2507</v>
      </c>
      <c r="I28" s="2"/>
      <c r="J28" s="19"/>
      <c r="K28" s="2"/>
      <c r="L28" s="2">
        <f t="shared" si="0"/>
        <v>-2496.91</v>
      </c>
      <c r="M28" s="2"/>
      <c r="N28" s="19">
        <f t="shared" si="1"/>
        <v>-0.99597526924611079</v>
      </c>
      <c r="O28" s="11"/>
      <c r="P28" s="2">
        <f>--126.03</f>
        <v>126.03</v>
      </c>
      <c r="Q28" s="2"/>
      <c r="R28" s="19"/>
      <c r="S28" s="2"/>
      <c r="T28" s="2">
        <f>--2773.48</f>
        <v>2773.48</v>
      </c>
      <c r="U28" s="2"/>
      <c r="V28" s="19"/>
      <c r="W28" s="2"/>
      <c r="X28" s="2">
        <f t="shared" si="2"/>
        <v>-2647.45</v>
      </c>
      <c r="Y28" s="2"/>
      <c r="Z28" s="19">
        <f t="shared" si="3"/>
        <v>-0.95455889352005419</v>
      </c>
    </row>
    <row r="29" spans="1:26" s="24" customFormat="1" hidden="1" outlineLevel="1" x14ac:dyDescent="0.3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0</f>
        <v>0</v>
      </c>
      <c r="E29" s="2"/>
      <c r="F29" s="19"/>
      <c r="G29" s="2"/>
      <c r="H29" s="2">
        <f>-1869.01</f>
        <v>-1869.01</v>
      </c>
      <c r="I29" s="2"/>
      <c r="J29" s="19"/>
      <c r="K29" s="2"/>
      <c r="L29" s="2">
        <f t="shared" si="0"/>
        <v>1869.01</v>
      </c>
      <c r="M29" s="2"/>
      <c r="N29" s="19">
        <f t="shared" si="1"/>
        <v>-1</v>
      </c>
      <c r="O29" s="11"/>
      <c r="P29" s="2">
        <f>-121451.61</f>
        <v>-121451.61</v>
      </c>
      <c r="Q29" s="2"/>
      <c r="R29" s="19"/>
      <c r="S29" s="2"/>
      <c r="T29" s="2">
        <f>-180616.86</f>
        <v>-180616.86</v>
      </c>
      <c r="U29" s="2"/>
      <c r="V29" s="19"/>
      <c r="W29" s="2"/>
      <c r="X29" s="2">
        <f t="shared" si="2"/>
        <v>59165.249999999985</v>
      </c>
      <c r="Y29" s="2"/>
      <c r="Z29" s="19">
        <f t="shared" si="3"/>
        <v>-0.32757323984040021</v>
      </c>
    </row>
    <row r="30" spans="1:26" s="24" customFormat="1" hidden="1" outlineLevel="1" x14ac:dyDescent="0.3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-186.35</f>
        <v>-186.35</v>
      </c>
      <c r="E30" s="2"/>
      <c r="F30" s="19"/>
      <c r="G30" s="2"/>
      <c r="H30" s="2">
        <f>-393.35</f>
        <v>-393.35</v>
      </c>
      <c r="I30" s="2"/>
      <c r="J30" s="19"/>
      <c r="K30" s="2"/>
      <c r="L30" s="2">
        <f t="shared" si="0"/>
        <v>207.00000000000003</v>
      </c>
      <c r="M30" s="2"/>
      <c r="N30" s="19">
        <f t="shared" si="1"/>
        <v>-0.52624888775899326</v>
      </c>
      <c r="O30" s="11"/>
      <c r="P30" s="2">
        <f>-45799.46</f>
        <v>-45799.46</v>
      </c>
      <c r="Q30" s="2"/>
      <c r="R30" s="19"/>
      <c r="S30" s="2"/>
      <c r="T30" s="2">
        <f>-47688.8</f>
        <v>-47688.800000000003</v>
      </c>
      <c r="U30" s="2"/>
      <c r="V30" s="19"/>
      <c r="W30" s="2"/>
      <c r="X30" s="2">
        <f t="shared" si="2"/>
        <v>1889.3400000000038</v>
      </c>
      <c r="Y30" s="2"/>
      <c r="Z30" s="19">
        <f t="shared" si="3"/>
        <v>-3.9618107396285997E-2</v>
      </c>
    </row>
    <row r="31" spans="1:26" s="24" customFormat="1" hidden="1" outlineLevel="1" x14ac:dyDescent="0.3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2" si="6"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>
        <f>-1699.5</f>
        <v>-1699.5</v>
      </c>
      <c r="U31" s="2"/>
      <c r="V31" s="19"/>
      <c r="W31" s="2"/>
      <c r="X31" s="2">
        <f t="shared" si="2"/>
        <v>1554.51</v>
      </c>
      <c r="Y31" s="2"/>
      <c r="Z31" s="19">
        <f t="shared" si="3"/>
        <v>-0.9146866725507502</v>
      </c>
    </row>
    <row r="32" spans="1:26" s="24" customFormat="1" hidden="1" outlineLevel="1" x14ac:dyDescent="0.3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6"/>
        <v>0</v>
      </c>
      <c r="E32" s="2"/>
      <c r="F32" s="19"/>
      <c r="G32" s="2"/>
      <c r="H32" s="2">
        <f>-44.1</f>
        <v>-44.1</v>
      </c>
      <c r="I32" s="2"/>
      <c r="J32" s="19"/>
      <c r="K32" s="2"/>
      <c r="L32" s="2">
        <f t="shared" si="0"/>
        <v>44.1</v>
      </c>
      <c r="M32" s="2"/>
      <c r="N32" s="19">
        <f t="shared" si="1"/>
        <v>-1</v>
      </c>
      <c r="O32" s="11"/>
      <c r="P32" s="2">
        <f>-17255.33</f>
        <v>-17255.330000000002</v>
      </c>
      <c r="Q32" s="2"/>
      <c r="R32" s="19"/>
      <c r="S32" s="2"/>
      <c r="T32" s="2">
        <f>-27147</f>
        <v>-27147</v>
      </c>
      <c r="U32" s="2"/>
      <c r="V32" s="19"/>
      <c r="W32" s="2"/>
      <c r="X32" s="2">
        <f t="shared" si="2"/>
        <v>9891.6699999999983</v>
      </c>
      <c r="Y32" s="2"/>
      <c r="Z32" s="19">
        <f t="shared" si="3"/>
        <v>-0.36437433233874822</v>
      </c>
    </row>
    <row r="33" spans="1:26" s="24" customFormat="1" hidden="1" outlineLevel="1" x14ac:dyDescent="0.3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-100.7</f>
        <v>-100.7</v>
      </c>
      <c r="E33" s="2"/>
      <c r="F33" s="19"/>
      <c r="G33" s="2"/>
      <c r="H33" s="2">
        <f>-5.95</f>
        <v>-5.95</v>
      </c>
      <c r="I33" s="2"/>
      <c r="J33" s="19"/>
      <c r="K33" s="2"/>
      <c r="L33" s="2">
        <f t="shared" si="0"/>
        <v>-94.75</v>
      </c>
      <c r="M33" s="2"/>
      <c r="N33" s="19">
        <f t="shared" si="1"/>
        <v>15.92436974789916</v>
      </c>
      <c r="O33" s="11"/>
      <c r="P33" s="2">
        <f>-2869.37</f>
        <v>-2869.37</v>
      </c>
      <c r="Q33" s="2"/>
      <c r="R33" s="19"/>
      <c r="S33" s="2"/>
      <c r="T33" s="2">
        <f>-1554.3</f>
        <v>-1554.3</v>
      </c>
      <c r="U33" s="2"/>
      <c r="V33" s="19"/>
      <c r="W33" s="2"/>
      <c r="X33" s="2">
        <f t="shared" si="2"/>
        <v>-1315.07</v>
      </c>
      <c r="Y33" s="2"/>
      <c r="Z33" s="19">
        <f t="shared" si="3"/>
        <v>0.84608505436530912</v>
      </c>
    </row>
    <row r="34" spans="1:26" s="24" customFormat="1" hidden="1" outlineLevel="1" x14ac:dyDescent="0.3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5" si="7">0</f>
        <v>0</v>
      </c>
      <c r="E34" s="2"/>
      <c r="F34" s="19"/>
      <c r="G34" s="2"/>
      <c r="H34" s="2">
        <f t="shared" ref="H34:H35" si="8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>
        <f>-19.84</f>
        <v>-19.84</v>
      </c>
      <c r="U34" s="2"/>
      <c r="V34" s="19"/>
      <c r="W34" s="2"/>
      <c r="X34" s="2">
        <f t="shared" si="2"/>
        <v>7.9</v>
      </c>
      <c r="Y34" s="2"/>
      <c r="Z34" s="19">
        <f t="shared" si="3"/>
        <v>-0.39818548387096775</v>
      </c>
    </row>
    <row r="35" spans="1:26" s="24" customFormat="1" hidden="1" outlineLevel="1" x14ac:dyDescent="0.3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7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>
        <f>-67.6</f>
        <v>-67.599999999999994</v>
      </c>
      <c r="U35" s="2"/>
      <c r="V35" s="19"/>
      <c r="W35" s="2"/>
      <c r="X35" s="2">
        <f t="shared" si="2"/>
        <v>28.349999999999994</v>
      </c>
      <c r="Y35" s="2"/>
      <c r="Z35" s="19">
        <f t="shared" si="3"/>
        <v>-0.41937869822485202</v>
      </c>
    </row>
    <row r="36" spans="1:26" s="24" customFormat="1" hidden="1" outlineLevel="1" x14ac:dyDescent="0.3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-253.49</f>
        <v>-253.49</v>
      </c>
      <c r="E36" s="2"/>
      <c r="F36" s="19"/>
      <c r="G36" s="2"/>
      <c r="H36" s="2">
        <f>-429.12</f>
        <v>-429.12</v>
      </c>
      <c r="I36" s="2"/>
      <c r="J36" s="19"/>
      <c r="K36" s="2"/>
      <c r="L36" s="2">
        <f t="shared" si="0"/>
        <v>175.63</v>
      </c>
      <c r="M36" s="2"/>
      <c r="N36" s="19">
        <f t="shared" si="1"/>
        <v>-0.40927945563012674</v>
      </c>
      <c r="O36" s="11"/>
      <c r="P36" s="2">
        <f>-21543.36</f>
        <v>-21543.360000000001</v>
      </c>
      <c r="Q36" s="2"/>
      <c r="R36" s="19"/>
      <c r="S36" s="2"/>
      <c r="T36" s="2">
        <f>-51917.32</f>
        <v>-51917.32</v>
      </c>
      <c r="U36" s="2"/>
      <c r="V36" s="19"/>
      <c r="W36" s="2"/>
      <c r="X36" s="2">
        <f t="shared" si="2"/>
        <v>30373.96</v>
      </c>
      <c r="Y36" s="2"/>
      <c r="Z36" s="19">
        <f t="shared" si="3"/>
        <v>-0.58504483667492846</v>
      </c>
    </row>
    <row r="37" spans="1:26" s="24" customFormat="1" hidden="1" outlineLevel="1" x14ac:dyDescent="0.3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-95.75</f>
        <v>-95.75</v>
      </c>
      <c r="E37" s="2"/>
      <c r="F37" s="19"/>
      <c r="G37" s="2"/>
      <c r="H37" s="2">
        <f>-452.04</f>
        <v>-452.04</v>
      </c>
      <c r="I37" s="2"/>
      <c r="J37" s="19"/>
      <c r="K37" s="2"/>
      <c r="L37" s="2">
        <f t="shared" si="0"/>
        <v>356.29</v>
      </c>
      <c r="M37" s="2"/>
      <c r="N37" s="19">
        <f t="shared" si="1"/>
        <v>-0.78818246172905049</v>
      </c>
      <c r="O37" s="11"/>
      <c r="P37" s="2">
        <f>-1475.62</f>
        <v>-1475.62</v>
      </c>
      <c r="Q37" s="2"/>
      <c r="R37" s="19"/>
      <c r="S37" s="2"/>
      <c r="T37" s="2">
        <f>-6780.29</f>
        <v>-6780.29</v>
      </c>
      <c r="U37" s="2"/>
      <c r="V37" s="19"/>
      <c r="W37" s="2"/>
      <c r="X37" s="2">
        <f t="shared" si="2"/>
        <v>5304.67</v>
      </c>
      <c r="Y37" s="2"/>
      <c r="Z37" s="19">
        <f t="shared" si="3"/>
        <v>-0.78236624097199381</v>
      </c>
    </row>
    <row r="38" spans="1:26" s="24" customFormat="1" hidden="1" outlineLevel="1" x14ac:dyDescent="0.3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>
        <f>-509.85</f>
        <v>-509.85</v>
      </c>
      <c r="U38" s="2"/>
      <c r="V38" s="19"/>
      <c r="W38" s="2"/>
      <c r="X38" s="2">
        <f t="shared" si="2"/>
        <v>324.86</v>
      </c>
      <c r="Y38" s="2"/>
      <c r="Z38" s="19">
        <f t="shared" si="3"/>
        <v>-0.63716779444934779</v>
      </c>
    </row>
    <row r="39" spans="1:26" s="24" customFormat="1" hidden="1" outlineLevel="1" x14ac:dyDescent="0.3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-398.87</f>
        <v>-398.87</v>
      </c>
      <c r="E39" s="2"/>
      <c r="F39" s="19"/>
      <c r="G39" s="2"/>
      <c r="H39" s="2">
        <f>-124.01</f>
        <v>-124.01</v>
      </c>
      <c r="I39" s="2"/>
      <c r="J39" s="19"/>
      <c r="K39" s="2"/>
      <c r="L39" s="2">
        <f t="shared" si="0"/>
        <v>-274.86</v>
      </c>
      <c r="M39" s="2"/>
      <c r="N39" s="19">
        <f t="shared" si="1"/>
        <v>2.216434158535602</v>
      </c>
      <c r="O39" s="11"/>
      <c r="P39" s="2">
        <f>-19873.2</f>
        <v>-19873.2</v>
      </c>
      <c r="Q39" s="2"/>
      <c r="R39" s="19"/>
      <c r="S39" s="2"/>
      <c r="T39" s="2">
        <f>-6171.97</f>
        <v>-6171.97</v>
      </c>
      <c r="U39" s="2"/>
      <c r="V39" s="19"/>
      <c r="W39" s="2"/>
      <c r="X39" s="2">
        <f t="shared" si="2"/>
        <v>-13701.23</v>
      </c>
      <c r="Y39" s="2"/>
      <c r="Z39" s="19">
        <f t="shared" si="3"/>
        <v>2.2199119567982346</v>
      </c>
    </row>
    <row r="40" spans="1:26" s="24" customFormat="1" hidden="1" outlineLevel="1" x14ac:dyDescent="0.3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-70.37</f>
        <v>-70.37</v>
      </c>
      <c r="E40" s="2"/>
      <c r="F40" s="19"/>
      <c r="G40" s="2"/>
      <c r="H40" s="2">
        <f>-289.3</f>
        <v>-289.3</v>
      </c>
      <c r="I40" s="2"/>
      <c r="J40" s="19"/>
      <c r="K40" s="2"/>
      <c r="L40" s="2">
        <f t="shared" si="0"/>
        <v>218.93</v>
      </c>
      <c r="M40" s="2"/>
      <c r="N40" s="19">
        <f t="shared" si="1"/>
        <v>-0.75675769097822332</v>
      </c>
      <c r="O40" s="11"/>
      <c r="P40" s="2">
        <f>-1011.65</f>
        <v>-1011.65</v>
      </c>
      <c r="Q40" s="2"/>
      <c r="R40" s="19"/>
      <c r="S40" s="2"/>
      <c r="T40" s="2">
        <f>-2399.84</f>
        <v>-2399.84</v>
      </c>
      <c r="U40" s="2"/>
      <c r="V40" s="19"/>
      <c r="W40" s="2"/>
      <c r="X40" s="2">
        <f t="shared" si="2"/>
        <v>1388.19</v>
      </c>
      <c r="Y40" s="2"/>
      <c r="Z40" s="19">
        <f t="shared" si="3"/>
        <v>-0.57845106340422692</v>
      </c>
    </row>
    <row r="41" spans="1:26" s="24" customFormat="1" hidden="1" outlineLevel="1" x14ac:dyDescent="0.35">
      <c r="A41" s="44"/>
      <c r="B41" s="11" t="str">
        <f>CONCATENATE("          ", "4313", " - ", "SALES RETURN NON TAXABLE-TRADE")</f>
        <v xml:space="preserve">          4313 - SALES RETURN NON TAXABLE-TRADE</v>
      </c>
      <c r="C41" s="11"/>
      <c r="D41" s="2">
        <f t="shared" ref="D41:D42" si="9">0</f>
        <v>0</v>
      </c>
      <c r="E41" s="2"/>
      <c r="F41" s="19"/>
      <c r="G41" s="2"/>
      <c r="H41" s="2">
        <f>-800</f>
        <v>-800</v>
      </c>
      <c r="I41" s="2"/>
      <c r="J41" s="19"/>
      <c r="K41" s="2"/>
      <c r="L41" s="2">
        <f t="shared" si="0"/>
        <v>800</v>
      </c>
      <c r="M41" s="2"/>
      <c r="N41" s="19">
        <f t="shared" si="1"/>
        <v>-1</v>
      </c>
      <c r="O41" s="11"/>
      <c r="P41" s="2">
        <f>-2481.44</f>
        <v>-2481.44</v>
      </c>
      <c r="Q41" s="2"/>
      <c r="R41" s="19"/>
      <c r="S41" s="2"/>
      <c r="T41" s="2">
        <f>-800</f>
        <v>-800</v>
      </c>
      <c r="U41" s="2"/>
      <c r="V41" s="19"/>
      <c r="W41" s="2"/>
      <c r="X41" s="2">
        <f t="shared" si="2"/>
        <v>-1681.44</v>
      </c>
      <c r="Y41" s="2"/>
      <c r="Z41" s="19">
        <f t="shared" si="3"/>
        <v>2.1017999999999999</v>
      </c>
    </row>
    <row r="42" spans="1:26" s="24" customFormat="1" hidden="1" outlineLevel="1" x14ac:dyDescent="0.35">
      <c r="A42" s="44"/>
      <c r="B42" s="11" t="str">
        <f>CONCATENATE("          ", "4318", " - ", "SALES RETURN NON TAXABLE-STUDY")</f>
        <v xml:space="preserve">          4318 - SALES RETURN NON TAXABLE-STUDY</v>
      </c>
      <c r="C42" s="11"/>
      <c r="D42" s="2">
        <f t="shared" si="9"/>
        <v>0</v>
      </c>
      <c r="E42" s="2"/>
      <c r="F42" s="19"/>
      <c r="G42" s="2"/>
      <c r="H42" s="2">
        <f>-1253.5</f>
        <v>-1253.5</v>
      </c>
      <c r="I42" s="2"/>
      <c r="J42" s="19"/>
      <c r="K42" s="2"/>
      <c r="L42" s="2">
        <f t="shared" si="0"/>
        <v>1253.5</v>
      </c>
      <c r="M42" s="2"/>
      <c r="N42" s="19">
        <f t="shared" si="1"/>
        <v>-1</v>
      </c>
      <c r="O42" s="11"/>
      <c r="P42" s="2">
        <f>0</f>
        <v>0</v>
      </c>
      <c r="Q42" s="2"/>
      <c r="R42" s="19"/>
      <c r="S42" s="2"/>
      <c r="T42" s="2">
        <f>-1258.54</f>
        <v>-1258.54</v>
      </c>
      <c r="U42" s="2"/>
      <c r="V42" s="19"/>
      <c r="W42" s="2"/>
      <c r="X42" s="2">
        <f t="shared" si="2"/>
        <v>1258.54</v>
      </c>
      <c r="Y42" s="2"/>
      <c r="Z42" s="19">
        <f t="shared" si="3"/>
        <v>-1</v>
      </c>
    </row>
    <row r="43" spans="1:26" x14ac:dyDescent="0.3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35">
      <c r="A44" s="10"/>
      <c r="B44" s="29" t="s">
        <v>8</v>
      </c>
      <c r="C44" s="10"/>
      <c r="D44" s="4">
        <f>SUM(OSRRefD16x_0)</f>
        <v>91239.349999999991</v>
      </c>
      <c r="E44" s="4"/>
      <c r="F44" s="13">
        <f t="shared" ref="F44:F60" si="10">IF(D$12=0,0,D44/D$12)</f>
        <v>5.4810226349104694</v>
      </c>
      <c r="G44" s="4"/>
      <c r="H44" s="4">
        <f>SUM(OSRRefH16x_0)</f>
        <v>77586.9399999999</v>
      </c>
      <c r="I44" s="4"/>
      <c r="J44" s="13">
        <f t="shared" ref="J44:J60" si="11">IF(H$12=0,0,H44/H$12)</f>
        <v>2.1490780537487337</v>
      </c>
      <c r="K44" s="4"/>
      <c r="L44" s="4">
        <f t="shared" ref="L44:L60" si="12">+D44-H44</f>
        <v>13652.410000000091</v>
      </c>
      <c r="M44" s="4"/>
      <c r="N44" s="13">
        <f t="shared" ref="N44:N60" si="13">IF(H44=0,0,L44/H44)</f>
        <v>0.17596273290324516</v>
      </c>
      <c r="O44" s="10"/>
      <c r="P44" s="4">
        <f>SUM(OSRRefP16x_0)</f>
        <v>2452116.4700000002</v>
      </c>
      <c r="Q44" s="4"/>
      <c r="R44" s="13">
        <f t="shared" ref="R44:R60" si="14">IF(P$12=0,0,P44/P$12)</f>
        <v>0.73240060791500439</v>
      </c>
      <c r="S44" s="4"/>
      <c r="T44" s="4">
        <f>SUM(OSRRefT16x_0)</f>
        <v>2863486.87</v>
      </c>
      <c r="U44" s="4"/>
      <c r="V44" s="13">
        <f t="shared" ref="V44:V60" si="15">IF(T$12=0,0,T44/T$12)</f>
        <v>0.7272590506254597</v>
      </c>
      <c r="W44" s="4"/>
      <c r="X44" s="4">
        <f t="shared" ref="X44:X60" si="16">+P44-T44</f>
        <v>-411370.39999999991</v>
      </c>
      <c r="Y44" s="4"/>
      <c r="Z44" s="13">
        <f t="shared" ref="Z44:Z60" si="17">IF(T44=0,0,X44/T44)</f>
        <v>-0.143660655234644</v>
      </c>
    </row>
    <row r="45" spans="1:26" s="24" customFormat="1" hidden="1" outlineLevel="1" x14ac:dyDescent="0.35">
      <c r="A45" s="44"/>
      <c r="B45" s="11" t="str">
        <f>CONCATENATE("          ", "5001", " - ", "PURCHASES @ COST-NEW TEXT")</f>
        <v xml:space="preserve">          5001 - PURCHASES @ COST-NEW TEXT</v>
      </c>
      <c r="C45" s="11"/>
      <c r="D45" s="2">
        <v>20029.05</v>
      </c>
      <c r="E45" s="2"/>
      <c r="F45" s="19">
        <f t="shared" si="10"/>
        <v>1.203205375813764</v>
      </c>
      <c r="G45" s="2"/>
      <c r="H45" s="2">
        <v>33154.009999999995</v>
      </c>
      <c r="I45" s="2"/>
      <c r="J45" s="19">
        <f t="shared" si="11"/>
        <v>0.91833181312172041</v>
      </c>
      <c r="K45" s="2"/>
      <c r="L45" s="2">
        <f t="shared" si="12"/>
        <v>-13124.959999999995</v>
      </c>
      <c r="M45" s="2"/>
      <c r="N45" s="19">
        <f t="shared" si="13"/>
        <v>-0.39587850760737531</v>
      </c>
      <c r="O45" s="11"/>
      <c r="P45" s="2">
        <v>1173925.31</v>
      </c>
      <c r="Q45" s="2"/>
      <c r="R45" s="19">
        <f t="shared" si="14"/>
        <v>0.35062918960403622</v>
      </c>
      <c r="S45" s="2"/>
      <c r="T45" s="2">
        <v>1771160.1800000002</v>
      </c>
      <c r="U45" s="2"/>
      <c r="V45" s="19">
        <f t="shared" si="15"/>
        <v>0.44983348256540751</v>
      </c>
      <c r="W45" s="2"/>
      <c r="X45" s="2">
        <f t="shared" si="16"/>
        <v>-597234.87000000011</v>
      </c>
      <c r="Y45" s="2"/>
      <c r="Z45" s="19">
        <f t="shared" si="17"/>
        <v>-0.33719980651326525</v>
      </c>
    </row>
    <row r="46" spans="1:26" s="24" customFormat="1" hidden="1" outlineLevel="1" x14ac:dyDescent="0.35">
      <c r="A46" s="44"/>
      <c r="B46" s="11" t="str">
        <f>CONCATENATE("          ", "5002", " - ", "PURCHASES @ COST-USED TEXT")</f>
        <v xml:space="preserve">          5002 - PURCHASES @ COST-USED TEXT</v>
      </c>
      <c r="C46" s="11"/>
      <c r="D46" s="2">
        <v>121021.81</v>
      </c>
      <c r="E46" s="2"/>
      <c r="F46" s="19">
        <f t="shared" si="10"/>
        <v>7.2701447339095937</v>
      </c>
      <c r="G46" s="2"/>
      <c r="H46" s="2">
        <v>570600.3899999999</v>
      </c>
      <c r="I46" s="2"/>
      <c r="J46" s="19">
        <f t="shared" si="11"/>
        <v>15.805041101111474</v>
      </c>
      <c r="K46" s="2"/>
      <c r="L46" s="2">
        <f t="shared" si="12"/>
        <v>-449578.5799999999</v>
      </c>
      <c r="M46" s="2"/>
      <c r="N46" s="19">
        <f t="shared" si="13"/>
        <v>-0.78790443869132298</v>
      </c>
      <c r="O46" s="11"/>
      <c r="P46" s="2">
        <v>44226.77</v>
      </c>
      <c r="Q46" s="2"/>
      <c r="R46" s="19">
        <f t="shared" si="14"/>
        <v>1.3209696044379602E-2</v>
      </c>
      <c r="S46" s="2"/>
      <c r="T46" s="2">
        <v>132963.29</v>
      </c>
      <c r="U46" s="2"/>
      <c r="V46" s="19">
        <f t="shared" si="15"/>
        <v>3.3769582485788617E-2</v>
      </c>
      <c r="W46" s="2"/>
      <c r="X46" s="2">
        <f t="shared" si="16"/>
        <v>-88736.520000000019</v>
      </c>
      <c r="Y46" s="2"/>
      <c r="Z46" s="19">
        <f t="shared" si="17"/>
        <v>-0.66737608553458638</v>
      </c>
    </row>
    <row r="47" spans="1:26" s="24" customFormat="1" hidden="1" outlineLevel="1" x14ac:dyDescent="0.35">
      <c r="A47" s="44"/>
      <c r="B47" s="11" t="str">
        <f>CONCATENATE("          ", "5003", " - ", "PURCHASES @ COST-RENTAL TEXT")</f>
        <v xml:space="preserve">          5003 - PURCHASES @ COST-RENTAL TEXT</v>
      </c>
      <c r="C47" s="11"/>
      <c r="D47" s="2">
        <v>24656.6</v>
      </c>
      <c r="E47" s="2"/>
      <c r="F47" s="19">
        <f t="shared" si="10"/>
        <v>1.4811962459172878</v>
      </c>
      <c r="G47" s="2"/>
      <c r="H47" s="2">
        <v>288.39999999999998</v>
      </c>
      <c r="I47" s="2"/>
      <c r="J47" s="19">
        <f t="shared" si="11"/>
        <v>7.9883819454812308E-3</v>
      </c>
      <c r="K47" s="2"/>
      <c r="L47" s="2">
        <f t="shared" si="12"/>
        <v>24368.199999999997</v>
      </c>
      <c r="M47" s="2"/>
      <c r="N47" s="19">
        <f t="shared" si="13"/>
        <v>84.494452149791954</v>
      </c>
      <c r="O47" s="11"/>
      <c r="P47" s="2">
        <v>24578.2</v>
      </c>
      <c r="Q47" s="2"/>
      <c r="R47" s="19">
        <f t="shared" si="14"/>
        <v>7.3410414397879556E-3</v>
      </c>
      <c r="S47" s="2"/>
      <c r="T47" s="2">
        <v>15917.98</v>
      </c>
      <c r="U47" s="2"/>
      <c r="V47" s="19">
        <f t="shared" si="15"/>
        <v>4.0427966141416442E-3</v>
      </c>
      <c r="W47" s="2"/>
      <c r="X47" s="2">
        <f t="shared" si="16"/>
        <v>8660.2200000000012</v>
      </c>
      <c r="Y47" s="2"/>
      <c r="Z47" s="19">
        <f t="shared" si="17"/>
        <v>0.5440527001541654</v>
      </c>
    </row>
    <row r="48" spans="1:26" s="24" customFormat="1" hidden="1" outlineLevel="1" x14ac:dyDescent="0.35">
      <c r="A48" s="44"/>
      <c r="B48" s="11" t="str">
        <f>CONCATENATE("          ", "5004", " - ", "PURCHASES @ COST-DIGITAL TEXT")</f>
        <v xml:space="preserve">          5004 - PURCHASES @ COST-DIGITAL TEXT</v>
      </c>
      <c r="C48" s="11"/>
      <c r="D48" s="2">
        <v>5038.95</v>
      </c>
      <c r="E48" s="2"/>
      <c r="F48" s="19">
        <f t="shared" si="10"/>
        <v>0.30270490754462975</v>
      </c>
      <c r="G48" s="2"/>
      <c r="H48" s="2">
        <v>5564.47</v>
      </c>
      <c r="I48" s="2"/>
      <c r="J48" s="19">
        <f t="shared" si="11"/>
        <v>0.15413006825302342</v>
      </c>
      <c r="K48" s="2"/>
      <c r="L48" s="2">
        <f t="shared" si="12"/>
        <v>-525.52000000000044</v>
      </c>
      <c r="M48" s="2"/>
      <c r="N48" s="19">
        <f t="shared" si="13"/>
        <v>-9.4442058273294743E-2</v>
      </c>
      <c r="O48" s="11"/>
      <c r="P48" s="2">
        <v>451308.6</v>
      </c>
      <c r="Q48" s="2"/>
      <c r="R48" s="19">
        <f t="shared" si="14"/>
        <v>0.1347973055281789</v>
      </c>
      <c r="S48" s="2"/>
      <c r="T48" s="2">
        <v>507143.44999999995</v>
      </c>
      <c r="U48" s="2"/>
      <c r="V48" s="19">
        <f t="shared" si="15"/>
        <v>0.12880263843428072</v>
      </c>
      <c r="W48" s="2"/>
      <c r="X48" s="2">
        <f t="shared" si="16"/>
        <v>-55834.849999999977</v>
      </c>
      <c r="Y48" s="2"/>
      <c r="Z48" s="19">
        <f t="shared" si="17"/>
        <v>-0.11009675861928214</v>
      </c>
    </row>
    <row r="49" spans="1:26" s="24" customFormat="1" hidden="1" outlineLevel="1" x14ac:dyDescent="0.35">
      <c r="A49" s="44"/>
      <c r="B49" s="11" t="str">
        <f>CONCATENATE("          ", "5011", " - ", "PURCHASES @ COST-NO VALUE TEXT")</f>
        <v xml:space="preserve">          5011 - PURCHASES @ COST-NO VALUE TEXT</v>
      </c>
      <c r="C49" s="11"/>
      <c r="D49" s="2">
        <v>99</v>
      </c>
      <c r="E49" s="2"/>
      <c r="F49" s="19">
        <f t="shared" si="10"/>
        <v>5.9472282612286972E-3</v>
      </c>
      <c r="G49" s="2"/>
      <c r="H49" s="2">
        <v>1551</v>
      </c>
      <c r="I49" s="2"/>
      <c r="J49" s="19">
        <f t="shared" si="11"/>
        <v>4.2961097078506906E-2</v>
      </c>
      <c r="K49" s="2"/>
      <c r="L49" s="2">
        <f t="shared" si="12"/>
        <v>-1452</v>
      </c>
      <c r="M49" s="2"/>
      <c r="N49" s="19">
        <f t="shared" si="13"/>
        <v>-0.93617021276595747</v>
      </c>
      <c r="O49" s="11"/>
      <c r="P49" s="2">
        <v>6462</v>
      </c>
      <c r="Q49" s="2"/>
      <c r="R49" s="19">
        <f t="shared" si="14"/>
        <v>1.9300766445024358E-3</v>
      </c>
      <c r="S49" s="2"/>
      <c r="T49" s="2">
        <v>5295</v>
      </c>
      <c r="U49" s="2"/>
      <c r="V49" s="19">
        <f t="shared" si="15"/>
        <v>1.3448068204558621E-3</v>
      </c>
      <c r="W49" s="2"/>
      <c r="X49" s="2">
        <f t="shared" si="16"/>
        <v>1167</v>
      </c>
      <c r="Y49" s="2"/>
      <c r="Z49" s="19">
        <f t="shared" si="17"/>
        <v>0.22039660056657223</v>
      </c>
    </row>
    <row r="50" spans="1:26" s="24" customFormat="1" hidden="1" outlineLevel="1" x14ac:dyDescent="0.35">
      <c r="A50" s="44"/>
      <c r="B50" s="11" t="str">
        <f>CONCATENATE("          ", "5013", " - ", "PURCHASES @ COST-TRADE BOOKS")</f>
        <v xml:space="preserve">          5013 - PURCHASES @ COST-TRADE BOOKS</v>
      </c>
      <c r="C50" s="11"/>
      <c r="D50" s="2">
        <v>-420.76</v>
      </c>
      <c r="E50" s="2"/>
      <c r="F50" s="19">
        <f t="shared" si="10"/>
        <v>-2.5276320840349361E-2</v>
      </c>
      <c r="G50" s="2"/>
      <c r="H50" s="2">
        <v>839.85</v>
      </c>
      <c r="I50" s="2"/>
      <c r="J50" s="19">
        <f t="shared" si="11"/>
        <v>2.3262977035063845E-2</v>
      </c>
      <c r="K50" s="2"/>
      <c r="L50" s="2">
        <f t="shared" si="12"/>
        <v>-1260.6100000000001</v>
      </c>
      <c r="M50" s="2"/>
      <c r="N50" s="19">
        <f t="shared" si="13"/>
        <v>-1.5009942251592547</v>
      </c>
      <c r="O50" s="11"/>
      <c r="P50" s="2">
        <v>2777.09</v>
      </c>
      <c r="Q50" s="2"/>
      <c r="R50" s="19">
        <f t="shared" si="14"/>
        <v>8.2946402796058027E-4</v>
      </c>
      <c r="S50" s="2"/>
      <c r="T50" s="2">
        <v>6715.59</v>
      </c>
      <c r="U50" s="2"/>
      <c r="V50" s="19">
        <f t="shared" si="15"/>
        <v>1.7056036327450772E-3</v>
      </c>
      <c r="W50" s="2"/>
      <c r="X50" s="2">
        <f t="shared" si="16"/>
        <v>-3938.5</v>
      </c>
      <c r="Y50" s="2"/>
      <c r="Z50" s="19">
        <f t="shared" si="17"/>
        <v>-0.586471181236496</v>
      </c>
    </row>
    <row r="51" spans="1:26" s="24" customFormat="1" hidden="1" outlineLevel="1" x14ac:dyDescent="0.35">
      <c r="A51" s="44"/>
      <c r="B51" s="11" t="str">
        <f>CONCATENATE("          ", "5014", " - ", "PURCHASES @ COST-REMAINDERS")</f>
        <v xml:space="preserve">          5014 - PURCHASES @ COST-REMAINDERS</v>
      </c>
      <c r="C51" s="11"/>
      <c r="D51" s="2">
        <v>132</v>
      </c>
      <c r="E51" s="2"/>
      <c r="F51" s="19">
        <f t="shared" si="10"/>
        <v>7.929637681638263E-3</v>
      </c>
      <c r="G51" s="2"/>
      <c r="H51" s="2">
        <v>62.4</v>
      </c>
      <c r="I51" s="2"/>
      <c r="J51" s="19">
        <f t="shared" si="11"/>
        <v>1.7284155110888657E-3</v>
      </c>
      <c r="K51" s="2"/>
      <c r="L51" s="2">
        <f t="shared" si="12"/>
        <v>69.599999999999994</v>
      </c>
      <c r="M51" s="2"/>
      <c r="N51" s="19">
        <f t="shared" si="13"/>
        <v>1.1153846153846154</v>
      </c>
      <c r="O51" s="11"/>
      <c r="P51" s="2">
        <v>732.61</v>
      </c>
      <c r="Q51" s="2"/>
      <c r="R51" s="19">
        <f t="shared" si="14"/>
        <v>2.1881668996114663E-4</v>
      </c>
      <c r="S51" s="2"/>
      <c r="T51" s="2">
        <v>1261.47</v>
      </c>
      <c r="U51" s="2"/>
      <c r="V51" s="19">
        <f t="shared" si="15"/>
        <v>3.2038403395664902E-4</v>
      </c>
      <c r="W51" s="2"/>
      <c r="X51" s="2">
        <f t="shared" si="16"/>
        <v>-528.86</v>
      </c>
      <c r="Y51" s="2"/>
      <c r="Z51" s="19">
        <f t="shared" si="17"/>
        <v>-0.41924104417861702</v>
      </c>
    </row>
    <row r="52" spans="1:26" s="24" customFormat="1" hidden="1" outlineLevel="1" x14ac:dyDescent="0.35">
      <c r="A52" s="44"/>
      <c r="B52" s="11" t="str">
        <f>CONCATENATE("          ", "5018", " - ", "PURCHASES @ COST-STUDY GUIDES")</f>
        <v xml:space="preserve">          5018 - PURCHASES @ COST-STUDY GUIDES</v>
      </c>
      <c r="C52" s="11"/>
      <c r="D52" s="2">
        <v>-249.38</v>
      </c>
      <c r="E52" s="2"/>
      <c r="F52" s="19">
        <f t="shared" si="10"/>
        <v>-1.4981007917022348E-2</v>
      </c>
      <c r="G52" s="2"/>
      <c r="H52" s="2">
        <v>1034</v>
      </c>
      <c r="I52" s="2"/>
      <c r="J52" s="19">
        <f t="shared" si="11"/>
        <v>2.8640731385671268E-2</v>
      </c>
      <c r="K52" s="2"/>
      <c r="L52" s="2">
        <f t="shared" si="12"/>
        <v>-1283.3800000000001</v>
      </c>
      <c r="M52" s="2"/>
      <c r="N52" s="19">
        <f t="shared" si="13"/>
        <v>-1.2411798839458414</v>
      </c>
      <c r="O52" s="11"/>
      <c r="P52" s="2">
        <v>-454.52</v>
      </c>
      <c r="Q52" s="2"/>
      <c r="R52" s="19">
        <f t="shared" si="14"/>
        <v>-1.3575648970276185E-4</v>
      </c>
      <c r="S52" s="2"/>
      <c r="T52" s="2">
        <v>3717</v>
      </c>
      <c r="U52" s="2"/>
      <c r="V52" s="19">
        <f t="shared" si="15"/>
        <v>9.4403153005371849E-4</v>
      </c>
      <c r="W52" s="2"/>
      <c r="X52" s="2">
        <f t="shared" si="16"/>
        <v>-4171.5200000000004</v>
      </c>
      <c r="Y52" s="2"/>
      <c r="Z52" s="19">
        <f t="shared" si="17"/>
        <v>-1.122281409739037</v>
      </c>
    </row>
    <row r="53" spans="1:26" s="24" customFormat="1" hidden="1" outlineLevel="1" x14ac:dyDescent="0.35">
      <c r="A53" s="44"/>
      <c r="B53" s="11" t="str">
        <f>CONCATENATE("          ", "5200", " - ", "PURCHASES OFFSET")</f>
        <v xml:space="preserve">          5200 - PURCHASES OFFSET</v>
      </c>
      <c r="C53" s="11"/>
      <c r="D53" s="2">
        <v>-173310</v>
      </c>
      <c r="E53" s="2"/>
      <c r="F53" s="19">
        <f t="shared" si="10"/>
        <v>-10.411253837914602</v>
      </c>
      <c r="G53" s="2"/>
      <c r="H53" s="2">
        <v>-615260</v>
      </c>
      <c r="I53" s="2"/>
      <c r="J53" s="19">
        <f t="shared" si="11"/>
        <v>-17.042066143470119</v>
      </c>
      <c r="K53" s="2"/>
      <c r="L53" s="2">
        <f t="shared" si="12"/>
        <v>441950</v>
      </c>
      <c r="M53" s="2"/>
      <c r="N53" s="19">
        <f t="shared" si="13"/>
        <v>-0.71831420862724704</v>
      </c>
      <c r="O53" s="11"/>
      <c r="P53" s="2">
        <v>-1792162</v>
      </c>
      <c r="Q53" s="2"/>
      <c r="R53" s="19">
        <f t="shared" si="14"/>
        <v>-0.53528474456279396</v>
      </c>
      <c r="S53" s="2"/>
      <c r="T53" s="2">
        <v>-2524887</v>
      </c>
      <c r="U53" s="2"/>
      <c r="V53" s="19">
        <f t="shared" si="15"/>
        <v>-0.64126256061951659</v>
      </c>
      <c r="W53" s="2"/>
      <c r="X53" s="2">
        <f t="shared" si="16"/>
        <v>732725</v>
      </c>
      <c r="Y53" s="2"/>
      <c r="Z53" s="19">
        <f t="shared" si="17"/>
        <v>-0.29020110602969557</v>
      </c>
    </row>
    <row r="54" spans="1:26" s="24" customFormat="1" hidden="1" outlineLevel="1" x14ac:dyDescent="0.35">
      <c r="A54" s="44"/>
      <c r="B54" s="11" t="str">
        <f>CONCATENATE("          ", "5300", " - ", "COG$ OFFSET")</f>
        <v xml:space="preserve">          5300 - COG$ OFFSET</v>
      </c>
      <c r="C54" s="11"/>
      <c r="D54" s="2">
        <v>91172.53</v>
      </c>
      <c r="E54" s="2"/>
      <c r="F54" s="19">
        <f t="shared" si="10"/>
        <v>5.4770085561992046</v>
      </c>
      <c r="G54" s="2"/>
      <c r="H54" s="2">
        <v>77586</v>
      </c>
      <c r="I54" s="2"/>
      <c r="J54" s="19">
        <f t="shared" si="11"/>
        <v>2.1490520167202041</v>
      </c>
      <c r="K54" s="2"/>
      <c r="L54" s="2">
        <f t="shared" si="12"/>
        <v>13586.529999999999</v>
      </c>
      <c r="M54" s="2"/>
      <c r="N54" s="19">
        <f t="shared" si="13"/>
        <v>0.17511574253086895</v>
      </c>
      <c r="O54" s="11"/>
      <c r="P54" s="2">
        <v>2452013</v>
      </c>
      <c r="Q54" s="2"/>
      <c r="R54" s="19">
        <f t="shared" si="14"/>
        <v>0.73236970339157403</v>
      </c>
      <c r="S54" s="2"/>
      <c r="T54" s="2">
        <v>2863313</v>
      </c>
      <c r="U54" s="2"/>
      <c r="V54" s="19">
        <f t="shared" si="15"/>
        <v>0.72721489169026177</v>
      </c>
      <c r="W54" s="2"/>
      <c r="X54" s="2">
        <f t="shared" si="16"/>
        <v>-411300</v>
      </c>
      <c r="Y54" s="2"/>
      <c r="Z54" s="19">
        <f t="shared" si="17"/>
        <v>-0.14364479188967466</v>
      </c>
    </row>
    <row r="55" spans="1:26" s="24" customFormat="1" hidden="1" outlineLevel="1" x14ac:dyDescent="0.35">
      <c r="A55" s="44"/>
      <c r="B55" s="11" t="str">
        <f>CONCATENATE("          ", "5500", " - ", "FREIGHT-IN")</f>
        <v xml:space="preserve">          5500 - FREIGHT-IN</v>
      </c>
      <c r="C55" s="11"/>
      <c r="D55" s="2">
        <v>67.13</v>
      </c>
      <c r="E55" s="2"/>
      <c r="F55" s="19">
        <f t="shared" si="10"/>
        <v>4.0327013452149743E-3</v>
      </c>
      <c r="G55" s="2"/>
      <c r="H55" s="2"/>
      <c r="I55" s="2"/>
      <c r="J55" s="19">
        <f t="shared" si="11"/>
        <v>0</v>
      </c>
      <c r="K55" s="2"/>
      <c r="L55" s="2">
        <f t="shared" si="12"/>
        <v>67.13</v>
      </c>
      <c r="M55" s="2"/>
      <c r="N55" s="19">
        <f t="shared" si="13"/>
        <v>0</v>
      </c>
      <c r="O55" s="11"/>
      <c r="P55" s="2">
        <v>108.38</v>
      </c>
      <c r="Q55" s="2"/>
      <c r="R55" s="19">
        <f t="shared" si="14"/>
        <v>3.2371047157408538E-5</v>
      </c>
      <c r="S55" s="2"/>
      <c r="T55" s="2">
        <v>174.83</v>
      </c>
      <c r="U55" s="2"/>
      <c r="V55" s="19">
        <f t="shared" si="15"/>
        <v>4.4402752865023307E-5</v>
      </c>
      <c r="W55" s="2"/>
      <c r="X55" s="2">
        <f t="shared" si="16"/>
        <v>-66.450000000000017</v>
      </c>
      <c r="Y55" s="2"/>
      <c r="Z55" s="19">
        <f t="shared" si="17"/>
        <v>-0.38008350969513249</v>
      </c>
    </row>
    <row r="56" spans="1:26" s="24" customFormat="1" hidden="1" outlineLevel="1" x14ac:dyDescent="0.35">
      <c r="A56" s="44"/>
      <c r="B56" s="11" t="str">
        <f>CONCATENATE("          ", "5501", " - ", "FREIGHT-IN-NEW TEXT")</f>
        <v xml:space="preserve">          5501 - FREIGHT-IN-NEW TEXT</v>
      </c>
      <c r="C56" s="11"/>
      <c r="D56" s="2">
        <v>2483.06</v>
      </c>
      <c r="E56" s="2"/>
      <c r="F56" s="19">
        <f t="shared" si="10"/>
        <v>0.14916489501339927</v>
      </c>
      <c r="G56" s="2"/>
      <c r="H56" s="2">
        <v>1815.25</v>
      </c>
      <c r="I56" s="2"/>
      <c r="J56" s="19">
        <f t="shared" si="11"/>
        <v>5.0280548982436918E-2</v>
      </c>
      <c r="K56" s="2"/>
      <c r="L56" s="2">
        <f t="shared" si="12"/>
        <v>667.81</v>
      </c>
      <c r="M56" s="2"/>
      <c r="N56" s="19">
        <f t="shared" si="13"/>
        <v>0.36788872056190602</v>
      </c>
      <c r="O56" s="11"/>
      <c r="P56" s="2">
        <v>72230.790000000008</v>
      </c>
      <c r="Q56" s="2"/>
      <c r="R56" s="19">
        <f t="shared" si="14"/>
        <v>2.1573964839517196E-2</v>
      </c>
      <c r="S56" s="2"/>
      <c r="T56" s="2">
        <v>66019.19</v>
      </c>
      <c r="U56" s="2"/>
      <c r="V56" s="19">
        <f t="shared" si="15"/>
        <v>1.6767338431156083E-2</v>
      </c>
      <c r="W56" s="2"/>
      <c r="X56" s="2">
        <f t="shared" si="16"/>
        <v>6211.6000000000058</v>
      </c>
      <c r="Y56" s="2"/>
      <c r="Z56" s="19">
        <f t="shared" si="17"/>
        <v>9.4087794776034142E-2</v>
      </c>
    </row>
    <row r="57" spans="1:26" s="24" customFormat="1" hidden="1" outlineLevel="1" x14ac:dyDescent="0.35">
      <c r="A57" s="44"/>
      <c r="B57" s="11" t="str">
        <f>CONCATENATE("          ", "5502", " - ", "FREIGHT-IN-USED TEXT")</f>
        <v xml:space="preserve">          5502 - FREIGHT-IN-USED TEXT</v>
      </c>
      <c r="C57" s="11"/>
      <c r="D57" s="2">
        <v>519.36</v>
      </c>
      <c r="E57" s="2"/>
      <c r="F57" s="19">
        <f t="shared" si="10"/>
        <v>3.1199519896482186E-2</v>
      </c>
      <c r="G57" s="2"/>
      <c r="H57" s="2">
        <v>351.17</v>
      </c>
      <c r="I57" s="2"/>
      <c r="J57" s="19">
        <f t="shared" si="11"/>
        <v>9.727046074183926E-3</v>
      </c>
      <c r="K57" s="2"/>
      <c r="L57" s="2">
        <f t="shared" si="12"/>
        <v>168.19</v>
      </c>
      <c r="M57" s="2"/>
      <c r="N57" s="19">
        <f t="shared" si="13"/>
        <v>0.47894182304866584</v>
      </c>
      <c r="O57" s="11"/>
      <c r="P57" s="2">
        <v>16200.12</v>
      </c>
      <c r="Q57" s="2"/>
      <c r="R57" s="19">
        <f t="shared" si="14"/>
        <v>4.8386680981332099E-3</v>
      </c>
      <c r="S57" s="2"/>
      <c r="T57" s="2">
        <v>14394.46</v>
      </c>
      <c r="U57" s="2"/>
      <c r="V57" s="19">
        <f t="shared" si="15"/>
        <v>3.6558579763511026E-3</v>
      </c>
      <c r="W57" s="2"/>
      <c r="X57" s="2">
        <f t="shared" si="16"/>
        <v>1805.6600000000017</v>
      </c>
      <c r="Y57" s="2"/>
      <c r="Z57" s="19">
        <f t="shared" si="17"/>
        <v>0.12544131561725844</v>
      </c>
    </row>
    <row r="58" spans="1:26" s="24" customFormat="1" hidden="1" outlineLevel="1" x14ac:dyDescent="0.35">
      <c r="A58" s="44"/>
      <c r="B58" s="11" t="str">
        <f>CONCATENATE("          ", "5504", " - ", "FREIGHT-IN-DIGITAL TEXT")</f>
        <v xml:space="preserve">          5504 - FREIGHT-IN-DIGITAL TEXT</v>
      </c>
      <c r="C58" s="11"/>
      <c r="D58" s="2"/>
      <c r="E58" s="2"/>
      <c r="F58" s="19">
        <f t="shared" si="10"/>
        <v>0</v>
      </c>
      <c r="G58" s="2"/>
      <c r="H58" s="2"/>
      <c r="I58" s="2"/>
      <c r="J58" s="19">
        <f t="shared" si="11"/>
        <v>0</v>
      </c>
      <c r="K58" s="2"/>
      <c r="L58" s="2">
        <f t="shared" si="12"/>
        <v>0</v>
      </c>
      <c r="M58" s="2"/>
      <c r="N58" s="19">
        <f t="shared" si="13"/>
        <v>0</v>
      </c>
      <c r="O58" s="11"/>
      <c r="P58" s="2">
        <v>118.75</v>
      </c>
      <c r="Q58" s="2"/>
      <c r="R58" s="19">
        <f t="shared" si="14"/>
        <v>3.5468369163519693E-5</v>
      </c>
      <c r="S58" s="2"/>
      <c r="T58" s="2">
        <v>243.53</v>
      </c>
      <c r="U58" s="2"/>
      <c r="V58" s="19">
        <f t="shared" si="15"/>
        <v>6.185095467150446E-5</v>
      </c>
      <c r="W58" s="2"/>
      <c r="X58" s="2">
        <f t="shared" si="16"/>
        <v>-124.78</v>
      </c>
      <c r="Y58" s="2"/>
      <c r="Z58" s="19">
        <f t="shared" si="17"/>
        <v>-0.5123804048782491</v>
      </c>
    </row>
    <row r="59" spans="1:26" s="24" customFormat="1" hidden="1" outlineLevel="1" x14ac:dyDescent="0.35">
      <c r="A59" s="44"/>
      <c r="B59" s="11" t="str">
        <f>CONCATENATE("          ", "5513", " - ", "FREIGHT-IN-TRADE BOOKS")</f>
        <v xml:space="preserve">          5513 - FREIGHT-IN-TRADE BOOKS</v>
      </c>
      <c r="C59" s="11"/>
      <c r="D59" s="2"/>
      <c r="E59" s="2"/>
      <c r="F59" s="19">
        <f t="shared" si="10"/>
        <v>0</v>
      </c>
      <c r="G59" s="2"/>
      <c r="H59" s="2"/>
      <c r="I59" s="2"/>
      <c r="J59" s="19">
        <f t="shared" si="11"/>
        <v>0</v>
      </c>
      <c r="K59" s="2"/>
      <c r="L59" s="2">
        <f t="shared" si="12"/>
        <v>0</v>
      </c>
      <c r="M59" s="2"/>
      <c r="N59" s="19">
        <f t="shared" si="13"/>
        <v>0</v>
      </c>
      <c r="O59" s="11"/>
      <c r="P59" s="2">
        <v>30.24</v>
      </c>
      <c r="Q59" s="2"/>
      <c r="R59" s="19">
        <f t="shared" si="14"/>
        <v>9.0321135453038771E-6</v>
      </c>
      <c r="S59" s="2"/>
      <c r="T59" s="2">
        <v>54.9</v>
      </c>
      <c r="U59" s="2"/>
      <c r="V59" s="19">
        <f t="shared" si="15"/>
        <v>1.3943322840987125E-5</v>
      </c>
      <c r="W59" s="2"/>
      <c r="X59" s="2">
        <f t="shared" si="16"/>
        <v>-24.66</v>
      </c>
      <c r="Y59" s="2"/>
      <c r="Z59" s="19">
        <f t="shared" si="17"/>
        <v>-0.44918032786885248</v>
      </c>
    </row>
    <row r="60" spans="1:26" s="24" customFormat="1" hidden="1" outlineLevel="1" x14ac:dyDescent="0.35">
      <c r="A60" s="44"/>
      <c r="B60" s="11" t="str">
        <f>CONCATENATE("          ", "5518", " - ", "FREIGHT-IN-STUDY GUIDES")</f>
        <v xml:space="preserve">          5518 - FREIGHT-IN-STUDY GUIDES</v>
      </c>
      <c r="C60" s="11"/>
      <c r="D60" s="2"/>
      <c r="E60" s="2"/>
      <c r="F60" s="19">
        <f t="shared" si="10"/>
        <v>0</v>
      </c>
      <c r="G60" s="2"/>
      <c r="H60" s="2"/>
      <c r="I60" s="2"/>
      <c r="J60" s="19">
        <f t="shared" si="11"/>
        <v>0</v>
      </c>
      <c r="K60" s="2"/>
      <c r="L60" s="2">
        <f t="shared" si="12"/>
        <v>0</v>
      </c>
      <c r="M60" s="2"/>
      <c r="N60" s="19">
        <f t="shared" si="13"/>
        <v>0</v>
      </c>
      <c r="O60" s="11"/>
      <c r="P60" s="2">
        <v>21.13</v>
      </c>
      <c r="Q60" s="2"/>
      <c r="R60" s="19">
        <f t="shared" si="14"/>
        <v>6.3111296035803882E-6</v>
      </c>
      <c r="S60" s="2"/>
      <c r="T60" s="2"/>
      <c r="U60" s="2"/>
      <c r="V60" s="19">
        <f t="shared" si="15"/>
        <v>0</v>
      </c>
      <c r="W60" s="2"/>
      <c r="X60" s="2">
        <f t="shared" si="16"/>
        <v>21.13</v>
      </c>
      <c r="Y60" s="2"/>
      <c r="Z60" s="19">
        <f t="shared" si="17"/>
        <v>0</v>
      </c>
    </row>
    <row r="61" spans="1:26" x14ac:dyDescent="0.3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5">
      <c r="A62" s="10"/>
      <c r="B62" s="28" t="s">
        <v>6</v>
      </c>
      <c r="C62" s="28"/>
      <c r="D62" s="22">
        <f>D12-D44</f>
        <v>-74592.939999999988</v>
      </c>
      <c r="E62" s="14"/>
      <c r="F62" s="21">
        <f>IF(D$12=0,0,D62/D$12)</f>
        <v>-4.4810226349104694</v>
      </c>
      <c r="G62" s="14"/>
      <c r="H62" s="22">
        <f>H12-H44</f>
        <v>-41484.5099999999</v>
      </c>
      <c r="I62" s="14"/>
      <c r="J62" s="21">
        <f>IF(H$12=0,0,H62/H$12)</f>
        <v>-1.1490780537487337</v>
      </c>
      <c r="K62" s="15"/>
      <c r="L62" s="22">
        <f>+D62-H62</f>
        <v>-33108.430000000088</v>
      </c>
      <c r="M62" s="15"/>
      <c r="N62" s="21">
        <f>IF(H62=0,0,L62/H62)</f>
        <v>0.79809138398887125</v>
      </c>
      <c r="O62" s="29"/>
      <c r="P62" s="22">
        <f>P12-P44</f>
        <v>895937.09999999916</v>
      </c>
      <c r="Q62" s="14"/>
      <c r="R62" s="21">
        <f>IF(P$12=0,0,P62/P$12)</f>
        <v>0.26759939208499561</v>
      </c>
      <c r="S62" s="14"/>
      <c r="T62" s="22">
        <f>T12-T44</f>
        <v>1073881.6200000006</v>
      </c>
      <c r="U62" s="14"/>
      <c r="V62" s="21">
        <f>IF(T$12=0,0,T62/T$12)</f>
        <v>0.27274094937454035</v>
      </c>
      <c r="W62" s="15"/>
      <c r="X62" s="22">
        <f>+P62-T62</f>
        <v>-177944.52000000142</v>
      </c>
      <c r="Y62" s="15"/>
      <c r="Z62" s="21">
        <f>IF(T62=0,0,X62/T62)</f>
        <v>-0.16570217488218239</v>
      </c>
    </row>
    <row r="63" spans="1:26" x14ac:dyDescent="0.35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35">
      <c r="A64" s="10"/>
      <c r="B64" s="29" t="s">
        <v>9</v>
      </c>
      <c r="C64" s="10"/>
      <c r="D64" s="20">
        <f>SUM(OSRRefD22x_0)</f>
        <v>3082.3200000000061</v>
      </c>
      <c r="E64" s="20"/>
      <c r="F64" s="36">
        <f t="shared" ref="F64:F74" si="18">IF(D$12=0,0,D64/D$12)</f>
        <v>0.18516424862778258</v>
      </c>
      <c r="G64" s="20"/>
      <c r="H64" s="20">
        <f>SUM(OSRRefH22x_0)</f>
        <v>-138527.96000000002</v>
      </c>
      <c r="I64" s="20"/>
      <c r="J64" s="36">
        <f t="shared" ref="J64:J74" si="19">IF(H$12=0,0,H64/H$12)</f>
        <v>-3.8370813266586214</v>
      </c>
      <c r="K64" s="4"/>
      <c r="L64" s="20">
        <f t="shared" ref="L64:L74" si="20">+D64-H64</f>
        <v>141610.28000000003</v>
      </c>
      <c r="M64" s="4"/>
      <c r="N64" s="36">
        <f t="shared" ref="N64:N74" si="21">IF(H64=0,0,L64/H64)</f>
        <v>-1.0222505261753656</v>
      </c>
      <c r="O64" s="10"/>
      <c r="P64" s="20">
        <f>SUM(OSRRefP22x_0)</f>
        <v>512310.92000000004</v>
      </c>
      <c r="Q64" s="20"/>
      <c r="R64" s="36">
        <f t="shared" ref="R64:R74" si="22">IF(P$12=0,0,P64/P$12)</f>
        <v>0.15301753968052553</v>
      </c>
      <c r="S64" s="20"/>
      <c r="T64" s="20">
        <f>SUM(OSRRefT22x_0)</f>
        <v>533586.05000000005</v>
      </c>
      <c r="U64" s="20"/>
      <c r="V64" s="36">
        <f t="shared" ref="V64:V74" si="23">IF(T$12=0,0,T64/T$12)</f>
        <v>0.13551844369029326</v>
      </c>
      <c r="W64" s="4"/>
      <c r="X64" s="20">
        <f t="shared" ref="X64:X74" si="24">+P64-T64</f>
        <v>-21275.130000000005</v>
      </c>
      <c r="Y64" s="4"/>
      <c r="Z64" s="36">
        <f t="shared" ref="Z64:Z74" si="25">IF(T64=0,0,X64/T64)</f>
        <v>-3.9871975663531692E-2</v>
      </c>
    </row>
    <row r="65" spans="1:26" s="25" customFormat="1" outlineLevel="1" collapsed="1" x14ac:dyDescent="0.35">
      <c r="A65" s="26"/>
      <c r="B65" s="12" t="str">
        <f>CONCATENATE("     ","*Benefits                                         ")</f>
        <v xml:space="preserve">     *Benefits                                         </v>
      </c>
      <c r="C65" s="12"/>
      <c r="D65" s="1">
        <f>SUM(OSRRefD22_0x_0)</f>
        <v>9832.65</v>
      </c>
      <c r="E65" s="1"/>
      <c r="F65" s="5">
        <f t="shared" si="18"/>
        <v>0.59067690871485201</v>
      </c>
      <c r="G65" s="1"/>
      <c r="H65" s="1">
        <f>SUM(OSRRefH22_0x_0)</f>
        <v>4169.8200000000006</v>
      </c>
      <c r="I65" s="1"/>
      <c r="J65" s="5">
        <f t="shared" si="19"/>
        <v>0.11549970459052204</v>
      </c>
      <c r="K65" s="1"/>
      <c r="L65" s="1">
        <f t="shared" si="20"/>
        <v>5662.829999999999</v>
      </c>
      <c r="M65" s="1"/>
      <c r="N65" s="5">
        <f t="shared" si="21"/>
        <v>1.3580514266802879</v>
      </c>
      <c r="O65" s="12"/>
      <c r="P65" s="1">
        <f>SUM(OSRRefP22_0x_0)</f>
        <v>126499.94000000002</v>
      </c>
      <c r="Q65" s="1"/>
      <c r="R65" s="5">
        <f t="shared" si="22"/>
        <v>3.7783129019647088E-2</v>
      </c>
      <c r="S65" s="1"/>
      <c r="T65" s="1">
        <f>SUM(OSRRefT22_0x_0)</f>
        <v>143646.07999999999</v>
      </c>
      <c r="U65" s="1"/>
      <c r="V65" s="5">
        <f t="shared" si="23"/>
        <v>3.648276262809224E-2</v>
      </c>
      <c r="W65" s="1"/>
      <c r="X65" s="1">
        <f t="shared" si="24"/>
        <v>-17146.13999999997</v>
      </c>
      <c r="Y65" s="1"/>
      <c r="Z65" s="5">
        <f t="shared" si="25"/>
        <v>-0.11936378632817528</v>
      </c>
    </row>
    <row r="66" spans="1:26" s="24" customFormat="1" hidden="1" outlineLevel="2" x14ac:dyDescent="0.35">
      <c r="A66" s="27"/>
      <c r="B66" s="11" t="str">
        <f>CONCATENATE("          ", "6111", " - ", "F.I.C.A.")</f>
        <v xml:space="preserve">          6111 - F.I.C.A.</v>
      </c>
      <c r="C66" s="11"/>
      <c r="D66" s="7">
        <v>1850.99</v>
      </c>
      <c r="E66" s="2"/>
      <c r="F66" s="6">
        <f t="shared" si="18"/>
        <v>0.11119454585102734</v>
      </c>
      <c r="G66" s="2"/>
      <c r="H66" s="7">
        <v>2012.27</v>
      </c>
      <c r="I66" s="2"/>
      <c r="J66" s="6">
        <f t="shared" si="19"/>
        <v>5.5737799366967815E-2</v>
      </c>
      <c r="K66" s="2"/>
      <c r="L66" s="7">
        <f t="shared" si="20"/>
        <v>-161.27999999999997</v>
      </c>
      <c r="M66" s="2"/>
      <c r="N66" s="6">
        <f t="shared" si="21"/>
        <v>-8.0148290239381387E-2</v>
      </c>
      <c r="O66" s="11"/>
      <c r="P66" s="7">
        <v>21700.400000000001</v>
      </c>
      <c r="Q66" s="2"/>
      <c r="R66" s="6">
        <f t="shared" si="22"/>
        <v>6.481497247966676E-3</v>
      </c>
      <c r="S66" s="2"/>
      <c r="T66" s="7">
        <v>24218.91</v>
      </c>
      <c r="U66" s="2"/>
      <c r="V66" s="6">
        <f t="shared" si="23"/>
        <v>6.1510397265357288E-3</v>
      </c>
      <c r="W66" s="2"/>
      <c r="X66" s="7">
        <f t="shared" si="24"/>
        <v>-2518.5099999999984</v>
      </c>
      <c r="Y66" s="2"/>
      <c r="Z66" s="6">
        <f t="shared" si="25"/>
        <v>-0.10398940332161928</v>
      </c>
    </row>
    <row r="67" spans="1:26" s="24" customFormat="1" hidden="1" outlineLevel="2" x14ac:dyDescent="0.35">
      <c r="A67" s="27"/>
      <c r="B67" s="11" t="str">
        <f>CONCATENATE("          ", "6112", " - ", "COMPENSATION INSURANCE")</f>
        <v xml:space="preserve">          6112 - COMPENSATION INSURANCE</v>
      </c>
      <c r="C67" s="11"/>
      <c r="D67" s="7">
        <v>154.72</v>
      </c>
      <c r="E67" s="2"/>
      <c r="F67" s="6">
        <f t="shared" si="18"/>
        <v>9.2944965310838793E-3</v>
      </c>
      <c r="G67" s="2"/>
      <c r="H67" s="7">
        <v>139.22999999999999</v>
      </c>
      <c r="I67" s="2"/>
      <c r="J67" s="6">
        <f t="shared" si="19"/>
        <v>3.8565271091170316E-3</v>
      </c>
      <c r="K67" s="2"/>
      <c r="L67" s="7">
        <f t="shared" si="20"/>
        <v>15.490000000000009</v>
      </c>
      <c r="M67" s="2"/>
      <c r="N67" s="6">
        <f t="shared" si="21"/>
        <v>0.11125475831358192</v>
      </c>
      <c r="O67" s="11"/>
      <c r="P67" s="7">
        <v>1246.55</v>
      </c>
      <c r="Q67" s="2"/>
      <c r="R67" s="6">
        <f t="shared" si="22"/>
        <v>3.7232080489082504E-4</v>
      </c>
      <c r="S67" s="2"/>
      <c r="T67" s="7">
        <v>1017.08</v>
      </c>
      <c r="U67" s="2"/>
      <c r="V67" s="6">
        <f t="shared" si="23"/>
        <v>2.5831465929164276E-4</v>
      </c>
      <c r="W67" s="2"/>
      <c r="X67" s="7">
        <f t="shared" si="24"/>
        <v>229.46999999999991</v>
      </c>
      <c r="Y67" s="2"/>
      <c r="Z67" s="6">
        <f t="shared" si="25"/>
        <v>0.22561647068077231</v>
      </c>
    </row>
    <row r="68" spans="1:26" s="24" customFormat="1" hidden="1" outlineLevel="2" x14ac:dyDescent="0.35">
      <c r="A68" s="27"/>
      <c r="B68" s="11" t="str">
        <f>CONCATENATE("          ", "6113", " - ", "GROUP INSURANCE")</f>
        <v xml:space="preserve">          6113 - GROUP INSURANCE</v>
      </c>
      <c r="C68" s="11"/>
      <c r="D68" s="7">
        <v>4248.21</v>
      </c>
      <c r="E68" s="2"/>
      <c r="F68" s="6">
        <f t="shared" si="18"/>
        <v>0.25520277345085218</v>
      </c>
      <c r="G68" s="2"/>
      <c r="H68" s="7">
        <v>5576.65</v>
      </c>
      <c r="I68" s="2"/>
      <c r="J68" s="6">
        <f t="shared" si="19"/>
        <v>0.15446744166528401</v>
      </c>
      <c r="K68" s="2"/>
      <c r="L68" s="7">
        <f t="shared" si="20"/>
        <v>-1328.4399999999996</v>
      </c>
      <c r="M68" s="2"/>
      <c r="N68" s="6">
        <f t="shared" si="21"/>
        <v>-0.23821469878869925</v>
      </c>
      <c r="O68" s="11"/>
      <c r="P68" s="7">
        <v>50500.68</v>
      </c>
      <c r="Q68" s="2"/>
      <c r="R68" s="6">
        <f t="shared" si="22"/>
        <v>1.5083593778937058E-2</v>
      </c>
      <c r="S68" s="2"/>
      <c r="T68" s="7">
        <v>63693.340000000004</v>
      </c>
      <c r="U68" s="2"/>
      <c r="V68" s="6">
        <f t="shared" si="23"/>
        <v>1.617662663826519E-2</v>
      </c>
      <c r="W68" s="2"/>
      <c r="X68" s="7">
        <f t="shared" si="24"/>
        <v>-13192.660000000003</v>
      </c>
      <c r="Y68" s="2"/>
      <c r="Z68" s="6">
        <f t="shared" si="25"/>
        <v>-0.20712777819470612</v>
      </c>
    </row>
    <row r="69" spans="1:26" s="24" customFormat="1" hidden="1" outlineLevel="2" x14ac:dyDescent="0.35">
      <c r="A69" s="27"/>
      <c r="B69" s="11" t="str">
        <f>CONCATENATE("          ", "6114", " - ", "STATE UNEMPLOYMENT INSURANCE")</f>
        <v xml:space="preserve">          6114 - STATE UNEMPLOYMENT INSURANCE</v>
      </c>
      <c r="C69" s="11"/>
      <c r="D69" s="7">
        <v>-745.41</v>
      </c>
      <c r="E69" s="2"/>
      <c r="F69" s="6">
        <f t="shared" si="18"/>
        <v>-4.4779024426287707E-2</v>
      </c>
      <c r="G69" s="2"/>
      <c r="H69" s="7">
        <v>101.75</v>
      </c>
      <c r="I69" s="2"/>
      <c r="J69" s="6">
        <f t="shared" si="19"/>
        <v>2.818369843802758E-3</v>
      </c>
      <c r="K69" s="2"/>
      <c r="L69" s="7">
        <f t="shared" si="20"/>
        <v>-847.16</v>
      </c>
      <c r="M69" s="2"/>
      <c r="N69" s="6">
        <f t="shared" si="21"/>
        <v>-8.3258968058968055</v>
      </c>
      <c r="O69" s="11"/>
      <c r="P69" s="7">
        <v>0</v>
      </c>
      <c r="Q69" s="2"/>
      <c r="R69" s="6">
        <f t="shared" si="22"/>
        <v>0</v>
      </c>
      <c r="S69" s="2"/>
      <c r="T69" s="7">
        <v>927.11</v>
      </c>
      <c r="U69" s="2"/>
      <c r="V69" s="6">
        <f t="shared" si="23"/>
        <v>2.3546437229704143E-4</v>
      </c>
      <c r="W69" s="2"/>
      <c r="X69" s="7">
        <f t="shared" si="24"/>
        <v>-927.11</v>
      </c>
      <c r="Y69" s="2"/>
      <c r="Z69" s="6">
        <f t="shared" si="25"/>
        <v>-1</v>
      </c>
    </row>
    <row r="70" spans="1:26" s="24" customFormat="1" hidden="1" outlineLevel="2" x14ac:dyDescent="0.35">
      <c r="A70" s="27"/>
      <c r="B70" s="11" t="str">
        <f>CONCATENATE("          ", "6115", " - ", "P.E.R.S.")</f>
        <v xml:space="preserve">          6115 - P.E.R.S.</v>
      </c>
      <c r="C70" s="11"/>
      <c r="D70" s="7">
        <v>1363.4</v>
      </c>
      <c r="E70" s="2"/>
      <c r="F70" s="6">
        <f t="shared" si="18"/>
        <v>8.1903545569284919E-2</v>
      </c>
      <c r="G70" s="2"/>
      <c r="H70" s="7"/>
      <c r="I70" s="2"/>
      <c r="J70" s="6">
        <f t="shared" si="19"/>
        <v>0</v>
      </c>
      <c r="K70" s="2"/>
      <c r="L70" s="7">
        <f t="shared" si="20"/>
        <v>1363.4</v>
      </c>
      <c r="M70" s="2"/>
      <c r="N70" s="6">
        <f t="shared" si="21"/>
        <v>0</v>
      </c>
      <c r="O70" s="11"/>
      <c r="P70" s="7">
        <v>17203.09</v>
      </c>
      <c r="Q70" s="2"/>
      <c r="R70" s="6">
        <f t="shared" si="22"/>
        <v>5.1382361841958235E-3</v>
      </c>
      <c r="S70" s="2"/>
      <c r="T70" s="7">
        <v>15019.929999999998</v>
      </c>
      <c r="U70" s="2"/>
      <c r="V70" s="6">
        <f t="shared" si="23"/>
        <v>3.8147128058110698E-3</v>
      </c>
      <c r="W70" s="2"/>
      <c r="X70" s="7">
        <f t="shared" si="24"/>
        <v>2183.1600000000017</v>
      </c>
      <c r="Y70" s="2"/>
      <c r="Z70" s="6">
        <f t="shared" si="25"/>
        <v>0.14535087713458064</v>
      </c>
    </row>
    <row r="71" spans="1:26" s="24" customFormat="1" hidden="1" outlineLevel="2" x14ac:dyDescent="0.35">
      <c r="A71" s="27"/>
      <c r="B71" s="11" t="str">
        <f>CONCATENATE("          ", "6117", " - ", "RETIREMENT STAFF HOURLY")</f>
        <v xml:space="preserve">          6117 - RETIREMENT STAFF HOURLY</v>
      </c>
      <c r="C71" s="11"/>
      <c r="D71" s="7">
        <v>220.92</v>
      </c>
      <c r="E71" s="2"/>
      <c r="F71" s="6">
        <f t="shared" si="18"/>
        <v>1.3271329974450947E-2</v>
      </c>
      <c r="G71" s="2"/>
      <c r="H71" s="7">
        <v>254.39</v>
      </c>
      <c r="I71" s="2"/>
      <c r="J71" s="6">
        <f t="shared" si="19"/>
        <v>7.0463400940047518E-3</v>
      </c>
      <c r="K71" s="2"/>
      <c r="L71" s="7">
        <f t="shared" si="20"/>
        <v>-33.47</v>
      </c>
      <c r="M71" s="2"/>
      <c r="N71" s="6">
        <f t="shared" si="21"/>
        <v>-0.13156963717127246</v>
      </c>
      <c r="O71" s="11"/>
      <c r="P71" s="7">
        <v>2010.19</v>
      </c>
      <c r="Q71" s="2"/>
      <c r="R71" s="6">
        <f t="shared" si="22"/>
        <v>6.004055663900266E-4</v>
      </c>
      <c r="S71" s="2"/>
      <c r="T71" s="7">
        <v>3156.29</v>
      </c>
      <c r="U71" s="2"/>
      <c r="V71" s="6">
        <f t="shared" si="23"/>
        <v>8.016242340579099E-4</v>
      </c>
      <c r="W71" s="2"/>
      <c r="X71" s="7">
        <f t="shared" si="24"/>
        <v>-1146.0999999999999</v>
      </c>
      <c r="Y71" s="2"/>
      <c r="Z71" s="6">
        <f t="shared" si="25"/>
        <v>-0.36311619021065872</v>
      </c>
    </row>
    <row r="72" spans="1:26" s="24" customFormat="1" hidden="1" outlineLevel="2" x14ac:dyDescent="0.35">
      <c r="A72" s="27"/>
      <c r="B72" s="11" t="str">
        <f>CONCATENATE("          ", "6118", " - ", "VACATION")</f>
        <v xml:space="preserve">          6118 - VACATION</v>
      </c>
      <c r="C72" s="11"/>
      <c r="D72" s="7">
        <v>1355.16</v>
      </c>
      <c r="E72" s="2"/>
      <c r="F72" s="6">
        <f t="shared" si="18"/>
        <v>8.1408543944309922E-2</v>
      </c>
      <c r="G72" s="2"/>
      <c r="H72" s="7">
        <v>1023.5</v>
      </c>
      <c r="I72" s="2"/>
      <c r="J72" s="6">
        <f t="shared" si="19"/>
        <v>2.8349892237170739E-2</v>
      </c>
      <c r="K72" s="2"/>
      <c r="L72" s="7">
        <f t="shared" si="20"/>
        <v>331.66000000000008</v>
      </c>
      <c r="M72" s="2"/>
      <c r="N72" s="6">
        <f t="shared" si="21"/>
        <v>0.32404494382022481</v>
      </c>
      <c r="O72" s="11"/>
      <c r="P72" s="7">
        <v>13353.38</v>
      </c>
      <c r="Q72" s="2"/>
      <c r="R72" s="6">
        <f t="shared" si="22"/>
        <v>3.9884009382800886E-3</v>
      </c>
      <c r="S72" s="2"/>
      <c r="T72" s="7">
        <v>18390.510000000002</v>
      </c>
      <c r="U72" s="2"/>
      <c r="V72" s="6">
        <f t="shared" si="23"/>
        <v>4.6707617147614244E-3</v>
      </c>
      <c r="W72" s="2"/>
      <c r="X72" s="7">
        <f t="shared" si="24"/>
        <v>-5037.1300000000028</v>
      </c>
      <c r="Y72" s="2"/>
      <c r="Z72" s="6">
        <f t="shared" si="25"/>
        <v>-0.27389833125889396</v>
      </c>
    </row>
    <row r="73" spans="1:26" s="24" customFormat="1" hidden="1" outlineLevel="2" x14ac:dyDescent="0.35">
      <c r="A73" s="27"/>
      <c r="B73" s="11" t="str">
        <f>CONCATENATE("          ", "6119", " - ", "SICK LEAVE")</f>
        <v xml:space="preserve">          6119 - SICK LEAVE</v>
      </c>
      <c r="C73" s="11"/>
      <c r="D73" s="7">
        <v>944.6</v>
      </c>
      <c r="E73" s="2"/>
      <c r="F73" s="6">
        <f t="shared" si="18"/>
        <v>5.6744967833905327E-2</v>
      </c>
      <c r="G73" s="2"/>
      <c r="H73" s="7">
        <v>-5655.34</v>
      </c>
      <c r="I73" s="2"/>
      <c r="J73" s="6">
        <f t="shared" si="19"/>
        <v>-0.15664707334104658</v>
      </c>
      <c r="K73" s="2"/>
      <c r="L73" s="7">
        <f t="shared" si="20"/>
        <v>6599.9400000000005</v>
      </c>
      <c r="M73" s="2"/>
      <c r="N73" s="6">
        <f t="shared" si="21"/>
        <v>-1.1670279770977519</v>
      </c>
      <c r="O73" s="11"/>
      <c r="P73" s="7">
        <v>13903.49</v>
      </c>
      <c r="Q73" s="2"/>
      <c r="R73" s="6">
        <f t="shared" si="22"/>
        <v>4.1527083451057215E-3</v>
      </c>
      <c r="S73" s="2"/>
      <c r="T73" s="7">
        <v>8754.35</v>
      </c>
      <c r="U73" s="2"/>
      <c r="V73" s="6">
        <f t="shared" si="23"/>
        <v>2.2234012443168609E-3</v>
      </c>
      <c r="W73" s="2"/>
      <c r="X73" s="7">
        <f t="shared" si="24"/>
        <v>5149.1399999999994</v>
      </c>
      <c r="Y73" s="2"/>
      <c r="Z73" s="6">
        <f t="shared" si="25"/>
        <v>0.58818073300701923</v>
      </c>
    </row>
    <row r="74" spans="1:26" s="24" customFormat="1" hidden="1" outlineLevel="2" x14ac:dyDescent="0.35">
      <c r="A74" s="27"/>
      <c r="B74" s="11" t="str">
        <f>CONCATENATE("          ", "6156", " - ", "EMPLOYEE MEALS")</f>
        <v xml:space="preserve">          6156 - EMPLOYEE MEALS</v>
      </c>
      <c r="C74" s="11"/>
      <c r="D74" s="7">
        <v>440.06</v>
      </c>
      <c r="E74" s="2"/>
      <c r="F74" s="6">
        <f t="shared" si="18"/>
        <v>2.6435729986225259E-2</v>
      </c>
      <c r="G74" s="2"/>
      <c r="H74" s="7">
        <v>717.37</v>
      </c>
      <c r="I74" s="2"/>
      <c r="J74" s="6">
        <f t="shared" si="19"/>
        <v>1.9870407615221467E-2</v>
      </c>
      <c r="K74" s="2"/>
      <c r="L74" s="7">
        <f t="shared" si="20"/>
        <v>-277.31</v>
      </c>
      <c r="M74" s="2"/>
      <c r="N74" s="6">
        <f t="shared" si="21"/>
        <v>-0.38656481313687496</v>
      </c>
      <c r="O74" s="11"/>
      <c r="P74" s="7">
        <v>6582.16</v>
      </c>
      <c r="Q74" s="2"/>
      <c r="R74" s="6">
        <f t="shared" si="22"/>
        <v>1.9659661538808655E-3</v>
      </c>
      <c r="S74" s="2"/>
      <c r="T74" s="7">
        <v>8468.56</v>
      </c>
      <c r="U74" s="2"/>
      <c r="V74" s="6">
        <f t="shared" si="23"/>
        <v>2.150817232755372E-3</v>
      </c>
      <c r="W74" s="2"/>
      <c r="X74" s="7">
        <f t="shared" si="24"/>
        <v>-1886.3999999999996</v>
      </c>
      <c r="Y74" s="2"/>
      <c r="Z74" s="6">
        <f t="shared" si="25"/>
        <v>-0.22275333704903783</v>
      </c>
    </row>
    <row r="75" spans="1:26" s="25" customFormat="1" outlineLevel="1" collapsed="1" x14ac:dyDescent="0.35">
      <c r="A75" s="26"/>
      <c r="B75" s="12" t="str">
        <f>CONCATENATE("     ","*Payroll                                          ")</f>
        <v xml:space="preserve">     *Payroll                                          </v>
      </c>
      <c r="C75" s="12"/>
      <c r="D75" s="1">
        <f>SUM(OSRRefD22_1x_0)</f>
        <v>24597.489999999998</v>
      </c>
      <c r="E75" s="1"/>
      <c r="F75" s="5">
        <f t="shared" ref="F75:F80" si="26">IF(D$12=0,0,D75/D$12)</f>
        <v>1.4776453301342451</v>
      </c>
      <c r="G75" s="1"/>
      <c r="H75" s="1">
        <f>SUM(OSRRefH22_1x_0)</f>
        <v>24586.86</v>
      </c>
      <c r="I75" s="1"/>
      <c r="J75" s="5">
        <f t="shared" ref="J75:J80" si="27">IF(H$12=0,0,H75/H$12)</f>
        <v>0.68103061206683313</v>
      </c>
      <c r="K75" s="1"/>
      <c r="L75" s="1">
        <f t="shared" ref="L75:L80" si="28">+D75-H75</f>
        <v>10.629999999997381</v>
      </c>
      <c r="M75" s="1"/>
      <c r="N75" s="5">
        <f t="shared" ref="N75:N80" si="29">IF(H75=0,0,L75/H75)</f>
        <v>4.3234475650804456E-4</v>
      </c>
      <c r="O75" s="12"/>
      <c r="P75" s="1">
        <f>SUM(OSRRefP22_1x_0)</f>
        <v>331883.90000000002</v>
      </c>
      <c r="Q75" s="1"/>
      <c r="R75" s="5">
        <f t="shared" ref="R75:R80" si="30">IF(P$12=0,0,P75/P$12)</f>
        <v>9.9127416291609718E-2</v>
      </c>
      <c r="S75" s="1"/>
      <c r="T75" s="1">
        <f>SUM(OSRRefT22_1x_0)</f>
        <v>344412.48</v>
      </c>
      <c r="U75" s="1"/>
      <c r="V75" s="5">
        <f t="shared" ref="V75:V80" si="31">IF(T$12=0,0,T75/T$12)</f>
        <v>8.7472757725045924E-2</v>
      </c>
      <c r="W75" s="1"/>
      <c r="X75" s="1">
        <f t="shared" ref="X75:X80" si="32">+P75-T75</f>
        <v>-12528.579999999958</v>
      </c>
      <c r="Y75" s="1"/>
      <c r="Z75" s="5">
        <f t="shared" ref="Z75:Z80" si="33">IF(T75=0,0,X75/T75)</f>
        <v>-3.6376672529404158E-2</v>
      </c>
    </row>
    <row r="76" spans="1:26" s="24" customFormat="1" hidden="1" outlineLevel="2" x14ac:dyDescent="0.35">
      <c r="A76" s="27"/>
      <c r="B76" s="11" t="str">
        <f>CONCATENATE("          ", "6002", " - ", "STAFF SALARIES")</f>
        <v xml:space="preserve">          6002 - STAFF SALARIES</v>
      </c>
      <c r="C76" s="11"/>
      <c r="D76" s="7">
        <v>14558.33</v>
      </c>
      <c r="E76" s="2"/>
      <c r="F76" s="6">
        <f t="shared" si="26"/>
        <v>0.87456274355852104</v>
      </c>
      <c r="G76" s="2"/>
      <c r="H76" s="7">
        <v>13661.74</v>
      </c>
      <c r="I76" s="2"/>
      <c r="J76" s="6">
        <f t="shared" si="27"/>
        <v>0.37841607891767948</v>
      </c>
      <c r="K76" s="2"/>
      <c r="L76" s="7">
        <f t="shared" si="28"/>
        <v>896.59000000000015</v>
      </c>
      <c r="M76" s="2"/>
      <c r="N76" s="6">
        <f t="shared" si="29"/>
        <v>6.562780436459778E-2</v>
      </c>
      <c r="O76" s="11"/>
      <c r="P76" s="7">
        <v>186567.11000000002</v>
      </c>
      <c r="Q76" s="2"/>
      <c r="R76" s="6">
        <f t="shared" si="30"/>
        <v>5.5724051631587258E-2</v>
      </c>
      <c r="S76" s="2"/>
      <c r="T76" s="7">
        <v>166496.35999999999</v>
      </c>
      <c r="U76" s="2"/>
      <c r="V76" s="6">
        <f t="shared" si="31"/>
        <v>4.2286202173574046E-2</v>
      </c>
      <c r="W76" s="2"/>
      <c r="X76" s="7">
        <f t="shared" si="32"/>
        <v>20070.750000000029</v>
      </c>
      <c r="Y76" s="2"/>
      <c r="Z76" s="6">
        <f t="shared" si="33"/>
        <v>0.12054768044178282</v>
      </c>
    </row>
    <row r="77" spans="1:26" s="24" customFormat="1" hidden="1" outlineLevel="2" x14ac:dyDescent="0.35">
      <c r="A77" s="27"/>
      <c r="B77" s="11" t="str">
        <f>CONCATENATE("          ", "6004", " - ", "STAFF HOURLY")</f>
        <v xml:space="preserve">          6004 - STAFF HOURLY</v>
      </c>
      <c r="C77" s="11"/>
      <c r="D77" s="7">
        <v>5669.27</v>
      </c>
      <c r="E77" s="2"/>
      <c r="F77" s="6">
        <f t="shared" si="26"/>
        <v>0.34057012893470728</v>
      </c>
      <c r="G77" s="2"/>
      <c r="H77" s="7">
        <v>4906.1499999999996</v>
      </c>
      <c r="I77" s="2"/>
      <c r="J77" s="6">
        <f t="shared" si="27"/>
        <v>0.13589528461103587</v>
      </c>
      <c r="K77" s="2"/>
      <c r="L77" s="7">
        <f t="shared" si="28"/>
        <v>763.1200000000008</v>
      </c>
      <c r="M77" s="2"/>
      <c r="N77" s="6">
        <f t="shared" si="29"/>
        <v>0.15554355248005072</v>
      </c>
      <c r="O77" s="11"/>
      <c r="P77" s="7">
        <v>51297.07</v>
      </c>
      <c r="Q77" s="2"/>
      <c r="R77" s="6">
        <f t="shared" si="30"/>
        <v>1.5321460343300305E-2</v>
      </c>
      <c r="S77" s="2"/>
      <c r="T77" s="7">
        <v>73255.8</v>
      </c>
      <c r="U77" s="2"/>
      <c r="V77" s="6">
        <f t="shared" si="31"/>
        <v>1.8605269023220124E-2</v>
      </c>
      <c r="W77" s="2"/>
      <c r="X77" s="7">
        <f t="shared" si="32"/>
        <v>-21958.730000000003</v>
      </c>
      <c r="Y77" s="2"/>
      <c r="Z77" s="6">
        <f t="shared" si="33"/>
        <v>-0.29975414915952053</v>
      </c>
    </row>
    <row r="78" spans="1:26" s="24" customFormat="1" hidden="1" outlineLevel="2" x14ac:dyDescent="0.35">
      <c r="A78" s="27"/>
      <c r="B78" s="11" t="str">
        <f>CONCATENATE("          ", "6005", " - ", "TEMPORARY WAGES-HOURLY")</f>
        <v xml:space="preserve">          6005 - TEMPORARY WAGES-HOURLY</v>
      </c>
      <c r="C78" s="11"/>
      <c r="D78" s="7">
        <v>1731.67</v>
      </c>
      <c r="E78" s="2"/>
      <c r="F78" s="6">
        <f t="shared" si="26"/>
        <v>0.10402663397092828</v>
      </c>
      <c r="G78" s="2"/>
      <c r="H78" s="7">
        <v>1429.54</v>
      </c>
      <c r="I78" s="2"/>
      <c r="J78" s="6">
        <f t="shared" si="27"/>
        <v>3.9596780604518864E-2</v>
      </c>
      <c r="K78" s="2"/>
      <c r="L78" s="7">
        <f t="shared" si="28"/>
        <v>302.13000000000011</v>
      </c>
      <c r="M78" s="2"/>
      <c r="N78" s="6">
        <f t="shared" si="29"/>
        <v>0.21134770625515908</v>
      </c>
      <c r="O78" s="11"/>
      <c r="P78" s="7">
        <v>26163.919999999998</v>
      </c>
      <c r="Q78" s="2"/>
      <c r="R78" s="6">
        <f t="shared" si="30"/>
        <v>7.8146658806298626E-3</v>
      </c>
      <c r="S78" s="2"/>
      <c r="T78" s="7">
        <v>39906.780000000006</v>
      </c>
      <c r="U78" s="2"/>
      <c r="V78" s="6">
        <f t="shared" si="31"/>
        <v>1.0135393753811445E-2</v>
      </c>
      <c r="W78" s="2"/>
      <c r="X78" s="7">
        <f t="shared" si="32"/>
        <v>-13742.860000000008</v>
      </c>
      <c r="Y78" s="2"/>
      <c r="Z78" s="6">
        <f t="shared" si="33"/>
        <v>-0.34437406375558255</v>
      </c>
    </row>
    <row r="79" spans="1:26" s="24" customFormat="1" hidden="1" outlineLevel="2" x14ac:dyDescent="0.35">
      <c r="A79" s="27"/>
      <c r="B79" s="11" t="str">
        <f>CONCATENATE("          ", "6006", " - ", "TEMPORARY PART TIME")</f>
        <v xml:space="preserve">          6006 - TEMPORARY PART TIME</v>
      </c>
      <c r="C79" s="11"/>
      <c r="D79" s="7">
        <v>899.18</v>
      </c>
      <c r="E79" s="2"/>
      <c r="F79" s="6">
        <f t="shared" si="26"/>
        <v>5.401645159526889E-2</v>
      </c>
      <c r="G79" s="2"/>
      <c r="H79" s="7"/>
      <c r="I79" s="2"/>
      <c r="J79" s="6">
        <f t="shared" si="27"/>
        <v>0</v>
      </c>
      <c r="K79" s="2"/>
      <c r="L79" s="7">
        <f t="shared" si="28"/>
        <v>899.18</v>
      </c>
      <c r="M79" s="2"/>
      <c r="N79" s="6">
        <f t="shared" si="29"/>
        <v>0</v>
      </c>
      <c r="O79" s="11"/>
      <c r="P79" s="7">
        <v>6181.55</v>
      </c>
      <c r="Q79" s="2"/>
      <c r="R79" s="6">
        <f t="shared" si="30"/>
        <v>1.8463115570758329E-3</v>
      </c>
      <c r="S79" s="2"/>
      <c r="T79" s="7">
        <v>3834.31</v>
      </c>
      <c r="U79" s="2"/>
      <c r="V79" s="6">
        <f t="shared" si="31"/>
        <v>9.7382554102778409E-4</v>
      </c>
      <c r="W79" s="2"/>
      <c r="X79" s="7">
        <f t="shared" si="32"/>
        <v>2347.2400000000002</v>
      </c>
      <c r="Y79" s="2"/>
      <c r="Z79" s="6">
        <f t="shared" si="33"/>
        <v>0.61216750862606317</v>
      </c>
    </row>
    <row r="80" spans="1:26" s="24" customFormat="1" hidden="1" outlineLevel="2" x14ac:dyDescent="0.35">
      <c r="A80" s="27"/>
      <c r="B80" s="11" t="str">
        <f>CONCATENATE("          ", "6007", " - ", "STUDENT HOURLY")</f>
        <v xml:space="preserve">          6007 - STUDENT HOURLY</v>
      </c>
      <c r="C80" s="11"/>
      <c r="D80" s="7">
        <v>1739.04</v>
      </c>
      <c r="E80" s="2"/>
      <c r="F80" s="6">
        <f t="shared" si="26"/>
        <v>0.10446937207481974</v>
      </c>
      <c r="G80" s="2"/>
      <c r="H80" s="7">
        <v>4589.43</v>
      </c>
      <c r="I80" s="2"/>
      <c r="J80" s="6">
        <f t="shared" si="27"/>
        <v>0.12712246793359894</v>
      </c>
      <c r="K80" s="2"/>
      <c r="L80" s="7">
        <f t="shared" si="28"/>
        <v>-2850.3900000000003</v>
      </c>
      <c r="M80" s="2"/>
      <c r="N80" s="6">
        <f t="shared" si="29"/>
        <v>-0.62107712722494957</v>
      </c>
      <c r="O80" s="11"/>
      <c r="P80" s="7">
        <v>61674.25</v>
      </c>
      <c r="Q80" s="2"/>
      <c r="R80" s="6">
        <f t="shared" si="30"/>
        <v>1.8420926879016458E-2</v>
      </c>
      <c r="S80" s="2"/>
      <c r="T80" s="7">
        <v>60919.229999999996</v>
      </c>
      <c r="U80" s="2"/>
      <c r="V80" s="6">
        <f t="shared" si="31"/>
        <v>1.5472067233412533E-2</v>
      </c>
      <c r="W80" s="2"/>
      <c r="X80" s="7">
        <f t="shared" si="32"/>
        <v>755.02000000000407</v>
      </c>
      <c r="Y80" s="2"/>
      <c r="Z80" s="6">
        <f t="shared" si="33"/>
        <v>1.2393787643080915E-2</v>
      </c>
    </row>
    <row r="81" spans="1:26" s="25" customFormat="1" outlineLevel="1" collapsed="1" x14ac:dyDescent="0.35">
      <c r="A81" s="26"/>
      <c r="B81" s="12" t="str">
        <f>CONCATENATE("     ","Advertising/Promo                                 ")</f>
        <v xml:space="preserve">     Advertising/Promo                                 </v>
      </c>
      <c r="C81" s="12"/>
      <c r="D81" s="1">
        <f>SUM(OSRRefD22_2x_0)</f>
        <v>0</v>
      </c>
      <c r="E81" s="1"/>
      <c r="F81" s="5">
        <f t="shared" ref="F81:F85" si="34">IF(D$12=0,0,D81/D$12)</f>
        <v>0</v>
      </c>
      <c r="G81" s="1"/>
      <c r="H81" s="1">
        <f>SUM(OSRRefH22_2x_0)</f>
        <v>88.87</v>
      </c>
      <c r="I81" s="1"/>
      <c r="J81" s="5">
        <f t="shared" ref="J81:J85" si="35">IF(H$12=0,0,H81/H$12)</f>
        <v>2.4616071549754407E-3</v>
      </c>
      <c r="K81" s="1"/>
      <c r="L81" s="1">
        <f t="shared" ref="L81:L85" si="36">+D81-H81</f>
        <v>-88.87</v>
      </c>
      <c r="M81" s="1"/>
      <c r="N81" s="5">
        <f t="shared" ref="N81:N85" si="37">IF(H81=0,0,L81/H81)</f>
        <v>-1</v>
      </c>
      <c r="O81" s="12"/>
      <c r="P81" s="1">
        <f>SUM(OSRRefP22_2x_0)</f>
        <v>3981.59</v>
      </c>
      <c r="Q81" s="1"/>
      <c r="R81" s="5">
        <f t="shared" ref="R81:R85" si="38">IF(P$12=0,0,P81/P$12)</f>
        <v>1.1892252966549759E-3</v>
      </c>
      <c r="S81" s="1"/>
      <c r="T81" s="1">
        <f>SUM(OSRRefT22_2x_0)</f>
        <v>6510.95</v>
      </c>
      <c r="U81" s="1"/>
      <c r="V81" s="5">
        <f t="shared" ref="V81:V85" si="39">IF(T$12=0,0,T81/T$12)</f>
        <v>1.6536298333611134E-3</v>
      </c>
      <c r="W81" s="1"/>
      <c r="X81" s="1">
        <f t="shared" ref="X81:X85" si="40">+P81-T81</f>
        <v>-2529.3599999999997</v>
      </c>
      <c r="Y81" s="1"/>
      <c r="Z81" s="5">
        <f t="shared" ref="Z81:Z85" si="41">IF(T81=0,0,X81/T81)</f>
        <v>-0.38847787189273453</v>
      </c>
    </row>
    <row r="82" spans="1:26" s="24" customFormat="1" hidden="1" outlineLevel="2" x14ac:dyDescent="0.35">
      <c r="A82" s="27"/>
      <c r="B82" s="11" t="str">
        <f>CONCATENATE("          ", "6362", " - ", "ADVERTISING EXPENSE")</f>
        <v xml:space="preserve">          6362 - ADVERTISING EXPENSE</v>
      </c>
      <c r="C82" s="11"/>
      <c r="D82" s="7"/>
      <c r="E82" s="2"/>
      <c r="F82" s="6">
        <f t="shared" si="34"/>
        <v>0</v>
      </c>
      <c r="G82" s="2"/>
      <c r="H82" s="7">
        <v>88.87</v>
      </c>
      <c r="I82" s="2"/>
      <c r="J82" s="6">
        <f t="shared" si="35"/>
        <v>2.4616071549754407E-3</v>
      </c>
      <c r="K82" s="2"/>
      <c r="L82" s="7">
        <f t="shared" si="36"/>
        <v>-88.87</v>
      </c>
      <c r="M82" s="2"/>
      <c r="N82" s="6">
        <f t="shared" si="37"/>
        <v>-1</v>
      </c>
      <c r="O82" s="11"/>
      <c r="P82" s="7">
        <v>3981.59</v>
      </c>
      <c r="Q82" s="2"/>
      <c r="R82" s="6">
        <f t="shared" si="38"/>
        <v>1.1892252966549759E-3</v>
      </c>
      <c r="S82" s="2"/>
      <c r="T82" s="7">
        <v>6510.95</v>
      </c>
      <c r="U82" s="2"/>
      <c r="V82" s="6">
        <f t="shared" si="39"/>
        <v>1.6536298333611134E-3</v>
      </c>
      <c r="W82" s="2"/>
      <c r="X82" s="7">
        <f t="shared" si="40"/>
        <v>-2529.3599999999997</v>
      </c>
      <c r="Y82" s="2"/>
      <c r="Z82" s="6">
        <f t="shared" si="41"/>
        <v>-0.38847787189273453</v>
      </c>
    </row>
    <row r="83" spans="1:26" s="25" customFormat="1" outlineLevel="1" collapsed="1" x14ac:dyDescent="0.35">
      <c r="A83" s="26"/>
      <c r="B83" s="12" t="str">
        <f>CONCATENATE("     ","Discounts and Markdowns                           ")</f>
        <v xml:space="preserve">     Discounts and Markdowns                           </v>
      </c>
      <c r="C83" s="12"/>
      <c r="D83" s="1">
        <f>SUM(OSRRefD22_3x_0)</f>
        <v>321.91000000000003</v>
      </c>
      <c r="E83" s="1"/>
      <c r="F83" s="5">
        <f t="shared" si="34"/>
        <v>1.9338103531031617E-2</v>
      </c>
      <c r="G83" s="1"/>
      <c r="H83" s="1">
        <f>SUM(OSRRefH22_3x_0)</f>
        <v>276.29000000000002</v>
      </c>
      <c r="I83" s="1"/>
      <c r="J83" s="5">
        <f t="shared" si="35"/>
        <v>7.6529474608772879E-3</v>
      </c>
      <c r="K83" s="1"/>
      <c r="L83" s="1">
        <f t="shared" si="36"/>
        <v>45.620000000000005</v>
      </c>
      <c r="M83" s="1"/>
      <c r="N83" s="5">
        <f t="shared" si="37"/>
        <v>0.1651163632415216</v>
      </c>
      <c r="O83" s="12"/>
      <c r="P83" s="1">
        <f>SUM(OSRRefP22_3x_0)</f>
        <v>629.67000000000007</v>
      </c>
      <c r="Q83" s="1"/>
      <c r="R83" s="5">
        <f t="shared" si="38"/>
        <v>1.8807046746268166E-4</v>
      </c>
      <c r="S83" s="1"/>
      <c r="T83" s="1">
        <f>SUM(OSRRefT22_3x_0)</f>
        <v>33246.07</v>
      </c>
      <c r="U83" s="1"/>
      <c r="V83" s="5">
        <f t="shared" si="39"/>
        <v>8.4437283643726199E-3</v>
      </c>
      <c r="W83" s="1"/>
      <c r="X83" s="1">
        <f t="shared" si="40"/>
        <v>-32616.400000000001</v>
      </c>
      <c r="Y83" s="1"/>
      <c r="Z83" s="5">
        <f t="shared" si="41"/>
        <v>-0.98106031780598435</v>
      </c>
    </row>
    <row r="84" spans="1:26" s="24" customFormat="1" hidden="1" outlineLevel="2" x14ac:dyDescent="0.35">
      <c r="A84" s="27"/>
      <c r="B84" s="11" t="str">
        <f>CONCATENATE("          ", "6382", " - ", "DISCOUNTS/MARK DOWNS")</f>
        <v xml:space="preserve">          6382 - DISCOUNTS/MARK DOWNS</v>
      </c>
      <c r="C84" s="11"/>
      <c r="D84" s="7">
        <v>321.91000000000003</v>
      </c>
      <c r="E84" s="2"/>
      <c r="F84" s="6">
        <f t="shared" si="34"/>
        <v>1.9338103531031617E-2</v>
      </c>
      <c r="G84" s="2"/>
      <c r="H84" s="7">
        <v>276.16000000000003</v>
      </c>
      <c r="I84" s="2"/>
      <c r="J84" s="6">
        <f t="shared" si="35"/>
        <v>7.6493465952291858E-3</v>
      </c>
      <c r="K84" s="2"/>
      <c r="L84" s="7">
        <f t="shared" si="36"/>
        <v>45.75</v>
      </c>
      <c r="M84" s="2"/>
      <c r="N84" s="6">
        <f t="shared" si="37"/>
        <v>0.16566483198146001</v>
      </c>
      <c r="O84" s="11"/>
      <c r="P84" s="7">
        <v>1081.94</v>
      </c>
      <c r="Q84" s="2"/>
      <c r="R84" s="6">
        <f t="shared" si="38"/>
        <v>3.2315492490760843E-4</v>
      </c>
      <c r="S84" s="2"/>
      <c r="T84" s="7">
        <v>33456.300000000003</v>
      </c>
      <c r="U84" s="2"/>
      <c r="V84" s="6">
        <f t="shared" si="39"/>
        <v>8.4971218937143472E-3</v>
      </c>
      <c r="W84" s="2"/>
      <c r="X84" s="7">
        <f t="shared" si="40"/>
        <v>-32374.360000000004</v>
      </c>
      <c r="Y84" s="2"/>
      <c r="Z84" s="6">
        <f t="shared" si="41"/>
        <v>-0.96766109820870816</v>
      </c>
    </row>
    <row r="85" spans="1:26" s="24" customFormat="1" hidden="1" outlineLevel="2" x14ac:dyDescent="0.35">
      <c r="A85" s="27"/>
      <c r="B85" s="11" t="str">
        <f>CONCATENATE("          ", "9175", " - ", "EARNED DISCOUNTS")</f>
        <v xml:space="preserve">          9175 - EARNED DISCOUNTS</v>
      </c>
      <c r="C85" s="11"/>
      <c r="D85" s="7"/>
      <c r="E85" s="2"/>
      <c r="F85" s="6">
        <f t="shared" si="34"/>
        <v>0</v>
      </c>
      <c r="G85" s="2"/>
      <c r="H85" s="7">
        <v>0.13</v>
      </c>
      <c r="I85" s="2"/>
      <c r="J85" s="6">
        <f t="shared" si="35"/>
        <v>3.6008656481018036E-6</v>
      </c>
      <c r="K85" s="2"/>
      <c r="L85" s="7">
        <f t="shared" si="36"/>
        <v>-0.13</v>
      </c>
      <c r="M85" s="2"/>
      <c r="N85" s="6">
        <f t="shared" si="37"/>
        <v>-1</v>
      </c>
      <c r="O85" s="11"/>
      <c r="P85" s="7">
        <v>-452.27</v>
      </c>
      <c r="Q85" s="2"/>
      <c r="R85" s="6">
        <f t="shared" si="38"/>
        <v>-1.3508445744492674E-4</v>
      </c>
      <c r="S85" s="2"/>
      <c r="T85" s="7">
        <v>-210.23</v>
      </c>
      <c r="U85" s="2"/>
      <c r="V85" s="6">
        <f t="shared" si="39"/>
        <v>-5.3393529341725382E-5</v>
      </c>
      <c r="W85" s="2"/>
      <c r="X85" s="7">
        <f t="shared" si="40"/>
        <v>-242.04</v>
      </c>
      <c r="Y85" s="2"/>
      <c r="Z85" s="6">
        <f t="shared" si="41"/>
        <v>1.1513104694858012</v>
      </c>
    </row>
    <row r="86" spans="1:26" s="25" customFormat="1" outlineLevel="1" collapsed="1" x14ac:dyDescent="0.35">
      <c r="A86" s="26"/>
      <c r="B86" s="12" t="str">
        <f>CONCATENATE("     ","Employees' Appreciation                           ")</f>
        <v xml:space="preserve">     Employees' Appreciation                           </v>
      </c>
      <c r="C86" s="12"/>
      <c r="D86" s="1">
        <f>SUM(OSRRefD22_4x_0)</f>
        <v>0</v>
      </c>
      <c r="E86" s="1"/>
      <c r="F86" s="5">
        <f t="shared" ref="F86:F92" si="42">IF(D$12=0,0,D86/D$12)</f>
        <v>0</v>
      </c>
      <c r="G86" s="1"/>
      <c r="H86" s="1">
        <f>SUM(OSRRefH22_4x_0)</f>
        <v>45.37</v>
      </c>
      <c r="I86" s="1"/>
      <c r="J86" s="5">
        <f t="shared" ref="J86:J92" si="43">IF(H$12=0,0,H86/H$12)</f>
        <v>1.2567021111875294E-3</v>
      </c>
      <c r="K86" s="1"/>
      <c r="L86" s="1">
        <f t="shared" ref="L86:L92" si="44">+D86-H86</f>
        <v>-45.37</v>
      </c>
      <c r="M86" s="1"/>
      <c r="N86" s="5">
        <f t="shared" ref="N86:N92" si="45">IF(H86=0,0,L86/H86)</f>
        <v>-1</v>
      </c>
      <c r="O86" s="12"/>
      <c r="P86" s="1">
        <f>SUM(OSRRefP22_4x_0)</f>
        <v>120.18</v>
      </c>
      <c r="Q86" s="1"/>
      <c r="R86" s="5">
        <f t="shared" ref="R86:R92" si="46">IF(P$12=0,0,P86/P$12)</f>
        <v>3.5895482998499345E-5</v>
      </c>
      <c r="S86" s="1"/>
      <c r="T86" s="1">
        <f>SUM(OSRRefT22_4x_0)</f>
        <v>545.34</v>
      </c>
      <c r="U86" s="1"/>
      <c r="V86" s="5">
        <f t="shared" ref="V86:V92" si="47">IF(T$12=0,0,T86/T$12)</f>
        <v>1.3850367355380545E-4</v>
      </c>
      <c r="W86" s="1"/>
      <c r="X86" s="1">
        <f t="shared" ref="X86:X92" si="48">+P86-T86</f>
        <v>-425.16</v>
      </c>
      <c r="Y86" s="1"/>
      <c r="Z86" s="5">
        <f t="shared" ref="Z86:Z92" si="49">IF(T86=0,0,X86/T86)</f>
        <v>-0.77962372098140609</v>
      </c>
    </row>
    <row r="87" spans="1:26" s="24" customFormat="1" hidden="1" outlineLevel="2" x14ac:dyDescent="0.35">
      <c r="A87" s="27"/>
      <c r="B87" s="11" t="str">
        <f>CONCATENATE("          ", "6277", " - ", "EMPLOYEE APPRECIATION")</f>
        <v xml:space="preserve">          6277 - EMPLOYEE APPRECIATION</v>
      </c>
      <c r="C87" s="11"/>
      <c r="D87" s="7"/>
      <c r="E87" s="2"/>
      <c r="F87" s="6">
        <f t="shared" si="42"/>
        <v>0</v>
      </c>
      <c r="G87" s="2"/>
      <c r="H87" s="7">
        <v>45.37</v>
      </c>
      <c r="I87" s="2"/>
      <c r="J87" s="6">
        <f t="shared" si="43"/>
        <v>1.2567021111875294E-3</v>
      </c>
      <c r="K87" s="2"/>
      <c r="L87" s="7">
        <f t="shared" si="44"/>
        <v>-45.37</v>
      </c>
      <c r="M87" s="2"/>
      <c r="N87" s="6">
        <f t="shared" si="45"/>
        <v>-1</v>
      </c>
      <c r="O87" s="11"/>
      <c r="P87" s="7">
        <v>120.18</v>
      </c>
      <c r="Q87" s="2"/>
      <c r="R87" s="6">
        <f t="shared" si="46"/>
        <v>3.5895482998499345E-5</v>
      </c>
      <c r="S87" s="2"/>
      <c r="T87" s="7">
        <v>545.34</v>
      </c>
      <c r="U87" s="2"/>
      <c r="V87" s="6">
        <f t="shared" si="47"/>
        <v>1.3850367355380545E-4</v>
      </c>
      <c r="W87" s="2"/>
      <c r="X87" s="7">
        <f t="shared" si="48"/>
        <v>-425.16</v>
      </c>
      <c r="Y87" s="2"/>
      <c r="Z87" s="6">
        <f t="shared" si="49"/>
        <v>-0.77962372098140609</v>
      </c>
    </row>
    <row r="88" spans="1:26" s="25" customFormat="1" outlineLevel="1" collapsed="1" x14ac:dyDescent="0.35">
      <c r="A88" s="26"/>
      <c r="B88" s="12" t="str">
        <f>CONCATENATE("     ","Equipment Rental                                  ")</f>
        <v xml:space="preserve">     Equipment Rental                                  </v>
      </c>
      <c r="C88" s="12"/>
      <c r="D88" s="1">
        <f>SUM(OSRRefD22_5x_0)</f>
        <v>91.26</v>
      </c>
      <c r="E88" s="1"/>
      <c r="F88" s="5">
        <f t="shared" si="42"/>
        <v>5.4822631426235452E-3</v>
      </c>
      <c r="G88" s="1"/>
      <c r="H88" s="1">
        <f>SUM(OSRRefH22_5x_0)</f>
        <v>91.26</v>
      </c>
      <c r="I88" s="1"/>
      <c r="J88" s="5">
        <f t="shared" si="43"/>
        <v>2.5278076849674664E-3</v>
      </c>
      <c r="K88" s="1"/>
      <c r="L88" s="1">
        <f t="shared" si="44"/>
        <v>0</v>
      </c>
      <c r="M88" s="1"/>
      <c r="N88" s="5">
        <f t="shared" si="45"/>
        <v>0</v>
      </c>
      <c r="O88" s="12"/>
      <c r="P88" s="1">
        <f>SUM(OSRRefP22_5x_0)</f>
        <v>1095.1199999999999</v>
      </c>
      <c r="Q88" s="1"/>
      <c r="R88" s="5">
        <f t="shared" si="46"/>
        <v>3.2709154053350468E-4</v>
      </c>
      <c r="S88" s="1"/>
      <c r="T88" s="1">
        <f>SUM(OSRRefT22_5x_0)</f>
        <v>1095.1199999999999</v>
      </c>
      <c r="U88" s="1"/>
      <c r="V88" s="5">
        <f t="shared" si="47"/>
        <v>2.7813500381824806E-4</v>
      </c>
      <c r="W88" s="1"/>
      <c r="X88" s="1">
        <f t="shared" si="48"/>
        <v>0</v>
      </c>
      <c r="Y88" s="1"/>
      <c r="Z88" s="5">
        <f t="shared" si="49"/>
        <v>0</v>
      </c>
    </row>
    <row r="89" spans="1:26" s="24" customFormat="1" hidden="1" outlineLevel="2" x14ac:dyDescent="0.35">
      <c r="A89" s="27"/>
      <c r="B89" s="11" t="str">
        <f>CONCATENATE("          ", "6351", " - ", "EQUIPMENT RENTAL")</f>
        <v xml:space="preserve">          6351 - EQUIPMENT RENTAL</v>
      </c>
      <c r="C89" s="11"/>
      <c r="D89" s="7">
        <v>91.26</v>
      </c>
      <c r="E89" s="2"/>
      <c r="F89" s="6">
        <f t="shared" si="42"/>
        <v>5.4822631426235452E-3</v>
      </c>
      <c r="G89" s="2"/>
      <c r="H89" s="7">
        <v>91.26</v>
      </c>
      <c r="I89" s="2"/>
      <c r="J89" s="6">
        <f t="shared" si="43"/>
        <v>2.5278076849674664E-3</v>
      </c>
      <c r="K89" s="2"/>
      <c r="L89" s="7">
        <f t="shared" si="44"/>
        <v>0</v>
      </c>
      <c r="M89" s="2"/>
      <c r="N89" s="6">
        <f t="shared" si="45"/>
        <v>0</v>
      </c>
      <c r="O89" s="11"/>
      <c r="P89" s="7">
        <v>1095.1199999999999</v>
      </c>
      <c r="Q89" s="2"/>
      <c r="R89" s="6">
        <f t="shared" si="46"/>
        <v>3.2709154053350468E-4</v>
      </c>
      <c r="S89" s="2"/>
      <c r="T89" s="7">
        <v>1095.1199999999999</v>
      </c>
      <c r="U89" s="2"/>
      <c r="V89" s="6">
        <f t="shared" si="47"/>
        <v>2.7813500381824806E-4</v>
      </c>
      <c r="W89" s="2"/>
      <c r="X89" s="7">
        <f t="shared" si="48"/>
        <v>0</v>
      </c>
      <c r="Y89" s="2"/>
      <c r="Z89" s="6">
        <f t="shared" si="49"/>
        <v>0</v>
      </c>
    </row>
    <row r="90" spans="1:26" s="25" customFormat="1" outlineLevel="1" collapsed="1" x14ac:dyDescent="0.35">
      <c r="A90" s="26"/>
      <c r="B90" s="12" t="str">
        <f>CONCATENATE("     ","Freight out/Postage                               ")</f>
        <v xml:space="preserve">     Freight out/Postage                               </v>
      </c>
      <c r="C90" s="12"/>
      <c r="D90" s="1">
        <f>SUM(OSRRefD22_6x_0)</f>
        <v>6701.46</v>
      </c>
      <c r="E90" s="1"/>
      <c r="F90" s="5">
        <f t="shared" si="42"/>
        <v>0.40257689195448149</v>
      </c>
      <c r="G90" s="1"/>
      <c r="H90" s="1">
        <f>SUM(OSRRefH22_6x_0)</f>
        <v>5639.35</v>
      </c>
      <c r="I90" s="1"/>
      <c r="J90" s="5">
        <f t="shared" si="43"/>
        <v>0.15620416686633007</v>
      </c>
      <c r="K90" s="1"/>
      <c r="L90" s="1">
        <f t="shared" si="44"/>
        <v>1062.1099999999997</v>
      </c>
      <c r="M90" s="1"/>
      <c r="N90" s="5">
        <f t="shared" si="45"/>
        <v>0.18833908163174826</v>
      </c>
      <c r="O90" s="12"/>
      <c r="P90" s="1">
        <f>SUM(OSRRefP22_6x_0)</f>
        <v>30550.660000000003</v>
      </c>
      <c r="Q90" s="1"/>
      <c r="R90" s="5">
        <f t="shared" si="46"/>
        <v>9.1249017858456814E-3</v>
      </c>
      <c r="S90" s="1"/>
      <c r="T90" s="1">
        <f>SUM(OSRRefT22_6x_0)</f>
        <v>34098.36</v>
      </c>
      <c r="U90" s="1"/>
      <c r="V90" s="5">
        <f t="shared" si="47"/>
        <v>8.660190197235006E-3</v>
      </c>
      <c r="W90" s="1"/>
      <c r="X90" s="1">
        <f t="shared" si="48"/>
        <v>-3547.6999999999971</v>
      </c>
      <c r="Y90" s="1"/>
      <c r="Z90" s="5">
        <f t="shared" si="49"/>
        <v>-0.10404312700082928</v>
      </c>
    </row>
    <row r="91" spans="1:26" s="24" customFormat="1" hidden="1" outlineLevel="2" x14ac:dyDescent="0.35">
      <c r="A91" s="27"/>
      <c r="B91" s="11" t="str">
        <f>CONCATENATE("          ", "6305", " - ", "FREIGHT OUT")</f>
        <v xml:space="preserve">          6305 - FREIGHT OUT</v>
      </c>
      <c r="C91" s="11"/>
      <c r="D91" s="7">
        <v>6699.46</v>
      </c>
      <c r="E91" s="2"/>
      <c r="F91" s="6">
        <f t="shared" si="42"/>
        <v>0.4024567459290021</v>
      </c>
      <c r="G91" s="2"/>
      <c r="H91" s="7">
        <v>5639.35</v>
      </c>
      <c r="I91" s="2"/>
      <c r="J91" s="6">
        <f t="shared" si="43"/>
        <v>0.15620416686633007</v>
      </c>
      <c r="K91" s="2"/>
      <c r="L91" s="7">
        <f t="shared" si="44"/>
        <v>1060.1099999999997</v>
      </c>
      <c r="M91" s="2"/>
      <c r="N91" s="6">
        <f t="shared" si="45"/>
        <v>0.18798443082979413</v>
      </c>
      <c r="O91" s="11"/>
      <c r="P91" s="7">
        <v>30546.710000000003</v>
      </c>
      <c r="Q91" s="2"/>
      <c r="R91" s="6">
        <f t="shared" si="46"/>
        <v>9.1237219958819268E-3</v>
      </c>
      <c r="S91" s="2"/>
      <c r="T91" s="7">
        <v>34093.57</v>
      </c>
      <c r="U91" s="2"/>
      <c r="V91" s="6">
        <f t="shared" si="47"/>
        <v>8.6589736486665479E-3</v>
      </c>
      <c r="W91" s="2"/>
      <c r="X91" s="7">
        <f t="shared" si="48"/>
        <v>-3546.8599999999969</v>
      </c>
      <c r="Y91" s="2"/>
      <c r="Z91" s="6">
        <f t="shared" si="49"/>
        <v>-0.10403310653592443</v>
      </c>
    </row>
    <row r="92" spans="1:26" s="24" customFormat="1" hidden="1" outlineLevel="2" x14ac:dyDescent="0.35">
      <c r="A92" s="27"/>
      <c r="B92" s="11" t="str">
        <f>CONCATENATE("          ", "6307", " - ", "POSTAGE")</f>
        <v xml:space="preserve">          6307 - POSTAGE</v>
      </c>
      <c r="C92" s="11"/>
      <c r="D92" s="7">
        <v>2</v>
      </c>
      <c r="E92" s="2"/>
      <c r="F92" s="6">
        <f t="shared" si="42"/>
        <v>1.2014602547936762E-4</v>
      </c>
      <c r="G92" s="2"/>
      <c r="H92" s="7"/>
      <c r="I92" s="2"/>
      <c r="J92" s="6">
        <f t="shared" si="43"/>
        <v>0</v>
      </c>
      <c r="K92" s="2"/>
      <c r="L92" s="7">
        <f t="shared" si="44"/>
        <v>2</v>
      </c>
      <c r="M92" s="2"/>
      <c r="N92" s="6">
        <f t="shared" si="45"/>
        <v>0</v>
      </c>
      <c r="O92" s="11"/>
      <c r="P92" s="7">
        <v>3.95</v>
      </c>
      <c r="Q92" s="2"/>
      <c r="R92" s="6">
        <f t="shared" si="46"/>
        <v>1.1797899637549709E-6</v>
      </c>
      <c r="S92" s="2"/>
      <c r="T92" s="7">
        <v>4.79</v>
      </c>
      <c r="U92" s="2"/>
      <c r="V92" s="6">
        <f t="shared" si="47"/>
        <v>1.2165485684577111E-6</v>
      </c>
      <c r="W92" s="2"/>
      <c r="X92" s="7">
        <f t="shared" si="48"/>
        <v>-0.83999999999999986</v>
      </c>
      <c r="Y92" s="2"/>
      <c r="Z92" s="6">
        <f t="shared" si="49"/>
        <v>-0.17536534446764088</v>
      </c>
    </row>
    <row r="93" spans="1:26" s="25" customFormat="1" outlineLevel="1" collapsed="1" x14ac:dyDescent="0.35">
      <c r="A93" s="26"/>
      <c r="B93" s="12" t="str">
        <f>CONCATENATE("     ","General                                           ")</f>
        <v xml:space="preserve">     General                                           </v>
      </c>
      <c r="C93" s="12"/>
      <c r="D93" s="1">
        <f>SUM(OSRRefD22_7x_0)</f>
        <v>-1613.24</v>
      </c>
      <c r="E93" s="1"/>
      <c r="F93" s="5">
        <f t="shared" ref="F93:F104" si="50">IF(D$12=0,0,D93/D$12)</f>
        <v>-9.6912187072167519E-2</v>
      </c>
      <c r="G93" s="1"/>
      <c r="H93" s="1">
        <f>SUM(OSRRefH22_7x_0)</f>
        <v>-1897.83</v>
      </c>
      <c r="I93" s="1"/>
      <c r="J93" s="5">
        <f t="shared" ref="J93:J104" si="51">IF(H$12=0,0,H93/H$12)</f>
        <v>-5.2567929637977275E-2</v>
      </c>
      <c r="K93" s="1"/>
      <c r="L93" s="1">
        <f t="shared" ref="L93:L104" si="52">+D93-H93</f>
        <v>284.58999999999992</v>
      </c>
      <c r="M93" s="1"/>
      <c r="N93" s="5">
        <f t="shared" ref="N93:N104" si="53">IF(H93=0,0,L93/H93)</f>
        <v>-0.14995547546408264</v>
      </c>
      <c r="O93" s="12"/>
      <c r="P93" s="1">
        <f>SUM(OSRRefP22_7x_0)</f>
        <v>5979.79</v>
      </c>
      <c r="Q93" s="1"/>
      <c r="R93" s="5">
        <f t="shared" ref="R93:R104" si="54">IF(P$12=0,0,P93/P$12)</f>
        <v>1.7860496778132498E-3</v>
      </c>
      <c r="S93" s="1"/>
      <c r="T93" s="1">
        <f>SUM(OSRRefT22_7x_0)</f>
        <v>19809.28</v>
      </c>
      <c r="U93" s="1"/>
      <c r="V93" s="5">
        <f t="shared" ref="V93:V104" si="55">IF(T$12=0,0,T93/T$12)</f>
        <v>5.0310962893899717E-3</v>
      </c>
      <c r="W93" s="1"/>
      <c r="X93" s="1">
        <f t="shared" ref="X93:X104" si="56">+P93-T93</f>
        <v>-13829.489999999998</v>
      </c>
      <c r="Y93" s="1"/>
      <c r="Z93" s="5">
        <f t="shared" ref="Z93:Z104" si="57">IF(T93=0,0,X93/T93)</f>
        <v>-0.69813188566166962</v>
      </c>
    </row>
    <row r="94" spans="1:26" s="24" customFormat="1" hidden="1" outlineLevel="2" x14ac:dyDescent="0.35">
      <c r="A94" s="27"/>
      <c r="B94" s="11" t="str">
        <f>CONCATENATE("          ", "6279", " - ", "GENERAL EXPENSE")</f>
        <v xml:space="preserve">          6279 - GENERAL EXPENSE</v>
      </c>
      <c r="C94" s="11"/>
      <c r="D94" s="7">
        <v>-1613.24</v>
      </c>
      <c r="E94" s="2"/>
      <c r="F94" s="6">
        <f t="shared" si="50"/>
        <v>-9.6912187072167519E-2</v>
      </c>
      <c r="G94" s="2"/>
      <c r="H94" s="7">
        <v>-1897.83</v>
      </c>
      <c r="I94" s="2"/>
      <c r="J94" s="6">
        <f t="shared" si="51"/>
        <v>-5.2567929637977275E-2</v>
      </c>
      <c r="K94" s="2"/>
      <c r="L94" s="7">
        <f t="shared" si="52"/>
        <v>284.58999999999992</v>
      </c>
      <c r="M94" s="2"/>
      <c r="N94" s="6">
        <f t="shared" si="53"/>
        <v>-0.14995547546408264</v>
      </c>
      <c r="O94" s="11"/>
      <c r="P94" s="7">
        <v>5979.79</v>
      </c>
      <c r="Q94" s="2"/>
      <c r="R94" s="6">
        <f t="shared" si="54"/>
        <v>1.7860496778132498E-3</v>
      </c>
      <c r="S94" s="2"/>
      <c r="T94" s="7">
        <v>19809.28</v>
      </c>
      <c r="U94" s="2"/>
      <c r="V94" s="6">
        <f t="shared" si="55"/>
        <v>5.0310962893899717E-3</v>
      </c>
      <c r="W94" s="2"/>
      <c r="X94" s="7">
        <f t="shared" si="56"/>
        <v>-13829.489999999998</v>
      </c>
      <c r="Y94" s="2"/>
      <c r="Z94" s="6">
        <f t="shared" si="57"/>
        <v>-0.69813188566166962</v>
      </c>
    </row>
    <row r="95" spans="1:26" s="25" customFormat="1" outlineLevel="1" collapsed="1" x14ac:dyDescent="0.35">
      <c r="A95" s="26"/>
      <c r="B95" s="12" t="str">
        <f>CONCATENATE("     ","Inventory Adjustment                              ")</f>
        <v xml:space="preserve">     Inventory Adjustment                              </v>
      </c>
      <c r="C95" s="12"/>
      <c r="D95" s="1">
        <f>SUM(OSRRefD22_8x_0)</f>
        <v>-50217</v>
      </c>
      <c r="E95" s="1"/>
      <c r="F95" s="5">
        <f t="shared" si="50"/>
        <v>-3.0166864807487022</v>
      </c>
      <c r="G95" s="1"/>
      <c r="H95" s="1">
        <f>SUM(OSRRefH22_8x_0)</f>
        <v>-171366</v>
      </c>
      <c r="I95" s="1"/>
      <c r="J95" s="5">
        <f t="shared" si="51"/>
        <v>-4.7466610973277978</v>
      </c>
      <c r="K95" s="1"/>
      <c r="L95" s="1">
        <f t="shared" si="52"/>
        <v>121149</v>
      </c>
      <c r="M95" s="1"/>
      <c r="N95" s="5">
        <f t="shared" si="53"/>
        <v>-0.70696054059731805</v>
      </c>
      <c r="O95" s="12"/>
      <c r="P95" s="1">
        <f>SUM(OSRRefP22_8x_0)</f>
        <v>-33417</v>
      </c>
      <c r="Q95" s="1"/>
      <c r="R95" s="5">
        <f t="shared" si="54"/>
        <v>-9.981023093367054E-3</v>
      </c>
      <c r="S95" s="1"/>
      <c r="T95" s="1">
        <f>SUM(OSRRefT22_8x_0)</f>
        <v>-94916</v>
      </c>
      <c r="U95" s="1"/>
      <c r="V95" s="5">
        <f t="shared" si="55"/>
        <v>-2.4106455933973297E-2</v>
      </c>
      <c r="W95" s="1"/>
      <c r="X95" s="1">
        <f t="shared" si="56"/>
        <v>61499</v>
      </c>
      <c r="Y95" s="1"/>
      <c r="Z95" s="5">
        <f t="shared" si="57"/>
        <v>-0.64793080197227026</v>
      </c>
    </row>
    <row r="96" spans="1:26" s="24" customFormat="1" hidden="1" outlineLevel="2" x14ac:dyDescent="0.35">
      <c r="A96" s="27"/>
      <c r="B96" s="11" t="str">
        <f>CONCATENATE("          ", "6408", " - ", "INVENTORY ADJUSTMENT")</f>
        <v xml:space="preserve">          6408 - INVENTORY ADJUSTMENT</v>
      </c>
      <c r="C96" s="11"/>
      <c r="D96" s="7">
        <v>-16800</v>
      </c>
      <c r="E96" s="2"/>
      <c r="F96" s="6">
        <f t="shared" si="50"/>
        <v>-1.0092266140266881</v>
      </c>
      <c r="G96" s="2"/>
      <c r="H96" s="7">
        <v>-76450</v>
      </c>
      <c r="I96" s="2"/>
      <c r="J96" s="6">
        <f t="shared" si="51"/>
        <v>-2.1175859907490993</v>
      </c>
      <c r="K96" s="2"/>
      <c r="L96" s="7">
        <f t="shared" si="52"/>
        <v>59650</v>
      </c>
      <c r="M96" s="2"/>
      <c r="N96" s="6">
        <f t="shared" si="53"/>
        <v>-0.78024852844996728</v>
      </c>
      <c r="O96" s="11"/>
      <c r="P96" s="7">
        <v>0</v>
      </c>
      <c r="Q96" s="2"/>
      <c r="R96" s="6">
        <f t="shared" si="54"/>
        <v>0</v>
      </c>
      <c r="S96" s="2"/>
      <c r="T96" s="7">
        <v>0</v>
      </c>
      <c r="U96" s="2"/>
      <c r="V96" s="6">
        <f t="shared" si="55"/>
        <v>0</v>
      </c>
      <c r="W96" s="2"/>
      <c r="X96" s="7">
        <f t="shared" si="56"/>
        <v>0</v>
      </c>
      <c r="Y96" s="2"/>
      <c r="Z96" s="6">
        <f t="shared" si="57"/>
        <v>0</v>
      </c>
    </row>
    <row r="97" spans="1:26" s="24" customFormat="1" hidden="1" outlineLevel="2" x14ac:dyDescent="0.35">
      <c r="A97" s="27"/>
      <c r="B97" s="11" t="str">
        <f>CONCATENATE("          ", "7701", " - ", "INV. SHRINKAGE-NEW TEXT")</f>
        <v xml:space="preserve">          7701 - INV. SHRINKAGE-NEW TEXT</v>
      </c>
      <c r="C97" s="11"/>
      <c r="D97" s="7">
        <v>-4346</v>
      </c>
      <c r="E97" s="2"/>
      <c r="F97" s="6">
        <f t="shared" si="50"/>
        <v>-0.26107731336666584</v>
      </c>
      <c r="G97" s="2"/>
      <c r="H97" s="7">
        <v>-79917</v>
      </c>
      <c r="I97" s="2"/>
      <c r="J97" s="6">
        <f t="shared" si="51"/>
        <v>-2.2136183076873217</v>
      </c>
      <c r="K97" s="2"/>
      <c r="L97" s="7">
        <f t="shared" si="52"/>
        <v>75571</v>
      </c>
      <c r="M97" s="2"/>
      <c r="N97" s="6">
        <f t="shared" si="53"/>
        <v>-0.94561857927599879</v>
      </c>
      <c r="O97" s="11"/>
      <c r="P97" s="7">
        <v>-4346</v>
      </c>
      <c r="Q97" s="2"/>
      <c r="R97" s="6">
        <f t="shared" si="54"/>
        <v>-1.2980676411339502E-3</v>
      </c>
      <c r="S97" s="2"/>
      <c r="T97" s="7">
        <v>-79917</v>
      </c>
      <c r="U97" s="2"/>
      <c r="V97" s="6">
        <f t="shared" si="55"/>
        <v>-2.0297058861259893E-2</v>
      </c>
      <c r="W97" s="2"/>
      <c r="X97" s="7">
        <f t="shared" si="56"/>
        <v>75571</v>
      </c>
      <c r="Y97" s="2"/>
      <c r="Z97" s="6">
        <f t="shared" si="57"/>
        <v>-0.94561857927599879</v>
      </c>
    </row>
    <row r="98" spans="1:26" s="24" customFormat="1" hidden="1" outlineLevel="2" x14ac:dyDescent="0.35">
      <c r="A98" s="27"/>
      <c r="B98" s="11" t="str">
        <f>CONCATENATE("          ", "7702", " - ", "INV. SHRINKAGE-USED TEXT")</f>
        <v xml:space="preserve">          7702 - INV. SHRINKAGE-USED TEXT</v>
      </c>
      <c r="C98" s="11"/>
      <c r="D98" s="7">
        <v>-29494</v>
      </c>
      <c r="E98" s="2"/>
      <c r="F98" s="6">
        <f t="shared" si="50"/>
        <v>-1.7717934377442344</v>
      </c>
      <c r="G98" s="2"/>
      <c r="H98" s="7">
        <v>-5215</v>
      </c>
      <c r="I98" s="2"/>
      <c r="J98" s="6">
        <f t="shared" si="51"/>
        <v>-0.14445011042193004</v>
      </c>
      <c r="K98" s="2"/>
      <c r="L98" s="7">
        <f t="shared" si="52"/>
        <v>-24279</v>
      </c>
      <c r="M98" s="2"/>
      <c r="N98" s="6">
        <f t="shared" si="53"/>
        <v>4.6556088207094914</v>
      </c>
      <c r="O98" s="11"/>
      <c r="P98" s="7">
        <v>-29494</v>
      </c>
      <c r="Q98" s="2"/>
      <c r="R98" s="6">
        <f t="shared" si="54"/>
        <v>-8.8092975167061039E-3</v>
      </c>
      <c r="S98" s="2"/>
      <c r="T98" s="7">
        <v>-5215</v>
      </c>
      <c r="U98" s="2"/>
      <c r="V98" s="6">
        <f t="shared" si="55"/>
        <v>-1.3244886815254619E-3</v>
      </c>
      <c r="W98" s="2"/>
      <c r="X98" s="7">
        <f t="shared" si="56"/>
        <v>-24279</v>
      </c>
      <c r="Y98" s="2"/>
      <c r="Z98" s="6">
        <f t="shared" si="57"/>
        <v>4.6556088207094914</v>
      </c>
    </row>
    <row r="99" spans="1:26" s="24" customFormat="1" hidden="1" outlineLevel="2" x14ac:dyDescent="0.35">
      <c r="A99" s="27"/>
      <c r="B99" s="11" t="str">
        <f>CONCATENATE("          ", "7703", " - ", "INV. SHRINKAGE-RENTAL TEXT")</f>
        <v xml:space="preserve">          7703 - INV. SHRINKAGE-RENTAL TEXT</v>
      </c>
      <c r="C99" s="11"/>
      <c r="D99" s="7">
        <v>526</v>
      </c>
      <c r="E99" s="2"/>
      <c r="F99" s="6">
        <f t="shared" si="50"/>
        <v>3.1598404701073682E-2</v>
      </c>
      <c r="G99" s="2"/>
      <c r="H99" s="7">
        <v>30858</v>
      </c>
      <c r="I99" s="2"/>
      <c r="J99" s="6">
        <f t="shared" si="51"/>
        <v>0.85473470899327275</v>
      </c>
      <c r="K99" s="2"/>
      <c r="L99" s="7">
        <f t="shared" si="52"/>
        <v>-30332</v>
      </c>
      <c r="M99" s="2"/>
      <c r="N99" s="6">
        <f t="shared" si="53"/>
        <v>-0.98295417719878153</v>
      </c>
      <c r="O99" s="11"/>
      <c r="P99" s="7">
        <v>526</v>
      </c>
      <c r="Q99" s="2"/>
      <c r="R99" s="6">
        <f t="shared" si="54"/>
        <v>1.571062078316746E-4</v>
      </c>
      <c r="S99" s="2"/>
      <c r="T99" s="7">
        <v>30858</v>
      </c>
      <c r="U99" s="2"/>
      <c r="V99" s="6">
        <f t="shared" si="55"/>
        <v>7.8372141389286103E-3</v>
      </c>
      <c r="W99" s="2"/>
      <c r="X99" s="7">
        <f t="shared" si="56"/>
        <v>-30332</v>
      </c>
      <c r="Y99" s="2"/>
      <c r="Z99" s="6">
        <f t="shared" si="57"/>
        <v>-0.98295417719878153</v>
      </c>
    </row>
    <row r="100" spans="1:26" s="24" customFormat="1" hidden="1" outlineLevel="2" x14ac:dyDescent="0.35">
      <c r="A100" s="27"/>
      <c r="B100" s="11" t="str">
        <f>CONCATENATE("          ", "7704", " - ", "INV. SHRINKAGE-DIGITAL TEXT")</f>
        <v xml:space="preserve">          7704 - INV. SHRINKAGE-DIGITAL TEXT</v>
      </c>
      <c r="C100" s="11"/>
      <c r="D100" s="7">
        <v>816</v>
      </c>
      <c r="E100" s="2"/>
      <c r="F100" s="6">
        <f t="shared" si="50"/>
        <v>4.9019578395581992E-2</v>
      </c>
      <c r="G100" s="2"/>
      <c r="H100" s="7">
        <v>-37301</v>
      </c>
      <c r="I100" s="2"/>
      <c r="J100" s="6">
        <f t="shared" si="51"/>
        <v>-1.033199150306503</v>
      </c>
      <c r="K100" s="2"/>
      <c r="L100" s="7">
        <f t="shared" si="52"/>
        <v>38117</v>
      </c>
      <c r="M100" s="2"/>
      <c r="N100" s="6">
        <f t="shared" si="53"/>
        <v>-1.0218760891128924</v>
      </c>
      <c r="O100" s="11"/>
      <c r="P100" s="7">
        <v>816</v>
      </c>
      <c r="Q100" s="2"/>
      <c r="R100" s="6">
        <f t="shared" si="54"/>
        <v>2.4372369884153322E-4</v>
      </c>
      <c r="S100" s="2"/>
      <c r="T100" s="7">
        <v>-37301</v>
      </c>
      <c r="U100" s="2"/>
      <c r="V100" s="6">
        <f t="shared" si="55"/>
        <v>-9.4735862530357148E-3</v>
      </c>
      <c r="W100" s="2"/>
      <c r="X100" s="7">
        <f t="shared" si="56"/>
        <v>38117</v>
      </c>
      <c r="Y100" s="2"/>
      <c r="Z100" s="6">
        <f t="shared" si="57"/>
        <v>-1.0218760891128924</v>
      </c>
    </row>
    <row r="101" spans="1:26" s="24" customFormat="1" hidden="1" outlineLevel="2" x14ac:dyDescent="0.35">
      <c r="A101" s="27"/>
      <c r="B101" s="11" t="str">
        <f>CONCATENATE("          ", "7711", " - ", "INV. SHRINKAGE-NO VALUE TEXT")</f>
        <v xml:space="preserve">          7711 - INV. SHRINKAGE-NO VALUE TEXT</v>
      </c>
      <c r="C101" s="11"/>
      <c r="D101" s="7">
        <v>-1126</v>
      </c>
      <c r="E101" s="2"/>
      <c r="F101" s="6">
        <f t="shared" si="50"/>
        <v>-6.7642212344883976E-2</v>
      </c>
      <c r="G101" s="2"/>
      <c r="H101" s="7">
        <v>-2516</v>
      </c>
      <c r="I101" s="2"/>
      <c r="J101" s="6">
        <f t="shared" si="51"/>
        <v>-6.9690599774031831E-2</v>
      </c>
      <c r="K101" s="2"/>
      <c r="L101" s="7">
        <f t="shared" si="52"/>
        <v>1390</v>
      </c>
      <c r="M101" s="2"/>
      <c r="N101" s="6">
        <f t="shared" si="53"/>
        <v>-0.55246422893481717</v>
      </c>
      <c r="O101" s="11"/>
      <c r="P101" s="7">
        <v>-1126</v>
      </c>
      <c r="Q101" s="2"/>
      <c r="R101" s="6">
        <f t="shared" si="54"/>
        <v>-3.3631480992103724E-4</v>
      </c>
      <c r="S101" s="2"/>
      <c r="T101" s="7">
        <v>-2516</v>
      </c>
      <c r="U101" s="2"/>
      <c r="V101" s="6">
        <f t="shared" si="55"/>
        <v>-6.390054693610858E-4</v>
      </c>
      <c r="W101" s="2"/>
      <c r="X101" s="7">
        <f t="shared" si="56"/>
        <v>1390</v>
      </c>
      <c r="Y101" s="2"/>
      <c r="Z101" s="6">
        <f t="shared" si="57"/>
        <v>-0.55246422893481717</v>
      </c>
    </row>
    <row r="102" spans="1:26" s="24" customFormat="1" hidden="1" outlineLevel="2" x14ac:dyDescent="0.35">
      <c r="A102" s="27"/>
      <c r="B102" s="11" t="str">
        <f>CONCATENATE("          ", "7713", " - ", "INV. SHRINKAGE-TRADE BOOKS")</f>
        <v xml:space="preserve">          7713 - INV. SHRINKAGE-TRADE BOOKS</v>
      </c>
      <c r="C102" s="11"/>
      <c r="D102" s="7">
        <v>-422</v>
      </c>
      <c r="E102" s="2"/>
      <c r="F102" s="6">
        <f t="shared" si="50"/>
        <v>-2.535081137614657E-2</v>
      </c>
      <c r="G102" s="2"/>
      <c r="H102" s="7">
        <v>732</v>
      </c>
      <c r="I102" s="2"/>
      <c r="J102" s="6">
        <f t="shared" si="51"/>
        <v>2.027564349546554E-2</v>
      </c>
      <c r="K102" s="2"/>
      <c r="L102" s="7">
        <f t="shared" si="52"/>
        <v>-1154</v>
      </c>
      <c r="M102" s="2"/>
      <c r="N102" s="6">
        <f t="shared" si="53"/>
        <v>-1.5765027322404372</v>
      </c>
      <c r="O102" s="11"/>
      <c r="P102" s="7">
        <v>-422</v>
      </c>
      <c r="Q102" s="2"/>
      <c r="R102" s="6">
        <f t="shared" si="54"/>
        <v>-1.260433834695184E-4</v>
      </c>
      <c r="S102" s="2"/>
      <c r="T102" s="7">
        <v>732</v>
      </c>
      <c r="U102" s="2"/>
      <c r="V102" s="6">
        <f t="shared" si="55"/>
        <v>1.8591097121316169E-4</v>
      </c>
      <c r="W102" s="2"/>
      <c r="X102" s="7">
        <f t="shared" si="56"/>
        <v>-1154</v>
      </c>
      <c r="Y102" s="2"/>
      <c r="Z102" s="6">
        <f t="shared" si="57"/>
        <v>-1.5765027322404372</v>
      </c>
    </row>
    <row r="103" spans="1:26" s="24" customFormat="1" hidden="1" outlineLevel="2" x14ac:dyDescent="0.35">
      <c r="A103" s="27"/>
      <c r="B103" s="11" t="str">
        <f>CONCATENATE("          ", "7714", " - ", "INV. SHRINKAGE-REMAINDERS")</f>
        <v xml:space="preserve">          7714 - INV. SHRINKAGE-REMAINDERS</v>
      </c>
      <c r="C103" s="11"/>
      <c r="D103" s="7">
        <v>171</v>
      </c>
      <c r="E103" s="2"/>
      <c r="F103" s="6">
        <f t="shared" si="50"/>
        <v>1.0272485178485932E-2</v>
      </c>
      <c r="G103" s="2"/>
      <c r="H103" s="7">
        <v>-23</v>
      </c>
      <c r="I103" s="2"/>
      <c r="J103" s="6">
        <f t="shared" si="51"/>
        <v>-6.3707623004878068E-4</v>
      </c>
      <c r="K103" s="2"/>
      <c r="L103" s="7">
        <f t="shared" si="52"/>
        <v>194</v>
      </c>
      <c r="M103" s="2"/>
      <c r="N103" s="6">
        <f t="shared" si="53"/>
        <v>-8.4347826086956523</v>
      </c>
      <c r="O103" s="11"/>
      <c r="P103" s="7">
        <v>171</v>
      </c>
      <c r="Q103" s="2"/>
      <c r="R103" s="6">
        <f t="shared" si="54"/>
        <v>5.1074451595468356E-5</v>
      </c>
      <c r="S103" s="2"/>
      <c r="T103" s="7">
        <v>-23</v>
      </c>
      <c r="U103" s="2"/>
      <c r="V103" s="6">
        <f t="shared" si="55"/>
        <v>-5.8414649424900526E-6</v>
      </c>
      <c r="W103" s="2"/>
      <c r="X103" s="7">
        <f t="shared" si="56"/>
        <v>194</v>
      </c>
      <c r="Y103" s="2"/>
      <c r="Z103" s="6">
        <f t="shared" si="57"/>
        <v>-8.4347826086956523</v>
      </c>
    </row>
    <row r="104" spans="1:26" s="24" customFormat="1" hidden="1" outlineLevel="2" x14ac:dyDescent="0.35">
      <c r="A104" s="27"/>
      <c r="B104" s="11" t="str">
        <f>CONCATENATE("          ", "7718", " - ", "INV. SHRINKAGE-STUDY GUIDES")</f>
        <v xml:space="preserve">          7718 - INV. SHRINKAGE-STUDY GUIDES</v>
      </c>
      <c r="C104" s="11"/>
      <c r="D104" s="7">
        <v>458</v>
      </c>
      <c r="E104" s="2"/>
      <c r="F104" s="6">
        <f t="shared" si="50"/>
        <v>2.7513439834775187E-2</v>
      </c>
      <c r="G104" s="2"/>
      <c r="H104" s="7">
        <v>-1534</v>
      </c>
      <c r="I104" s="2"/>
      <c r="J104" s="6">
        <f t="shared" si="51"/>
        <v>-4.2490214647601283E-2</v>
      </c>
      <c r="K104" s="2"/>
      <c r="L104" s="7">
        <f t="shared" si="52"/>
        <v>1992</v>
      </c>
      <c r="M104" s="2"/>
      <c r="N104" s="6">
        <f t="shared" si="53"/>
        <v>-1.2985658409387224</v>
      </c>
      <c r="O104" s="11"/>
      <c r="P104" s="7">
        <v>458</v>
      </c>
      <c r="Q104" s="2"/>
      <c r="R104" s="6">
        <f t="shared" si="54"/>
        <v>1.3679589959488016E-4</v>
      </c>
      <c r="S104" s="2"/>
      <c r="T104" s="7">
        <v>-1534</v>
      </c>
      <c r="U104" s="2"/>
      <c r="V104" s="6">
        <f t="shared" si="55"/>
        <v>-3.8960031399042354E-4</v>
      </c>
      <c r="W104" s="2"/>
      <c r="X104" s="7">
        <f t="shared" si="56"/>
        <v>1992</v>
      </c>
      <c r="Y104" s="2"/>
      <c r="Z104" s="6">
        <f t="shared" si="57"/>
        <v>-1.2985658409387224</v>
      </c>
    </row>
    <row r="105" spans="1:26" s="25" customFormat="1" outlineLevel="1" collapsed="1" x14ac:dyDescent="0.35">
      <c r="A105" s="26"/>
      <c r="B105" s="12" t="str">
        <f>CONCATENATE("     ","Repair and Maintenance                            ")</f>
        <v xml:space="preserve">     Repair and Maintenance                            </v>
      </c>
      <c r="C105" s="12"/>
      <c r="D105" s="1">
        <f>SUM(OSRRefD22_9x_0)</f>
        <v>11567.81</v>
      </c>
      <c r="E105" s="1"/>
      <c r="F105" s="5">
        <f t="shared" ref="F105:F108" si="58">IF(D$12=0,0,D105/D$12)</f>
        <v>0.69491319750024172</v>
      </c>
      <c r="G105" s="1"/>
      <c r="H105" s="1">
        <f>SUM(OSRRefH22_9x_0)</f>
        <v>-1693.99</v>
      </c>
      <c r="I105" s="1"/>
      <c r="J105" s="5">
        <f t="shared" ref="J105:J108" si="59">IF(H$12=0,0,H105/H$12)</f>
        <v>-4.692177230175365E-2</v>
      </c>
      <c r="K105" s="1"/>
      <c r="L105" s="1">
        <f t="shared" ref="L105:L108" si="60">+D105-H105</f>
        <v>13261.8</v>
      </c>
      <c r="M105" s="1"/>
      <c r="N105" s="5">
        <f t="shared" ref="N105:N108" si="61">IF(H105=0,0,L105/H105)</f>
        <v>-7.8287357068223535</v>
      </c>
      <c r="O105" s="12"/>
      <c r="P105" s="1">
        <f>SUM(OSRRefP22_9x_0)</f>
        <v>11855.98</v>
      </c>
      <c r="Q105" s="1"/>
      <c r="R105" s="5">
        <f t="shared" ref="R105:R108" si="62">IF(P$12=0,0,P105/P$12)</f>
        <v>3.5411560036657363E-3</v>
      </c>
      <c r="S105" s="1"/>
      <c r="T105" s="1">
        <f>SUM(OSRRefT22_9x_0)</f>
        <v>6822.55</v>
      </c>
      <c r="U105" s="1"/>
      <c r="V105" s="5">
        <f t="shared" ref="V105:V108" si="63">IF(T$12=0,0,T105/T$12)</f>
        <v>1.7327689844950222E-3</v>
      </c>
      <c r="W105" s="1"/>
      <c r="X105" s="1">
        <f t="shared" ref="X105:X108" si="64">+P105-T105</f>
        <v>5033.4299999999994</v>
      </c>
      <c r="Y105" s="1"/>
      <c r="Z105" s="5">
        <f t="shared" ref="Z105:Z108" si="65">IF(T105=0,0,X105/T105)</f>
        <v>0.73776373936431383</v>
      </c>
    </row>
    <row r="106" spans="1:26" s="24" customFormat="1" hidden="1" outlineLevel="2" x14ac:dyDescent="0.35">
      <c r="A106" s="27"/>
      <c r="B106" s="11" t="str">
        <f>CONCATENATE("          ", "6371", " - ", "COMPUTER SOFTWARE MAINTENANCE")</f>
        <v xml:space="preserve">          6371 - COMPUTER SOFTWARE MAINTENANCE</v>
      </c>
      <c r="C106" s="11"/>
      <c r="D106" s="7">
        <v>11550</v>
      </c>
      <c r="E106" s="2"/>
      <c r="F106" s="6">
        <f t="shared" si="58"/>
        <v>0.69384329714334803</v>
      </c>
      <c r="G106" s="2"/>
      <c r="H106" s="7"/>
      <c r="I106" s="2"/>
      <c r="J106" s="6">
        <f t="shared" si="59"/>
        <v>0</v>
      </c>
      <c r="K106" s="2"/>
      <c r="L106" s="7">
        <f t="shared" si="60"/>
        <v>11550</v>
      </c>
      <c r="M106" s="2"/>
      <c r="N106" s="6">
        <f t="shared" si="61"/>
        <v>0</v>
      </c>
      <c r="O106" s="11"/>
      <c r="P106" s="7">
        <v>11550</v>
      </c>
      <c r="Q106" s="2"/>
      <c r="R106" s="6">
        <f t="shared" si="62"/>
        <v>3.4497655902202312E-3</v>
      </c>
      <c r="S106" s="2"/>
      <c r="T106" s="7">
        <v>5950</v>
      </c>
      <c r="U106" s="2"/>
      <c r="V106" s="6">
        <f t="shared" si="63"/>
        <v>1.5111615829485137E-3</v>
      </c>
      <c r="W106" s="2"/>
      <c r="X106" s="7">
        <f t="shared" si="64"/>
        <v>5600</v>
      </c>
      <c r="Y106" s="2"/>
      <c r="Z106" s="6">
        <f t="shared" si="65"/>
        <v>0.94117647058823528</v>
      </c>
    </row>
    <row r="107" spans="1:26" s="24" customFormat="1" hidden="1" outlineLevel="2" x14ac:dyDescent="0.35">
      <c r="A107" s="27"/>
      <c r="B107" s="11" t="str">
        <f>CONCATENATE("          ", "6373", " - ", "MAINTENANCE CONTRACTS")</f>
        <v xml:space="preserve">          6373 - MAINTENANCE CONTRACTS</v>
      </c>
      <c r="C107" s="11"/>
      <c r="D107" s="7">
        <v>17.809999999999999</v>
      </c>
      <c r="E107" s="2"/>
      <c r="F107" s="6">
        <f t="shared" si="58"/>
        <v>1.0699003568937686E-3</v>
      </c>
      <c r="G107" s="2"/>
      <c r="H107" s="7">
        <v>-1693.99</v>
      </c>
      <c r="I107" s="2"/>
      <c r="J107" s="6">
        <f t="shared" si="59"/>
        <v>-4.692177230175365E-2</v>
      </c>
      <c r="K107" s="2"/>
      <c r="L107" s="7">
        <f t="shared" si="60"/>
        <v>1711.8</v>
      </c>
      <c r="M107" s="2"/>
      <c r="N107" s="6">
        <f t="shared" si="61"/>
        <v>-1.0105136393957461</v>
      </c>
      <c r="O107" s="11"/>
      <c r="P107" s="7">
        <v>305.98</v>
      </c>
      <c r="Q107" s="2"/>
      <c r="R107" s="6">
        <f t="shared" si="62"/>
        <v>9.1390413445505321E-5</v>
      </c>
      <c r="S107" s="2"/>
      <c r="T107" s="7">
        <v>326.55</v>
      </c>
      <c r="U107" s="2"/>
      <c r="V107" s="6">
        <f t="shared" si="63"/>
        <v>8.2936103346527252E-5</v>
      </c>
      <c r="W107" s="2"/>
      <c r="X107" s="7">
        <f t="shared" si="64"/>
        <v>-20.569999999999993</v>
      </c>
      <c r="Y107" s="2"/>
      <c r="Z107" s="6">
        <f t="shared" si="65"/>
        <v>-6.29918848568366E-2</v>
      </c>
    </row>
    <row r="108" spans="1:26" s="24" customFormat="1" hidden="1" outlineLevel="2" x14ac:dyDescent="0.35">
      <c r="A108" s="27"/>
      <c r="B108" s="11" t="str">
        <f>CONCATENATE("          ", "6375", " - ", "OUTSIDE REPAIRS &amp; MAINTENANCE")</f>
        <v xml:space="preserve">          6375 - OUTSIDE REPAIRS &amp; MAINTENANCE</v>
      </c>
      <c r="C108" s="11"/>
      <c r="D108" s="7"/>
      <c r="E108" s="2"/>
      <c r="F108" s="6">
        <f t="shared" si="58"/>
        <v>0</v>
      </c>
      <c r="G108" s="2"/>
      <c r="H108" s="7"/>
      <c r="I108" s="2"/>
      <c r="J108" s="6">
        <f t="shared" si="59"/>
        <v>0</v>
      </c>
      <c r="K108" s="2"/>
      <c r="L108" s="7">
        <f t="shared" si="60"/>
        <v>0</v>
      </c>
      <c r="M108" s="2"/>
      <c r="N108" s="6">
        <f t="shared" si="61"/>
        <v>0</v>
      </c>
      <c r="O108" s="11"/>
      <c r="P108" s="7"/>
      <c r="Q108" s="2"/>
      <c r="R108" s="6">
        <f t="shared" si="62"/>
        <v>0</v>
      </c>
      <c r="S108" s="2"/>
      <c r="T108" s="7">
        <v>546</v>
      </c>
      <c r="U108" s="2"/>
      <c r="V108" s="6">
        <f t="shared" si="63"/>
        <v>1.3867129819998124E-4</v>
      </c>
      <c r="W108" s="2"/>
      <c r="X108" s="7">
        <f t="shared" si="64"/>
        <v>-546</v>
      </c>
      <c r="Y108" s="2"/>
      <c r="Z108" s="6">
        <f t="shared" si="65"/>
        <v>-1</v>
      </c>
    </row>
    <row r="109" spans="1:26" s="25" customFormat="1" outlineLevel="1" collapsed="1" x14ac:dyDescent="0.35">
      <c r="A109" s="26"/>
      <c r="B109" s="12" t="str">
        <f>CONCATENATE("     ","Subscriptions &amp; Dues                              ")</f>
        <v xml:space="preserve">     Subscriptions &amp; Dues                              </v>
      </c>
      <c r="C109" s="12"/>
      <c r="D109" s="1">
        <f>SUM(OSRRefD22_10x_0)</f>
        <v>981.28</v>
      </c>
      <c r="E109" s="1"/>
      <c r="F109" s="5">
        <f t="shared" ref="F109:F111" si="66">IF(D$12=0,0,D109/D$12)</f>
        <v>5.8948445941196928E-2</v>
      </c>
      <c r="G109" s="1"/>
      <c r="H109" s="1">
        <f>SUM(OSRRefH22_10x_0)</f>
        <v>436.08</v>
      </c>
      <c r="I109" s="1"/>
      <c r="J109" s="5">
        <f t="shared" ref="J109:J111" si="67">IF(H$12=0,0,H109/H$12)</f>
        <v>1.207896532172488E-2</v>
      </c>
      <c r="K109" s="1"/>
      <c r="L109" s="1">
        <f t="shared" ref="L109:L111" si="68">+D109-H109</f>
        <v>545.20000000000005</v>
      </c>
      <c r="M109" s="1"/>
      <c r="N109" s="5">
        <f t="shared" ref="N109:N111" si="69">IF(H109=0,0,L109/H109)</f>
        <v>1.250229315721886</v>
      </c>
      <c r="O109" s="12"/>
      <c r="P109" s="1">
        <f>SUM(OSRRefP22_10x_0)</f>
        <v>6291.84</v>
      </c>
      <c r="Q109" s="1"/>
      <c r="R109" s="5">
        <f t="shared" ref="R109:R111" si="70">IF(P$12=0,0,P109/P$12)</f>
        <v>1.8792530849498926E-3</v>
      </c>
      <c r="S109" s="1"/>
      <c r="T109" s="1">
        <f>SUM(OSRRefT22_10x_0)</f>
        <v>7419.75</v>
      </c>
      <c r="U109" s="1"/>
      <c r="V109" s="5">
        <f t="shared" ref="V109:V111" si="71">IF(T$12=0,0,T109/T$12)</f>
        <v>1.8844438916104595E-3</v>
      </c>
      <c r="W109" s="1"/>
      <c r="X109" s="1">
        <f t="shared" ref="X109:X111" si="72">+P109-T109</f>
        <v>-1127.9099999999999</v>
      </c>
      <c r="Y109" s="1"/>
      <c r="Z109" s="5">
        <f t="shared" ref="Z109:Z111" si="73">IF(T109=0,0,X109/T109)</f>
        <v>-0.1520145557464874</v>
      </c>
    </row>
    <row r="110" spans="1:26" s="24" customFormat="1" hidden="1" outlineLevel="2" x14ac:dyDescent="0.35">
      <c r="A110" s="27"/>
      <c r="B110" s="11" t="str">
        <f>CONCATENATE("          ", "6258", " - ", "MEMBERSHIP DUES")</f>
        <v xml:space="preserve">          6258 - MEMBERSHIP DUES</v>
      </c>
      <c r="C110" s="11"/>
      <c r="D110" s="7">
        <v>981.28</v>
      </c>
      <c r="E110" s="2"/>
      <c r="F110" s="6">
        <f t="shared" si="66"/>
        <v>5.8948445941196928E-2</v>
      </c>
      <c r="G110" s="2"/>
      <c r="H110" s="7">
        <v>436.08</v>
      </c>
      <c r="I110" s="2"/>
      <c r="J110" s="6">
        <f t="shared" si="67"/>
        <v>1.207896532172488E-2</v>
      </c>
      <c r="K110" s="2"/>
      <c r="L110" s="7">
        <f t="shared" si="68"/>
        <v>545.20000000000005</v>
      </c>
      <c r="M110" s="2"/>
      <c r="N110" s="6">
        <f t="shared" si="69"/>
        <v>1.250229315721886</v>
      </c>
      <c r="O110" s="11"/>
      <c r="P110" s="7">
        <v>4439.76</v>
      </c>
      <c r="Q110" s="2"/>
      <c r="R110" s="6">
        <f t="shared" si="70"/>
        <v>1.3260719720204479E-3</v>
      </c>
      <c r="S110" s="2"/>
      <c r="T110" s="7">
        <v>5621.61</v>
      </c>
      <c r="U110" s="2"/>
      <c r="V110" s="6">
        <f t="shared" si="71"/>
        <v>1.4277581624065872E-3</v>
      </c>
      <c r="W110" s="2"/>
      <c r="X110" s="7">
        <f t="shared" si="72"/>
        <v>-1181.8499999999995</v>
      </c>
      <c r="Y110" s="2"/>
      <c r="Z110" s="6">
        <f t="shared" si="73"/>
        <v>-0.21023336730936504</v>
      </c>
    </row>
    <row r="111" spans="1:26" s="24" customFormat="1" hidden="1" outlineLevel="2" x14ac:dyDescent="0.35">
      <c r="A111" s="27"/>
      <c r="B111" s="11" t="str">
        <f>CONCATENATE("          ", "6275", " - ", "SUBSCRIPTIONS")</f>
        <v xml:space="preserve">          6275 - SUBSCRIPTIONS</v>
      </c>
      <c r="C111" s="11"/>
      <c r="D111" s="7"/>
      <c r="E111" s="2"/>
      <c r="F111" s="6">
        <f t="shared" si="66"/>
        <v>0</v>
      </c>
      <c r="G111" s="2"/>
      <c r="H111" s="7"/>
      <c r="I111" s="2"/>
      <c r="J111" s="6">
        <f t="shared" si="67"/>
        <v>0</v>
      </c>
      <c r="K111" s="2"/>
      <c r="L111" s="7">
        <f t="shared" si="68"/>
        <v>0</v>
      </c>
      <c r="M111" s="2"/>
      <c r="N111" s="6">
        <f t="shared" si="69"/>
        <v>0</v>
      </c>
      <c r="O111" s="11"/>
      <c r="P111" s="7">
        <v>1852.08</v>
      </c>
      <c r="Q111" s="2"/>
      <c r="R111" s="6">
        <f t="shared" si="70"/>
        <v>5.5318111292944469E-4</v>
      </c>
      <c r="S111" s="2"/>
      <c r="T111" s="7">
        <v>1798.14</v>
      </c>
      <c r="U111" s="2"/>
      <c r="V111" s="6">
        <f t="shared" si="71"/>
        <v>4.5668572920387233E-4</v>
      </c>
      <c r="W111" s="2"/>
      <c r="X111" s="7">
        <f t="shared" si="72"/>
        <v>53.939999999999827</v>
      </c>
      <c r="Y111" s="2"/>
      <c r="Z111" s="6">
        <f t="shared" si="73"/>
        <v>2.9997664253061398E-2</v>
      </c>
    </row>
    <row r="112" spans="1:26" s="25" customFormat="1" outlineLevel="1" collapsed="1" x14ac:dyDescent="0.35">
      <c r="A112" s="26"/>
      <c r="B112" s="12" t="str">
        <f>CONCATENATE("     ","Supplies                                          ")</f>
        <v xml:space="preserve">     Supplies                                          </v>
      </c>
      <c r="C112" s="12"/>
      <c r="D112" s="1">
        <f>SUM(OSRRefD22_11x_0)</f>
        <v>516.1</v>
      </c>
      <c r="E112" s="1"/>
      <c r="F112" s="5">
        <f t="shared" ref="F112:F116" si="74">IF(D$12=0,0,D112/D$12)</f>
        <v>3.1003681874950818E-2</v>
      </c>
      <c r="G112" s="1"/>
      <c r="H112" s="1">
        <f>SUM(OSRRefH22_11x_0)</f>
        <v>292.61</v>
      </c>
      <c r="I112" s="1"/>
      <c r="J112" s="5">
        <f t="shared" ref="J112:J116" si="75">IF(H$12=0,0,H112/H$12)</f>
        <v>8.1049945945466835E-3</v>
      </c>
      <c r="K112" s="1"/>
      <c r="L112" s="1">
        <f t="shared" ref="L112:L116" si="76">+D112-H112</f>
        <v>223.49</v>
      </c>
      <c r="M112" s="1"/>
      <c r="N112" s="5">
        <f t="shared" ref="N112:N116" si="77">IF(H112=0,0,L112/H112)</f>
        <v>0.76378114213458181</v>
      </c>
      <c r="O112" s="12"/>
      <c r="P112" s="1">
        <f>SUM(OSRRefP22_11x_0)</f>
        <v>14036.529999999999</v>
      </c>
      <c r="Q112" s="1"/>
      <c r="R112" s="5">
        <f t="shared" ref="R112:R116" si="78">IF(P$12=0,0,P112/P$12)</f>
        <v>4.1924448658090026E-3</v>
      </c>
      <c r="S112" s="1"/>
      <c r="T112" s="1">
        <f>SUM(OSRRefT22_11x_0)</f>
        <v>18234.07</v>
      </c>
      <c r="U112" s="1"/>
      <c r="V112" s="5">
        <f t="shared" ref="V112:V116" si="79">IF(T$12=0,0,T112/T$12)</f>
        <v>4.6310295940830259E-3</v>
      </c>
      <c r="W112" s="1"/>
      <c r="X112" s="1">
        <f t="shared" ref="X112:X116" si="80">+P112-T112</f>
        <v>-4197.5400000000009</v>
      </c>
      <c r="Y112" s="1"/>
      <c r="Z112" s="5">
        <f t="shared" ref="Z112:Z116" si="81">IF(T112=0,0,X112/T112)</f>
        <v>-0.23020313073274376</v>
      </c>
    </row>
    <row r="113" spans="1:26" s="24" customFormat="1" hidden="1" outlineLevel="2" x14ac:dyDescent="0.35">
      <c r="A113" s="27"/>
      <c r="B113" s="11" t="str">
        <f>CONCATENATE("          ", "6234", " - ", "EXPENDABLE SUPPLIES &amp; EQUIPMEN")</f>
        <v xml:space="preserve">          6234 - EXPENDABLE SUPPLIES &amp; EQUIPMEN</v>
      </c>
      <c r="C113" s="11"/>
      <c r="D113" s="7"/>
      <c r="E113" s="2"/>
      <c r="F113" s="6">
        <f t="shared" si="74"/>
        <v>0</v>
      </c>
      <c r="G113" s="2"/>
      <c r="H113" s="7"/>
      <c r="I113" s="2"/>
      <c r="J113" s="6">
        <f t="shared" si="75"/>
        <v>0</v>
      </c>
      <c r="K113" s="2"/>
      <c r="L113" s="7">
        <f t="shared" si="76"/>
        <v>0</v>
      </c>
      <c r="M113" s="2"/>
      <c r="N113" s="6">
        <f t="shared" si="77"/>
        <v>0</v>
      </c>
      <c r="O113" s="11"/>
      <c r="P113" s="7"/>
      <c r="Q113" s="2"/>
      <c r="R113" s="6">
        <f t="shared" si="78"/>
        <v>0</v>
      </c>
      <c r="S113" s="2"/>
      <c r="T113" s="7">
        <v>272.45999999999998</v>
      </c>
      <c r="U113" s="2"/>
      <c r="V113" s="6">
        <f t="shared" si="79"/>
        <v>6.9198501662210413E-5</v>
      </c>
      <c r="W113" s="2"/>
      <c r="X113" s="7">
        <f t="shared" si="80"/>
        <v>-272.45999999999998</v>
      </c>
      <c r="Y113" s="2"/>
      <c r="Z113" s="6">
        <f t="shared" si="81"/>
        <v>-1</v>
      </c>
    </row>
    <row r="114" spans="1:26" s="24" customFormat="1" hidden="1" outlineLevel="2" x14ac:dyDescent="0.35">
      <c r="A114" s="27"/>
      <c r="B114" s="11" t="str">
        <f>CONCATENATE("          ", "6241", " - ", "OFFICE EXPENSE")</f>
        <v xml:space="preserve">          6241 - OFFICE EXPENSE</v>
      </c>
      <c r="C114" s="11"/>
      <c r="D114" s="7">
        <v>62.67</v>
      </c>
      <c r="E114" s="2"/>
      <c r="F114" s="6">
        <f t="shared" si="74"/>
        <v>3.7647757083959848E-3</v>
      </c>
      <c r="G114" s="2"/>
      <c r="H114" s="7">
        <v>292.61</v>
      </c>
      <c r="I114" s="2"/>
      <c r="J114" s="6">
        <f t="shared" si="75"/>
        <v>8.1049945945466835E-3</v>
      </c>
      <c r="K114" s="2"/>
      <c r="L114" s="7">
        <f t="shared" si="76"/>
        <v>-229.94</v>
      </c>
      <c r="M114" s="2"/>
      <c r="N114" s="6">
        <f t="shared" si="77"/>
        <v>-0.78582413451351629</v>
      </c>
      <c r="O114" s="11"/>
      <c r="P114" s="7">
        <v>4341.16</v>
      </c>
      <c r="Q114" s="2"/>
      <c r="R114" s="6">
        <f t="shared" si="78"/>
        <v>1.2966220250770959E-3</v>
      </c>
      <c r="S114" s="2"/>
      <c r="T114" s="7">
        <v>8673.01</v>
      </c>
      <c r="U114" s="2"/>
      <c r="V114" s="6">
        <f t="shared" si="79"/>
        <v>2.2027427765593764E-3</v>
      </c>
      <c r="W114" s="2"/>
      <c r="X114" s="7">
        <f t="shared" si="80"/>
        <v>-4331.8500000000004</v>
      </c>
      <c r="Y114" s="2"/>
      <c r="Z114" s="6">
        <f t="shared" si="81"/>
        <v>-0.49946327745500124</v>
      </c>
    </row>
    <row r="115" spans="1:26" s="24" customFormat="1" hidden="1" outlineLevel="2" x14ac:dyDescent="0.35">
      <c r="A115" s="27"/>
      <c r="B115" s="11" t="str">
        <f>CONCATENATE("          ", "6245", " - ", "PRINTING")</f>
        <v xml:space="preserve">          6245 - PRINTING</v>
      </c>
      <c r="C115" s="11"/>
      <c r="D115" s="7"/>
      <c r="E115" s="2"/>
      <c r="F115" s="6">
        <f t="shared" si="74"/>
        <v>0</v>
      </c>
      <c r="G115" s="2"/>
      <c r="H115" s="7"/>
      <c r="I115" s="2"/>
      <c r="J115" s="6">
        <f t="shared" si="75"/>
        <v>0</v>
      </c>
      <c r="K115" s="2"/>
      <c r="L115" s="7">
        <f t="shared" si="76"/>
        <v>0</v>
      </c>
      <c r="M115" s="2"/>
      <c r="N115" s="6">
        <f t="shared" si="77"/>
        <v>0</v>
      </c>
      <c r="O115" s="11"/>
      <c r="P115" s="7">
        <v>5198.58</v>
      </c>
      <c r="Q115" s="2"/>
      <c r="R115" s="6">
        <f t="shared" si="78"/>
        <v>1.5527170910828649E-3</v>
      </c>
      <c r="S115" s="2"/>
      <c r="T115" s="7">
        <v>611.15</v>
      </c>
      <c r="U115" s="2"/>
      <c r="V115" s="6">
        <f t="shared" si="79"/>
        <v>1.5521788259142589E-4</v>
      </c>
      <c r="W115" s="2"/>
      <c r="X115" s="7">
        <f t="shared" si="80"/>
        <v>4587.43</v>
      </c>
      <c r="Y115" s="2"/>
      <c r="Z115" s="6">
        <f t="shared" si="81"/>
        <v>7.5062259674384366</v>
      </c>
    </row>
    <row r="116" spans="1:26" s="24" customFormat="1" hidden="1" outlineLevel="2" x14ac:dyDescent="0.35">
      <c r="A116" s="27"/>
      <c r="B116" s="11" t="str">
        <f>CONCATENATE("          ", "6247", " - ", "STORE SUPPLIES")</f>
        <v xml:space="preserve">          6247 - STORE SUPPLIES</v>
      </c>
      <c r="C116" s="11"/>
      <c r="D116" s="7">
        <v>453.43</v>
      </c>
      <c r="E116" s="2"/>
      <c r="F116" s="6">
        <f t="shared" si="74"/>
        <v>2.7238906166554833E-2</v>
      </c>
      <c r="G116" s="2"/>
      <c r="H116" s="7"/>
      <c r="I116" s="2"/>
      <c r="J116" s="6">
        <f t="shared" si="75"/>
        <v>0</v>
      </c>
      <c r="K116" s="2"/>
      <c r="L116" s="7">
        <f t="shared" si="76"/>
        <v>453.43</v>
      </c>
      <c r="M116" s="2"/>
      <c r="N116" s="6">
        <f t="shared" si="77"/>
        <v>0</v>
      </c>
      <c r="O116" s="11"/>
      <c r="P116" s="7">
        <v>4496.79</v>
      </c>
      <c r="Q116" s="2"/>
      <c r="R116" s="6">
        <f t="shared" si="78"/>
        <v>1.3431057496490419E-3</v>
      </c>
      <c r="S116" s="2"/>
      <c r="T116" s="7">
        <v>8677.4500000000007</v>
      </c>
      <c r="U116" s="2"/>
      <c r="V116" s="6">
        <f t="shared" si="79"/>
        <v>2.2038704332700138E-3</v>
      </c>
      <c r="W116" s="2"/>
      <c r="X116" s="7">
        <f t="shared" si="80"/>
        <v>-4180.6600000000008</v>
      </c>
      <c r="Y116" s="2"/>
      <c r="Z116" s="6">
        <f t="shared" si="81"/>
        <v>-0.48178439518522154</v>
      </c>
    </row>
    <row r="117" spans="1:26" s="25" customFormat="1" outlineLevel="1" collapsed="1" x14ac:dyDescent="0.35">
      <c r="A117" s="26"/>
      <c r="B117" s="12" t="str">
        <f>CONCATENATE("     ","Telephone/Data Lines                              ")</f>
        <v xml:space="preserve">     Telephone/Data Lines                              </v>
      </c>
      <c r="C117" s="12"/>
      <c r="D117" s="1">
        <f>SUM(OSRRefD22_12x_0)</f>
        <v>302.60000000000002</v>
      </c>
      <c r="E117" s="1"/>
      <c r="F117" s="5">
        <f t="shared" ref="F117:F119" si="82">IF(D$12=0,0,D117/D$12)</f>
        <v>1.8178093655028323E-2</v>
      </c>
      <c r="G117" s="1"/>
      <c r="H117" s="1">
        <f>SUM(OSRRefH22_12x_0)</f>
        <v>803.35</v>
      </c>
      <c r="I117" s="1"/>
      <c r="J117" s="5">
        <f t="shared" ref="J117:J119" si="83">IF(H$12=0,0,H117/H$12)</f>
        <v>2.2251964756942955E-2</v>
      </c>
      <c r="K117" s="1"/>
      <c r="L117" s="1">
        <f t="shared" ref="L117:L119" si="84">+D117-H117</f>
        <v>-500.75</v>
      </c>
      <c r="M117" s="1"/>
      <c r="N117" s="5">
        <f t="shared" ref="N117:N119" si="85">IF(H117=0,0,L117/H117)</f>
        <v>-0.62332731686064602</v>
      </c>
      <c r="O117" s="12"/>
      <c r="P117" s="1">
        <f>SUM(OSRRefP22_12x_0)</f>
        <v>8561.64</v>
      </c>
      <c r="Q117" s="1"/>
      <c r="R117" s="5">
        <f t="shared" ref="R117:R119" si="86">IF(P$12=0,0,P117/P$12)</f>
        <v>2.5571992266539513E-3</v>
      </c>
      <c r="S117" s="1"/>
      <c r="T117" s="1">
        <f>SUM(OSRRefT22_12x_0)</f>
        <v>9463.4500000000007</v>
      </c>
      <c r="U117" s="1"/>
      <c r="V117" s="5">
        <f t="shared" ref="V117:V119" si="87">IF(T$12=0,0,T117/T$12)</f>
        <v>2.4034961482611956E-3</v>
      </c>
      <c r="W117" s="1"/>
      <c r="X117" s="1">
        <f t="shared" ref="X117:X119" si="88">+P117-T117</f>
        <v>-901.81000000000131</v>
      </c>
      <c r="Y117" s="1"/>
      <c r="Z117" s="5">
        <f t="shared" ref="Z117:Z119" si="89">IF(T117=0,0,X117/T117)</f>
        <v>-9.5293999545620386E-2</v>
      </c>
    </row>
    <row r="118" spans="1:26" s="24" customFormat="1" hidden="1" outlineLevel="2" x14ac:dyDescent="0.35">
      <c r="A118" s="27"/>
      <c r="B118" s="11" t="str">
        <f>CONCATENATE("          ", "6303", " - ", "DATA PHONE LINES")</f>
        <v xml:space="preserve">          6303 - DATA PHONE LINES</v>
      </c>
      <c r="C118" s="11"/>
      <c r="D118" s="7"/>
      <c r="E118" s="2"/>
      <c r="F118" s="6">
        <f t="shared" si="82"/>
        <v>0</v>
      </c>
      <c r="G118" s="2"/>
      <c r="H118" s="7">
        <v>295</v>
      </c>
      <c r="I118" s="2"/>
      <c r="J118" s="6">
        <f t="shared" si="83"/>
        <v>8.1711951245387084E-3</v>
      </c>
      <c r="K118" s="2"/>
      <c r="L118" s="7">
        <f t="shared" si="84"/>
        <v>-295</v>
      </c>
      <c r="M118" s="2"/>
      <c r="N118" s="6">
        <f t="shared" si="85"/>
        <v>-1</v>
      </c>
      <c r="O118" s="11"/>
      <c r="P118" s="7">
        <v>2950</v>
      </c>
      <c r="Q118" s="2"/>
      <c r="R118" s="6">
        <f t="shared" si="86"/>
        <v>8.811089602726997E-4</v>
      </c>
      <c r="S118" s="2"/>
      <c r="T118" s="7">
        <v>3540</v>
      </c>
      <c r="U118" s="2"/>
      <c r="V118" s="6">
        <f t="shared" si="87"/>
        <v>8.9907764767020813E-4</v>
      </c>
      <c r="W118" s="2"/>
      <c r="X118" s="7">
        <f t="shared" si="88"/>
        <v>-590</v>
      </c>
      <c r="Y118" s="2"/>
      <c r="Z118" s="6">
        <f t="shared" si="89"/>
        <v>-0.16666666666666666</v>
      </c>
    </row>
    <row r="119" spans="1:26" s="24" customFormat="1" hidden="1" outlineLevel="2" x14ac:dyDescent="0.35">
      <c r="A119" s="27"/>
      <c r="B119" s="11" t="str">
        <f>CONCATENATE("          ", "6309", " - ", "TELEPHONE")</f>
        <v xml:space="preserve">          6309 - TELEPHONE</v>
      </c>
      <c r="C119" s="11"/>
      <c r="D119" s="7">
        <v>302.60000000000002</v>
      </c>
      <c r="E119" s="2"/>
      <c r="F119" s="6">
        <f t="shared" si="82"/>
        <v>1.8178093655028323E-2</v>
      </c>
      <c r="G119" s="2"/>
      <c r="H119" s="7">
        <v>508.35</v>
      </c>
      <c r="I119" s="2"/>
      <c r="J119" s="6">
        <f t="shared" si="83"/>
        <v>1.4080769632404245E-2</v>
      </c>
      <c r="K119" s="2"/>
      <c r="L119" s="7">
        <f t="shared" si="84"/>
        <v>-205.75</v>
      </c>
      <c r="M119" s="2"/>
      <c r="N119" s="6">
        <f t="shared" si="85"/>
        <v>-0.40474082816956819</v>
      </c>
      <c r="O119" s="11"/>
      <c r="P119" s="7">
        <v>5611.64</v>
      </c>
      <c r="Q119" s="2"/>
      <c r="R119" s="6">
        <f t="shared" si="86"/>
        <v>1.676090266381252E-3</v>
      </c>
      <c r="S119" s="2"/>
      <c r="T119" s="7">
        <v>5923.45</v>
      </c>
      <c r="U119" s="2"/>
      <c r="V119" s="6">
        <f t="shared" si="87"/>
        <v>1.5044185005909871E-3</v>
      </c>
      <c r="W119" s="2"/>
      <c r="X119" s="7">
        <f t="shared" si="88"/>
        <v>-311.80999999999949</v>
      </c>
      <c r="Y119" s="2"/>
      <c r="Z119" s="6">
        <f t="shared" si="89"/>
        <v>-5.2639931121221499E-2</v>
      </c>
    </row>
    <row r="120" spans="1:26" s="25" customFormat="1" outlineLevel="1" collapsed="1" x14ac:dyDescent="0.35">
      <c r="A120" s="26"/>
      <c r="B120" s="12" t="str">
        <f>CONCATENATE("     ","Training                                          ")</f>
        <v xml:space="preserve">     Training                                          </v>
      </c>
      <c r="C120" s="12"/>
      <c r="D120" s="1">
        <f>SUM(OSRRefD22_13x_0)</f>
        <v>0</v>
      </c>
      <c r="E120" s="1"/>
      <c r="F120" s="5">
        <f t="shared" ref="F120:F123" si="90">IF(D$12=0,0,D120/D$12)</f>
        <v>0</v>
      </c>
      <c r="G120" s="1"/>
      <c r="H120" s="1">
        <f>SUM(OSRRefH22_13x_0)</f>
        <v>0</v>
      </c>
      <c r="I120" s="1"/>
      <c r="J120" s="5">
        <f t="shared" ref="J120:J123" si="91">IF(H$12=0,0,H120/H$12)</f>
        <v>0</v>
      </c>
      <c r="K120" s="1"/>
      <c r="L120" s="1">
        <f t="shared" ref="L120:L123" si="92">+D120-H120</f>
        <v>0</v>
      </c>
      <c r="M120" s="1"/>
      <c r="N120" s="5">
        <f t="shared" ref="N120:N123" si="93">IF(H120=0,0,L120/H120)</f>
        <v>0</v>
      </c>
      <c r="O120" s="12"/>
      <c r="P120" s="1">
        <f>SUM(OSRRefP22_13x_0)</f>
        <v>4157.1499999999996</v>
      </c>
      <c r="Q120" s="1"/>
      <c r="R120" s="5">
        <f t="shared" ref="R120:R123" si="94">IF(P$12=0,0,P120/P$12)</f>
        <v>1.2416617336263231E-3</v>
      </c>
      <c r="S120" s="1"/>
      <c r="T120" s="1">
        <f>SUM(OSRRefT22_13x_0)</f>
        <v>3130.28</v>
      </c>
      <c r="U120" s="1"/>
      <c r="V120" s="5">
        <f t="shared" ref="V120:V123" si="95">IF(T$12=0,0,T120/T$12)</f>
        <v>7.9501829913816366E-4</v>
      </c>
      <c r="W120" s="1"/>
      <c r="X120" s="1">
        <f t="shared" ref="X120:X123" si="96">+P120-T120</f>
        <v>1026.8699999999994</v>
      </c>
      <c r="Y120" s="1"/>
      <c r="Z120" s="5">
        <f t="shared" ref="Z120:Z123" si="97">IF(T120=0,0,X120/T120)</f>
        <v>0.32804413662675524</v>
      </c>
    </row>
    <row r="121" spans="1:26" s="24" customFormat="1" hidden="1" outlineLevel="2" x14ac:dyDescent="0.35">
      <c r="A121" s="27"/>
      <c r="B121" s="11" t="str">
        <f>CONCATENATE("          ", "6376", " - ", "TRAINING")</f>
        <v xml:space="preserve">          6376 - TRAINING</v>
      </c>
      <c r="C121" s="11"/>
      <c r="D121" s="7"/>
      <c r="E121" s="2"/>
      <c r="F121" s="6">
        <f t="shared" si="90"/>
        <v>0</v>
      </c>
      <c r="G121" s="2"/>
      <c r="H121" s="7"/>
      <c r="I121" s="2"/>
      <c r="J121" s="6">
        <f t="shared" si="91"/>
        <v>0</v>
      </c>
      <c r="K121" s="2"/>
      <c r="L121" s="7">
        <f t="shared" si="92"/>
        <v>0</v>
      </c>
      <c r="M121" s="2"/>
      <c r="N121" s="6">
        <f t="shared" si="93"/>
        <v>0</v>
      </c>
      <c r="O121" s="11"/>
      <c r="P121" s="7">
        <v>4157.1499999999996</v>
      </c>
      <c r="Q121" s="2"/>
      <c r="R121" s="6">
        <f t="shared" si="94"/>
        <v>1.2416617336263231E-3</v>
      </c>
      <c r="S121" s="2"/>
      <c r="T121" s="7">
        <v>3130.28</v>
      </c>
      <c r="U121" s="2"/>
      <c r="V121" s="6">
        <f t="shared" si="95"/>
        <v>7.9501829913816366E-4</v>
      </c>
      <c r="W121" s="2"/>
      <c r="X121" s="7">
        <f t="shared" si="96"/>
        <v>1026.8699999999994</v>
      </c>
      <c r="Y121" s="2"/>
      <c r="Z121" s="6">
        <f t="shared" si="97"/>
        <v>0.32804413662675524</v>
      </c>
    </row>
    <row r="122" spans="1:26" s="25" customFormat="1" outlineLevel="1" collapsed="1" x14ac:dyDescent="0.35">
      <c r="A122" s="26"/>
      <c r="B122" s="12" t="str">
        <f>CONCATENATE("     ","Travel                                            ")</f>
        <v xml:space="preserve">     Travel                                            </v>
      </c>
      <c r="C122" s="12"/>
      <c r="D122" s="1">
        <f>SUM(OSRRefD22_14x_0)</f>
        <v>0</v>
      </c>
      <c r="E122" s="1"/>
      <c r="F122" s="5">
        <f t="shared" si="90"/>
        <v>0</v>
      </c>
      <c r="G122" s="1"/>
      <c r="H122" s="1">
        <f>SUM(OSRRefH22_14x_0)</f>
        <v>0</v>
      </c>
      <c r="I122" s="1"/>
      <c r="J122" s="5">
        <f t="shared" si="91"/>
        <v>0</v>
      </c>
      <c r="K122" s="1"/>
      <c r="L122" s="1">
        <f t="shared" si="92"/>
        <v>0</v>
      </c>
      <c r="M122" s="1"/>
      <c r="N122" s="5">
        <f t="shared" si="93"/>
        <v>0</v>
      </c>
      <c r="O122" s="12"/>
      <c r="P122" s="1">
        <f>SUM(OSRRefP22_14x_0)</f>
        <v>83.93</v>
      </c>
      <c r="Q122" s="1"/>
      <c r="R122" s="5">
        <f t="shared" si="94"/>
        <v>2.5068296622267016E-5</v>
      </c>
      <c r="S122" s="1"/>
      <c r="T122" s="1">
        <f>SUM(OSRRefT22_14x_0)</f>
        <v>68.27</v>
      </c>
      <c r="U122" s="1"/>
      <c r="V122" s="5">
        <f t="shared" si="95"/>
        <v>1.7338991809730257E-5</v>
      </c>
      <c r="W122" s="1"/>
      <c r="X122" s="1">
        <f t="shared" si="96"/>
        <v>15.660000000000011</v>
      </c>
      <c r="Y122" s="1"/>
      <c r="Z122" s="5">
        <f t="shared" si="97"/>
        <v>0.22938333089204646</v>
      </c>
    </row>
    <row r="123" spans="1:26" s="24" customFormat="1" hidden="1" outlineLevel="2" x14ac:dyDescent="0.35">
      <c r="A123" s="27"/>
      <c r="B123" s="11" t="str">
        <f>CONCATENATE("          ", "6292", " - ", "TRAVEL/CONFERENCE")</f>
        <v xml:space="preserve">          6292 - TRAVEL/CONFERENCE</v>
      </c>
      <c r="C123" s="11"/>
      <c r="D123" s="7"/>
      <c r="E123" s="2"/>
      <c r="F123" s="6">
        <f t="shared" si="90"/>
        <v>0</v>
      </c>
      <c r="G123" s="2"/>
      <c r="H123" s="7"/>
      <c r="I123" s="2"/>
      <c r="J123" s="6">
        <f t="shared" si="91"/>
        <v>0</v>
      </c>
      <c r="K123" s="2"/>
      <c r="L123" s="7">
        <f t="shared" si="92"/>
        <v>0</v>
      </c>
      <c r="M123" s="2"/>
      <c r="N123" s="6">
        <f t="shared" si="93"/>
        <v>0</v>
      </c>
      <c r="O123" s="11"/>
      <c r="P123" s="7">
        <v>83.93</v>
      </c>
      <c r="Q123" s="2"/>
      <c r="R123" s="6">
        <f t="shared" si="94"/>
        <v>2.5068296622267016E-5</v>
      </c>
      <c r="S123" s="2"/>
      <c r="T123" s="7">
        <v>68.27</v>
      </c>
      <c r="U123" s="2"/>
      <c r="V123" s="6">
        <f t="shared" si="95"/>
        <v>1.7338991809730257E-5</v>
      </c>
      <c r="W123" s="2"/>
      <c r="X123" s="7">
        <f t="shared" si="96"/>
        <v>15.660000000000011</v>
      </c>
      <c r="Y123" s="2"/>
      <c r="Z123" s="6">
        <f t="shared" si="97"/>
        <v>0.22938333089204646</v>
      </c>
    </row>
    <row r="124" spans="1:26" s="56" customFormat="1" x14ac:dyDescent="0.35">
      <c r="A124" s="37"/>
      <c r="B124" s="37"/>
      <c r="C124" s="37"/>
      <c r="D124" s="1"/>
      <c r="E124" s="1"/>
      <c r="F124" s="5"/>
      <c r="G124" s="1"/>
      <c r="H124" s="1"/>
      <c r="I124" s="1"/>
      <c r="J124" s="5"/>
      <c r="K124" s="1"/>
      <c r="L124" s="1"/>
      <c r="M124" s="1"/>
      <c r="N124" s="5"/>
      <c r="O124" s="37"/>
      <c r="P124" s="1"/>
      <c r="Q124" s="1"/>
      <c r="R124" s="5"/>
      <c r="S124" s="1"/>
      <c r="T124" s="1"/>
      <c r="U124" s="1"/>
      <c r="V124" s="5"/>
      <c r="W124" s="1"/>
      <c r="X124" s="1"/>
      <c r="Y124" s="1"/>
      <c r="Z124" s="5"/>
    </row>
    <row r="125" spans="1:26" s="23" customFormat="1" collapsed="1" x14ac:dyDescent="0.35">
      <c r="A125" s="10"/>
      <c r="B125" s="29" t="s">
        <v>0</v>
      </c>
      <c r="C125" s="10"/>
      <c r="D125" s="4">
        <f>SUM(OSRRefD25x_0)</f>
        <v>-16039.510000000002</v>
      </c>
      <c r="E125" s="4"/>
      <c r="F125" s="13">
        <f t="shared" ref="F125:F128" si="98">IF(D$12=0,0,D125/D$12)</f>
        <v>-0.96354168856828604</v>
      </c>
      <c r="G125" s="4"/>
      <c r="H125" s="4">
        <f>SUM(OSRRefH25x_0)</f>
        <v>5230.5599999999995</v>
      </c>
      <c r="I125" s="4"/>
      <c r="J125" s="13">
        <f t="shared" ref="J125:J128" si="99">IF(H$12=0,0,H125/H$12)</f>
        <v>0.14488110634104129</v>
      </c>
      <c r="K125" s="4"/>
      <c r="L125" s="4">
        <f t="shared" ref="L125:L128" si="100">+D125-H125</f>
        <v>-21270.07</v>
      </c>
      <c r="M125" s="4"/>
      <c r="N125" s="13">
        <f t="shared" ref="N125:N128" si="101">IF(H125=0,0,L125/H125)</f>
        <v>-4.0664995717475758</v>
      </c>
      <c r="O125" s="10"/>
      <c r="P125" s="4">
        <f>SUM(OSRRefP25x_0)</f>
        <v>177870.38</v>
      </c>
      <c r="Q125" s="4"/>
      <c r="R125" s="13">
        <f t="shared" ref="R125:R128" si="102">IF(P$12=0,0,P125/P$12)</f>
        <v>5.3126503588172884E-2</v>
      </c>
      <c r="S125" s="4"/>
      <c r="T125" s="4">
        <f>SUM(OSRRefT25x_0)</f>
        <v>109875.87</v>
      </c>
      <c r="U125" s="4"/>
      <c r="V125" s="13">
        <f t="shared" ref="V125:V128" si="103">IF(T$12=0,0,T125/T$12)</f>
        <v>2.7905914896982371E-2</v>
      </c>
      <c r="W125" s="4"/>
      <c r="X125" s="4">
        <f t="shared" ref="X125:X128" si="104">+P125-T125</f>
        <v>67994.510000000009</v>
      </c>
      <c r="Y125" s="4"/>
      <c r="Z125" s="13">
        <f t="shared" ref="Z125:Z128" si="105">IF(T125=0,0,X125/T125)</f>
        <v>0.61883023087780797</v>
      </c>
    </row>
    <row r="126" spans="1:26" s="24" customFormat="1" hidden="1" outlineLevel="1" x14ac:dyDescent="0.35">
      <c r="A126" s="44"/>
      <c r="B126" s="11" t="str">
        <f>CONCATENATE("          ", "9150", " - ", "MISC. INCOME")</f>
        <v xml:space="preserve">          9150 - MISC. INCOME</v>
      </c>
      <c r="C126" s="11"/>
      <c r="D126" s="2">
        <f>--1895.85</f>
        <v>1895.85</v>
      </c>
      <c r="E126" s="2"/>
      <c r="F126" s="19">
        <f t="shared" si="98"/>
        <v>0.11388942120252955</v>
      </c>
      <c r="G126" s="2"/>
      <c r="H126" s="2">
        <f>--2639.86</f>
        <v>2639.86</v>
      </c>
      <c r="I126" s="2"/>
      <c r="J126" s="19">
        <f t="shared" si="99"/>
        <v>7.3121393767677137E-2</v>
      </c>
      <c r="K126" s="2"/>
      <c r="L126" s="2">
        <f t="shared" si="100"/>
        <v>-744.01000000000022</v>
      </c>
      <c r="M126" s="2"/>
      <c r="N126" s="19">
        <f t="shared" si="101"/>
        <v>-0.28183691559400886</v>
      </c>
      <c r="O126" s="11"/>
      <c r="P126" s="2">
        <f>--23186.55</f>
        <v>23186.55</v>
      </c>
      <c r="Q126" s="2"/>
      <c r="R126" s="19">
        <f t="shared" si="102"/>
        <v>6.9253820212918527E-3</v>
      </c>
      <c r="S126" s="2"/>
      <c r="T126" s="2">
        <f>--96045.53</f>
        <v>96045.53</v>
      </c>
      <c r="U126" s="2"/>
      <c r="V126" s="19">
        <f t="shared" si="103"/>
        <v>2.4393330277298984E-2</v>
      </c>
      <c r="W126" s="2"/>
      <c r="X126" s="2">
        <f t="shared" si="104"/>
        <v>-72858.98</v>
      </c>
      <c r="Y126" s="2"/>
      <c r="Z126" s="19">
        <f t="shared" si="105"/>
        <v>-0.75858793220257092</v>
      </c>
    </row>
    <row r="127" spans="1:26" s="24" customFormat="1" hidden="1" outlineLevel="1" x14ac:dyDescent="0.35">
      <c r="A127" s="44"/>
      <c r="B127" s="11" t="str">
        <f>CONCATENATE("          ", "9151", " - ", "MISC. INCOME")</f>
        <v xml:space="preserve">          9151 - MISC. INCOME</v>
      </c>
      <c r="C127" s="11"/>
      <c r="D127" s="2">
        <f>-18698.07</f>
        <v>-18698.07</v>
      </c>
      <c r="E127" s="2"/>
      <c r="F127" s="19">
        <f t="shared" si="98"/>
        <v>-1.1232493973174997</v>
      </c>
      <c r="G127" s="2"/>
      <c r="H127" s="2">
        <f>0</f>
        <v>0</v>
      </c>
      <c r="I127" s="2"/>
      <c r="J127" s="19">
        <f t="shared" si="99"/>
        <v>0</v>
      </c>
      <c r="K127" s="2"/>
      <c r="L127" s="2">
        <f t="shared" si="100"/>
        <v>-18698.07</v>
      </c>
      <c r="M127" s="2"/>
      <c r="N127" s="19">
        <f t="shared" si="101"/>
        <v>0</v>
      </c>
      <c r="O127" s="11"/>
      <c r="P127" s="2">
        <f>--144046.23</f>
        <v>144046.23000000001</v>
      </c>
      <c r="Q127" s="2"/>
      <c r="R127" s="19">
        <f t="shared" si="102"/>
        <v>4.3023872524238026E-2</v>
      </c>
      <c r="S127" s="2"/>
      <c r="T127" s="2">
        <f>0</f>
        <v>0</v>
      </c>
      <c r="U127" s="2"/>
      <c r="V127" s="19">
        <f t="shared" si="103"/>
        <v>0</v>
      </c>
      <c r="W127" s="2"/>
      <c r="X127" s="2">
        <f t="shared" si="104"/>
        <v>144046.23000000001</v>
      </c>
      <c r="Y127" s="2"/>
      <c r="Z127" s="19">
        <f t="shared" si="105"/>
        <v>0</v>
      </c>
    </row>
    <row r="128" spans="1:26" s="24" customFormat="1" hidden="1" outlineLevel="1" x14ac:dyDescent="0.35">
      <c r="A128" s="44"/>
      <c r="B128" s="11" t="str">
        <f>CONCATENATE("          ", "9152", " - ", "MISC. INCOME")</f>
        <v xml:space="preserve">          9152 - MISC. INCOME</v>
      </c>
      <c r="C128" s="11"/>
      <c r="D128" s="2">
        <f>--762.71</f>
        <v>762.71</v>
      </c>
      <c r="E128" s="2"/>
      <c r="F128" s="19">
        <f t="shared" si="98"/>
        <v>4.5818287546684246E-2</v>
      </c>
      <c r="G128" s="2"/>
      <c r="H128" s="2">
        <f>--2590.7</f>
        <v>2590.6999999999998</v>
      </c>
      <c r="I128" s="2"/>
      <c r="J128" s="19">
        <f t="shared" si="99"/>
        <v>7.1759712573364165E-2</v>
      </c>
      <c r="K128" s="2"/>
      <c r="L128" s="2">
        <f t="shared" si="100"/>
        <v>-1827.9899999999998</v>
      </c>
      <c r="M128" s="2"/>
      <c r="N128" s="19">
        <f t="shared" si="101"/>
        <v>-0.70559694291118225</v>
      </c>
      <c r="O128" s="11"/>
      <c r="P128" s="2">
        <f>--10637.6</f>
        <v>10637.6</v>
      </c>
      <c r="Q128" s="2"/>
      <c r="R128" s="19">
        <f t="shared" si="102"/>
        <v>3.1772490426430072E-3</v>
      </c>
      <c r="S128" s="2"/>
      <c r="T128" s="2">
        <f>--13830.34</f>
        <v>13830.34</v>
      </c>
      <c r="U128" s="2"/>
      <c r="V128" s="19">
        <f t="shared" si="103"/>
        <v>3.5125846196833858E-3</v>
      </c>
      <c r="W128" s="2"/>
      <c r="X128" s="2">
        <f t="shared" si="104"/>
        <v>-3192.74</v>
      </c>
      <c r="Y128" s="2"/>
      <c r="Z128" s="19">
        <f t="shared" si="105"/>
        <v>-0.23085043462416685</v>
      </c>
    </row>
    <row r="129" spans="1:26" x14ac:dyDescent="0.3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35">
      <c r="A130" s="10"/>
      <c r="B130" s="28" t="s">
        <v>3</v>
      </c>
      <c r="C130" s="28"/>
      <c r="D130" s="22">
        <f>+D62-D64+D125</f>
        <v>-93714.76999999999</v>
      </c>
      <c r="E130" s="14"/>
      <c r="F130" s="21">
        <f>IF(D$12=0,0,D130/D$12)</f>
        <v>-5.6297285721065373</v>
      </c>
      <c r="G130" s="14"/>
      <c r="H130" s="22">
        <f>+H62-H64+H125</f>
        <v>102274.01000000013</v>
      </c>
      <c r="I130" s="14"/>
      <c r="J130" s="21">
        <f>IF(H$12=0,0,H130/H$12)</f>
        <v>2.8328843792509293</v>
      </c>
      <c r="K130" s="15"/>
      <c r="L130" s="22">
        <f>+D130-H130</f>
        <v>-195988.78000000012</v>
      </c>
      <c r="M130" s="15"/>
      <c r="N130" s="21">
        <f>IF(H130=0,0,L130/H130)</f>
        <v>-1.9163107029830928</v>
      </c>
      <c r="O130" s="29"/>
      <c r="P130" s="22">
        <f>+P62-P64+P125</f>
        <v>561496.55999999912</v>
      </c>
      <c r="Q130" s="14"/>
      <c r="R130" s="21">
        <f>IF(P$12=0,0,P130/P$12)</f>
        <v>0.16770835599264297</v>
      </c>
      <c r="S130" s="14"/>
      <c r="T130" s="22">
        <f>+T62-T64+T125</f>
        <v>650171.44000000053</v>
      </c>
      <c r="U130" s="14"/>
      <c r="V130" s="21">
        <f>IF(T$12=0,0,T130/T$12)</f>
        <v>0.16512842058122948</v>
      </c>
      <c r="W130" s="15"/>
      <c r="X130" s="22">
        <f>+P130-T130</f>
        <v>-88674.880000001402</v>
      </c>
      <c r="Y130" s="15"/>
      <c r="Z130" s="21">
        <f>IF(T130=0,0,X130/T130)</f>
        <v>-0.1363869197330497</v>
      </c>
    </row>
    <row r="131" spans="1:26" x14ac:dyDescent="0.3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35">
      <c r="A132" s="51"/>
      <c r="B132" s="10" t="s">
        <v>13</v>
      </c>
      <c r="C132" s="10"/>
      <c r="D132" s="4">
        <v>112517.89</v>
      </c>
      <c r="E132" s="4"/>
      <c r="F132" s="13">
        <f>IF(D$12=0,0,D132/D$12)</f>
        <v>6.7592886394123415</v>
      </c>
      <c r="G132" s="4"/>
      <c r="H132" s="4">
        <v>-125144.36</v>
      </c>
      <c r="I132" s="4"/>
      <c r="J132" s="13">
        <f>IF(H$12=0,0,H132/H$12)</f>
        <v>-3.4663694382898877</v>
      </c>
      <c r="K132" s="4"/>
      <c r="L132" s="4">
        <f>+D132-H132</f>
        <v>237662.25</v>
      </c>
      <c r="M132" s="4"/>
      <c r="N132" s="13">
        <f>IF(H132=0,0,L132/H132)</f>
        <v>-1.8991047618925856</v>
      </c>
      <c r="O132" s="10"/>
      <c r="P132" s="4">
        <v>507025.04000000004</v>
      </c>
      <c r="Q132" s="4"/>
      <c r="R132" s="13">
        <f>IF(P$12=0,0,P132/P$12)</f>
        <v>0.15143874773783866</v>
      </c>
      <c r="S132" s="4"/>
      <c r="T132" s="4">
        <v>280644.17</v>
      </c>
      <c r="U132" s="4"/>
      <c r="V132" s="13">
        <f>IF(T$12=0,0,T132/T$12)</f>
        <v>7.1277090450835592E-2</v>
      </c>
      <c r="W132" s="4"/>
      <c r="X132" s="4">
        <f>+P132-T132</f>
        <v>226380.87000000005</v>
      </c>
      <c r="Y132" s="4"/>
      <c r="Z132" s="13">
        <f>IF(T132=0,0,X132/T132)</f>
        <v>0.80664732853705834</v>
      </c>
    </row>
    <row r="133" spans="1:26" x14ac:dyDescent="0.3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" thickBot="1" x14ac:dyDescent="0.4">
      <c r="A134" s="10"/>
      <c r="B134" s="28" t="s">
        <v>4</v>
      </c>
      <c r="C134" s="28"/>
      <c r="D134" s="34">
        <f>+D130-D132</f>
        <v>-206232.65999999997</v>
      </c>
      <c r="E134" s="14"/>
      <c r="F134" s="32">
        <f>IF(D$12=0,0,D134/D$12)</f>
        <v>-12.389017211518878</v>
      </c>
      <c r="G134" s="14"/>
      <c r="H134" s="34">
        <f>+H130-H132</f>
        <v>227418.37000000011</v>
      </c>
      <c r="I134" s="14"/>
      <c r="J134" s="32">
        <f>IF(H$12=0,0,H134/H$12)</f>
        <v>6.2992538175408166</v>
      </c>
      <c r="K134" s="15"/>
      <c r="L134" s="34">
        <f>D134-H134</f>
        <v>-433651.03000000009</v>
      </c>
      <c r="M134" s="15"/>
      <c r="N134" s="32">
        <f>IF(H134=0,0,L134/H134)</f>
        <v>-1.9068425738870605</v>
      </c>
      <c r="O134" s="29"/>
      <c r="P134" s="34">
        <f>+P130-P132</f>
        <v>54471.519999999087</v>
      </c>
      <c r="Q134" s="14"/>
      <c r="R134" s="32">
        <f>IF(P$12=0,0,P134/P$12)</f>
        <v>1.6269608254804328E-2</v>
      </c>
      <c r="S134" s="14"/>
      <c r="T134" s="34">
        <f>+T130-T132</f>
        <v>369527.27000000054</v>
      </c>
      <c r="U134" s="14"/>
      <c r="V134" s="32">
        <f>IF(T$12=0,0,T134/T$12)</f>
        <v>9.3851330130393887E-2</v>
      </c>
      <c r="W134" s="15"/>
      <c r="X134" s="34">
        <f>P134-T134</f>
        <v>-315055.75000000146</v>
      </c>
      <c r="Y134" s="15"/>
      <c r="Z134" s="32">
        <f>IF(T134=0,0,X134/T134)</f>
        <v>-0.85259133919940733</v>
      </c>
    </row>
    <row r="135" spans="1:26" ht="15" thickTop="1" x14ac:dyDescent="0.3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3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" thickBot="1" x14ac:dyDescent="0.4">
      <c r="A137" s="10"/>
      <c r="B137" s="28" t="s">
        <v>5</v>
      </c>
      <c r="C137" s="28"/>
      <c r="D137" s="35">
        <f>SUM(D134:D136)</f>
        <v>-206232.65999999997</v>
      </c>
      <c r="E137" s="14"/>
      <c r="F137" s="33">
        <f>IF(D$12=0,0,D137/D$12)</f>
        <v>-12.389017211518878</v>
      </c>
      <c r="G137" s="14"/>
      <c r="H137" s="35">
        <f>SUM(H134:H136)</f>
        <v>227418.37000000011</v>
      </c>
      <c r="I137" s="14"/>
      <c r="J137" s="33">
        <f>IF(H$12=0,0,H137/H$12)</f>
        <v>6.2992538175408166</v>
      </c>
      <c r="K137" s="15"/>
      <c r="L137" s="35">
        <f>+D137-H137</f>
        <v>-433651.03000000009</v>
      </c>
      <c r="M137" s="15"/>
      <c r="N137" s="33">
        <f>IF(H137=0,0,L137/H137)</f>
        <v>-1.9068425738870605</v>
      </c>
      <c r="O137" s="29"/>
      <c r="P137" s="35">
        <f>SUM(P134:P136)</f>
        <v>54471.519999999087</v>
      </c>
      <c r="Q137" s="14"/>
      <c r="R137" s="33">
        <f>IF(P$12=0,0,P137/P$12)</f>
        <v>1.6269608254804328E-2</v>
      </c>
      <c r="S137" s="14"/>
      <c r="T137" s="35">
        <f>SUM(T134:T136)</f>
        <v>369527.27000000054</v>
      </c>
      <c r="U137" s="14"/>
      <c r="V137" s="33">
        <f>IF(T$12=0,0,T137/T$12)</f>
        <v>9.3851330130393887E-2</v>
      </c>
      <c r="W137" s="15"/>
      <c r="X137" s="35">
        <f>+P137-T137</f>
        <v>-315055.75000000146</v>
      </c>
      <c r="Y137" s="15"/>
      <c r="Z137" s="33">
        <f>IF(T137=0,0,X137/T137)</f>
        <v>-0.85259133919940733</v>
      </c>
    </row>
    <row r="138" spans="1:26" ht="15" thickTop="1" x14ac:dyDescent="0.35">
      <c r="A138" s="9"/>
      <c r="C138" s="9"/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35">
      <c r="A139" s="9"/>
      <c r="B139" s="52">
        <v>44043.522824421299</v>
      </c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35">
      <c r="A140" s="9"/>
      <c r="B140" s="61" t="s">
        <v>313</v>
      </c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35">
      <c r="A141" s="9"/>
      <c r="B141" s="54"/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  <row r="142" spans="1:26" x14ac:dyDescent="0.35"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","324", " - ", "Textbook Rental")</f>
        <v>Department 324 - Textbook Rental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5217.6700000000019</v>
      </c>
      <c r="E12" s="4"/>
      <c r="F12" s="13"/>
      <c r="G12" s="4"/>
      <c r="H12" s="4">
        <f>SUM(OSRRefH13x_0)</f>
        <v>7997.1900000000005</v>
      </c>
      <c r="I12" s="4"/>
      <c r="J12" s="13"/>
      <c r="K12" s="4"/>
      <c r="L12" s="4">
        <f t="shared" ref="L12:L16" si="0">+D12-H12</f>
        <v>-2779.5199999999986</v>
      </c>
      <c r="M12" s="4"/>
      <c r="N12" s="13">
        <f t="shared" ref="N12:N16" si="1">IF(H12=0,0,L12/H12)</f>
        <v>-0.34756208118101461</v>
      </c>
      <c r="O12" s="10"/>
      <c r="P12" s="4">
        <f>SUM(OSRRefP13x_0)</f>
        <v>1603057.4300000002</v>
      </c>
      <c r="Q12" s="4"/>
      <c r="R12" s="13"/>
      <c r="S12" s="4"/>
      <c r="T12" s="4">
        <f>SUM(OSRRefT13x_0)</f>
        <v>2110470.23</v>
      </c>
      <c r="U12" s="4"/>
      <c r="V12" s="13"/>
      <c r="W12" s="4"/>
      <c r="X12" s="4">
        <f t="shared" ref="X12:X16" si="2">+P12-T12</f>
        <v>-507412.79999999981</v>
      </c>
      <c r="Y12" s="4"/>
      <c r="Z12" s="13">
        <f t="shared" ref="Z12:Z16" si="3">IF(T12=0,0,X12/T12)</f>
        <v>-0.24042641909239337</v>
      </c>
    </row>
    <row r="13" spans="1:26" s="24" customFormat="1" hidden="1" outlineLevel="1" x14ac:dyDescent="0.3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3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--9216.29</f>
        <v>9216.2900000000009</v>
      </c>
      <c r="E14" s="2"/>
      <c r="F14" s="19"/>
      <c r="G14" s="2"/>
      <c r="H14" s="2">
        <f>--1788.96</f>
        <v>1788.96</v>
      </c>
      <c r="I14" s="2"/>
      <c r="J14" s="19"/>
      <c r="K14" s="2"/>
      <c r="L14" s="2">
        <f t="shared" si="0"/>
        <v>7427.3300000000008</v>
      </c>
      <c r="M14" s="2"/>
      <c r="N14" s="19">
        <f t="shared" si="1"/>
        <v>4.1517585636347381</v>
      </c>
      <c r="O14" s="11"/>
      <c r="P14" s="2">
        <f>--430446.14</f>
        <v>430446.14</v>
      </c>
      <c r="Q14" s="2"/>
      <c r="R14" s="19"/>
      <c r="S14" s="2"/>
      <c r="T14" s="2">
        <f>--564841.39</f>
        <v>564841.39</v>
      </c>
      <c r="U14" s="2"/>
      <c r="V14" s="19"/>
      <c r="W14" s="2"/>
      <c r="X14" s="2">
        <f t="shared" si="2"/>
        <v>-134395.25</v>
      </c>
      <c r="Y14" s="2"/>
      <c r="Z14" s="19">
        <f t="shared" si="3"/>
        <v>-0.23793449343363451</v>
      </c>
    </row>
    <row r="15" spans="1:26" s="24" customFormat="1" hidden="1" outlineLevel="1" x14ac:dyDescent="0.3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--12201.9</f>
        <v>12201.9</v>
      </c>
      <c r="E15" s="2"/>
      <c r="F15" s="19"/>
      <c r="G15" s="2"/>
      <c r="H15" s="2">
        <f>--3423.38</f>
        <v>3423.38</v>
      </c>
      <c r="I15" s="2"/>
      <c r="J15" s="19"/>
      <c r="K15" s="2"/>
      <c r="L15" s="2">
        <f t="shared" si="0"/>
        <v>8778.52</v>
      </c>
      <c r="M15" s="2"/>
      <c r="N15" s="19">
        <f t="shared" si="1"/>
        <v>2.5642844206602833</v>
      </c>
      <c r="O15" s="11"/>
      <c r="P15" s="2">
        <f>--581364.79</f>
        <v>581364.79</v>
      </c>
      <c r="Q15" s="2"/>
      <c r="R15" s="19"/>
      <c r="S15" s="2"/>
      <c r="T15" s="2">
        <f>--751736.64</f>
        <v>751736.64</v>
      </c>
      <c r="U15" s="2"/>
      <c r="V15" s="19"/>
      <c r="W15" s="2"/>
      <c r="X15" s="2">
        <f t="shared" si="2"/>
        <v>-170371.84999999998</v>
      </c>
      <c r="Y15" s="2"/>
      <c r="Z15" s="19">
        <f t="shared" si="3"/>
        <v>-0.22663768257989922</v>
      </c>
    </row>
    <row r="16" spans="1:26" s="24" customFormat="1" hidden="1" outlineLevel="1" x14ac:dyDescent="0.3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-16200.52</f>
        <v>-16200.52</v>
      </c>
      <c r="E16" s="2"/>
      <c r="F16" s="19"/>
      <c r="G16" s="2"/>
      <c r="H16" s="2">
        <f>--2784.85</f>
        <v>2784.85</v>
      </c>
      <c r="I16" s="2"/>
      <c r="J16" s="19"/>
      <c r="K16" s="2"/>
      <c r="L16" s="2">
        <f t="shared" si="0"/>
        <v>-18985.37</v>
      </c>
      <c r="M16" s="2"/>
      <c r="N16" s="19">
        <f t="shared" si="1"/>
        <v>-6.8173761602958862</v>
      </c>
      <c r="O16" s="11"/>
      <c r="P16" s="2">
        <f>--591246.5</f>
        <v>591246.5</v>
      </c>
      <c r="Q16" s="2"/>
      <c r="R16" s="19"/>
      <c r="S16" s="2"/>
      <c r="T16" s="2">
        <f>--792359.45</f>
        <v>792359.45</v>
      </c>
      <c r="U16" s="2"/>
      <c r="V16" s="19"/>
      <c r="W16" s="2"/>
      <c r="X16" s="2">
        <f t="shared" si="2"/>
        <v>-201112.94999999995</v>
      </c>
      <c r="Y16" s="2"/>
      <c r="Z16" s="19">
        <f t="shared" si="3"/>
        <v>-0.25381529809482295</v>
      </c>
    </row>
    <row r="17" spans="1:26" x14ac:dyDescent="0.3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5">
      <c r="A18" s="10"/>
      <c r="B18" s="29" t="s">
        <v>8</v>
      </c>
      <c r="C18" s="10"/>
      <c r="D18" s="4">
        <f>SUM(OSRRefD16x_0)</f>
        <v>1359.76</v>
      </c>
      <c r="E18" s="4"/>
      <c r="F18" s="13">
        <f t="shared" ref="F18:F20" si="4">IF(D$12=0,0,D18/D$12)</f>
        <v>0.26060674592298849</v>
      </c>
      <c r="G18" s="4"/>
      <c r="H18" s="4">
        <f>SUM(OSRRefH16x_0)</f>
        <v>4989.87</v>
      </c>
      <c r="I18" s="4"/>
      <c r="J18" s="13">
        <f t="shared" ref="J18:J20" si="5">IF(H$12=0,0,H18/H$12)</f>
        <v>0.62395291346085302</v>
      </c>
      <c r="K18" s="4"/>
      <c r="L18" s="4">
        <f t="shared" ref="L18:L20" si="6">+D18-H18</f>
        <v>-3630.1099999999997</v>
      </c>
      <c r="M18" s="4"/>
      <c r="N18" s="13">
        <f t="shared" ref="N18:N20" si="7">IF(H18=0,0,L18/H18)</f>
        <v>-0.72749590670698827</v>
      </c>
      <c r="O18" s="10"/>
      <c r="P18" s="4">
        <f>SUM(OSRRefP16x_0)</f>
        <v>1175860.3800000001</v>
      </c>
      <c r="Q18" s="4"/>
      <c r="R18" s="13">
        <f t="shared" ref="R18:R20" si="8">IF(P$12=0,0,P18/P$12)</f>
        <v>0.73351107576975583</v>
      </c>
      <c r="S18" s="4"/>
      <c r="T18" s="4">
        <f>SUM(OSRRefT16x_0)</f>
        <v>1533856.9300000002</v>
      </c>
      <c r="U18" s="4"/>
      <c r="V18" s="13">
        <f t="shared" ref="V18:V20" si="9">IF(T$12=0,0,T18/T$12)</f>
        <v>0.72678444272582809</v>
      </c>
      <c r="W18" s="4"/>
      <c r="X18" s="4">
        <f t="shared" ref="X18:X20" si="10">+P18-T18</f>
        <v>-357996.55000000005</v>
      </c>
      <c r="Y18" s="4"/>
      <c r="Z18" s="13">
        <f t="shared" ref="Z18:Z20" si="11">IF(T18=0,0,X18/T18)</f>
        <v>-0.23339631161036642</v>
      </c>
    </row>
    <row r="19" spans="1:26" s="24" customFormat="1" hidden="1" outlineLevel="1" x14ac:dyDescent="0.3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1359.76</v>
      </c>
      <c r="E19" s="2"/>
      <c r="F19" s="19">
        <f t="shared" si="4"/>
        <v>0.26060674592298849</v>
      </c>
      <c r="G19" s="2"/>
      <c r="H19" s="2">
        <v>1875.22</v>
      </c>
      <c r="I19" s="2"/>
      <c r="J19" s="19">
        <f t="shared" si="5"/>
        <v>0.23448486280806133</v>
      </c>
      <c r="K19" s="2"/>
      <c r="L19" s="2">
        <f t="shared" si="6"/>
        <v>-515.46</v>
      </c>
      <c r="M19" s="2"/>
      <c r="N19" s="19">
        <f t="shared" si="7"/>
        <v>-0.27487974744296673</v>
      </c>
      <c r="O19" s="11"/>
      <c r="P19" s="2">
        <v>488743.96</v>
      </c>
      <c r="Q19" s="2"/>
      <c r="R19" s="19">
        <f t="shared" si="8"/>
        <v>0.30488237717097882</v>
      </c>
      <c r="S19" s="2"/>
      <c r="T19" s="2">
        <v>660042.81000000006</v>
      </c>
      <c r="U19" s="2"/>
      <c r="V19" s="19">
        <f t="shared" si="9"/>
        <v>0.31274679956039941</v>
      </c>
      <c r="W19" s="2"/>
      <c r="X19" s="2">
        <f t="shared" si="10"/>
        <v>-171298.85000000003</v>
      </c>
      <c r="Y19" s="2"/>
      <c r="Z19" s="19">
        <f t="shared" si="11"/>
        <v>-0.25952687826415383</v>
      </c>
    </row>
    <row r="20" spans="1:26" s="24" customFormat="1" hidden="1" outlineLevel="1" x14ac:dyDescent="0.3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/>
      <c r="E20" s="2"/>
      <c r="F20" s="19">
        <f t="shared" si="4"/>
        <v>0</v>
      </c>
      <c r="G20" s="2"/>
      <c r="H20" s="2">
        <v>3114.65</v>
      </c>
      <c r="I20" s="2"/>
      <c r="J20" s="19">
        <f t="shared" si="5"/>
        <v>0.38946805065279178</v>
      </c>
      <c r="K20" s="2"/>
      <c r="L20" s="2">
        <f t="shared" si="6"/>
        <v>-3114.65</v>
      </c>
      <c r="M20" s="2"/>
      <c r="N20" s="19">
        <f t="shared" si="7"/>
        <v>-1</v>
      </c>
      <c r="O20" s="11"/>
      <c r="P20" s="2">
        <v>687116.42</v>
      </c>
      <c r="Q20" s="2"/>
      <c r="R20" s="19">
        <f t="shared" si="8"/>
        <v>0.42862869859877695</v>
      </c>
      <c r="S20" s="2"/>
      <c r="T20" s="2">
        <v>873814.12</v>
      </c>
      <c r="U20" s="2"/>
      <c r="V20" s="19">
        <f t="shared" si="9"/>
        <v>0.41403764316542857</v>
      </c>
      <c r="W20" s="2"/>
      <c r="X20" s="2">
        <f t="shared" si="10"/>
        <v>-186697.69999999995</v>
      </c>
      <c r="Y20" s="2"/>
      <c r="Z20" s="19">
        <f t="shared" si="11"/>
        <v>-0.21365836935663154</v>
      </c>
    </row>
    <row r="21" spans="1:26" x14ac:dyDescent="0.3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5">
      <c r="A22" s="10"/>
      <c r="B22" s="28" t="s">
        <v>6</v>
      </c>
      <c r="C22" s="28"/>
      <c r="D22" s="22">
        <f>D12-D18</f>
        <v>3857.9100000000017</v>
      </c>
      <c r="E22" s="14"/>
      <c r="F22" s="21">
        <f>IF(D$12=0,0,D22/D$12)</f>
        <v>0.7393932540770114</v>
      </c>
      <c r="G22" s="14"/>
      <c r="H22" s="22">
        <f>H12-H18</f>
        <v>3007.3200000000006</v>
      </c>
      <c r="I22" s="14"/>
      <c r="J22" s="21">
        <f>IF(H$12=0,0,H22/H$12)</f>
        <v>0.37604708653914692</v>
      </c>
      <c r="K22" s="15"/>
      <c r="L22" s="22">
        <f>+D22-H22</f>
        <v>850.59000000000106</v>
      </c>
      <c r="M22" s="15"/>
      <c r="N22" s="21">
        <f>IF(H22=0,0,L22/H22)</f>
        <v>0.28283987071545458</v>
      </c>
      <c r="O22" s="29"/>
      <c r="P22" s="22">
        <f>P12-P18</f>
        <v>427197.05000000005</v>
      </c>
      <c r="Q22" s="14"/>
      <c r="R22" s="21">
        <f>IF(P$12=0,0,P22/P$12)</f>
        <v>0.26648892423024423</v>
      </c>
      <c r="S22" s="14"/>
      <c r="T22" s="22">
        <f>T12-T18</f>
        <v>576613.29999999981</v>
      </c>
      <c r="U22" s="14"/>
      <c r="V22" s="21">
        <f>IF(T$12=0,0,T22/T$12)</f>
        <v>0.27321555727417196</v>
      </c>
      <c r="W22" s="15"/>
      <c r="X22" s="22">
        <f>+P22-T22</f>
        <v>-149416.24999999977</v>
      </c>
      <c r="Y22" s="15"/>
      <c r="Z22" s="21">
        <f>IF(T22=0,0,X22/T22)</f>
        <v>-0.25912730420890362</v>
      </c>
    </row>
    <row r="23" spans="1:26" x14ac:dyDescent="0.3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5">
      <c r="A24" s="10"/>
      <c r="B24" s="29" t="s">
        <v>9</v>
      </c>
      <c r="C24" s="10"/>
      <c r="D24" s="20">
        <f>SUM(OSRRefD22x_0)</f>
        <v>0</v>
      </c>
      <c r="E24" s="20"/>
      <c r="F24" s="36">
        <f t="shared" ref="F24:F26" si="12">IF(D$12=0,0,D24/D$12)</f>
        <v>0</v>
      </c>
      <c r="G24" s="20"/>
      <c r="H24" s="20">
        <f>SUM(OSRRefH22x_0)</f>
        <v>0</v>
      </c>
      <c r="I24" s="20"/>
      <c r="J24" s="36">
        <f t="shared" ref="J24:J26" si="13">IF(H$12=0,0,H24/H$12)</f>
        <v>0</v>
      </c>
      <c r="K24" s="4"/>
      <c r="L24" s="20">
        <f t="shared" ref="L24:L26" si="14">+D24-H24</f>
        <v>0</v>
      </c>
      <c r="M24" s="4"/>
      <c r="N24" s="36">
        <f t="shared" ref="N24:N26" si="15">IF(H24=0,0,L24/H24)</f>
        <v>0</v>
      </c>
      <c r="O24" s="10"/>
      <c r="P24" s="20">
        <f>SUM(OSRRefP22x_0)</f>
        <v>0</v>
      </c>
      <c r="Q24" s="20"/>
      <c r="R24" s="36">
        <f t="shared" ref="R24:R26" si="16">IF(P$12=0,0,P24/P$12)</f>
        <v>0</v>
      </c>
      <c r="S24" s="20"/>
      <c r="T24" s="20">
        <f>SUM(OSRRefT22x_0)</f>
        <v>90</v>
      </c>
      <c r="U24" s="20"/>
      <c r="V24" s="36">
        <f t="shared" ref="V24:V26" si="17">IF(T$12=0,0,T24/T$12)</f>
        <v>4.2644524770197776E-5</v>
      </c>
      <c r="W24" s="4"/>
      <c r="X24" s="20">
        <f t="shared" ref="X24:X26" si="18">+P24-T24</f>
        <v>-90</v>
      </c>
      <c r="Y24" s="4"/>
      <c r="Z24" s="36">
        <f t="shared" ref="Z24:Z26" si="19">IF(T24=0,0,X24/T24)</f>
        <v>-1</v>
      </c>
    </row>
    <row r="25" spans="1:26" s="25" customFormat="1" outlineLevel="1" collapsed="1" x14ac:dyDescent="0.35">
      <c r="A25" s="26"/>
      <c r="B25" s="12" t="str">
        <f>CONCATENATE("     ","Supplies                                          ")</f>
        <v xml:space="preserve">     Supplies                                          </v>
      </c>
      <c r="C25" s="12"/>
      <c r="D25" s="1">
        <f>SUM(OSRRefD22_0x_0)</f>
        <v>0</v>
      </c>
      <c r="E25" s="1"/>
      <c r="F25" s="5">
        <f t="shared" si="12"/>
        <v>0</v>
      </c>
      <c r="G25" s="1"/>
      <c r="H25" s="1">
        <f>SUM(OSRRefH22_0x_0)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2"/>
      <c r="P25" s="1">
        <f>SUM(OSRRefP22_0x_0)</f>
        <v>0</v>
      </c>
      <c r="Q25" s="1"/>
      <c r="R25" s="5">
        <f t="shared" si="16"/>
        <v>0</v>
      </c>
      <c r="S25" s="1"/>
      <c r="T25" s="1">
        <f>SUM(OSRRefT22_0x_0)</f>
        <v>90</v>
      </c>
      <c r="U25" s="1"/>
      <c r="V25" s="5">
        <f t="shared" si="17"/>
        <v>4.2644524770197776E-5</v>
      </c>
      <c r="W25" s="1"/>
      <c r="X25" s="1">
        <f t="shared" si="18"/>
        <v>-90</v>
      </c>
      <c r="Y25" s="1"/>
      <c r="Z25" s="5">
        <f t="shared" si="19"/>
        <v>-1</v>
      </c>
    </row>
    <row r="26" spans="1:26" s="24" customFormat="1" hidden="1" outlineLevel="2" x14ac:dyDescent="0.35">
      <c r="A26" s="27"/>
      <c r="B26" s="11" t="str">
        <f>CONCATENATE("          ", "6241", " - ", "OFFICE EXPENSE")</f>
        <v xml:space="preserve">          6241 - OFFICE EXPENSE</v>
      </c>
      <c r="C26" s="11"/>
      <c r="D26" s="7"/>
      <c r="E26" s="2"/>
      <c r="F26" s="6">
        <f t="shared" si="12"/>
        <v>0</v>
      </c>
      <c r="G26" s="2"/>
      <c r="H26" s="7"/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90</v>
      </c>
      <c r="U26" s="2"/>
      <c r="V26" s="6">
        <f t="shared" si="17"/>
        <v>4.2644524770197776E-5</v>
      </c>
      <c r="W26" s="2"/>
      <c r="X26" s="7">
        <f t="shared" si="18"/>
        <v>-90</v>
      </c>
      <c r="Y26" s="2"/>
      <c r="Z26" s="6">
        <f t="shared" si="19"/>
        <v>-1</v>
      </c>
    </row>
    <row r="27" spans="1:26" s="56" customFormat="1" x14ac:dyDescent="0.3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5">
      <c r="A28" s="10"/>
      <c r="B28" s="29" t="s">
        <v>0</v>
      </c>
      <c r="C28" s="10"/>
      <c r="D28" s="4">
        <f>SUM(0)</f>
        <v>0</v>
      </c>
      <c r="E28" s="4"/>
      <c r="F28" s="13">
        <f>IF(D$12=0,0,D28/D$12)</f>
        <v>0</v>
      </c>
      <c r="G28" s="4"/>
      <c r="H28" s="4">
        <f>SUM(0)</f>
        <v>0</v>
      </c>
      <c r="I28" s="4"/>
      <c r="J28" s="13">
        <f>IF(H$12=0,0,H28/H$12)</f>
        <v>0</v>
      </c>
      <c r="K28" s="4"/>
      <c r="L28" s="4">
        <f>+D28-H28</f>
        <v>0</v>
      </c>
      <c r="M28" s="4"/>
      <c r="N28" s="13">
        <f>IF(H28=0,0,L28/H28)</f>
        <v>0</v>
      </c>
      <c r="O28" s="10"/>
      <c r="P28" s="4">
        <f>SUM(0)</f>
        <v>0</v>
      </c>
      <c r="Q28" s="4"/>
      <c r="R28" s="13">
        <f>IF(P$12=0,0,P28/P$12)</f>
        <v>0</v>
      </c>
      <c r="S28" s="4"/>
      <c r="T28" s="4">
        <f>SUM(0)</f>
        <v>0</v>
      </c>
      <c r="U28" s="4"/>
      <c r="V28" s="13">
        <f>IF(T$12=0,0,T28/T$12)</f>
        <v>0</v>
      </c>
      <c r="W28" s="4"/>
      <c r="X28" s="4">
        <f>+P28-T28</f>
        <v>0</v>
      </c>
      <c r="Y28" s="4"/>
      <c r="Z28" s="13">
        <f>IF(T28=0,0,X28/T28)</f>
        <v>0</v>
      </c>
    </row>
    <row r="29" spans="1:26" x14ac:dyDescent="0.3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5">
      <c r="A30" s="10"/>
      <c r="B30" s="28" t="s">
        <v>3</v>
      </c>
      <c r="C30" s="28"/>
      <c r="D30" s="22">
        <f>+D22-D24+D28</f>
        <v>3857.9100000000017</v>
      </c>
      <c r="E30" s="14"/>
      <c r="F30" s="21">
        <f>IF(D$12=0,0,D30/D$12)</f>
        <v>0.7393932540770114</v>
      </c>
      <c r="G30" s="14"/>
      <c r="H30" s="22">
        <f>+H22-H24+H28</f>
        <v>3007.3200000000006</v>
      </c>
      <c r="I30" s="14"/>
      <c r="J30" s="21">
        <f>IF(H$12=0,0,H30/H$12)</f>
        <v>0.37604708653914692</v>
      </c>
      <c r="K30" s="15"/>
      <c r="L30" s="22">
        <f>+D30-H30</f>
        <v>850.59000000000106</v>
      </c>
      <c r="M30" s="15"/>
      <c r="N30" s="21">
        <f>IF(H30=0,0,L30/H30)</f>
        <v>0.28283987071545458</v>
      </c>
      <c r="O30" s="29"/>
      <c r="P30" s="22">
        <f>+P22-P24+P28</f>
        <v>427197.05000000005</v>
      </c>
      <c r="Q30" s="14"/>
      <c r="R30" s="21">
        <f>IF(P$12=0,0,P30/P$12)</f>
        <v>0.26648892423024423</v>
      </c>
      <c r="S30" s="14"/>
      <c r="T30" s="22">
        <f>+T22-T24+T28</f>
        <v>576523.29999999981</v>
      </c>
      <c r="U30" s="14"/>
      <c r="V30" s="21">
        <f>IF(T$12=0,0,T30/T$12)</f>
        <v>0.27317291274940175</v>
      </c>
      <c r="W30" s="15"/>
      <c r="X30" s="22">
        <f>+P30-T30</f>
        <v>-149326.24999999977</v>
      </c>
      <c r="Y30" s="15"/>
      <c r="Z30" s="21">
        <f>IF(T30=0,0,X30/T30)</f>
        <v>-0.25901164792472364</v>
      </c>
    </row>
    <row r="31" spans="1:26" x14ac:dyDescent="0.3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5">
      <c r="A32" s="51"/>
      <c r="B32" s="10" t="s">
        <v>13</v>
      </c>
      <c r="C32" s="10"/>
      <c r="D32" s="4">
        <v>53547.91</v>
      </c>
      <c r="E32" s="4"/>
      <c r="F32" s="13">
        <f>IF(D$12=0,0,D32/D$12)</f>
        <v>10.262801212035255</v>
      </c>
      <c r="G32" s="4"/>
      <c r="H32" s="4">
        <v>-68259.66</v>
      </c>
      <c r="I32" s="4"/>
      <c r="J32" s="13">
        <f>IF(H$12=0,0,H32/H$12)</f>
        <v>-8.5354555787720443</v>
      </c>
      <c r="K32" s="4"/>
      <c r="L32" s="4">
        <f>+D32-H32</f>
        <v>121807.57</v>
      </c>
      <c r="M32" s="4"/>
      <c r="N32" s="13">
        <f>IF(H32=0,0,L32/H32)</f>
        <v>-1.7844737287000845</v>
      </c>
      <c r="O32" s="10"/>
      <c r="P32" s="4">
        <v>242765.01</v>
      </c>
      <c r="Q32" s="4"/>
      <c r="R32" s="13">
        <f>IF(P$12=0,0,P32/P$12)</f>
        <v>0.15143874789314316</v>
      </c>
      <c r="S32" s="4"/>
      <c r="T32" s="4">
        <v>150428.18</v>
      </c>
      <c r="U32" s="4"/>
      <c r="V32" s="13">
        <f>IF(T$12=0,0,T32/T$12)</f>
        <v>7.1277091646064106E-2</v>
      </c>
      <c r="W32" s="4"/>
      <c r="X32" s="4">
        <f>+P32-T32</f>
        <v>92336.830000000016</v>
      </c>
      <c r="Y32" s="4"/>
      <c r="Z32" s="13">
        <f>IF(T32=0,0,X32/T32)</f>
        <v>0.61382667795355905</v>
      </c>
    </row>
    <row r="33" spans="1:26" x14ac:dyDescent="0.3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4">
      <c r="A34" s="10"/>
      <c r="B34" s="28" t="s">
        <v>4</v>
      </c>
      <c r="C34" s="28"/>
      <c r="D34" s="34">
        <f>+D30-D32</f>
        <v>-49690</v>
      </c>
      <c r="E34" s="14"/>
      <c r="F34" s="32">
        <f>IF(D$12=0,0,D34/D$12)</f>
        <v>-9.5234079579582431</v>
      </c>
      <c r="G34" s="14"/>
      <c r="H34" s="34">
        <f>+H30-H32</f>
        <v>71266.98000000001</v>
      </c>
      <c r="I34" s="14"/>
      <c r="J34" s="32">
        <f>IF(H$12=0,0,H34/H$12)</f>
        <v>8.9115026653111915</v>
      </c>
      <c r="K34" s="15"/>
      <c r="L34" s="34">
        <f>D34-H34</f>
        <v>-120956.98000000001</v>
      </c>
      <c r="M34" s="15"/>
      <c r="N34" s="32">
        <f>IF(H34=0,0,L34/H34)</f>
        <v>-1.6972373461033425</v>
      </c>
      <c r="O34" s="29"/>
      <c r="P34" s="34">
        <f>+P30-P32</f>
        <v>184432.04000000004</v>
      </c>
      <c r="Q34" s="14"/>
      <c r="R34" s="32">
        <f>IF(P$12=0,0,P34/P$12)</f>
        <v>0.11505017633710105</v>
      </c>
      <c r="S34" s="14"/>
      <c r="T34" s="34">
        <f>+T30-T32</f>
        <v>426095.11999999982</v>
      </c>
      <c r="U34" s="14"/>
      <c r="V34" s="32">
        <f>IF(T$12=0,0,T34/T$12)</f>
        <v>0.20189582110333762</v>
      </c>
      <c r="W34" s="15"/>
      <c r="X34" s="34">
        <f>P34-T34</f>
        <v>-241663.07999999978</v>
      </c>
      <c r="Y34" s="15"/>
      <c r="Z34" s="32">
        <f>IF(T34=0,0,X34/T34)</f>
        <v>-0.56715758678484718</v>
      </c>
    </row>
    <row r="35" spans="1:26" ht="15" thickTop="1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4">
      <c r="A37" s="10"/>
      <c r="B37" s="28" t="s">
        <v>5</v>
      </c>
      <c r="C37" s="28"/>
      <c r="D37" s="35">
        <f>SUM(D34:D36)</f>
        <v>-49690</v>
      </c>
      <c r="E37" s="14"/>
      <c r="F37" s="33">
        <f>IF(D$12=0,0,D37/D$12)</f>
        <v>-9.5234079579582431</v>
      </c>
      <c r="G37" s="14"/>
      <c r="H37" s="35">
        <f>SUM(H34:H36)</f>
        <v>71266.98000000001</v>
      </c>
      <c r="I37" s="14"/>
      <c r="J37" s="33">
        <f>IF(H$12=0,0,H37/H$12)</f>
        <v>8.9115026653111915</v>
      </c>
      <c r="K37" s="15"/>
      <c r="L37" s="35">
        <f>+D37-H37</f>
        <v>-120956.98000000001</v>
      </c>
      <c r="M37" s="15"/>
      <c r="N37" s="33">
        <f>IF(H37=0,0,L37/H37)</f>
        <v>-1.6972373461033425</v>
      </c>
      <c r="O37" s="29"/>
      <c r="P37" s="35">
        <f>SUM(P34:P36)</f>
        <v>184432.04000000004</v>
      </c>
      <c r="Q37" s="14"/>
      <c r="R37" s="33">
        <f>IF(P$12=0,0,P37/P$12)</f>
        <v>0.11505017633710105</v>
      </c>
      <c r="S37" s="14"/>
      <c r="T37" s="35">
        <f>SUM(T34:T36)</f>
        <v>426095.11999999982</v>
      </c>
      <c r="U37" s="14"/>
      <c r="V37" s="33">
        <f>IF(T$12=0,0,T37/T$12)</f>
        <v>0.20189582110333762</v>
      </c>
      <c r="W37" s="15"/>
      <c r="X37" s="35">
        <f>+P37-T37</f>
        <v>-241663.07999999978</v>
      </c>
      <c r="Y37" s="15"/>
      <c r="Z37" s="33">
        <f>IF(T37=0,0,X37/T37)</f>
        <v>-0.56715758678484718</v>
      </c>
    </row>
    <row r="38" spans="1:26" ht="15" thickTop="1" x14ac:dyDescent="0.35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52">
        <v>44043.523038460648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61" t="s">
        <v>313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A41" s="9"/>
      <c r="B41" s="54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5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297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SUM(0)</f>
        <v>0</v>
      </c>
      <c r="E18" s="20"/>
      <c r="F18" s="36">
        <f>IF(D$12=0,0,D18/D$12)</f>
        <v>0</v>
      </c>
      <c r="G18" s="20"/>
      <c r="H18" s="20">
        <f>SUM(0)</f>
        <v>0</v>
      </c>
      <c r="I18" s="20"/>
      <c r="J18" s="36">
        <f>IF(H$12=0,0,H18/H$12)</f>
        <v>0</v>
      </c>
      <c r="K18" s="4"/>
      <c r="L18" s="20">
        <f>+D18-H18</f>
        <v>0</v>
      </c>
      <c r="M18" s="4"/>
      <c r="N18" s="36">
        <f>IF(H18=0,0,L18/H18)</f>
        <v>0</v>
      </c>
      <c r="O18" s="10"/>
      <c r="P18" s="20">
        <f>SUM(0)</f>
        <v>0</v>
      </c>
      <c r="Q18" s="20"/>
      <c r="R18" s="36">
        <f>IF(P$12=0,0,P18/P$12)</f>
        <v>0</v>
      </c>
      <c r="S18" s="20"/>
      <c r="T18" s="20">
        <f>SUM(0)</f>
        <v>0</v>
      </c>
      <c r="U18" s="20"/>
      <c r="V18" s="36">
        <f>IF(T$12=0,0,T18/T$12)</f>
        <v>0</v>
      </c>
      <c r="W18" s="4"/>
      <c r="X18" s="20">
        <f>+P18-T18</f>
        <v>0</v>
      </c>
      <c r="Y18" s="4"/>
      <c r="Z18" s="36">
        <f>IF(T18=0,0,X18/T18)</f>
        <v>0</v>
      </c>
    </row>
    <row r="19" spans="1:26" s="56" customFormat="1" x14ac:dyDescent="0.3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0</v>
      </c>
      <c r="C20" s="10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0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3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5">
      <c r="A22" s="10"/>
      <c r="B22" s="28" t="s">
        <v>3</v>
      </c>
      <c r="C22" s="28"/>
      <c r="D22" s="22">
        <f>+D16-D18+D20</f>
        <v>0</v>
      </c>
      <c r="E22" s="14"/>
      <c r="F22" s="21">
        <f>IF(D$12=0,0,D22/D$12)</f>
        <v>0</v>
      </c>
      <c r="G22" s="14"/>
      <c r="H22" s="22">
        <f>+H16-H18+H20</f>
        <v>0</v>
      </c>
      <c r="I22" s="14"/>
      <c r="J22" s="21">
        <f>IF(H$12=0,0,H22/H$12)</f>
        <v>0</v>
      </c>
      <c r="K22" s="15"/>
      <c r="L22" s="22">
        <f>+D22-H22</f>
        <v>0</v>
      </c>
      <c r="M22" s="15"/>
      <c r="N22" s="21">
        <f>IF(H22=0,0,L22/H22)</f>
        <v>0</v>
      </c>
      <c r="O22" s="29"/>
      <c r="P22" s="22">
        <f>+P16-P18+P20</f>
        <v>0</v>
      </c>
      <c r="Q22" s="14"/>
      <c r="R22" s="21">
        <f>IF(P$12=0,0,P22/P$12)</f>
        <v>0</v>
      </c>
      <c r="S22" s="14"/>
      <c r="T22" s="22">
        <f>+T16-T18+T20</f>
        <v>0</v>
      </c>
      <c r="U22" s="14"/>
      <c r="V22" s="21">
        <f>IF(T$12=0,0,T22/T$12)</f>
        <v>0</v>
      </c>
      <c r="W22" s="15"/>
      <c r="X22" s="22">
        <f>+P22-T22</f>
        <v>0</v>
      </c>
      <c r="Y22" s="15"/>
      <c r="Z22" s="21">
        <f>IF(T22=0,0,X22/T22)</f>
        <v>0</v>
      </c>
    </row>
    <row r="23" spans="1:26" x14ac:dyDescent="0.3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5">
      <c r="A24" s="51"/>
      <c r="B24" s="10" t="s">
        <v>13</v>
      </c>
      <c r="C24" s="10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0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3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4">
      <c r="A26" s="10"/>
      <c r="B26" s="28" t="s">
        <v>4</v>
      </c>
      <c r="C26" s="28"/>
      <c r="D26" s="34">
        <f>+D22-D24</f>
        <v>0</v>
      </c>
      <c r="E26" s="14"/>
      <c r="F26" s="32">
        <f>IF(D$12=0,0,D26/D$12)</f>
        <v>0</v>
      </c>
      <c r="G26" s="14"/>
      <c r="H26" s="34">
        <f>+H22-H24</f>
        <v>0</v>
      </c>
      <c r="I26" s="14"/>
      <c r="J26" s="32">
        <f>IF(H$12=0,0,H26/H$12)</f>
        <v>0</v>
      </c>
      <c r="K26" s="15"/>
      <c r="L26" s="34">
        <f>D26-H26</f>
        <v>0</v>
      </c>
      <c r="M26" s="15"/>
      <c r="N26" s="32">
        <f>IF(H26=0,0,L26/H26)</f>
        <v>0</v>
      </c>
      <c r="O26" s="29"/>
      <c r="P26" s="34">
        <f>+P22-P24</f>
        <v>0</v>
      </c>
      <c r="Q26" s="14"/>
      <c r="R26" s="32">
        <f>IF(P$12=0,0,P26/P$12)</f>
        <v>0</v>
      </c>
      <c r="S26" s="14"/>
      <c r="T26" s="34">
        <f>+T22-T24</f>
        <v>0</v>
      </c>
      <c r="U26" s="14"/>
      <c r="V26" s="32">
        <f>IF(T$12=0,0,T26/T$12)</f>
        <v>0</v>
      </c>
      <c r="W26" s="15"/>
      <c r="X26" s="34">
        <f>P26-T26</f>
        <v>0</v>
      </c>
      <c r="Y26" s="15"/>
      <c r="Z26" s="32">
        <f>IF(T26=0,0,X26/T26)</f>
        <v>0</v>
      </c>
    </row>
    <row r="27" spans="1:26" ht="15" thickTop="1" x14ac:dyDescent="0.3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5">
      <c r="A28" s="51"/>
      <c r="B28" s="10" t="s">
        <v>2</v>
      </c>
      <c r="C28" s="10"/>
      <c r="D28" s="4">
        <f>--322360.04</f>
        <v>322360.03999999998</v>
      </c>
      <c r="E28" s="4"/>
      <c r="F28" s="13">
        <f t="shared" ref="F28:F29" si="0">IF(D$12=0,0,D28/D$12)</f>
        <v>0</v>
      </c>
      <c r="G28" s="4"/>
      <c r="H28" s="4">
        <f>--12494.53</f>
        <v>12494.53</v>
      </c>
      <c r="I28" s="4"/>
      <c r="J28" s="13">
        <f t="shared" ref="J28:J29" si="1">IF(H$12=0,0,H28/H$12)</f>
        <v>0</v>
      </c>
      <c r="K28" s="4"/>
      <c r="L28" s="4">
        <f t="shared" ref="L28:L29" si="2">+D28-H28</f>
        <v>309865.50999999995</v>
      </c>
      <c r="M28" s="4"/>
      <c r="N28" s="13">
        <f t="shared" ref="N28:N29" si="3">IF(H28=0,0,L28/H28)</f>
        <v>24.800093320837192</v>
      </c>
      <c r="O28" s="10"/>
      <c r="P28" s="4">
        <f>-36911.48</f>
        <v>-36911.480000000003</v>
      </c>
      <c r="Q28" s="4"/>
      <c r="R28" s="13">
        <f t="shared" ref="R28:R29" si="4">IF(P$12=0,0,P28/P$12)</f>
        <v>0</v>
      </c>
      <c r="S28" s="4"/>
      <c r="T28" s="4">
        <f>-494428.15</f>
        <v>-494428.15</v>
      </c>
      <c r="U28" s="4"/>
      <c r="V28" s="13">
        <f t="shared" ref="V28:V29" si="5">IF(T$12=0,0,T28/T$12)</f>
        <v>0</v>
      </c>
      <c r="W28" s="4"/>
      <c r="X28" s="4">
        <f t="shared" ref="X28:X29" si="6">+P28-T28</f>
        <v>457516.67000000004</v>
      </c>
      <c r="Y28" s="4"/>
      <c r="Z28" s="13">
        <f t="shared" ref="Z28:Z29" si="7">IF(T28=0,0,X28/T28)</f>
        <v>-0.92534510828317529</v>
      </c>
    </row>
    <row r="29" spans="1:26" s="23" customFormat="1" x14ac:dyDescent="0.35">
      <c r="A29" s="51"/>
      <c r="B29" s="10" t="s">
        <v>1</v>
      </c>
      <c r="C29" s="10"/>
      <c r="D29" s="4">
        <f>--56882.15</f>
        <v>56882.15</v>
      </c>
      <c r="E29" s="4"/>
      <c r="F29" s="13">
        <f t="shared" si="0"/>
        <v>0</v>
      </c>
      <c r="G29" s="4"/>
      <c r="H29" s="4">
        <f>--431960.18</f>
        <v>431960.18</v>
      </c>
      <c r="I29" s="4"/>
      <c r="J29" s="13">
        <f t="shared" si="1"/>
        <v>0</v>
      </c>
      <c r="K29" s="4"/>
      <c r="L29" s="4">
        <f t="shared" si="2"/>
        <v>-375078.02999999997</v>
      </c>
      <c r="M29" s="4"/>
      <c r="N29" s="13">
        <f t="shared" si="3"/>
        <v>-0.8683162184069837</v>
      </c>
      <c r="O29" s="10"/>
      <c r="P29" s="4">
        <f>--324468.28</f>
        <v>324468.28000000003</v>
      </c>
      <c r="Q29" s="4"/>
      <c r="R29" s="13">
        <f t="shared" si="4"/>
        <v>0</v>
      </c>
      <c r="S29" s="4"/>
      <c r="T29" s="4">
        <f>--839538.06</f>
        <v>839538.06</v>
      </c>
      <c r="U29" s="4"/>
      <c r="V29" s="13">
        <f t="shared" si="5"/>
        <v>0</v>
      </c>
      <c r="W29" s="4"/>
      <c r="X29" s="4">
        <f t="shared" si="6"/>
        <v>-515069.78</v>
      </c>
      <c r="Y29" s="4"/>
      <c r="Z29" s="13">
        <f t="shared" si="7"/>
        <v>-0.61351569933589434</v>
      </c>
    </row>
    <row r="30" spans="1:26" x14ac:dyDescent="0.3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5</v>
      </c>
      <c r="C31" s="28"/>
      <c r="D31" s="35">
        <f>SUM(D26:D30)</f>
        <v>379242.19</v>
      </c>
      <c r="E31" s="14"/>
      <c r="F31" s="33">
        <f>IF(D$12=0,0,D31/D$12)</f>
        <v>0</v>
      </c>
      <c r="G31" s="14"/>
      <c r="H31" s="35">
        <f>SUM(H26:H30)</f>
        <v>444454.71</v>
      </c>
      <c r="I31" s="14"/>
      <c r="J31" s="33">
        <f>IF(H$12=0,0,H31/H$12)</f>
        <v>0</v>
      </c>
      <c r="K31" s="15"/>
      <c r="L31" s="35">
        <f>+D31-H31</f>
        <v>-65212.520000000019</v>
      </c>
      <c r="M31" s="15"/>
      <c r="N31" s="33">
        <f>IF(H31=0,0,L31/H31)</f>
        <v>-0.14672478102437034</v>
      </c>
      <c r="O31" s="29"/>
      <c r="P31" s="35">
        <f>SUM(P26:P30)</f>
        <v>287556.80000000005</v>
      </c>
      <c r="Q31" s="14"/>
      <c r="R31" s="33">
        <f>IF(P$12=0,0,P31/P$12)</f>
        <v>0</v>
      </c>
      <c r="S31" s="14"/>
      <c r="T31" s="35">
        <f>SUM(T26:T30)</f>
        <v>345109.91000000003</v>
      </c>
      <c r="U31" s="14"/>
      <c r="V31" s="33">
        <f>IF(T$12=0,0,T31/T$12)</f>
        <v>0</v>
      </c>
      <c r="W31" s="15"/>
      <c r="X31" s="35">
        <f>+P31-T31</f>
        <v>-57553.109999999986</v>
      </c>
      <c r="Y31" s="15"/>
      <c r="Z31" s="33">
        <f>IF(T31=0,0,X31/T31)</f>
        <v>-0.16676747996022478</v>
      </c>
    </row>
    <row r="32" spans="1:26" ht="15" thickTop="1" x14ac:dyDescent="0.3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5">
      <c r="A33" s="9"/>
      <c r="B33" s="52">
        <v>44043.522194131947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5">
      <c r="A34" s="9"/>
      <c r="B34" s="61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5">
      <c r="A35" s="9"/>
      <c r="B35" s="54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302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168787.31000000003</v>
      </c>
      <c r="E12" s="4"/>
      <c r="F12" s="13"/>
      <c r="G12" s="4"/>
      <c r="H12" s="4">
        <f>SUM(OSRRefH13x_0)</f>
        <v>190324.31999999998</v>
      </c>
      <c r="I12" s="4"/>
      <c r="J12" s="13"/>
      <c r="K12" s="4"/>
      <c r="L12" s="4">
        <f t="shared" ref="L12:L44" si="0">+D12-H12</f>
        <v>-21537.009999999951</v>
      </c>
      <c r="M12" s="4"/>
      <c r="N12" s="13">
        <f t="shared" ref="N12:N44" si="1">IF(H12=0,0,L12/H12)</f>
        <v>-0.11315952685395095</v>
      </c>
      <c r="O12" s="10"/>
      <c r="P12" s="4">
        <f>SUM(OSRRefP13x_0)</f>
        <v>2936241.2100000004</v>
      </c>
      <c r="Q12" s="4"/>
      <c r="R12" s="13"/>
      <c r="S12" s="4"/>
      <c r="T12" s="4">
        <f>SUM(OSRRefT13x_0)</f>
        <v>3666643.5099999993</v>
      </c>
      <c r="U12" s="4"/>
      <c r="V12" s="13"/>
      <c r="W12" s="4"/>
      <c r="X12" s="4">
        <f t="shared" ref="X12:X44" si="2">+P12-T12</f>
        <v>-730402.29999999888</v>
      </c>
      <c r="Y12" s="4"/>
      <c r="Z12" s="13">
        <f t="shared" ref="Z12:Z44" si="3">IF(T12=0,0,X12/T12)</f>
        <v>-0.19920188532317915</v>
      </c>
    </row>
    <row r="13" spans="1:26" s="24" customFormat="1" hidden="1" outlineLevel="1" x14ac:dyDescent="0.3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7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3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>
        <f>--16.53</f>
        <v>16.53</v>
      </c>
      <c r="U14" s="2"/>
      <c r="V14" s="19"/>
      <c r="W14" s="2"/>
      <c r="X14" s="2">
        <f t="shared" si="2"/>
        <v>-2.9100000000000019</v>
      </c>
      <c r="Y14" s="2"/>
      <c r="Z14" s="19">
        <f t="shared" si="3"/>
        <v>-0.17604355716878414</v>
      </c>
    </row>
    <row r="15" spans="1:26" s="24" customFormat="1" hidden="1" outlineLevel="1" x14ac:dyDescent="0.3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>
        <f>--21.01</f>
        <v>21.01</v>
      </c>
      <c r="I15" s="2"/>
      <c r="J15" s="19"/>
      <c r="K15" s="2"/>
      <c r="L15" s="2">
        <f t="shared" si="0"/>
        <v>-21.01</v>
      </c>
      <c r="M15" s="2"/>
      <c r="N15" s="19">
        <f t="shared" si="1"/>
        <v>-1</v>
      </c>
      <c r="O15" s="11"/>
      <c r="P15" s="2">
        <f>--229.51</f>
        <v>229.51</v>
      </c>
      <c r="Q15" s="2"/>
      <c r="R15" s="19"/>
      <c r="S15" s="2"/>
      <c r="T15" s="2">
        <f>--534.9</f>
        <v>534.9</v>
      </c>
      <c r="U15" s="2"/>
      <c r="V15" s="19"/>
      <c r="W15" s="2"/>
      <c r="X15" s="2">
        <f t="shared" si="2"/>
        <v>-305.39</v>
      </c>
      <c r="Y15" s="2"/>
      <c r="Z15" s="19">
        <f t="shared" si="3"/>
        <v>-0.5709291456346981</v>
      </c>
    </row>
    <row r="16" spans="1:26" s="24" customFormat="1" hidden="1" outlineLevel="1" x14ac:dyDescent="0.3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-149.34</v>
      </c>
      <c r="Y16" s="2"/>
      <c r="Z16" s="19">
        <f t="shared" si="3"/>
        <v>-0.48030103238671085</v>
      </c>
    </row>
    <row r="17" spans="1:26" s="24" customFormat="1" hidden="1" outlineLevel="1" x14ac:dyDescent="0.3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3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--46364.3</f>
        <v>46364.3</v>
      </c>
      <c r="E18" s="2"/>
      <c r="F18" s="19"/>
      <c r="G18" s="2"/>
      <c r="H18" s="2">
        <f>--124399.79</f>
        <v>124399.79</v>
      </c>
      <c r="I18" s="2"/>
      <c r="J18" s="19"/>
      <c r="K18" s="2"/>
      <c r="L18" s="2">
        <f t="shared" si="0"/>
        <v>-78035.489999999991</v>
      </c>
      <c r="M18" s="2"/>
      <c r="N18" s="19">
        <f t="shared" si="1"/>
        <v>-0.6272959946315021</v>
      </c>
      <c r="O18" s="11"/>
      <c r="P18" s="2">
        <f>--1941274.42</f>
        <v>1941274.42</v>
      </c>
      <c r="Q18" s="2"/>
      <c r="R18" s="19"/>
      <c r="S18" s="2"/>
      <c r="T18" s="2">
        <f>--2503852.42</f>
        <v>2503852.42</v>
      </c>
      <c r="U18" s="2"/>
      <c r="V18" s="19"/>
      <c r="W18" s="2"/>
      <c r="X18" s="2">
        <f t="shared" si="2"/>
        <v>-562578</v>
      </c>
      <c r="Y18" s="2"/>
      <c r="Z18" s="19">
        <f t="shared" si="3"/>
        <v>-0.22468496765476298</v>
      </c>
    </row>
    <row r="19" spans="1:26" s="24" customFormat="1" hidden="1" outlineLevel="1" x14ac:dyDescent="0.3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--29345.98</f>
        <v>29345.98</v>
      </c>
      <c r="E19" s="2"/>
      <c r="F19" s="19"/>
      <c r="G19" s="2"/>
      <c r="H19" s="2">
        <f>--29906.38</f>
        <v>29906.38</v>
      </c>
      <c r="I19" s="2"/>
      <c r="J19" s="19"/>
      <c r="K19" s="2"/>
      <c r="L19" s="2">
        <f t="shared" si="0"/>
        <v>-560.40000000000146</v>
      </c>
      <c r="M19" s="2"/>
      <c r="N19" s="19">
        <f t="shared" si="1"/>
        <v>-1.8738476539119794E-2</v>
      </c>
      <c r="O19" s="11"/>
      <c r="P19" s="2">
        <f>--380463.99</f>
        <v>380463.99</v>
      </c>
      <c r="Q19" s="2"/>
      <c r="R19" s="19"/>
      <c r="S19" s="2"/>
      <c r="T19" s="2">
        <f>--663277.47</f>
        <v>663277.47</v>
      </c>
      <c r="U19" s="2"/>
      <c r="V19" s="19"/>
      <c r="W19" s="2"/>
      <c r="X19" s="2">
        <f t="shared" si="2"/>
        <v>-282813.48</v>
      </c>
      <c r="Y19" s="2"/>
      <c r="Z19" s="19">
        <f t="shared" si="3"/>
        <v>-0.42638788861620763</v>
      </c>
    </row>
    <row r="20" spans="1:26" s="24" customFormat="1" hidden="1" outlineLevel="1" x14ac:dyDescent="0.3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--2752.94</f>
        <v>2752.94</v>
      </c>
      <c r="E20" s="2"/>
      <c r="F20" s="19"/>
      <c r="G20" s="2"/>
      <c r="H20" s="2">
        <f>--7454.78</f>
        <v>7454.78</v>
      </c>
      <c r="I20" s="2"/>
      <c r="J20" s="19"/>
      <c r="K20" s="2"/>
      <c r="L20" s="2">
        <f t="shared" si="0"/>
        <v>-4701.84</v>
      </c>
      <c r="M20" s="2"/>
      <c r="N20" s="19">
        <f t="shared" si="1"/>
        <v>-0.63071478970539707</v>
      </c>
      <c r="O20" s="11"/>
      <c r="P20" s="2">
        <f>--208367.78</f>
        <v>208367.78</v>
      </c>
      <c r="Q20" s="2"/>
      <c r="R20" s="19"/>
      <c r="S20" s="2"/>
      <c r="T20" s="2">
        <f>--235702.4</f>
        <v>235702.39999999999</v>
      </c>
      <c r="U20" s="2"/>
      <c r="V20" s="19"/>
      <c r="W20" s="2"/>
      <c r="X20" s="2">
        <f t="shared" si="2"/>
        <v>-27334.619999999995</v>
      </c>
      <c r="Y20" s="2"/>
      <c r="Z20" s="19">
        <f t="shared" si="3"/>
        <v>-0.11597090229034578</v>
      </c>
    </row>
    <row r="21" spans="1:26" s="24" customFormat="1" hidden="1" outlineLevel="1" x14ac:dyDescent="0.3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--54.96</f>
        <v>54.96</v>
      </c>
      <c r="E21" s="2"/>
      <c r="F21" s="19"/>
      <c r="G21" s="2"/>
      <c r="H21" s="2">
        <f>--68.96</f>
        <v>68.959999999999994</v>
      </c>
      <c r="I21" s="2"/>
      <c r="J21" s="19"/>
      <c r="K21" s="2"/>
      <c r="L21" s="2">
        <f t="shared" si="0"/>
        <v>-13.999999999999993</v>
      </c>
      <c r="M21" s="2"/>
      <c r="N21" s="19">
        <f t="shared" si="1"/>
        <v>-0.20301624129930387</v>
      </c>
      <c r="O21" s="11"/>
      <c r="P21" s="2">
        <f>--76402.42</f>
        <v>76402.42</v>
      </c>
      <c r="Q21" s="2"/>
      <c r="R21" s="19"/>
      <c r="S21" s="2"/>
      <c r="T21" s="2">
        <f>--3734.35</f>
        <v>3734.35</v>
      </c>
      <c r="U21" s="2"/>
      <c r="V21" s="19"/>
      <c r="W21" s="2"/>
      <c r="X21" s="2">
        <f t="shared" si="2"/>
        <v>72668.069999999992</v>
      </c>
      <c r="Y21" s="2"/>
      <c r="Z21" s="19">
        <f t="shared" si="3"/>
        <v>19.459362405773426</v>
      </c>
    </row>
    <row r="22" spans="1:26" s="24" customFormat="1" hidden="1" outlineLevel="1" x14ac:dyDescent="0.3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--2524.8</f>
        <v>2524.8000000000002</v>
      </c>
      <c r="E22" s="2"/>
      <c r="F22" s="19"/>
      <c r="G22" s="2"/>
      <c r="H22" s="2">
        <f>--2130.34</f>
        <v>2130.34</v>
      </c>
      <c r="I22" s="2"/>
      <c r="J22" s="19"/>
      <c r="K22" s="2"/>
      <c r="L22" s="2">
        <f t="shared" si="0"/>
        <v>394.46000000000004</v>
      </c>
      <c r="M22" s="2"/>
      <c r="N22" s="19">
        <f t="shared" si="1"/>
        <v>0.18516293173859572</v>
      </c>
      <c r="O22" s="11"/>
      <c r="P22" s="2">
        <f>--73365.88</f>
        <v>73365.88</v>
      </c>
      <c r="Q22" s="2"/>
      <c r="R22" s="19"/>
      <c r="S22" s="2"/>
      <c r="T22" s="2">
        <f>--87817.61</f>
        <v>87817.61</v>
      </c>
      <c r="U22" s="2"/>
      <c r="V22" s="19"/>
      <c r="W22" s="2"/>
      <c r="X22" s="2">
        <f t="shared" si="2"/>
        <v>-14451.729999999996</v>
      </c>
      <c r="Y22" s="2"/>
      <c r="Z22" s="19">
        <f t="shared" si="3"/>
        <v>-0.16456528479880056</v>
      </c>
    </row>
    <row r="23" spans="1:26" s="24" customFormat="1" hidden="1" outlineLevel="1" x14ac:dyDescent="0.3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>--26263.53</f>
        <v>26263.53</v>
      </c>
      <c r="E23" s="2"/>
      <c r="F23" s="19"/>
      <c r="G23" s="2"/>
      <c r="H23" s="2">
        <f>--25755.32</f>
        <v>25755.32</v>
      </c>
      <c r="I23" s="2"/>
      <c r="J23" s="19"/>
      <c r="K23" s="2"/>
      <c r="L23" s="2">
        <f t="shared" si="0"/>
        <v>508.20999999999913</v>
      </c>
      <c r="M23" s="2"/>
      <c r="N23" s="19">
        <f t="shared" si="1"/>
        <v>1.97322339617601E-2</v>
      </c>
      <c r="O23" s="11"/>
      <c r="P23" s="2">
        <f>--123103.09</f>
        <v>123103.09</v>
      </c>
      <c r="Q23" s="2"/>
      <c r="R23" s="19"/>
      <c r="S23" s="2"/>
      <c r="T23" s="2">
        <f>--219240.28</f>
        <v>219240.28</v>
      </c>
      <c r="U23" s="2"/>
      <c r="V23" s="19"/>
      <c r="W23" s="2"/>
      <c r="X23" s="2">
        <f t="shared" si="2"/>
        <v>-96137.19</v>
      </c>
      <c r="Y23" s="2"/>
      <c r="Z23" s="19">
        <f t="shared" si="3"/>
        <v>-0.43850149251770709</v>
      </c>
    </row>
    <row r="24" spans="1:26" s="24" customFormat="1" hidden="1" outlineLevel="1" x14ac:dyDescent="0.3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ref="D24:D26" si="7"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-39.95</f>
        <v>-39.950000000000003</v>
      </c>
      <c r="Q24" s="2"/>
      <c r="R24" s="19"/>
      <c r="S24" s="2"/>
      <c r="T24" s="2">
        <f>--364.55</f>
        <v>364.55</v>
      </c>
      <c r="U24" s="2"/>
      <c r="V24" s="19"/>
      <c r="W24" s="2"/>
      <c r="X24" s="2">
        <f t="shared" si="2"/>
        <v>-404.5</v>
      </c>
      <c r="Y24" s="2"/>
      <c r="Z24" s="19">
        <f t="shared" si="3"/>
        <v>-1.1095871622548348</v>
      </c>
    </row>
    <row r="25" spans="1:26" s="24" customFormat="1" hidden="1" outlineLevel="1" x14ac:dyDescent="0.3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7"/>
        <v>0</v>
      </c>
      <c r="E25" s="2"/>
      <c r="F25" s="19"/>
      <c r="G25" s="2"/>
      <c r="H25" s="2">
        <f>--4.95</f>
        <v>4.95</v>
      </c>
      <c r="I25" s="2"/>
      <c r="J25" s="19"/>
      <c r="K25" s="2"/>
      <c r="L25" s="2">
        <f t="shared" si="0"/>
        <v>-4.95</v>
      </c>
      <c r="M25" s="2"/>
      <c r="N25" s="19">
        <f t="shared" si="1"/>
        <v>-1</v>
      </c>
      <c r="O25" s="11"/>
      <c r="P25" s="2">
        <f>--29.7</f>
        <v>29.7</v>
      </c>
      <c r="Q25" s="2"/>
      <c r="R25" s="19"/>
      <c r="S25" s="2"/>
      <c r="T25" s="2">
        <f>--52.47</f>
        <v>52.47</v>
      </c>
      <c r="U25" s="2"/>
      <c r="V25" s="19"/>
      <c r="W25" s="2"/>
      <c r="X25" s="2">
        <f t="shared" si="2"/>
        <v>-22.77</v>
      </c>
      <c r="Y25" s="2"/>
      <c r="Z25" s="19">
        <f t="shared" si="3"/>
        <v>-0.43396226415094341</v>
      </c>
    </row>
    <row r="26" spans="1:26" s="24" customFormat="1" hidden="1" outlineLevel="1" x14ac:dyDescent="0.3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 t="shared" si="7"/>
        <v>0</v>
      </c>
      <c r="E26" s="2"/>
      <c r="F26" s="19"/>
      <c r="G26" s="2"/>
      <c r="H26" s="2">
        <f>--9</f>
        <v>9</v>
      </c>
      <c r="I26" s="2"/>
      <c r="J26" s="19"/>
      <c r="K26" s="2"/>
      <c r="L26" s="2">
        <f t="shared" si="0"/>
        <v>-9</v>
      </c>
      <c r="M26" s="2"/>
      <c r="N26" s="19">
        <f t="shared" si="1"/>
        <v>-1</v>
      </c>
      <c r="O26" s="11"/>
      <c r="P26" s="2">
        <f>--123</f>
        <v>123</v>
      </c>
      <c r="Q26" s="2"/>
      <c r="R26" s="19"/>
      <c r="S26" s="2"/>
      <c r="T26" s="2">
        <f>--126</f>
        <v>126</v>
      </c>
      <c r="U26" s="2"/>
      <c r="V26" s="19"/>
      <c r="W26" s="2"/>
      <c r="X26" s="2">
        <f t="shared" si="2"/>
        <v>-3</v>
      </c>
      <c r="Y26" s="2"/>
      <c r="Z26" s="19">
        <f t="shared" si="3"/>
        <v>-2.3809523809523808E-2</v>
      </c>
    </row>
    <row r="27" spans="1:26" s="24" customFormat="1" hidden="1" outlineLevel="1" x14ac:dyDescent="0.35">
      <c r="A27" s="44"/>
      <c r="B27" s="11" t="str">
        <f>CONCATENATE("          ", "4140", " - ", "NON-TAXABLE SALES-LOGO CLOTHIN")</f>
        <v xml:space="preserve">          4140 - NON-TAXABLE SALES-LOGO CLOTHIN</v>
      </c>
      <c r="C27" s="11"/>
      <c r="D27" s="2">
        <f>--40740.37</f>
        <v>40740.370000000003</v>
      </c>
      <c r="E27" s="2"/>
      <c r="F27" s="19"/>
      <c r="G27" s="2"/>
      <c r="H27" s="2">
        <f>--6820.39</f>
        <v>6820.39</v>
      </c>
      <c r="I27" s="2"/>
      <c r="J27" s="19"/>
      <c r="K27" s="2"/>
      <c r="L27" s="2">
        <f t="shared" si="0"/>
        <v>33919.980000000003</v>
      </c>
      <c r="M27" s="2"/>
      <c r="N27" s="19">
        <f t="shared" si="1"/>
        <v>4.9733197075240572</v>
      </c>
      <c r="O27" s="11"/>
      <c r="P27" s="2">
        <f>--176221.13</f>
        <v>176221.13</v>
      </c>
      <c r="Q27" s="2"/>
      <c r="R27" s="19"/>
      <c r="S27" s="2"/>
      <c r="T27" s="2">
        <f>--62811.11</f>
        <v>62811.11</v>
      </c>
      <c r="U27" s="2"/>
      <c r="V27" s="19"/>
      <c r="W27" s="2"/>
      <c r="X27" s="2">
        <f t="shared" si="2"/>
        <v>113410.02</v>
      </c>
      <c r="Y27" s="2"/>
      <c r="Z27" s="19">
        <f t="shared" si="3"/>
        <v>1.8055726128705576</v>
      </c>
    </row>
    <row r="28" spans="1:26" s="24" customFormat="1" hidden="1" outlineLevel="1" x14ac:dyDescent="0.35">
      <c r="A28" s="44"/>
      <c r="B28" s="11" t="str">
        <f>CONCATENATE("          ", "4141", " - ", "NON-TAXABLE SALES-LOGO GIFTS")</f>
        <v xml:space="preserve">          4141 - NON-TAXABLE SALES-LOGO GIFTS</v>
      </c>
      <c r="C28" s="11"/>
      <c r="D28" s="2">
        <f>--6534.64</f>
        <v>6534.64</v>
      </c>
      <c r="E28" s="2"/>
      <c r="F28" s="19"/>
      <c r="G28" s="2"/>
      <c r="H28" s="2">
        <f>--377.75</f>
        <v>377.75</v>
      </c>
      <c r="I28" s="2"/>
      <c r="J28" s="19"/>
      <c r="K28" s="2"/>
      <c r="L28" s="2">
        <f t="shared" si="0"/>
        <v>6156.89</v>
      </c>
      <c r="M28" s="2"/>
      <c r="N28" s="19">
        <f t="shared" si="1"/>
        <v>16.298848444738585</v>
      </c>
      <c r="O28" s="11"/>
      <c r="P28" s="2">
        <f>--22573.35</f>
        <v>22573.35</v>
      </c>
      <c r="Q28" s="2"/>
      <c r="R28" s="19"/>
      <c r="S28" s="2"/>
      <c r="T28" s="2">
        <f>--4889.83</f>
        <v>4889.83</v>
      </c>
      <c r="U28" s="2"/>
      <c r="V28" s="19"/>
      <c r="W28" s="2"/>
      <c r="X28" s="2">
        <f t="shared" si="2"/>
        <v>17683.519999999997</v>
      </c>
      <c r="Y28" s="2"/>
      <c r="Z28" s="19">
        <f t="shared" si="3"/>
        <v>3.6163874817733945</v>
      </c>
    </row>
    <row r="29" spans="1:26" s="24" customFormat="1" hidden="1" outlineLevel="1" x14ac:dyDescent="0.35">
      <c r="A29" s="44"/>
      <c r="B29" s="11" t="str">
        <f>CONCATENATE("          ", "4142", " - ", "NON-TAXABLE SALES-EVERYDAY GIF")</f>
        <v xml:space="preserve">          4142 - NON-TAXABLE SALES-EVERYDAY GIF</v>
      </c>
      <c r="C29" s="11"/>
      <c r="D29" s="2">
        <f>--1018.52</f>
        <v>1018.52</v>
      </c>
      <c r="E29" s="2"/>
      <c r="F29" s="19"/>
      <c r="G29" s="2"/>
      <c r="H29" s="2">
        <f>--139.83</f>
        <v>139.83000000000001</v>
      </c>
      <c r="I29" s="2"/>
      <c r="J29" s="19"/>
      <c r="K29" s="2"/>
      <c r="L29" s="2">
        <f t="shared" si="0"/>
        <v>878.68999999999994</v>
      </c>
      <c r="M29" s="2"/>
      <c r="N29" s="19">
        <f t="shared" si="1"/>
        <v>6.2839876993492085</v>
      </c>
      <c r="O29" s="11"/>
      <c r="P29" s="2">
        <f>--7426.72</f>
        <v>7426.72</v>
      </c>
      <c r="Q29" s="2"/>
      <c r="R29" s="19"/>
      <c r="S29" s="2"/>
      <c r="T29" s="2">
        <f>--7515.71</f>
        <v>7515.71</v>
      </c>
      <c r="U29" s="2"/>
      <c r="V29" s="19"/>
      <c r="W29" s="2"/>
      <c r="X29" s="2">
        <f t="shared" si="2"/>
        <v>-88.989999999999782</v>
      </c>
      <c r="Y29" s="2"/>
      <c r="Z29" s="19">
        <f t="shared" si="3"/>
        <v>-1.1840531366963305E-2</v>
      </c>
    </row>
    <row r="30" spans="1:26" s="24" customFormat="1" hidden="1" outlineLevel="1" x14ac:dyDescent="0.35">
      <c r="A30" s="44"/>
      <c r="B30" s="11" t="str">
        <f>CONCATENATE("          ", "4143", " - ", "NON-TAXABLE SALES-CARDS")</f>
        <v xml:space="preserve">          4143 - NON-TAXABLE SALES-CARDS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--19.98</f>
        <v>19.98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19.98</v>
      </c>
      <c r="Y30" s="2"/>
      <c r="Z30" s="19">
        <f t="shared" si="3"/>
        <v>0</v>
      </c>
    </row>
    <row r="31" spans="1:26" s="24" customFormat="1" hidden="1" outlineLevel="1" x14ac:dyDescent="0.35">
      <c r="A31" s="44"/>
      <c r="B31" s="11" t="str">
        <f>CONCATENATE("          ", "4144", " - ", "NON-TAXABLE SALES-ACCESSORIES")</f>
        <v xml:space="preserve">          4144 - NON-TAXABLE SALES-ACCESSORIES</v>
      </c>
      <c r="C31" s="11"/>
      <c r="D31" s="2">
        <f>--386.9</f>
        <v>386.9</v>
      </c>
      <c r="E31" s="2"/>
      <c r="F31" s="19"/>
      <c r="G31" s="2"/>
      <c r="H31" s="2">
        <f>--19.95</f>
        <v>19.95</v>
      </c>
      <c r="I31" s="2"/>
      <c r="J31" s="19"/>
      <c r="K31" s="2"/>
      <c r="L31" s="2">
        <f t="shared" si="0"/>
        <v>366.95</v>
      </c>
      <c r="M31" s="2"/>
      <c r="N31" s="19">
        <f t="shared" si="1"/>
        <v>18.393483709273184</v>
      </c>
      <c r="O31" s="11"/>
      <c r="P31" s="2">
        <f>--3710.92</f>
        <v>3710.92</v>
      </c>
      <c r="Q31" s="2"/>
      <c r="R31" s="19"/>
      <c r="S31" s="2"/>
      <c r="T31" s="2">
        <f>--659.84</f>
        <v>659.84</v>
      </c>
      <c r="U31" s="2"/>
      <c r="V31" s="19"/>
      <c r="W31" s="2"/>
      <c r="X31" s="2">
        <f t="shared" si="2"/>
        <v>3051.08</v>
      </c>
      <c r="Y31" s="2"/>
      <c r="Z31" s="19">
        <f t="shared" si="3"/>
        <v>4.6239694471387001</v>
      </c>
    </row>
    <row r="32" spans="1:26" s="24" customFormat="1" hidden="1" outlineLevel="1" x14ac:dyDescent="0.35">
      <c r="A32" s="44"/>
      <c r="B32" s="11" t="str">
        <f>CONCATENATE("          ", "4145", " - ", "NON-TAXABLE SALES-SPECIAL ORDE")</f>
        <v xml:space="preserve">          4145 - NON-TAXABLE SALES-SPECIAL ORDE</v>
      </c>
      <c r="C32" s="11"/>
      <c r="D32" s="2">
        <f>--19379.5</f>
        <v>19379.5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19379.5</v>
      </c>
      <c r="M32" s="2"/>
      <c r="N32" s="19">
        <f t="shared" si="1"/>
        <v>0</v>
      </c>
      <c r="O32" s="11"/>
      <c r="P32" s="2">
        <f>--27208.18</f>
        <v>27208.18</v>
      </c>
      <c r="Q32" s="2"/>
      <c r="R32" s="19"/>
      <c r="S32" s="2"/>
      <c r="T32" s="2">
        <f>--2382.85</f>
        <v>2382.85</v>
      </c>
      <c r="U32" s="2"/>
      <c r="V32" s="19"/>
      <c r="W32" s="2"/>
      <c r="X32" s="2">
        <f t="shared" si="2"/>
        <v>24825.33</v>
      </c>
      <c r="Y32" s="2"/>
      <c r="Z32" s="19">
        <f t="shared" si="3"/>
        <v>10.418335186856076</v>
      </c>
    </row>
    <row r="33" spans="1:26" s="24" customFormat="1" hidden="1" outlineLevel="1" x14ac:dyDescent="0.35">
      <c r="A33" s="44"/>
      <c r="B33" s="11" t="str">
        <f>CONCATENATE("          ", "4226", " - ", "SALES RETURN TAXABLE-WRITING I")</f>
        <v xml:space="preserve">          4226 - SALES RETURN TAXABLE-WRITING I</v>
      </c>
      <c r="C33" s="11"/>
      <c r="D33" s="2">
        <f t="shared" ref="D33:D34" si="8">0</f>
        <v>0</v>
      </c>
      <c r="E33" s="2"/>
      <c r="F33" s="19"/>
      <c r="G33" s="2"/>
      <c r="H33" s="2">
        <f>-0.79</f>
        <v>-0.79</v>
      </c>
      <c r="I33" s="2"/>
      <c r="J33" s="19"/>
      <c r="K33" s="2"/>
      <c r="L33" s="2">
        <f t="shared" si="0"/>
        <v>0.79</v>
      </c>
      <c r="M33" s="2"/>
      <c r="N33" s="19">
        <f t="shared" si="1"/>
        <v>-1</v>
      </c>
      <c r="O33" s="11"/>
      <c r="P33" s="2">
        <f>-134.8</f>
        <v>-134.80000000000001</v>
      </c>
      <c r="Q33" s="2"/>
      <c r="R33" s="19"/>
      <c r="S33" s="2"/>
      <c r="T33" s="2">
        <f>-5.86</f>
        <v>-5.86</v>
      </c>
      <c r="U33" s="2"/>
      <c r="V33" s="19"/>
      <c r="W33" s="2"/>
      <c r="X33" s="2">
        <f t="shared" si="2"/>
        <v>-128.94</v>
      </c>
      <c r="Y33" s="2"/>
      <c r="Z33" s="19">
        <f t="shared" si="3"/>
        <v>22.003412969283275</v>
      </c>
    </row>
    <row r="34" spans="1:26" s="24" customFormat="1" hidden="1" outlineLevel="1" x14ac:dyDescent="0.35">
      <c r="A34" s="44"/>
      <c r="B34" s="11" t="str">
        <f>CONCATENATE("          ", "4227", " - ", "SALES RETURN TAXABLE-SCHOOL SU")</f>
        <v xml:space="preserve">          4227 - SALES RETURN TAXABLE-SCHOOL SU</v>
      </c>
      <c r="C34" s="11"/>
      <c r="D34" s="2">
        <f t="shared" si="8"/>
        <v>0</v>
      </c>
      <c r="E34" s="2"/>
      <c r="F34" s="19"/>
      <c r="G34" s="2"/>
      <c r="H34" s="2">
        <f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-4.99</f>
        <v>-4.99</v>
      </c>
      <c r="U34" s="2"/>
      <c r="V34" s="19"/>
      <c r="W34" s="2"/>
      <c r="X34" s="2">
        <f t="shared" si="2"/>
        <v>4.99</v>
      </c>
      <c r="Y34" s="2"/>
      <c r="Z34" s="19">
        <f t="shared" si="3"/>
        <v>-1</v>
      </c>
    </row>
    <row r="35" spans="1:26" s="24" customFormat="1" hidden="1" outlineLevel="1" x14ac:dyDescent="0.35">
      <c r="A35" s="44"/>
      <c r="B35" s="11" t="str">
        <f>CONCATENATE("          ", "4240", " - ", "SALES RETURN TAXABLE-LOGO CLOT")</f>
        <v xml:space="preserve">          4240 - SALES RETURN TAXABLE-LOGO CLOT</v>
      </c>
      <c r="C35" s="11"/>
      <c r="D35" s="2">
        <f>-2702.34</f>
        <v>-2702.34</v>
      </c>
      <c r="E35" s="2"/>
      <c r="F35" s="19"/>
      <c r="G35" s="2"/>
      <c r="H35" s="2">
        <f>-4511.18</f>
        <v>-4511.18</v>
      </c>
      <c r="I35" s="2"/>
      <c r="J35" s="19"/>
      <c r="K35" s="2"/>
      <c r="L35" s="2">
        <f t="shared" si="0"/>
        <v>1808.8400000000001</v>
      </c>
      <c r="M35" s="2"/>
      <c r="N35" s="19">
        <f t="shared" si="1"/>
        <v>-0.40096826107581607</v>
      </c>
      <c r="O35" s="11"/>
      <c r="P35" s="2">
        <f>-80387.11</f>
        <v>-80387.11</v>
      </c>
      <c r="Q35" s="2"/>
      <c r="R35" s="19"/>
      <c r="S35" s="2"/>
      <c r="T35" s="2">
        <f>-98015.21</f>
        <v>-98015.21</v>
      </c>
      <c r="U35" s="2"/>
      <c r="V35" s="19"/>
      <c r="W35" s="2"/>
      <c r="X35" s="2">
        <f t="shared" si="2"/>
        <v>17628.100000000006</v>
      </c>
      <c r="Y35" s="2"/>
      <c r="Z35" s="19">
        <f t="shared" si="3"/>
        <v>-0.17985065787238536</v>
      </c>
    </row>
    <row r="36" spans="1:26" s="24" customFormat="1" hidden="1" outlineLevel="1" x14ac:dyDescent="0.35">
      <c r="A36" s="44"/>
      <c r="B36" s="11" t="str">
        <f>CONCATENATE("          ", "4241", " - ", "SALES RETURN TAXABLE-LOGO GIFT")</f>
        <v xml:space="preserve">          4241 - SALES RETURN TAXABLE-LOGO GIFT</v>
      </c>
      <c r="C36" s="11"/>
      <c r="D36" s="2">
        <f>-525.51</f>
        <v>-525.51</v>
      </c>
      <c r="E36" s="2"/>
      <c r="F36" s="19"/>
      <c r="G36" s="2"/>
      <c r="H36" s="2">
        <f>-930.18</f>
        <v>-930.18</v>
      </c>
      <c r="I36" s="2"/>
      <c r="J36" s="19"/>
      <c r="K36" s="2"/>
      <c r="L36" s="2">
        <f t="shared" si="0"/>
        <v>404.66999999999996</v>
      </c>
      <c r="M36" s="2"/>
      <c r="N36" s="19">
        <f t="shared" si="1"/>
        <v>-0.43504483003289685</v>
      </c>
      <c r="O36" s="11"/>
      <c r="P36" s="2">
        <f>-6931.38</f>
        <v>-6931.38</v>
      </c>
      <c r="Q36" s="2"/>
      <c r="R36" s="19"/>
      <c r="S36" s="2"/>
      <c r="T36" s="2">
        <f>-15119.17</f>
        <v>-15119.17</v>
      </c>
      <c r="U36" s="2"/>
      <c r="V36" s="19"/>
      <c r="W36" s="2"/>
      <c r="X36" s="2">
        <f t="shared" si="2"/>
        <v>8187.79</v>
      </c>
      <c r="Y36" s="2"/>
      <c r="Z36" s="19">
        <f t="shared" si="3"/>
        <v>-0.54155023060128304</v>
      </c>
    </row>
    <row r="37" spans="1:26" s="24" customFormat="1" hidden="1" outlineLevel="1" x14ac:dyDescent="0.35">
      <c r="A37" s="44"/>
      <c r="B37" s="11" t="str">
        <f>CONCATENATE("          ", "4242", " - ", "SALES RETURN TAXABLE-EVERYDAY")</f>
        <v xml:space="preserve">          4242 - SALES RETURN TAXABLE-EVERYDAY</v>
      </c>
      <c r="C37" s="11"/>
      <c r="D37" s="2">
        <f>-51.44</f>
        <v>-51.44</v>
      </c>
      <c r="E37" s="2"/>
      <c r="F37" s="19"/>
      <c r="G37" s="2"/>
      <c r="H37" s="2">
        <f>-229.78</f>
        <v>-229.78</v>
      </c>
      <c r="I37" s="2"/>
      <c r="J37" s="19"/>
      <c r="K37" s="2"/>
      <c r="L37" s="2">
        <f t="shared" si="0"/>
        <v>178.34</v>
      </c>
      <c r="M37" s="2"/>
      <c r="N37" s="19">
        <f t="shared" si="1"/>
        <v>-0.77613369309774571</v>
      </c>
      <c r="O37" s="11"/>
      <c r="P37" s="2">
        <f>-4005.15</f>
        <v>-4005.15</v>
      </c>
      <c r="Q37" s="2"/>
      <c r="R37" s="19"/>
      <c r="S37" s="2"/>
      <c r="T37" s="2">
        <f>-5238.15</f>
        <v>-5238.1499999999996</v>
      </c>
      <c r="U37" s="2"/>
      <c r="V37" s="19"/>
      <c r="W37" s="2"/>
      <c r="X37" s="2">
        <f t="shared" si="2"/>
        <v>1232.9999999999995</v>
      </c>
      <c r="Y37" s="2"/>
      <c r="Z37" s="19">
        <f t="shared" si="3"/>
        <v>-0.2353884482116777</v>
      </c>
    </row>
    <row r="38" spans="1:26" s="24" customFormat="1" hidden="1" outlineLevel="1" x14ac:dyDescent="0.35">
      <c r="A38" s="44"/>
      <c r="B38" s="11" t="str">
        <f>CONCATENATE("          ", "4243", " - ", "SALES RETURN TAXABLE-CARDS")</f>
        <v xml:space="preserve">          4243 - SALES RETURN TAXABLE-CARDS</v>
      </c>
      <c r="C38" s="11"/>
      <c r="D38" s="2">
        <f>-19.99</f>
        <v>-19.989999999999998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-19.989999999999998</v>
      </c>
      <c r="M38" s="2"/>
      <c r="N38" s="19">
        <f t="shared" si="1"/>
        <v>0</v>
      </c>
      <c r="O38" s="11"/>
      <c r="P38" s="2">
        <f>-3026.3</f>
        <v>-3026.3</v>
      </c>
      <c r="Q38" s="2"/>
      <c r="R38" s="19"/>
      <c r="S38" s="2"/>
      <c r="T38" s="2">
        <f>-25.94</f>
        <v>-25.94</v>
      </c>
      <c r="U38" s="2"/>
      <c r="V38" s="19"/>
      <c r="W38" s="2"/>
      <c r="X38" s="2">
        <f t="shared" si="2"/>
        <v>-3000.36</v>
      </c>
      <c r="Y38" s="2"/>
      <c r="Z38" s="19">
        <f t="shared" si="3"/>
        <v>115.66538164996145</v>
      </c>
    </row>
    <row r="39" spans="1:26" s="24" customFormat="1" hidden="1" outlineLevel="1" x14ac:dyDescent="0.35">
      <c r="A39" s="44"/>
      <c r="B39" s="11" t="str">
        <f>CONCATENATE("          ", "4244", " - ", "SALES RETURN TAXABLE-ACCESSORI")</f>
        <v xml:space="preserve">          4244 - SALES RETURN TAXABLE-ACCESSORI</v>
      </c>
      <c r="C39" s="11"/>
      <c r="D39" s="2">
        <f>0</f>
        <v>0</v>
      </c>
      <c r="E39" s="2"/>
      <c r="F39" s="19"/>
      <c r="G39" s="2"/>
      <c r="H39" s="2">
        <f>-9.95</f>
        <v>-9.9499999999999993</v>
      </c>
      <c r="I39" s="2"/>
      <c r="J39" s="19"/>
      <c r="K39" s="2"/>
      <c r="L39" s="2">
        <f t="shared" si="0"/>
        <v>9.9499999999999993</v>
      </c>
      <c r="M39" s="2"/>
      <c r="N39" s="19">
        <f t="shared" si="1"/>
        <v>-1</v>
      </c>
      <c r="O39" s="11"/>
      <c r="P39" s="2">
        <f>-2726.41</f>
        <v>-2726.41</v>
      </c>
      <c r="Q39" s="2"/>
      <c r="R39" s="19"/>
      <c r="S39" s="2"/>
      <c r="T39" s="2">
        <f>-3985.97</f>
        <v>-3985.97</v>
      </c>
      <c r="U39" s="2"/>
      <c r="V39" s="19"/>
      <c r="W39" s="2"/>
      <c r="X39" s="2">
        <f t="shared" si="2"/>
        <v>1259.56</v>
      </c>
      <c r="Y39" s="2"/>
      <c r="Z39" s="19">
        <f t="shared" si="3"/>
        <v>-0.31599836426265127</v>
      </c>
    </row>
    <row r="40" spans="1:26" s="24" customFormat="1" hidden="1" outlineLevel="1" x14ac:dyDescent="0.35">
      <c r="A40" s="44"/>
      <c r="B40" s="11" t="str">
        <f>CONCATENATE("          ", "4245", " - ", "SALES RETURN TAXABLE-SPECIAL O")</f>
        <v xml:space="preserve">          4245 - SALES RETURN TAXABLE-SPECIAL O</v>
      </c>
      <c r="C40" s="11"/>
      <c r="D40" s="2">
        <f>-2187.5</f>
        <v>-2187.5</v>
      </c>
      <c r="E40" s="2"/>
      <c r="F40" s="19"/>
      <c r="G40" s="2"/>
      <c r="H40" s="2">
        <f>-937.5</f>
        <v>-937.5</v>
      </c>
      <c r="I40" s="2"/>
      <c r="J40" s="19"/>
      <c r="K40" s="2"/>
      <c r="L40" s="2">
        <f t="shared" si="0"/>
        <v>-1250</v>
      </c>
      <c r="M40" s="2"/>
      <c r="N40" s="19">
        <f t="shared" si="1"/>
        <v>1.3333333333333333</v>
      </c>
      <c r="O40" s="11"/>
      <c r="P40" s="2">
        <f>-4097.53</f>
        <v>-4097.53</v>
      </c>
      <c r="Q40" s="2"/>
      <c r="R40" s="19"/>
      <c r="S40" s="2"/>
      <c r="T40" s="2">
        <f>-2848.22</f>
        <v>-2848.22</v>
      </c>
      <c r="U40" s="2"/>
      <c r="V40" s="19"/>
      <c r="W40" s="2"/>
      <c r="X40" s="2">
        <f t="shared" si="2"/>
        <v>-1249.31</v>
      </c>
      <c r="Y40" s="2"/>
      <c r="Z40" s="19">
        <f t="shared" si="3"/>
        <v>0.43862833629424697</v>
      </c>
    </row>
    <row r="41" spans="1:26" s="24" customFormat="1" hidden="1" outlineLevel="1" x14ac:dyDescent="0.35">
      <c r="A41" s="44"/>
      <c r="B41" s="11" t="str">
        <f>CONCATENATE("          ", "4295", " - ", "SALES RETURN TAXABLE-CUSTOMER")</f>
        <v xml:space="preserve">          4295 - SALES RETURN TAXABLE-CUSTOMER</v>
      </c>
      <c r="C41" s="11"/>
      <c r="D41" s="2">
        <f>0</f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--0.99</f>
        <v>0.99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0.99</v>
      </c>
      <c r="Y41" s="2"/>
      <c r="Z41" s="19">
        <f t="shared" si="3"/>
        <v>0</v>
      </c>
    </row>
    <row r="42" spans="1:26" s="24" customFormat="1" hidden="1" outlineLevel="1" x14ac:dyDescent="0.35">
      <c r="A42" s="44"/>
      <c r="B42" s="11" t="str">
        <f>CONCATENATE("          ", "4340", " - ", "SALES RETURN NON TAXABLE-LOGO")</f>
        <v xml:space="preserve">          4340 - SALES RETURN NON TAXABLE-LOGO</v>
      </c>
      <c r="C42" s="11"/>
      <c r="D42" s="2">
        <f>-1045.65</f>
        <v>-1045.6500000000001</v>
      </c>
      <c r="E42" s="2"/>
      <c r="F42" s="19"/>
      <c r="G42" s="2"/>
      <c r="H42" s="2">
        <f>-96.85</f>
        <v>-96.85</v>
      </c>
      <c r="I42" s="2"/>
      <c r="J42" s="19"/>
      <c r="K42" s="2"/>
      <c r="L42" s="2">
        <f t="shared" si="0"/>
        <v>-948.80000000000007</v>
      </c>
      <c r="M42" s="2"/>
      <c r="N42" s="19">
        <f t="shared" si="1"/>
        <v>9.796592669075892</v>
      </c>
      <c r="O42" s="11"/>
      <c r="P42" s="2">
        <f>-2664.48</f>
        <v>-2664.48</v>
      </c>
      <c r="Q42" s="2"/>
      <c r="R42" s="19"/>
      <c r="S42" s="2"/>
      <c r="T42" s="2">
        <f>-1132.72</f>
        <v>-1132.72</v>
      </c>
      <c r="U42" s="2"/>
      <c r="V42" s="19"/>
      <c r="W42" s="2"/>
      <c r="X42" s="2">
        <f t="shared" si="2"/>
        <v>-1531.76</v>
      </c>
      <c r="Y42" s="2"/>
      <c r="Z42" s="19">
        <f t="shared" si="3"/>
        <v>1.3522847658732962</v>
      </c>
    </row>
    <row r="43" spans="1:26" s="24" customFormat="1" hidden="1" outlineLevel="1" x14ac:dyDescent="0.35">
      <c r="A43" s="44"/>
      <c r="B43" s="11" t="str">
        <f>CONCATENATE("          ", "4341", " - ", "SALES RETURN NON TAXABLE-LOGO")</f>
        <v xml:space="preserve">          4341 - SALES RETURN NON TAXABLE-LOGO</v>
      </c>
      <c r="C43" s="11"/>
      <c r="D43" s="2">
        <f>-9.9</f>
        <v>-9.9</v>
      </c>
      <c r="E43" s="2"/>
      <c r="F43" s="19"/>
      <c r="G43" s="2"/>
      <c r="H43" s="2">
        <f>-42.95</f>
        <v>-42.95</v>
      </c>
      <c r="I43" s="2"/>
      <c r="J43" s="19"/>
      <c r="K43" s="2"/>
      <c r="L43" s="2">
        <f t="shared" si="0"/>
        <v>33.050000000000004</v>
      </c>
      <c r="M43" s="2"/>
      <c r="N43" s="19">
        <f t="shared" si="1"/>
        <v>-0.76949941792782306</v>
      </c>
      <c r="O43" s="11"/>
      <c r="P43" s="2">
        <f>-295.35</f>
        <v>-295.35000000000002</v>
      </c>
      <c r="Q43" s="2"/>
      <c r="R43" s="19"/>
      <c r="S43" s="2"/>
      <c r="T43" s="2">
        <f>-211.45</f>
        <v>-211.45</v>
      </c>
      <c r="U43" s="2"/>
      <c r="V43" s="19"/>
      <c r="W43" s="2"/>
      <c r="X43" s="2">
        <f t="shared" si="2"/>
        <v>-83.900000000000034</v>
      </c>
      <c r="Y43" s="2"/>
      <c r="Z43" s="19">
        <f t="shared" si="3"/>
        <v>0.39678410971860978</v>
      </c>
    </row>
    <row r="44" spans="1:26" s="24" customFormat="1" hidden="1" outlineLevel="1" x14ac:dyDescent="0.35">
      <c r="A44" s="44"/>
      <c r="B44" s="11" t="str">
        <f>CONCATENATE("          ", "4342", " - ", "SALES RETURN NON TAXABLE-EVERY")</f>
        <v xml:space="preserve">          4342 - SALES RETURN NON TAXABLE-EVERY</v>
      </c>
      <c r="C44" s="11"/>
      <c r="D44" s="2">
        <f>-36.8</f>
        <v>-36.799999999999997</v>
      </c>
      <c r="E44" s="2"/>
      <c r="F44" s="19"/>
      <c r="G44" s="2"/>
      <c r="H44" s="2">
        <f>-24.95</f>
        <v>-24.95</v>
      </c>
      <c r="I44" s="2"/>
      <c r="J44" s="19"/>
      <c r="K44" s="2"/>
      <c r="L44" s="2">
        <f t="shared" si="0"/>
        <v>-11.849999999999998</v>
      </c>
      <c r="M44" s="2"/>
      <c r="N44" s="19">
        <f t="shared" si="1"/>
        <v>0.47494989979959912</v>
      </c>
      <c r="O44" s="11"/>
      <c r="P44" s="2">
        <f>-146.6</f>
        <v>-146.6</v>
      </c>
      <c r="Q44" s="2"/>
      <c r="R44" s="19"/>
      <c r="S44" s="2"/>
      <c r="T44" s="2">
        <f>-128.55</f>
        <v>-128.55000000000001</v>
      </c>
      <c r="U44" s="2"/>
      <c r="V44" s="19"/>
      <c r="W44" s="2"/>
      <c r="X44" s="2">
        <f t="shared" si="2"/>
        <v>-18.049999999999983</v>
      </c>
      <c r="Y44" s="2"/>
      <c r="Z44" s="19">
        <f t="shared" si="3"/>
        <v>0.14041229093737831</v>
      </c>
    </row>
    <row r="45" spans="1:26" x14ac:dyDescent="0.3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collapsed="1" x14ac:dyDescent="0.35">
      <c r="A46" s="10"/>
      <c r="B46" s="29" t="s">
        <v>8</v>
      </c>
      <c r="C46" s="10"/>
      <c r="D46" s="4">
        <f>SUM(OSRRefD16x_0)</f>
        <v>129021.32999999999</v>
      </c>
      <c r="E46" s="4"/>
      <c r="F46" s="13">
        <f t="shared" ref="F46:F70" si="9">IF(D$12=0,0,D46/D$12)</f>
        <v>0.76440183802917394</v>
      </c>
      <c r="G46" s="4"/>
      <c r="H46" s="4">
        <f>SUM(OSRRefH16x_0)</f>
        <v>135710</v>
      </c>
      <c r="I46" s="4"/>
      <c r="J46" s="13">
        <f t="shared" ref="J46:J70" si="10">IF(H$12=0,0,H46/H$12)</f>
        <v>0.71304602585733667</v>
      </c>
      <c r="K46" s="4"/>
      <c r="L46" s="4">
        <f t="shared" ref="L46:L70" si="11">+D46-H46</f>
        <v>-6688.6700000000128</v>
      </c>
      <c r="M46" s="4"/>
      <c r="N46" s="13">
        <f t="shared" ref="N46:N70" si="12">IF(H46=0,0,L46/H46)</f>
        <v>-4.9286493257681918E-2</v>
      </c>
      <c r="O46" s="10"/>
      <c r="P46" s="4">
        <f>SUM(OSRRefP16x_0)</f>
        <v>1413606.5799999998</v>
      </c>
      <c r="Q46" s="4"/>
      <c r="R46" s="13">
        <f t="shared" ref="R46:R70" si="13">IF(P$12=0,0,P46/P$12)</f>
        <v>0.4814340780946943</v>
      </c>
      <c r="S46" s="4"/>
      <c r="T46" s="4">
        <f>SUM(OSRRefT16x_0)</f>
        <v>1689933.1500000004</v>
      </c>
      <c r="U46" s="4"/>
      <c r="V46" s="13">
        <f t="shared" ref="V46:V70" si="14">IF(T$12=0,0,T46/T$12)</f>
        <v>0.46089376984456304</v>
      </c>
      <c r="W46" s="4"/>
      <c r="X46" s="4">
        <f t="shared" ref="X46:X70" si="15">+P46-T46</f>
        <v>-276326.57000000053</v>
      </c>
      <c r="Y46" s="4"/>
      <c r="Z46" s="13">
        <f t="shared" ref="Z46:Z70" si="16">IF(T46=0,0,X46/T46)</f>
        <v>-0.16351331412133105</v>
      </c>
    </row>
    <row r="47" spans="1:26" s="24" customFormat="1" hidden="1" outlineLevel="1" x14ac:dyDescent="0.35">
      <c r="A47" s="44"/>
      <c r="B47" s="11" t="str">
        <f>CONCATENATE("          ", "5000", " - ", "PURCHASES @ COST")</f>
        <v xml:space="preserve">          5000 - PURCHASES @ COST</v>
      </c>
      <c r="C47" s="11"/>
      <c r="D47" s="2"/>
      <c r="E47" s="2"/>
      <c r="F47" s="19">
        <f t="shared" si="9"/>
        <v>0</v>
      </c>
      <c r="G47" s="2"/>
      <c r="H47" s="2">
        <v>-1000</v>
      </c>
      <c r="I47" s="2"/>
      <c r="J47" s="19">
        <f t="shared" si="10"/>
        <v>-5.254189270188908E-3</v>
      </c>
      <c r="K47" s="2"/>
      <c r="L47" s="2">
        <f t="shared" si="11"/>
        <v>1000</v>
      </c>
      <c r="M47" s="2"/>
      <c r="N47" s="19">
        <f t="shared" si="12"/>
        <v>-1</v>
      </c>
      <c r="O47" s="11"/>
      <c r="P47" s="2">
        <v>0</v>
      </c>
      <c r="Q47" s="2"/>
      <c r="R47" s="19">
        <f t="shared" si="13"/>
        <v>0</v>
      </c>
      <c r="S47" s="2"/>
      <c r="T47" s="2">
        <v>0</v>
      </c>
      <c r="U47" s="2"/>
      <c r="V47" s="19">
        <f t="shared" si="14"/>
        <v>0</v>
      </c>
      <c r="W47" s="2"/>
      <c r="X47" s="2">
        <f t="shared" si="15"/>
        <v>0</v>
      </c>
      <c r="Y47" s="2"/>
      <c r="Z47" s="19">
        <f t="shared" si="16"/>
        <v>0</v>
      </c>
    </row>
    <row r="48" spans="1:26" s="24" customFormat="1" hidden="1" outlineLevel="1" x14ac:dyDescent="0.35">
      <c r="A48" s="44"/>
      <c r="B48" s="11" t="str">
        <f>CONCATENATE("          ", "5025", " - ", "PURCHASES @ COST-TEST FORMS")</f>
        <v xml:space="preserve">          5025 - PURCHASES @ COST-TEST FORMS</v>
      </c>
      <c r="C48" s="11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1"/>
      <c r="P48" s="2">
        <v>6.06</v>
      </c>
      <c r="Q48" s="2"/>
      <c r="R48" s="19">
        <f t="shared" si="13"/>
        <v>2.0638631388188981E-6</v>
      </c>
      <c r="S48" s="2"/>
      <c r="T48" s="2">
        <v>19.149999999999999</v>
      </c>
      <c r="U48" s="2"/>
      <c r="V48" s="19">
        <f t="shared" si="14"/>
        <v>5.2227602568322768E-6</v>
      </c>
      <c r="W48" s="2"/>
      <c r="X48" s="2">
        <f t="shared" si="15"/>
        <v>-13.09</v>
      </c>
      <c r="Y48" s="2"/>
      <c r="Z48" s="19">
        <f t="shared" si="16"/>
        <v>-0.68355091383812017</v>
      </c>
    </row>
    <row r="49" spans="1:26" s="24" customFormat="1" hidden="1" outlineLevel="1" x14ac:dyDescent="0.35">
      <c r="A49" s="44"/>
      <c r="B49" s="11" t="str">
        <f>CONCATENATE("          ", "5026", " - ", "PURCHASES @ COST-WRITING INSTR")</f>
        <v xml:space="preserve">          5026 - PURCHASES @ COST-WRITING INSTR</v>
      </c>
      <c r="C49" s="11"/>
      <c r="D49" s="2"/>
      <c r="E49" s="2"/>
      <c r="F49" s="19">
        <f t="shared" si="9"/>
        <v>0</v>
      </c>
      <c r="G49" s="2"/>
      <c r="H49" s="2">
        <v>-74.67</v>
      </c>
      <c r="I49" s="2"/>
      <c r="J49" s="19">
        <f t="shared" si="10"/>
        <v>-3.9233031280500573E-4</v>
      </c>
      <c r="K49" s="2"/>
      <c r="L49" s="2">
        <f t="shared" si="11"/>
        <v>74.67</v>
      </c>
      <c r="M49" s="2"/>
      <c r="N49" s="19">
        <f t="shared" si="12"/>
        <v>-1</v>
      </c>
      <c r="O49" s="11"/>
      <c r="P49" s="2">
        <v>1193.81</v>
      </c>
      <c r="Q49" s="2"/>
      <c r="R49" s="19">
        <f t="shared" si="13"/>
        <v>4.0657763263257239E-4</v>
      </c>
      <c r="S49" s="2"/>
      <c r="T49" s="2">
        <v>544.27</v>
      </c>
      <c r="U49" s="2"/>
      <c r="V49" s="19">
        <f t="shared" si="14"/>
        <v>1.4843821018204197E-4</v>
      </c>
      <c r="W49" s="2"/>
      <c r="X49" s="2">
        <f t="shared" si="15"/>
        <v>649.54</v>
      </c>
      <c r="Y49" s="2"/>
      <c r="Z49" s="19">
        <f t="shared" si="16"/>
        <v>1.1934150329799549</v>
      </c>
    </row>
    <row r="50" spans="1:26" s="24" customFormat="1" hidden="1" outlineLevel="1" x14ac:dyDescent="0.35">
      <c r="A50" s="44"/>
      <c r="B50" s="11" t="str">
        <f>CONCATENATE("          ", "5027", " - ", "PURCHASES @ COST-SCHOOL SUPPLI")</f>
        <v xml:space="preserve">          5027 - PURCHASES @ COST-SCHOOL SUPPLI</v>
      </c>
      <c r="C50" s="11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1"/>
      <c r="P50" s="2">
        <v>305.64999999999998</v>
      </c>
      <c r="Q50" s="2"/>
      <c r="R50" s="19">
        <f t="shared" si="13"/>
        <v>1.0409567134983435E-4</v>
      </c>
      <c r="S50" s="2"/>
      <c r="T50" s="2">
        <v>569.59</v>
      </c>
      <c r="U50" s="2"/>
      <c r="V50" s="19">
        <f t="shared" si="14"/>
        <v>1.5534370833885625E-4</v>
      </c>
      <c r="W50" s="2"/>
      <c r="X50" s="2">
        <f t="shared" si="15"/>
        <v>-263.94000000000005</v>
      </c>
      <c r="Y50" s="2"/>
      <c r="Z50" s="19">
        <f t="shared" si="16"/>
        <v>-0.46338594427570717</v>
      </c>
    </row>
    <row r="51" spans="1:26" s="24" customFormat="1" hidden="1" outlineLevel="1" x14ac:dyDescent="0.35">
      <c r="A51" s="44"/>
      <c r="B51" s="11" t="str">
        <f>CONCATENATE("          ", "5034", " - ", "PURCHASES @ COST-SODA")</f>
        <v xml:space="preserve">          5034 - PURCHASES @ COST-SODA</v>
      </c>
      <c r="C51" s="11"/>
      <c r="D51" s="2"/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1"/>
      <c r="P51" s="2"/>
      <c r="Q51" s="2"/>
      <c r="R51" s="19">
        <f t="shared" si="13"/>
        <v>0</v>
      </c>
      <c r="S51" s="2"/>
      <c r="T51" s="2">
        <v>18.54</v>
      </c>
      <c r="U51" s="2"/>
      <c r="V51" s="19">
        <f t="shared" si="14"/>
        <v>5.0563955698000217E-6</v>
      </c>
      <c r="W51" s="2"/>
      <c r="X51" s="2">
        <f t="shared" si="15"/>
        <v>-18.54</v>
      </c>
      <c r="Y51" s="2"/>
      <c r="Z51" s="19">
        <f t="shared" si="16"/>
        <v>-1</v>
      </c>
    </row>
    <row r="52" spans="1:26" s="24" customFormat="1" hidden="1" outlineLevel="1" x14ac:dyDescent="0.35">
      <c r="A52" s="44"/>
      <c r="B52" s="11" t="str">
        <f>CONCATENATE("          ", "5037", " - ", "PURCHASES @ COST-WATER")</f>
        <v xml:space="preserve">          5037 - PURCHASES @ COST-WATER</v>
      </c>
      <c r="C52" s="11"/>
      <c r="D52" s="2"/>
      <c r="E52" s="2"/>
      <c r="F52" s="19">
        <f t="shared" si="9"/>
        <v>0</v>
      </c>
      <c r="G52" s="2"/>
      <c r="H52" s="2"/>
      <c r="I52" s="2"/>
      <c r="J52" s="19">
        <f t="shared" si="10"/>
        <v>0</v>
      </c>
      <c r="K52" s="2"/>
      <c r="L52" s="2">
        <f t="shared" si="11"/>
        <v>0</v>
      </c>
      <c r="M52" s="2"/>
      <c r="N52" s="19">
        <f t="shared" si="12"/>
        <v>0</v>
      </c>
      <c r="O52" s="11"/>
      <c r="P52" s="2">
        <v>29.76</v>
      </c>
      <c r="Q52" s="2"/>
      <c r="R52" s="19">
        <f t="shared" si="13"/>
        <v>1.0135407097566073E-5</v>
      </c>
      <c r="S52" s="2"/>
      <c r="T52" s="2">
        <v>67.790000000000006</v>
      </c>
      <c r="U52" s="2"/>
      <c r="V52" s="19">
        <f t="shared" si="14"/>
        <v>1.848829858019113E-5</v>
      </c>
      <c r="W52" s="2"/>
      <c r="X52" s="2">
        <f t="shared" si="15"/>
        <v>-38.03</v>
      </c>
      <c r="Y52" s="2"/>
      <c r="Z52" s="19">
        <f t="shared" si="16"/>
        <v>-0.56099719722672958</v>
      </c>
    </row>
    <row r="53" spans="1:26" s="24" customFormat="1" hidden="1" outlineLevel="1" x14ac:dyDescent="0.35">
      <c r="A53" s="44"/>
      <c r="B53" s="11" t="str">
        <f>CONCATENATE("          ", "5040", " - ", "PURCHASES @ COST-LOGO CLOTHING")</f>
        <v xml:space="preserve">          5040 - PURCHASES @ COST-LOGO CLOTHING</v>
      </c>
      <c r="C53" s="11"/>
      <c r="D53" s="2">
        <v>6472.18</v>
      </c>
      <c r="E53" s="2"/>
      <c r="F53" s="19">
        <f t="shared" si="9"/>
        <v>3.8345181281697061E-2</v>
      </c>
      <c r="G53" s="2"/>
      <c r="H53" s="2">
        <v>40406.019999999997</v>
      </c>
      <c r="I53" s="2"/>
      <c r="J53" s="19">
        <f t="shared" si="10"/>
        <v>0.21230087673503839</v>
      </c>
      <c r="K53" s="2"/>
      <c r="L53" s="2">
        <f t="shared" si="11"/>
        <v>-33933.839999999997</v>
      </c>
      <c r="M53" s="2"/>
      <c r="N53" s="19">
        <f t="shared" si="12"/>
        <v>-0.83982139295085234</v>
      </c>
      <c r="O53" s="11"/>
      <c r="P53" s="2">
        <v>982941.51</v>
      </c>
      <c r="Q53" s="2"/>
      <c r="R53" s="19">
        <f t="shared" si="13"/>
        <v>0.334761839951153</v>
      </c>
      <c r="S53" s="2"/>
      <c r="T53" s="2">
        <v>1080553.1199999999</v>
      </c>
      <c r="U53" s="2"/>
      <c r="V53" s="19">
        <f t="shared" si="14"/>
        <v>0.29469816660742132</v>
      </c>
      <c r="W53" s="2"/>
      <c r="X53" s="2">
        <f t="shared" si="15"/>
        <v>-97611.60999999987</v>
      </c>
      <c r="Y53" s="2"/>
      <c r="Z53" s="19">
        <f t="shared" si="16"/>
        <v>-9.0334855541391507E-2</v>
      </c>
    </row>
    <row r="54" spans="1:26" s="24" customFormat="1" hidden="1" outlineLevel="1" x14ac:dyDescent="0.35">
      <c r="A54" s="44"/>
      <c r="B54" s="11" t="str">
        <f>CONCATENATE("          ", "5041", " - ", "PURCHASES @ COST-LOGO GIFTS")</f>
        <v xml:space="preserve">          5041 - PURCHASES @ COST-LOGO GIFTS</v>
      </c>
      <c r="C54" s="11"/>
      <c r="D54" s="2">
        <v>13093.79</v>
      </c>
      <c r="E54" s="2"/>
      <c r="F54" s="19">
        <f t="shared" si="9"/>
        <v>7.7575677934555623E-2</v>
      </c>
      <c r="G54" s="2"/>
      <c r="H54" s="2">
        <v>41981.85</v>
      </c>
      <c r="I54" s="2"/>
      <c r="J54" s="19">
        <f t="shared" si="10"/>
        <v>0.2205805858126802</v>
      </c>
      <c r="K54" s="2"/>
      <c r="L54" s="2">
        <f t="shared" si="11"/>
        <v>-28888.059999999998</v>
      </c>
      <c r="M54" s="2"/>
      <c r="N54" s="19">
        <f t="shared" si="12"/>
        <v>-0.68810831347356061</v>
      </c>
      <c r="O54" s="11"/>
      <c r="P54" s="2">
        <v>162844.62999999998</v>
      </c>
      <c r="Q54" s="2"/>
      <c r="R54" s="19">
        <f t="shared" si="13"/>
        <v>5.5460235843498684E-2</v>
      </c>
      <c r="S54" s="2"/>
      <c r="T54" s="2">
        <v>323814.98</v>
      </c>
      <c r="U54" s="2"/>
      <c r="V54" s="19">
        <f t="shared" si="14"/>
        <v>8.8313734105009853E-2</v>
      </c>
      <c r="W54" s="2"/>
      <c r="X54" s="2">
        <f t="shared" si="15"/>
        <v>-160970.35</v>
      </c>
      <c r="Y54" s="2"/>
      <c r="Z54" s="19">
        <f t="shared" si="16"/>
        <v>-0.49710593994138264</v>
      </c>
    </row>
    <row r="55" spans="1:26" s="24" customFormat="1" hidden="1" outlineLevel="1" x14ac:dyDescent="0.35">
      <c r="A55" s="44"/>
      <c r="B55" s="11" t="str">
        <f>CONCATENATE("          ", "5042", " - ", "PURCHASES @ COST-EVERYDAY GIFT")</f>
        <v xml:space="preserve">          5042 - PURCHASES @ COST-EVERYDAY GIFT</v>
      </c>
      <c r="C55" s="11"/>
      <c r="D55" s="2">
        <v>-836.65</v>
      </c>
      <c r="E55" s="2"/>
      <c r="F55" s="19">
        <f t="shared" si="9"/>
        <v>-4.9568299891739479E-3</v>
      </c>
      <c r="G55" s="2"/>
      <c r="H55" s="2">
        <v>1405.4</v>
      </c>
      <c r="I55" s="2"/>
      <c r="J55" s="19">
        <f t="shared" si="10"/>
        <v>7.3842376003234915E-3</v>
      </c>
      <c r="K55" s="2"/>
      <c r="L55" s="2">
        <f t="shared" si="11"/>
        <v>-2242.0500000000002</v>
      </c>
      <c r="M55" s="2"/>
      <c r="N55" s="19">
        <f t="shared" si="12"/>
        <v>-1.5953109435036288</v>
      </c>
      <c r="O55" s="11"/>
      <c r="P55" s="2">
        <v>125778.54999999999</v>
      </c>
      <c r="Q55" s="2"/>
      <c r="R55" s="19">
        <f t="shared" si="13"/>
        <v>4.2836586303480147E-2</v>
      </c>
      <c r="S55" s="2"/>
      <c r="T55" s="2">
        <v>144013.1</v>
      </c>
      <c r="U55" s="2"/>
      <c r="V55" s="19">
        <f t="shared" si="14"/>
        <v>3.9276548049253915E-2</v>
      </c>
      <c r="W55" s="2"/>
      <c r="X55" s="2">
        <f t="shared" si="15"/>
        <v>-18234.550000000017</v>
      </c>
      <c r="Y55" s="2"/>
      <c r="Z55" s="19">
        <f t="shared" si="16"/>
        <v>-0.12661730078722017</v>
      </c>
    </row>
    <row r="56" spans="1:26" s="24" customFormat="1" hidden="1" outlineLevel="1" x14ac:dyDescent="0.35">
      <c r="A56" s="44"/>
      <c r="B56" s="11" t="str">
        <f>CONCATENATE("          ", "5043", " - ", "PURCHASES @ COST-CARDS")</f>
        <v xml:space="preserve">          5043 - PURCHASES @ COST-CARDS</v>
      </c>
      <c r="C56" s="11"/>
      <c r="D56" s="2">
        <v>0</v>
      </c>
      <c r="E56" s="2"/>
      <c r="F56" s="19">
        <f t="shared" si="9"/>
        <v>0</v>
      </c>
      <c r="G56" s="2"/>
      <c r="H56" s="2">
        <v>238.47</v>
      </c>
      <c r="I56" s="2"/>
      <c r="J56" s="19">
        <f t="shared" si="10"/>
        <v>1.2529665152619489E-3</v>
      </c>
      <c r="K56" s="2"/>
      <c r="L56" s="2">
        <f t="shared" si="11"/>
        <v>-238.47</v>
      </c>
      <c r="M56" s="2"/>
      <c r="N56" s="19">
        <f t="shared" si="12"/>
        <v>-1</v>
      </c>
      <c r="O56" s="11"/>
      <c r="P56" s="2">
        <v>30914.659999999996</v>
      </c>
      <c r="Q56" s="2"/>
      <c r="R56" s="19">
        <f t="shared" si="13"/>
        <v>1.0528651356950334E-2</v>
      </c>
      <c r="S56" s="2"/>
      <c r="T56" s="2">
        <v>3631.23</v>
      </c>
      <c r="U56" s="2"/>
      <c r="V56" s="19">
        <f t="shared" si="14"/>
        <v>9.9034170900350244E-4</v>
      </c>
      <c r="W56" s="2"/>
      <c r="X56" s="2">
        <f t="shared" si="15"/>
        <v>27283.429999999997</v>
      </c>
      <c r="Y56" s="2"/>
      <c r="Z56" s="19">
        <f t="shared" si="16"/>
        <v>7.5135505049253277</v>
      </c>
    </row>
    <row r="57" spans="1:26" s="24" customFormat="1" hidden="1" outlineLevel="1" x14ac:dyDescent="0.35">
      <c r="A57" s="44"/>
      <c r="B57" s="11" t="str">
        <f>CONCATENATE("          ", "5044", " - ", "PURCHASES @ COST-ACCESSORIES")</f>
        <v xml:space="preserve">          5044 - PURCHASES @ COST-ACCESSORIES</v>
      </c>
      <c r="C57" s="11"/>
      <c r="D57" s="2">
        <v>0</v>
      </c>
      <c r="E57" s="2"/>
      <c r="F57" s="19">
        <f t="shared" si="9"/>
        <v>0</v>
      </c>
      <c r="G57" s="2"/>
      <c r="H57" s="2">
        <v>-637.52</v>
      </c>
      <c r="I57" s="2"/>
      <c r="J57" s="19">
        <f t="shared" si="10"/>
        <v>-3.3496507435308324E-3</v>
      </c>
      <c r="K57" s="2"/>
      <c r="L57" s="2">
        <f t="shared" si="11"/>
        <v>637.52</v>
      </c>
      <c r="M57" s="2"/>
      <c r="N57" s="19">
        <f t="shared" si="12"/>
        <v>-1</v>
      </c>
      <c r="O57" s="11"/>
      <c r="P57" s="2">
        <v>37869.03</v>
      </c>
      <c r="Q57" s="2"/>
      <c r="R57" s="19">
        <f t="shared" si="13"/>
        <v>1.2897111405912048E-2</v>
      </c>
      <c r="S57" s="2"/>
      <c r="T57" s="2">
        <v>37653.61</v>
      </c>
      <c r="U57" s="2"/>
      <c r="V57" s="19">
        <f t="shared" si="14"/>
        <v>1.0269231218499342E-2</v>
      </c>
      <c r="W57" s="2"/>
      <c r="X57" s="2">
        <f t="shared" si="15"/>
        <v>215.41999999999825</v>
      </c>
      <c r="Y57" s="2"/>
      <c r="Z57" s="19">
        <f t="shared" si="16"/>
        <v>5.7210981895228176E-3</v>
      </c>
    </row>
    <row r="58" spans="1:26" s="24" customFormat="1" hidden="1" outlineLevel="1" x14ac:dyDescent="0.35">
      <c r="A58" s="44"/>
      <c r="B58" s="11" t="str">
        <f>CONCATENATE("          ", "5045", " - ", "PURCHASES @ COST-SPECIAL ORDER")</f>
        <v xml:space="preserve">          5045 - PURCHASES @ COST-SPECIAL ORDER</v>
      </c>
      <c r="C58" s="11"/>
      <c r="D58" s="2">
        <v>52772.409999999996</v>
      </c>
      <c r="E58" s="2"/>
      <c r="F58" s="19">
        <f t="shared" si="9"/>
        <v>0.31265626545028763</v>
      </c>
      <c r="G58" s="2"/>
      <c r="H58" s="2">
        <v>36286.67</v>
      </c>
      <c r="I58" s="2"/>
      <c r="J58" s="19">
        <f t="shared" si="10"/>
        <v>0.19065703216488572</v>
      </c>
      <c r="K58" s="2"/>
      <c r="L58" s="2">
        <f t="shared" si="11"/>
        <v>16485.739999999998</v>
      </c>
      <c r="M58" s="2"/>
      <c r="N58" s="19">
        <f t="shared" si="12"/>
        <v>0.45431945119240752</v>
      </c>
      <c r="O58" s="11"/>
      <c r="P58" s="2">
        <v>131614.81</v>
      </c>
      <c r="Q58" s="2"/>
      <c r="R58" s="19">
        <f t="shared" si="13"/>
        <v>4.4824249980470771E-2</v>
      </c>
      <c r="S58" s="2"/>
      <c r="T58" s="2">
        <v>157881.61000000002</v>
      </c>
      <c r="U58" s="2"/>
      <c r="V58" s="19">
        <f t="shared" si="14"/>
        <v>4.3058892845571468E-2</v>
      </c>
      <c r="W58" s="2"/>
      <c r="X58" s="2">
        <f t="shared" si="15"/>
        <v>-26266.800000000017</v>
      </c>
      <c r="Y58" s="2"/>
      <c r="Z58" s="19">
        <f t="shared" si="16"/>
        <v>-0.16637023146647678</v>
      </c>
    </row>
    <row r="59" spans="1:26" s="24" customFormat="1" hidden="1" outlineLevel="1" x14ac:dyDescent="0.35">
      <c r="A59" s="44"/>
      <c r="B59" s="11" t="str">
        <f>CONCATENATE("          ", "5083", " - ", "PURCHASES @ COST-COMPUTER EQUI")</f>
        <v xml:space="preserve">          5083 - PURCHASES @ COST-COMPUTER EQUI</v>
      </c>
      <c r="C59" s="11"/>
      <c r="D59" s="2"/>
      <c r="E59" s="2"/>
      <c r="F59" s="19">
        <f t="shared" si="9"/>
        <v>0</v>
      </c>
      <c r="G59" s="2"/>
      <c r="H59" s="2"/>
      <c r="I59" s="2"/>
      <c r="J59" s="19">
        <f t="shared" si="10"/>
        <v>0</v>
      </c>
      <c r="K59" s="2"/>
      <c r="L59" s="2">
        <f t="shared" si="11"/>
        <v>0</v>
      </c>
      <c r="M59" s="2"/>
      <c r="N59" s="19">
        <f t="shared" si="12"/>
        <v>0</v>
      </c>
      <c r="O59" s="11"/>
      <c r="P59" s="2">
        <v>90.35</v>
      </c>
      <c r="Q59" s="2"/>
      <c r="R59" s="19">
        <f t="shared" si="13"/>
        <v>3.0770632771004524E-5</v>
      </c>
      <c r="S59" s="2"/>
      <c r="T59" s="2">
        <v>15.8</v>
      </c>
      <c r="U59" s="2"/>
      <c r="V59" s="19">
        <f t="shared" si="14"/>
        <v>4.3091181231305478E-6</v>
      </c>
      <c r="W59" s="2"/>
      <c r="X59" s="2">
        <f t="shared" si="15"/>
        <v>74.55</v>
      </c>
      <c r="Y59" s="2"/>
      <c r="Z59" s="19">
        <f t="shared" si="16"/>
        <v>4.7183544303797467</v>
      </c>
    </row>
    <row r="60" spans="1:26" s="24" customFormat="1" hidden="1" outlineLevel="1" x14ac:dyDescent="0.35">
      <c r="A60" s="44"/>
      <c r="B60" s="11" t="str">
        <f>CONCATENATE("          ", "5092", " - ", "PURCHASES @ COST-GRAD MERCH")</f>
        <v xml:space="preserve">          5092 - PURCHASES @ COST-GRAD MERCH</v>
      </c>
      <c r="C60" s="11"/>
      <c r="D60" s="2"/>
      <c r="E60" s="2"/>
      <c r="F60" s="19">
        <f t="shared" si="9"/>
        <v>0</v>
      </c>
      <c r="G60" s="2"/>
      <c r="H60" s="2">
        <v>-11.85</v>
      </c>
      <c r="I60" s="2"/>
      <c r="J60" s="19">
        <f t="shared" si="10"/>
        <v>-6.2262142851738557E-5</v>
      </c>
      <c r="K60" s="2"/>
      <c r="L60" s="2">
        <f t="shared" si="11"/>
        <v>11.85</v>
      </c>
      <c r="M60" s="2"/>
      <c r="N60" s="19">
        <f t="shared" si="12"/>
        <v>-1</v>
      </c>
      <c r="O60" s="11"/>
      <c r="P60" s="2">
        <v>-60.35</v>
      </c>
      <c r="Q60" s="2"/>
      <c r="R60" s="19">
        <f t="shared" si="13"/>
        <v>-2.0553488519425824E-5</v>
      </c>
      <c r="S60" s="2"/>
      <c r="T60" s="2">
        <v>175.8</v>
      </c>
      <c r="U60" s="2"/>
      <c r="V60" s="19">
        <f t="shared" si="14"/>
        <v>4.7945757344705716E-5</v>
      </c>
      <c r="W60" s="2"/>
      <c r="X60" s="2">
        <f t="shared" si="15"/>
        <v>-236.15</v>
      </c>
      <c r="Y60" s="2"/>
      <c r="Z60" s="19">
        <f t="shared" si="16"/>
        <v>-1.343287827076223</v>
      </c>
    </row>
    <row r="61" spans="1:26" s="24" customFormat="1" hidden="1" outlineLevel="1" x14ac:dyDescent="0.35">
      <c r="A61" s="44"/>
      <c r="B61" s="11" t="str">
        <f>CONCATENATE("          ", "5095", " - ", "PURCHASES @ COST-CUSTOMER SERV")</f>
        <v xml:space="preserve">          5095 - PURCHASES @ COST-CUSTOMER SERV</v>
      </c>
      <c r="C61" s="11"/>
      <c r="D61" s="2">
        <v>-18.989999999999998</v>
      </c>
      <c r="E61" s="2"/>
      <c r="F61" s="19">
        <f t="shared" si="9"/>
        <v>-1.1250845812993877E-4</v>
      </c>
      <c r="G61" s="2"/>
      <c r="H61" s="2">
        <v>2.88</v>
      </c>
      <c r="I61" s="2"/>
      <c r="J61" s="19">
        <f t="shared" si="10"/>
        <v>1.5132065098144054E-5</v>
      </c>
      <c r="K61" s="2"/>
      <c r="L61" s="2">
        <f t="shared" si="11"/>
        <v>-21.869999999999997</v>
      </c>
      <c r="M61" s="2"/>
      <c r="N61" s="19">
        <f t="shared" si="12"/>
        <v>-7.5937499999999991</v>
      </c>
      <c r="O61" s="11"/>
      <c r="P61" s="2">
        <v>-30.84</v>
      </c>
      <c r="Q61" s="2"/>
      <c r="R61" s="19">
        <f t="shared" si="13"/>
        <v>-1.0503224290622907E-5</v>
      </c>
      <c r="S61" s="2"/>
      <c r="T61" s="2">
        <v>78.48</v>
      </c>
      <c r="U61" s="2"/>
      <c r="V61" s="19">
        <f t="shared" si="14"/>
        <v>2.1403771538182621E-5</v>
      </c>
      <c r="W61" s="2"/>
      <c r="X61" s="2">
        <f t="shared" si="15"/>
        <v>-109.32000000000001</v>
      </c>
      <c r="Y61" s="2"/>
      <c r="Z61" s="19">
        <f t="shared" si="16"/>
        <v>-1.3929663608562692</v>
      </c>
    </row>
    <row r="62" spans="1:26" s="24" customFormat="1" hidden="1" outlineLevel="1" x14ac:dyDescent="0.35">
      <c r="A62" s="44"/>
      <c r="B62" s="11" t="str">
        <f>CONCATENATE("          ", "5200", " - ", "PURCHASES OFFSET")</f>
        <v xml:space="preserve">          5200 - PURCHASES OFFSET</v>
      </c>
      <c r="C62" s="11"/>
      <c r="D62" s="2">
        <v>-110337</v>
      </c>
      <c r="E62" s="2"/>
      <c r="F62" s="19">
        <f t="shared" si="9"/>
        <v>-0.65370435727662213</v>
      </c>
      <c r="G62" s="2"/>
      <c r="H62" s="2">
        <v>-94584</v>
      </c>
      <c r="I62" s="2"/>
      <c r="J62" s="19">
        <f t="shared" si="10"/>
        <v>-0.49696223793154765</v>
      </c>
      <c r="K62" s="2"/>
      <c r="L62" s="2">
        <f t="shared" si="11"/>
        <v>-15753</v>
      </c>
      <c r="M62" s="2"/>
      <c r="N62" s="19">
        <f t="shared" si="12"/>
        <v>0.1665503679269221</v>
      </c>
      <c r="O62" s="11"/>
      <c r="P62" s="2">
        <v>-1518671</v>
      </c>
      <c r="Q62" s="2"/>
      <c r="R62" s="19">
        <f t="shared" si="13"/>
        <v>-0.51721602258964272</v>
      </c>
      <c r="S62" s="2"/>
      <c r="T62" s="2">
        <v>-1799430</v>
      </c>
      <c r="U62" s="2"/>
      <c r="V62" s="19">
        <f t="shared" si="14"/>
        <v>-0.49075673571549372</v>
      </c>
      <c r="W62" s="2"/>
      <c r="X62" s="2">
        <f t="shared" si="15"/>
        <v>280759</v>
      </c>
      <c r="Y62" s="2"/>
      <c r="Z62" s="19">
        <f t="shared" si="16"/>
        <v>-0.15602663065526307</v>
      </c>
    </row>
    <row r="63" spans="1:26" s="24" customFormat="1" hidden="1" outlineLevel="1" x14ac:dyDescent="0.35">
      <c r="A63" s="44"/>
      <c r="B63" s="11" t="str">
        <f>CONCATENATE("          ", "5300", " - ", "COG$ OFFSET")</f>
        <v xml:space="preserve">          5300 - COG$ OFFSET</v>
      </c>
      <c r="C63" s="11"/>
      <c r="D63" s="2">
        <v>167142</v>
      </c>
      <c r="E63" s="2"/>
      <c r="F63" s="19">
        <f t="shared" si="9"/>
        <v>0.9902521700239193</v>
      </c>
      <c r="G63" s="2"/>
      <c r="H63" s="2">
        <v>105642</v>
      </c>
      <c r="I63" s="2"/>
      <c r="J63" s="19">
        <f t="shared" si="10"/>
        <v>0.55506306288129659</v>
      </c>
      <c r="K63" s="2"/>
      <c r="L63" s="2">
        <f t="shared" si="11"/>
        <v>61500</v>
      </c>
      <c r="M63" s="2"/>
      <c r="N63" s="19">
        <f t="shared" si="12"/>
        <v>0.58215482478559666</v>
      </c>
      <c r="O63" s="11"/>
      <c r="P63" s="2">
        <v>1413573</v>
      </c>
      <c r="Q63" s="2"/>
      <c r="R63" s="19">
        <f t="shared" si="13"/>
        <v>0.48142264170456206</v>
      </c>
      <c r="S63" s="2"/>
      <c r="T63" s="2">
        <v>1689922</v>
      </c>
      <c r="U63" s="2"/>
      <c r="V63" s="19">
        <f t="shared" si="14"/>
        <v>0.46089072891626715</v>
      </c>
      <c r="W63" s="2"/>
      <c r="X63" s="2">
        <f t="shared" si="15"/>
        <v>-276349</v>
      </c>
      <c r="Y63" s="2"/>
      <c r="Z63" s="19">
        <f t="shared" si="16"/>
        <v>-0.1635276657739233</v>
      </c>
    </row>
    <row r="64" spans="1:26" s="24" customFormat="1" hidden="1" outlineLevel="1" x14ac:dyDescent="0.35">
      <c r="A64" s="44"/>
      <c r="B64" s="11" t="str">
        <f>CONCATENATE("          ", "5500", " - ", "FREIGHT-IN")</f>
        <v xml:space="preserve">          5500 - FREIGHT-IN</v>
      </c>
      <c r="C64" s="11"/>
      <c r="D64" s="2"/>
      <c r="E64" s="2"/>
      <c r="F64" s="19">
        <f t="shared" si="9"/>
        <v>0</v>
      </c>
      <c r="G64" s="2"/>
      <c r="H64" s="2"/>
      <c r="I64" s="2"/>
      <c r="J64" s="19">
        <f t="shared" si="10"/>
        <v>0</v>
      </c>
      <c r="K64" s="2"/>
      <c r="L64" s="2">
        <f t="shared" si="11"/>
        <v>0</v>
      </c>
      <c r="M64" s="2"/>
      <c r="N64" s="19">
        <f t="shared" si="12"/>
        <v>0</v>
      </c>
      <c r="O64" s="11"/>
      <c r="P64" s="2">
        <v>29.23</v>
      </c>
      <c r="Q64" s="2"/>
      <c r="R64" s="19">
        <f t="shared" si="13"/>
        <v>9.9549042157881835E-6</v>
      </c>
      <c r="S64" s="2"/>
      <c r="T64" s="2">
        <v>14.08</v>
      </c>
      <c r="U64" s="2"/>
      <c r="V64" s="19">
        <f t="shared" si="14"/>
        <v>3.8400242514986149E-6</v>
      </c>
      <c r="W64" s="2"/>
      <c r="X64" s="2">
        <f t="shared" si="15"/>
        <v>15.15</v>
      </c>
      <c r="Y64" s="2"/>
      <c r="Z64" s="19">
        <f t="shared" si="16"/>
        <v>1.0759943181818181</v>
      </c>
    </row>
    <row r="65" spans="1:26" s="24" customFormat="1" hidden="1" outlineLevel="1" x14ac:dyDescent="0.35">
      <c r="A65" s="44"/>
      <c r="B65" s="11" t="str">
        <f>CONCATENATE("          ", "5540", " - ", "FREIGHT-IN-LOGO CLOTHING")</f>
        <v xml:space="preserve">          5540 - FREIGHT-IN-LOGO CLOTHING</v>
      </c>
      <c r="C65" s="11"/>
      <c r="D65" s="2">
        <v>29.98</v>
      </c>
      <c r="E65" s="2"/>
      <c r="F65" s="19">
        <f t="shared" si="9"/>
        <v>1.7761998813773378E-4</v>
      </c>
      <c r="G65" s="2"/>
      <c r="H65" s="2">
        <v>5856.09</v>
      </c>
      <c r="I65" s="2"/>
      <c r="J65" s="19">
        <f t="shared" si="10"/>
        <v>3.076900524326056E-2</v>
      </c>
      <c r="K65" s="2"/>
      <c r="L65" s="2">
        <f t="shared" si="11"/>
        <v>-5826.1100000000006</v>
      </c>
      <c r="M65" s="2"/>
      <c r="N65" s="19">
        <f t="shared" si="12"/>
        <v>-0.99488054316105123</v>
      </c>
      <c r="O65" s="11"/>
      <c r="P65" s="2">
        <v>32548.979999999996</v>
      </c>
      <c r="Q65" s="2"/>
      <c r="R65" s="19">
        <f t="shared" si="13"/>
        <v>1.1085254130058338E-2</v>
      </c>
      <c r="S65" s="2"/>
      <c r="T65" s="2">
        <v>35751.939999999995</v>
      </c>
      <c r="U65" s="2"/>
      <c r="V65" s="19">
        <f t="shared" si="14"/>
        <v>9.750590670321262E-3</v>
      </c>
      <c r="W65" s="2"/>
      <c r="X65" s="2">
        <f t="shared" si="15"/>
        <v>-3202.9599999999991</v>
      </c>
      <c r="Y65" s="2"/>
      <c r="Z65" s="19">
        <f t="shared" si="16"/>
        <v>-8.9588425131615218E-2</v>
      </c>
    </row>
    <row r="66" spans="1:26" s="24" customFormat="1" hidden="1" outlineLevel="1" x14ac:dyDescent="0.35">
      <c r="A66" s="44"/>
      <c r="B66" s="11" t="str">
        <f>CONCATENATE("          ", "5541", " - ", "FREIGHT-IN-LOGO GIFTS")</f>
        <v xml:space="preserve">          5541 - FREIGHT-IN-LOGO GIFTS</v>
      </c>
      <c r="C66" s="11"/>
      <c r="D66" s="2">
        <v>348.31</v>
      </c>
      <c r="E66" s="2"/>
      <c r="F66" s="19">
        <f t="shared" si="9"/>
        <v>2.063603004277987E-3</v>
      </c>
      <c r="G66" s="2"/>
      <c r="H66" s="2">
        <v>-327.45</v>
      </c>
      <c r="I66" s="2"/>
      <c r="J66" s="19">
        <f t="shared" si="10"/>
        <v>-1.7204842765233578E-3</v>
      </c>
      <c r="K66" s="2"/>
      <c r="L66" s="2">
        <f t="shared" si="11"/>
        <v>675.76</v>
      </c>
      <c r="M66" s="2"/>
      <c r="N66" s="19">
        <f t="shared" si="12"/>
        <v>-2.0637043823484502</v>
      </c>
      <c r="O66" s="11"/>
      <c r="P66" s="2">
        <v>5574.41</v>
      </c>
      <c r="Q66" s="2"/>
      <c r="R66" s="19">
        <f t="shared" si="13"/>
        <v>1.8984850362480945E-3</v>
      </c>
      <c r="S66" s="2"/>
      <c r="T66" s="2">
        <v>8438.06</v>
      </c>
      <c r="U66" s="2"/>
      <c r="V66" s="19">
        <f t="shared" si="14"/>
        <v>2.301303624687528E-3</v>
      </c>
      <c r="W66" s="2"/>
      <c r="X66" s="2">
        <f t="shared" si="15"/>
        <v>-2863.6499999999996</v>
      </c>
      <c r="Y66" s="2"/>
      <c r="Z66" s="19">
        <f t="shared" si="16"/>
        <v>-0.33937303124177831</v>
      </c>
    </row>
    <row r="67" spans="1:26" s="24" customFormat="1" hidden="1" outlineLevel="1" x14ac:dyDescent="0.35">
      <c r="A67" s="44"/>
      <c r="B67" s="11" t="str">
        <f>CONCATENATE("          ", "5542", " - ", "FREIGHT-IN-EVERYDAY GIFTS")</f>
        <v xml:space="preserve">          5542 - FREIGHT-IN-EVERYDAY GIFTS</v>
      </c>
      <c r="C67" s="11"/>
      <c r="D67" s="2"/>
      <c r="E67" s="2"/>
      <c r="F67" s="19">
        <f t="shared" si="9"/>
        <v>0</v>
      </c>
      <c r="G67" s="2"/>
      <c r="H67" s="2">
        <v>62.85</v>
      </c>
      <c r="I67" s="2"/>
      <c r="J67" s="19">
        <f t="shared" si="10"/>
        <v>3.3022579563137287E-4</v>
      </c>
      <c r="K67" s="2"/>
      <c r="L67" s="2">
        <f t="shared" si="11"/>
        <v>-62.85</v>
      </c>
      <c r="M67" s="2"/>
      <c r="N67" s="19">
        <f t="shared" si="12"/>
        <v>-1</v>
      </c>
      <c r="O67" s="11"/>
      <c r="P67" s="2">
        <v>2223.5100000000002</v>
      </c>
      <c r="Q67" s="2"/>
      <c r="R67" s="19">
        <f t="shared" si="13"/>
        <v>7.5726408049425883E-4</v>
      </c>
      <c r="S67" s="2"/>
      <c r="T67" s="2">
        <v>2038.06</v>
      </c>
      <c r="U67" s="2"/>
      <c r="V67" s="19">
        <f t="shared" si="14"/>
        <v>5.5583805582452178E-4</v>
      </c>
      <c r="W67" s="2"/>
      <c r="X67" s="2">
        <f t="shared" si="15"/>
        <v>185.45000000000027</v>
      </c>
      <c r="Y67" s="2"/>
      <c r="Z67" s="19">
        <f t="shared" si="16"/>
        <v>9.0993395680205827E-2</v>
      </c>
    </row>
    <row r="68" spans="1:26" s="24" customFormat="1" hidden="1" outlineLevel="1" x14ac:dyDescent="0.35">
      <c r="A68" s="44"/>
      <c r="B68" s="11" t="str">
        <f>CONCATENATE("          ", "5543", " - ", "FREIGHT-IN-CARDS")</f>
        <v xml:space="preserve">          5543 - FREIGHT-IN-CARDS</v>
      </c>
      <c r="C68" s="11"/>
      <c r="D68" s="2"/>
      <c r="E68" s="2"/>
      <c r="F68" s="19">
        <f t="shared" si="9"/>
        <v>0</v>
      </c>
      <c r="G68" s="2"/>
      <c r="H68" s="2"/>
      <c r="I68" s="2"/>
      <c r="J68" s="19">
        <f t="shared" si="10"/>
        <v>0</v>
      </c>
      <c r="K68" s="2"/>
      <c r="L68" s="2">
        <f t="shared" si="11"/>
        <v>0</v>
      </c>
      <c r="M68" s="2"/>
      <c r="N68" s="19">
        <f t="shared" si="12"/>
        <v>0</v>
      </c>
      <c r="O68" s="11"/>
      <c r="P68" s="2">
        <v>2926.76</v>
      </c>
      <c r="Q68" s="2"/>
      <c r="R68" s="19">
        <f t="shared" si="13"/>
        <v>9.967709703250162E-4</v>
      </c>
      <c r="S68" s="2"/>
      <c r="T68" s="2">
        <v>57.18</v>
      </c>
      <c r="U68" s="2"/>
      <c r="V68" s="19">
        <f t="shared" si="14"/>
        <v>1.5594643941810424E-5</v>
      </c>
      <c r="W68" s="2"/>
      <c r="X68" s="2">
        <f t="shared" si="15"/>
        <v>2869.5800000000004</v>
      </c>
      <c r="Y68" s="2"/>
      <c r="Z68" s="19">
        <f t="shared" si="16"/>
        <v>50.185029730675069</v>
      </c>
    </row>
    <row r="69" spans="1:26" s="24" customFormat="1" hidden="1" outlineLevel="1" x14ac:dyDescent="0.35">
      <c r="A69" s="44"/>
      <c r="B69" s="11" t="str">
        <f>CONCATENATE("          ", "5544", " - ", "FREIGHT-IN-ACCESSORIES")</f>
        <v xml:space="preserve">          5544 - FREIGHT-IN-ACCESSORIES</v>
      </c>
      <c r="C69" s="11"/>
      <c r="D69" s="2"/>
      <c r="E69" s="2"/>
      <c r="F69" s="19">
        <f t="shared" si="9"/>
        <v>0</v>
      </c>
      <c r="G69" s="2"/>
      <c r="H69" s="2"/>
      <c r="I69" s="2"/>
      <c r="J69" s="19">
        <f t="shared" si="10"/>
        <v>0</v>
      </c>
      <c r="K69" s="2"/>
      <c r="L69" s="2">
        <f t="shared" si="11"/>
        <v>0</v>
      </c>
      <c r="M69" s="2"/>
      <c r="N69" s="19">
        <f t="shared" si="12"/>
        <v>0</v>
      </c>
      <c r="O69" s="11"/>
      <c r="P69" s="2">
        <v>483.44</v>
      </c>
      <c r="Q69" s="2"/>
      <c r="R69" s="19">
        <f t="shared" si="13"/>
        <v>1.6464587389944027E-4</v>
      </c>
      <c r="S69" s="2"/>
      <c r="T69" s="2">
        <v>1360.08</v>
      </c>
      <c r="U69" s="2"/>
      <c r="V69" s="19">
        <f t="shared" si="14"/>
        <v>3.7093325170299969E-4</v>
      </c>
      <c r="W69" s="2"/>
      <c r="X69" s="2">
        <f t="shared" si="15"/>
        <v>-876.63999999999987</v>
      </c>
      <c r="Y69" s="2"/>
      <c r="Z69" s="19">
        <f t="shared" si="16"/>
        <v>-0.64455032056937822</v>
      </c>
    </row>
    <row r="70" spans="1:26" s="24" customFormat="1" hidden="1" outlineLevel="1" x14ac:dyDescent="0.35">
      <c r="A70" s="44"/>
      <c r="B70" s="11" t="str">
        <f>CONCATENATE("          ", "5545", " - ", "FREIGHT-IN-SPECIAL ORDERS")</f>
        <v xml:space="preserve">          5545 - FREIGHT-IN-SPECIAL ORDERS</v>
      </c>
      <c r="C70" s="11"/>
      <c r="D70" s="2">
        <v>355.3</v>
      </c>
      <c r="E70" s="2"/>
      <c r="F70" s="19">
        <f t="shared" si="9"/>
        <v>2.1050160702247105E-3</v>
      </c>
      <c r="G70" s="2"/>
      <c r="H70" s="2">
        <v>463.26</v>
      </c>
      <c r="I70" s="2"/>
      <c r="J70" s="19">
        <f t="shared" si="10"/>
        <v>2.4340557213077133E-3</v>
      </c>
      <c r="K70" s="2"/>
      <c r="L70" s="2">
        <f t="shared" si="11"/>
        <v>-107.95999999999998</v>
      </c>
      <c r="M70" s="2"/>
      <c r="N70" s="19">
        <f t="shared" si="12"/>
        <v>-0.23304407891896556</v>
      </c>
      <c r="O70" s="11"/>
      <c r="P70" s="2">
        <v>1420.62</v>
      </c>
      <c r="Q70" s="2"/>
      <c r="R70" s="19">
        <f t="shared" si="13"/>
        <v>4.8382264888925788E-4</v>
      </c>
      <c r="S70" s="2"/>
      <c r="T70" s="2">
        <v>2744.68</v>
      </c>
      <c r="U70" s="2"/>
      <c r="V70" s="19">
        <f t="shared" si="14"/>
        <v>7.4855381836670567E-4</v>
      </c>
      <c r="W70" s="2"/>
      <c r="X70" s="2">
        <f t="shared" si="15"/>
        <v>-1324.06</v>
      </c>
      <c r="Y70" s="2"/>
      <c r="Z70" s="19">
        <f t="shared" si="16"/>
        <v>-0.48240960694871532</v>
      </c>
    </row>
    <row r="71" spans="1:26" x14ac:dyDescent="0.3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5">
      <c r="A72" s="10"/>
      <c r="B72" s="28" t="s">
        <v>6</v>
      </c>
      <c r="C72" s="28"/>
      <c r="D72" s="22">
        <f>D12-D46</f>
        <v>39765.98000000004</v>
      </c>
      <c r="E72" s="14"/>
      <c r="F72" s="21">
        <f>IF(D$12=0,0,D72/D$12)</f>
        <v>0.23559816197082609</v>
      </c>
      <c r="G72" s="14"/>
      <c r="H72" s="22">
        <f>H12-H46</f>
        <v>54614.319999999978</v>
      </c>
      <c r="I72" s="14"/>
      <c r="J72" s="21">
        <f>IF(H$12=0,0,H72/H$12)</f>
        <v>0.28695397414266333</v>
      </c>
      <c r="K72" s="15"/>
      <c r="L72" s="22">
        <f>+D72-H72</f>
        <v>-14848.339999999938</v>
      </c>
      <c r="M72" s="15"/>
      <c r="N72" s="21">
        <f>IF(H72=0,0,L72/H72)</f>
        <v>-0.27187631375800236</v>
      </c>
      <c r="O72" s="29"/>
      <c r="P72" s="22">
        <f>P12-P46</f>
        <v>1522634.6300000006</v>
      </c>
      <c r="Q72" s="14"/>
      <c r="R72" s="21">
        <f>IF(P$12=0,0,P72/P$12)</f>
        <v>0.5185659219053057</v>
      </c>
      <c r="S72" s="14"/>
      <c r="T72" s="22">
        <f>T12-T46</f>
        <v>1976710.3599999989</v>
      </c>
      <c r="U72" s="14"/>
      <c r="V72" s="21">
        <f>IF(T$12=0,0,T72/T$12)</f>
        <v>0.53910623015543702</v>
      </c>
      <c r="W72" s="15"/>
      <c r="X72" s="22">
        <f>+P72-T72</f>
        <v>-454075.72999999835</v>
      </c>
      <c r="Y72" s="15"/>
      <c r="Z72" s="21">
        <f>IF(T72=0,0,X72/T72)</f>
        <v>-0.22971282955182093</v>
      </c>
    </row>
    <row r="73" spans="1:26" x14ac:dyDescent="0.35">
      <c r="A73" s="9"/>
      <c r="B73" s="10"/>
      <c r="C73" s="9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35">
      <c r="A74" s="10"/>
      <c r="B74" s="29" t="s">
        <v>9</v>
      </c>
      <c r="C74" s="10"/>
      <c r="D74" s="20">
        <f>SUM(OSRRefD22x_0)</f>
        <v>168860.42</v>
      </c>
      <c r="E74" s="20"/>
      <c r="F74" s="36">
        <f t="shared" ref="F74:F83" si="17">IF(D$12=0,0,D74/D$12)</f>
        <v>1.000433148676876</v>
      </c>
      <c r="G74" s="20"/>
      <c r="H74" s="20">
        <f>SUM(OSRRefH22x_0)</f>
        <v>-8141.7399999999989</v>
      </c>
      <c r="I74" s="20"/>
      <c r="J74" s="36">
        <f t="shared" ref="J74:J83" si="18">IF(H$12=0,0,H74/H$12)</f>
        <v>-4.2778242948667833E-2</v>
      </c>
      <c r="K74" s="4"/>
      <c r="L74" s="20">
        <f t="shared" ref="L74:L83" si="19">+D74-H74</f>
        <v>177002.16</v>
      </c>
      <c r="M74" s="4"/>
      <c r="N74" s="36">
        <f t="shared" ref="N74:N83" si="20">IF(H74=0,0,L74/H74)</f>
        <v>-21.740089956201011</v>
      </c>
      <c r="O74" s="10"/>
      <c r="P74" s="20">
        <f>SUM(OSRRefP22x_0)</f>
        <v>1168483.29</v>
      </c>
      <c r="Q74" s="20"/>
      <c r="R74" s="36">
        <f t="shared" ref="R74:R83" si="21">IF(P$12=0,0,P74/P$12)</f>
        <v>0.39795207764964236</v>
      </c>
      <c r="S74" s="20"/>
      <c r="T74" s="20">
        <f>SUM(OSRRefT22x_0)</f>
        <v>893503.90000000014</v>
      </c>
      <c r="U74" s="20"/>
      <c r="V74" s="36">
        <f t="shared" ref="V74:V83" si="22">IF(T$12=0,0,T74/T$12)</f>
        <v>0.24368442079606487</v>
      </c>
      <c r="W74" s="4"/>
      <c r="X74" s="20">
        <f t="shared" ref="X74:X83" si="23">+P74-T74</f>
        <v>274979.3899999999</v>
      </c>
      <c r="Y74" s="4"/>
      <c r="Z74" s="36">
        <f t="shared" ref="Z74:Z83" si="24">IF(T74=0,0,X74/T74)</f>
        <v>0.30775398965801926</v>
      </c>
    </row>
    <row r="75" spans="1:26" s="25" customFormat="1" outlineLevel="1" collapsed="1" x14ac:dyDescent="0.35">
      <c r="A75" s="26"/>
      <c r="B75" s="12" t="str">
        <f>CONCATENATE("     ","*Benefits                                         ")</f>
        <v xml:space="preserve">     *Benefits                                         </v>
      </c>
      <c r="C75" s="12"/>
      <c r="D75" s="1">
        <f>SUM(OSRRefD22_0x_0)</f>
        <v>7012.3900000000012</v>
      </c>
      <c r="E75" s="1"/>
      <c r="F75" s="5">
        <f t="shared" si="17"/>
        <v>4.1545718099304976E-2</v>
      </c>
      <c r="G75" s="1"/>
      <c r="H75" s="1">
        <f>SUM(OSRRefH22_0x_0)</f>
        <v>7145.4400000000005</v>
      </c>
      <c r="I75" s="1"/>
      <c r="J75" s="5">
        <f t="shared" si="18"/>
        <v>3.7543494178778627E-2</v>
      </c>
      <c r="K75" s="1"/>
      <c r="L75" s="1">
        <f t="shared" si="19"/>
        <v>-133.04999999999927</v>
      </c>
      <c r="M75" s="1"/>
      <c r="N75" s="5">
        <f t="shared" si="20"/>
        <v>-1.8620266911484704E-2</v>
      </c>
      <c r="O75" s="12"/>
      <c r="P75" s="1">
        <f>SUM(OSRRefP22_0x_0)</f>
        <v>107564.56000000001</v>
      </c>
      <c r="Q75" s="1"/>
      <c r="R75" s="5">
        <f t="shared" si="21"/>
        <v>3.6633420862586419E-2</v>
      </c>
      <c r="S75" s="1"/>
      <c r="T75" s="1">
        <f>SUM(OSRRefT22_0x_0)</f>
        <v>88069.590000000011</v>
      </c>
      <c r="U75" s="1"/>
      <c r="V75" s="5">
        <f t="shared" si="22"/>
        <v>2.4019130782637777E-2</v>
      </c>
      <c r="W75" s="1"/>
      <c r="X75" s="1">
        <f t="shared" si="23"/>
        <v>19494.97</v>
      </c>
      <c r="Y75" s="1"/>
      <c r="Z75" s="5">
        <f t="shared" si="24"/>
        <v>0.2213587005457843</v>
      </c>
    </row>
    <row r="76" spans="1:26" s="24" customFormat="1" hidden="1" outlineLevel="2" x14ac:dyDescent="0.35">
      <c r="A76" s="27"/>
      <c r="B76" s="11" t="str">
        <f>CONCATENATE("          ", "6111", " - ", "F.I.C.A.")</f>
        <v xml:space="preserve">          6111 - F.I.C.A.</v>
      </c>
      <c r="C76" s="11"/>
      <c r="D76" s="7">
        <v>1325.15</v>
      </c>
      <c r="E76" s="2"/>
      <c r="F76" s="6">
        <f t="shared" si="17"/>
        <v>7.8510049126323533E-3</v>
      </c>
      <c r="G76" s="2"/>
      <c r="H76" s="7">
        <v>2401.1999999999998</v>
      </c>
      <c r="I76" s="2"/>
      <c r="J76" s="6">
        <f t="shared" si="18"/>
        <v>1.2616359275577605E-2</v>
      </c>
      <c r="K76" s="2"/>
      <c r="L76" s="7">
        <f t="shared" si="19"/>
        <v>-1076.0499999999997</v>
      </c>
      <c r="M76" s="2"/>
      <c r="N76" s="6">
        <f t="shared" si="20"/>
        <v>-0.44813010161585864</v>
      </c>
      <c r="O76" s="11"/>
      <c r="P76" s="7">
        <v>20108.550000000003</v>
      </c>
      <c r="Q76" s="2"/>
      <c r="R76" s="6">
        <f t="shared" si="21"/>
        <v>6.8483985346694323E-3</v>
      </c>
      <c r="S76" s="2"/>
      <c r="T76" s="7">
        <v>19724.489999999998</v>
      </c>
      <c r="U76" s="2"/>
      <c r="V76" s="6">
        <f t="shared" si="22"/>
        <v>5.3794403372472935E-3</v>
      </c>
      <c r="W76" s="2"/>
      <c r="X76" s="7">
        <f t="shared" si="23"/>
        <v>384.06000000000495</v>
      </c>
      <c r="Y76" s="2"/>
      <c r="Z76" s="6">
        <f t="shared" si="24"/>
        <v>1.9471225871999984E-2</v>
      </c>
    </row>
    <row r="77" spans="1:26" s="24" customFormat="1" hidden="1" outlineLevel="2" x14ac:dyDescent="0.35">
      <c r="A77" s="27"/>
      <c r="B77" s="11" t="str">
        <f>CONCATENATE("          ", "6112", " - ", "COMPENSATION INSURANCE")</f>
        <v xml:space="preserve">          6112 - COMPENSATION INSURANCE</v>
      </c>
      <c r="C77" s="11"/>
      <c r="D77" s="7">
        <v>328.94</v>
      </c>
      <c r="E77" s="2"/>
      <c r="F77" s="6">
        <f t="shared" si="17"/>
        <v>1.9488431920622465E-3</v>
      </c>
      <c r="G77" s="2"/>
      <c r="H77" s="7">
        <v>524.65</v>
      </c>
      <c r="I77" s="2"/>
      <c r="J77" s="6">
        <f t="shared" si="18"/>
        <v>2.7566104006046103E-3</v>
      </c>
      <c r="K77" s="2"/>
      <c r="L77" s="7">
        <f t="shared" si="19"/>
        <v>-195.70999999999998</v>
      </c>
      <c r="M77" s="2"/>
      <c r="N77" s="6">
        <f t="shared" si="20"/>
        <v>-0.37302963880682355</v>
      </c>
      <c r="O77" s="11"/>
      <c r="P77" s="7">
        <v>6646.31</v>
      </c>
      <c r="Q77" s="2"/>
      <c r="R77" s="6">
        <f t="shared" si="21"/>
        <v>2.2635436003570018E-3</v>
      </c>
      <c r="S77" s="2"/>
      <c r="T77" s="7">
        <v>4388.8599999999997</v>
      </c>
      <c r="U77" s="2"/>
      <c r="V77" s="6">
        <f t="shared" si="22"/>
        <v>1.1969693775875148E-3</v>
      </c>
      <c r="W77" s="2"/>
      <c r="X77" s="7">
        <f t="shared" si="23"/>
        <v>2257.4500000000007</v>
      </c>
      <c r="Y77" s="2"/>
      <c r="Z77" s="6">
        <f t="shared" si="24"/>
        <v>0.51435908185724788</v>
      </c>
    </row>
    <row r="78" spans="1:26" s="24" customFormat="1" hidden="1" outlineLevel="2" x14ac:dyDescent="0.35">
      <c r="A78" s="27"/>
      <c r="B78" s="11" t="str">
        <f>CONCATENATE("          ", "6113", " - ", "GROUP INSURANCE")</f>
        <v xml:space="preserve">          6113 - GROUP INSURANCE</v>
      </c>
      <c r="C78" s="11"/>
      <c r="D78" s="7">
        <v>3471.02</v>
      </c>
      <c r="E78" s="2"/>
      <c r="F78" s="6">
        <f t="shared" si="17"/>
        <v>2.0564460681315434E-2</v>
      </c>
      <c r="G78" s="2"/>
      <c r="H78" s="7">
        <v>3252.74</v>
      </c>
      <c r="I78" s="2"/>
      <c r="J78" s="6">
        <f t="shared" si="18"/>
        <v>1.7090511606714265E-2</v>
      </c>
      <c r="K78" s="2"/>
      <c r="L78" s="7">
        <f t="shared" si="19"/>
        <v>218.2800000000002</v>
      </c>
      <c r="M78" s="2"/>
      <c r="N78" s="6">
        <f t="shared" si="20"/>
        <v>6.7106500980711706E-2</v>
      </c>
      <c r="O78" s="11"/>
      <c r="P78" s="7">
        <v>36852.74</v>
      </c>
      <c r="Q78" s="2"/>
      <c r="R78" s="6">
        <f t="shared" si="21"/>
        <v>1.2550992021530817E-2</v>
      </c>
      <c r="S78" s="2"/>
      <c r="T78" s="7">
        <v>33088.85</v>
      </c>
      <c r="U78" s="2"/>
      <c r="V78" s="6">
        <f t="shared" si="22"/>
        <v>9.0242888106676078E-3</v>
      </c>
      <c r="W78" s="2"/>
      <c r="X78" s="7">
        <f t="shared" si="23"/>
        <v>3763.8899999999994</v>
      </c>
      <c r="Y78" s="2"/>
      <c r="Z78" s="6">
        <f t="shared" si="24"/>
        <v>0.11375100675907442</v>
      </c>
    </row>
    <row r="79" spans="1:26" s="24" customFormat="1" hidden="1" outlineLevel="2" x14ac:dyDescent="0.35">
      <c r="A79" s="27"/>
      <c r="B79" s="11" t="str">
        <f>CONCATENATE("          ", "6114", " - ", "STATE UNEMPLOYMENT INSURANCE")</f>
        <v xml:space="preserve">          6114 - STATE UNEMPLOYMENT INSURANCE</v>
      </c>
      <c r="C79" s="11"/>
      <c r="D79" s="7">
        <v>-973.98</v>
      </c>
      <c r="E79" s="2"/>
      <c r="F79" s="6">
        <f t="shared" si="17"/>
        <v>-5.7704575065506986E-3</v>
      </c>
      <c r="G79" s="2"/>
      <c r="H79" s="7">
        <v>114.63</v>
      </c>
      <c r="I79" s="2"/>
      <c r="J79" s="6">
        <f t="shared" si="18"/>
        <v>6.022877160417545E-4</v>
      </c>
      <c r="K79" s="2"/>
      <c r="L79" s="7">
        <f t="shared" si="19"/>
        <v>-1088.6100000000001</v>
      </c>
      <c r="M79" s="2"/>
      <c r="N79" s="6">
        <f t="shared" si="20"/>
        <v>-9.4967286050772071</v>
      </c>
      <c r="O79" s="11"/>
      <c r="P79" s="7">
        <v>0</v>
      </c>
      <c r="Q79" s="2"/>
      <c r="R79" s="6">
        <f t="shared" si="21"/>
        <v>0</v>
      </c>
      <c r="S79" s="2"/>
      <c r="T79" s="7">
        <v>1058.79</v>
      </c>
      <c r="U79" s="2"/>
      <c r="V79" s="6">
        <f t="shared" si="22"/>
        <v>2.8876273275882229E-4</v>
      </c>
      <c r="W79" s="2"/>
      <c r="X79" s="7">
        <f t="shared" si="23"/>
        <v>-1058.79</v>
      </c>
      <c r="Y79" s="2"/>
      <c r="Z79" s="6">
        <f t="shared" si="24"/>
        <v>-1</v>
      </c>
    </row>
    <row r="80" spans="1:26" s="24" customFormat="1" hidden="1" outlineLevel="2" x14ac:dyDescent="0.35">
      <c r="A80" s="27"/>
      <c r="B80" s="11" t="str">
        <f>CONCATENATE("          ", "6115", " - ", "P.E.R.S.")</f>
        <v xml:space="preserve">          6115 - P.E.R.S.</v>
      </c>
      <c r="C80" s="11"/>
      <c r="D80" s="7">
        <v>1019.1</v>
      </c>
      <c r="E80" s="2"/>
      <c r="F80" s="6">
        <f t="shared" si="17"/>
        <v>6.0377761811595898E-3</v>
      </c>
      <c r="G80" s="2"/>
      <c r="H80" s="7"/>
      <c r="I80" s="2"/>
      <c r="J80" s="6">
        <f t="shared" si="18"/>
        <v>0</v>
      </c>
      <c r="K80" s="2"/>
      <c r="L80" s="7">
        <f t="shared" si="19"/>
        <v>1019.1</v>
      </c>
      <c r="M80" s="2"/>
      <c r="N80" s="6">
        <f t="shared" si="20"/>
        <v>0</v>
      </c>
      <c r="O80" s="11"/>
      <c r="P80" s="7">
        <v>12196.85</v>
      </c>
      <c r="Q80" s="2"/>
      <c r="R80" s="6">
        <f t="shared" si="21"/>
        <v>4.1538991954955902E-3</v>
      </c>
      <c r="S80" s="2"/>
      <c r="T80" s="7">
        <v>9965.17</v>
      </c>
      <c r="U80" s="2"/>
      <c r="V80" s="6">
        <f t="shared" si="22"/>
        <v>2.717790800447901E-3</v>
      </c>
      <c r="W80" s="2"/>
      <c r="X80" s="7">
        <f t="shared" si="23"/>
        <v>2231.6800000000003</v>
      </c>
      <c r="Y80" s="2"/>
      <c r="Z80" s="6">
        <f t="shared" si="24"/>
        <v>0.2239480109220415</v>
      </c>
    </row>
    <row r="81" spans="1:26" s="24" customFormat="1" hidden="1" outlineLevel="2" x14ac:dyDescent="0.35">
      <c r="A81" s="27"/>
      <c r="B81" s="11" t="str">
        <f>CONCATENATE("          ", "6118", " - ", "VACATION")</f>
        <v xml:space="preserve">          6118 - VACATION</v>
      </c>
      <c r="C81" s="11"/>
      <c r="D81" s="7">
        <v>1000.72</v>
      </c>
      <c r="E81" s="2"/>
      <c r="F81" s="6">
        <f t="shared" si="17"/>
        <v>5.9288817387989643E-3</v>
      </c>
      <c r="G81" s="2"/>
      <c r="H81" s="7">
        <v>476.98</v>
      </c>
      <c r="I81" s="2"/>
      <c r="J81" s="6">
        <f t="shared" si="18"/>
        <v>2.5061431980947053E-3</v>
      </c>
      <c r="K81" s="2"/>
      <c r="L81" s="7">
        <f t="shared" si="19"/>
        <v>523.74</v>
      </c>
      <c r="M81" s="2"/>
      <c r="N81" s="6">
        <f t="shared" si="20"/>
        <v>1.0980334605224538</v>
      </c>
      <c r="O81" s="11"/>
      <c r="P81" s="7">
        <v>13643.9</v>
      </c>
      <c r="Q81" s="2"/>
      <c r="R81" s="6">
        <f t="shared" si="21"/>
        <v>4.6467231484704887E-3</v>
      </c>
      <c r="S81" s="2"/>
      <c r="T81" s="7">
        <v>9975.7999999999993</v>
      </c>
      <c r="U81" s="2"/>
      <c r="V81" s="6">
        <f t="shared" si="22"/>
        <v>2.7206899096661845E-3</v>
      </c>
      <c r="W81" s="2"/>
      <c r="X81" s="7">
        <f t="shared" si="23"/>
        <v>3668.1000000000004</v>
      </c>
      <c r="Y81" s="2"/>
      <c r="Z81" s="6">
        <f t="shared" si="24"/>
        <v>0.36769983359730557</v>
      </c>
    </row>
    <row r="82" spans="1:26" s="24" customFormat="1" hidden="1" outlineLevel="2" x14ac:dyDescent="0.35">
      <c r="A82" s="27"/>
      <c r="B82" s="11" t="str">
        <f>CONCATENATE("          ", "6119", " - ", "SICK LEAVE")</f>
        <v xml:space="preserve">          6119 - SICK LEAVE</v>
      </c>
      <c r="C82" s="11"/>
      <c r="D82" s="7">
        <v>705.44</v>
      </c>
      <c r="E82" s="2"/>
      <c r="F82" s="6">
        <f t="shared" si="17"/>
        <v>4.1794611218106377E-3</v>
      </c>
      <c r="G82" s="2"/>
      <c r="H82" s="7">
        <v>272.45999999999998</v>
      </c>
      <c r="I82" s="2"/>
      <c r="J82" s="6">
        <f t="shared" si="18"/>
        <v>1.4315564085556696E-3</v>
      </c>
      <c r="K82" s="2"/>
      <c r="L82" s="7">
        <f t="shared" si="19"/>
        <v>432.98000000000008</v>
      </c>
      <c r="M82" s="2"/>
      <c r="N82" s="6">
        <f t="shared" si="20"/>
        <v>1.5891507010203336</v>
      </c>
      <c r="O82" s="11"/>
      <c r="P82" s="7">
        <v>15363.430000000002</v>
      </c>
      <c r="Q82" s="2"/>
      <c r="R82" s="6">
        <f t="shared" si="21"/>
        <v>5.2323460169677273E-3</v>
      </c>
      <c r="S82" s="2"/>
      <c r="T82" s="7">
        <v>7110.3</v>
      </c>
      <c r="U82" s="2"/>
      <c r="V82" s="6">
        <f t="shared" si="22"/>
        <v>1.9391849741072869E-3</v>
      </c>
      <c r="W82" s="2"/>
      <c r="X82" s="7">
        <f t="shared" si="23"/>
        <v>8253.130000000001</v>
      </c>
      <c r="Y82" s="2"/>
      <c r="Z82" s="6">
        <f t="shared" si="24"/>
        <v>1.1607288018789643</v>
      </c>
    </row>
    <row r="83" spans="1:26" s="24" customFormat="1" hidden="1" outlineLevel="2" x14ac:dyDescent="0.35">
      <c r="A83" s="27"/>
      <c r="B83" s="11" t="str">
        <f>CONCATENATE("          ", "6156", " - ", "EMPLOYEE MEALS")</f>
        <v xml:space="preserve">          6156 - EMPLOYEE MEALS</v>
      </c>
      <c r="C83" s="11"/>
      <c r="D83" s="7">
        <v>136</v>
      </c>
      <c r="E83" s="2"/>
      <c r="F83" s="6">
        <f t="shared" si="17"/>
        <v>8.0574777807644409E-4</v>
      </c>
      <c r="G83" s="2"/>
      <c r="H83" s="7">
        <v>102.78</v>
      </c>
      <c r="I83" s="2"/>
      <c r="J83" s="6">
        <f t="shared" si="18"/>
        <v>5.4002557319001593E-4</v>
      </c>
      <c r="K83" s="2"/>
      <c r="L83" s="7">
        <f t="shared" si="19"/>
        <v>33.22</v>
      </c>
      <c r="M83" s="2"/>
      <c r="N83" s="6">
        <f t="shared" si="20"/>
        <v>0.32321463319712007</v>
      </c>
      <c r="O83" s="11"/>
      <c r="P83" s="7">
        <v>2752.78</v>
      </c>
      <c r="Q83" s="2"/>
      <c r="R83" s="6">
        <f t="shared" si="21"/>
        <v>9.3751834509536085E-4</v>
      </c>
      <c r="S83" s="2"/>
      <c r="T83" s="7">
        <v>2757.33</v>
      </c>
      <c r="U83" s="2"/>
      <c r="V83" s="6">
        <f t="shared" si="22"/>
        <v>7.5200384015516159E-4</v>
      </c>
      <c r="W83" s="2"/>
      <c r="X83" s="7">
        <f t="shared" si="23"/>
        <v>-4.5499999999997272</v>
      </c>
      <c r="Y83" s="2"/>
      <c r="Z83" s="6">
        <f t="shared" si="24"/>
        <v>-1.6501470625567948E-3</v>
      </c>
    </row>
    <row r="84" spans="1:26" s="25" customFormat="1" outlineLevel="1" collapsed="1" x14ac:dyDescent="0.35">
      <c r="A84" s="26"/>
      <c r="B84" s="12" t="str">
        <f>CONCATENATE("     ","*Payroll                                          ")</f>
        <v xml:space="preserve">     *Payroll                                          </v>
      </c>
      <c r="C84" s="12"/>
      <c r="D84" s="1">
        <f>SUM(OSRRefD22_1x_0)</f>
        <v>16915.45</v>
      </c>
      <c r="E84" s="1"/>
      <c r="F84" s="5">
        <f t="shared" ref="F84:F90" si="25">IF(D$12=0,0,D84/D$12)</f>
        <v>0.10021754597546462</v>
      </c>
      <c r="G84" s="1"/>
      <c r="H84" s="1">
        <f>SUM(OSRRefH22_1x_0)</f>
        <v>30206.199999999997</v>
      </c>
      <c r="I84" s="1"/>
      <c r="J84" s="5">
        <f t="shared" ref="J84:J90" si="26">IF(H$12=0,0,H84/H$12)</f>
        <v>0.15870909193318017</v>
      </c>
      <c r="K84" s="1"/>
      <c r="L84" s="1">
        <f t="shared" ref="L84:L90" si="27">+D84-H84</f>
        <v>-13290.749999999996</v>
      </c>
      <c r="M84" s="1"/>
      <c r="N84" s="5">
        <f t="shared" ref="N84:N90" si="28">IF(H84=0,0,L84/H84)</f>
        <v>-0.44000072832729697</v>
      </c>
      <c r="O84" s="12"/>
      <c r="P84" s="1">
        <f>SUM(OSRRefP22_1x_0)</f>
        <v>370565.67000000004</v>
      </c>
      <c r="Q84" s="1"/>
      <c r="R84" s="5">
        <f t="shared" ref="R84:R90" si="29">IF(P$12=0,0,P84/P$12)</f>
        <v>0.1262040968357637</v>
      </c>
      <c r="S84" s="1"/>
      <c r="T84" s="1">
        <f>SUM(OSRRefT22_1x_0)</f>
        <v>376514.53</v>
      </c>
      <c r="U84" s="1"/>
      <c r="V84" s="5">
        <f t="shared" ref="V84:V90" si="30">IF(T$12=0,0,T84/T$12)</f>
        <v>0.10268642942056838</v>
      </c>
      <c r="W84" s="1"/>
      <c r="X84" s="1">
        <f t="shared" ref="X84:X90" si="31">+P84-T84</f>
        <v>-5948.859999999986</v>
      </c>
      <c r="Y84" s="1"/>
      <c r="Z84" s="5">
        <f t="shared" ref="Z84:Z90" si="32">IF(T84=0,0,X84/T84)</f>
        <v>-1.579981521563055E-2</v>
      </c>
    </row>
    <row r="85" spans="1:26" s="24" customFormat="1" hidden="1" outlineLevel="2" x14ac:dyDescent="0.35">
      <c r="A85" s="27"/>
      <c r="B85" s="11" t="str">
        <f>CONCATENATE("          ", "6002", " - ", "STAFF SALARIES")</f>
        <v xml:space="preserve">          6002 - STAFF SALARIES</v>
      </c>
      <c r="C85" s="11"/>
      <c r="D85" s="7">
        <v>11219.63</v>
      </c>
      <c r="E85" s="2"/>
      <c r="F85" s="6">
        <f t="shared" si="25"/>
        <v>6.6471999583380986E-2</v>
      </c>
      <c r="G85" s="2"/>
      <c r="H85" s="7">
        <v>4725.5</v>
      </c>
      <c r="I85" s="2"/>
      <c r="J85" s="6">
        <f t="shared" si="26"/>
        <v>2.4828671396277684E-2</v>
      </c>
      <c r="K85" s="2"/>
      <c r="L85" s="7">
        <f t="shared" si="27"/>
        <v>6494.1299999999992</v>
      </c>
      <c r="M85" s="2"/>
      <c r="N85" s="6">
        <f t="shared" si="28"/>
        <v>1.3742736218389586</v>
      </c>
      <c r="O85" s="11"/>
      <c r="P85" s="7">
        <v>117156.65</v>
      </c>
      <c r="Q85" s="2"/>
      <c r="R85" s="6">
        <f t="shared" si="29"/>
        <v>3.990021310272393E-2</v>
      </c>
      <c r="S85" s="2"/>
      <c r="T85" s="7">
        <v>99596.49</v>
      </c>
      <c r="U85" s="2"/>
      <c r="V85" s="6">
        <f t="shared" si="30"/>
        <v>2.7162850636657618E-2</v>
      </c>
      <c r="W85" s="2"/>
      <c r="X85" s="7">
        <f t="shared" si="31"/>
        <v>17560.159999999989</v>
      </c>
      <c r="Y85" s="2"/>
      <c r="Z85" s="6">
        <f t="shared" si="32"/>
        <v>0.17631304075073317</v>
      </c>
    </row>
    <row r="86" spans="1:26" s="24" customFormat="1" hidden="1" outlineLevel="2" x14ac:dyDescent="0.35">
      <c r="A86" s="27"/>
      <c r="B86" s="11" t="str">
        <f>CONCATENATE("          ", "6004", " - ", "STAFF HOURLY")</f>
        <v xml:space="preserve">          6004 - STAFF HOURLY</v>
      </c>
      <c r="C86" s="11"/>
      <c r="D86" s="7">
        <v>3738.92</v>
      </c>
      <c r="E86" s="2"/>
      <c r="F86" s="6">
        <f t="shared" si="25"/>
        <v>2.2151665311805725E-2</v>
      </c>
      <c r="G86" s="2"/>
      <c r="H86" s="7"/>
      <c r="I86" s="2"/>
      <c r="J86" s="6">
        <f t="shared" si="26"/>
        <v>0</v>
      </c>
      <c r="K86" s="2"/>
      <c r="L86" s="7">
        <f t="shared" si="27"/>
        <v>3738.92</v>
      </c>
      <c r="M86" s="2"/>
      <c r="N86" s="6">
        <f t="shared" si="28"/>
        <v>0</v>
      </c>
      <c r="O86" s="11"/>
      <c r="P86" s="7">
        <v>20401.43</v>
      </c>
      <c r="Q86" s="2"/>
      <c r="R86" s="6">
        <f t="shared" si="29"/>
        <v>6.9481451082828438E-3</v>
      </c>
      <c r="S86" s="2"/>
      <c r="T86" s="7"/>
      <c r="U86" s="2"/>
      <c r="V86" s="6">
        <f t="shared" si="30"/>
        <v>0</v>
      </c>
      <c r="W86" s="2"/>
      <c r="X86" s="7">
        <f t="shared" si="31"/>
        <v>20401.43</v>
      </c>
      <c r="Y86" s="2"/>
      <c r="Z86" s="6">
        <f t="shared" si="32"/>
        <v>0</v>
      </c>
    </row>
    <row r="87" spans="1:26" s="24" customFormat="1" hidden="1" outlineLevel="2" x14ac:dyDescent="0.35">
      <c r="A87" s="27"/>
      <c r="B87" s="11" t="str">
        <f>CONCATENATE("          ", "6005", " - ", "TEMPORARY WAGES-HOURLY")</f>
        <v xml:space="preserve">          6005 - TEMPORARY WAGES-HOURLY</v>
      </c>
      <c r="C87" s="11"/>
      <c r="D87" s="7">
        <v>1104.68</v>
      </c>
      <c r="E87" s="2"/>
      <c r="F87" s="6">
        <f t="shared" si="25"/>
        <v>6.5448048197462236E-3</v>
      </c>
      <c r="G87" s="2"/>
      <c r="H87" s="7">
        <v>5777.85</v>
      </c>
      <c r="I87" s="2"/>
      <c r="J87" s="6">
        <f t="shared" si="26"/>
        <v>3.0357917474760982E-2</v>
      </c>
      <c r="K87" s="2"/>
      <c r="L87" s="7">
        <f t="shared" si="27"/>
        <v>-4673.17</v>
      </c>
      <c r="M87" s="2"/>
      <c r="N87" s="6">
        <f t="shared" si="28"/>
        <v>-0.80880777451820307</v>
      </c>
      <c r="O87" s="11"/>
      <c r="P87" s="7">
        <v>43395.79</v>
      </c>
      <c r="Q87" s="2"/>
      <c r="R87" s="6">
        <f t="shared" si="29"/>
        <v>1.4779368211373886E-2</v>
      </c>
      <c r="S87" s="2"/>
      <c r="T87" s="7">
        <v>66249.709999999992</v>
      </c>
      <c r="U87" s="2"/>
      <c r="V87" s="6">
        <f t="shared" si="30"/>
        <v>1.8068216836274874E-2</v>
      </c>
      <c r="W87" s="2"/>
      <c r="X87" s="7">
        <f t="shared" si="31"/>
        <v>-22853.919999999991</v>
      </c>
      <c r="Y87" s="2"/>
      <c r="Z87" s="6">
        <f t="shared" si="32"/>
        <v>-0.34496634023001754</v>
      </c>
    </row>
    <row r="88" spans="1:26" s="24" customFormat="1" hidden="1" outlineLevel="2" x14ac:dyDescent="0.35">
      <c r="A88" s="27"/>
      <c r="B88" s="11" t="str">
        <f>CONCATENATE("          ", "6006", " - ", "TEMPORARY PART TIME")</f>
        <v xml:space="preserve">          6006 - TEMPORARY PART TIME</v>
      </c>
      <c r="C88" s="11"/>
      <c r="D88" s="7"/>
      <c r="E88" s="2"/>
      <c r="F88" s="6">
        <f t="shared" si="25"/>
        <v>0</v>
      </c>
      <c r="G88" s="2"/>
      <c r="H88" s="7">
        <v>220</v>
      </c>
      <c r="I88" s="2"/>
      <c r="J88" s="6">
        <f t="shared" si="26"/>
        <v>1.1559216394415597E-3</v>
      </c>
      <c r="K88" s="2"/>
      <c r="L88" s="7">
        <f t="shared" si="27"/>
        <v>-220</v>
      </c>
      <c r="M88" s="2"/>
      <c r="N88" s="6">
        <f t="shared" si="28"/>
        <v>-1</v>
      </c>
      <c r="O88" s="11"/>
      <c r="P88" s="7">
        <v>1227.45</v>
      </c>
      <c r="Q88" s="2"/>
      <c r="R88" s="6">
        <f t="shared" si="29"/>
        <v>4.1803445705334267E-4</v>
      </c>
      <c r="S88" s="2"/>
      <c r="T88" s="7">
        <v>14004.75</v>
      </c>
      <c r="U88" s="2"/>
      <c r="V88" s="6">
        <f t="shared" si="30"/>
        <v>3.8195013946147175E-3</v>
      </c>
      <c r="W88" s="2"/>
      <c r="X88" s="7">
        <f t="shared" si="31"/>
        <v>-12777.3</v>
      </c>
      <c r="Y88" s="2"/>
      <c r="Z88" s="6">
        <f t="shared" si="32"/>
        <v>-0.91235473678573331</v>
      </c>
    </row>
    <row r="89" spans="1:26" s="24" customFormat="1" hidden="1" outlineLevel="2" x14ac:dyDescent="0.35">
      <c r="A89" s="27"/>
      <c r="B89" s="11" t="str">
        <f>CONCATENATE("          ", "6007", " - ", "STUDENT HOURLY")</f>
        <v xml:space="preserve">          6007 - STUDENT HOURLY</v>
      </c>
      <c r="C89" s="11"/>
      <c r="D89" s="7">
        <v>852.22</v>
      </c>
      <c r="E89" s="2"/>
      <c r="F89" s="6">
        <f t="shared" si="25"/>
        <v>5.0490762605316705E-3</v>
      </c>
      <c r="G89" s="2"/>
      <c r="H89" s="7">
        <v>19482.849999999999</v>
      </c>
      <c r="I89" s="2"/>
      <c r="J89" s="6">
        <f t="shared" si="26"/>
        <v>0.10236658142269996</v>
      </c>
      <c r="K89" s="2"/>
      <c r="L89" s="7">
        <f t="shared" si="27"/>
        <v>-18630.629999999997</v>
      </c>
      <c r="M89" s="2"/>
      <c r="N89" s="6">
        <f t="shared" si="28"/>
        <v>-0.95625793967515016</v>
      </c>
      <c r="O89" s="11"/>
      <c r="P89" s="7">
        <v>188189.35</v>
      </c>
      <c r="Q89" s="2"/>
      <c r="R89" s="6">
        <f t="shared" si="29"/>
        <v>6.4091924518694429E-2</v>
      </c>
      <c r="S89" s="2"/>
      <c r="T89" s="7">
        <v>195773.33000000002</v>
      </c>
      <c r="U89" s="2"/>
      <c r="V89" s="6">
        <f t="shared" si="30"/>
        <v>5.3393063565102365E-2</v>
      </c>
      <c r="W89" s="2"/>
      <c r="X89" s="7">
        <f t="shared" si="31"/>
        <v>-7583.9800000000105</v>
      </c>
      <c r="Y89" s="2"/>
      <c r="Z89" s="6">
        <f t="shared" si="32"/>
        <v>-3.873857588262921E-2</v>
      </c>
    </row>
    <row r="90" spans="1:26" s="24" customFormat="1" hidden="1" outlineLevel="2" x14ac:dyDescent="0.35">
      <c r="A90" s="27"/>
      <c r="B90" s="11" t="str">
        <f>CONCATENATE("          ", "6008", " - ", "STUDENT HOURLY-FICA EXEMPT")</f>
        <v xml:space="preserve">          6008 - STUDENT HOURLY-FICA EXEMPT</v>
      </c>
      <c r="C90" s="11"/>
      <c r="D90" s="7"/>
      <c r="E90" s="2"/>
      <c r="F90" s="6">
        <f t="shared" si="25"/>
        <v>0</v>
      </c>
      <c r="G90" s="2"/>
      <c r="H90" s="7"/>
      <c r="I90" s="2"/>
      <c r="J90" s="6">
        <f t="shared" si="26"/>
        <v>0</v>
      </c>
      <c r="K90" s="2"/>
      <c r="L90" s="7">
        <f t="shared" si="27"/>
        <v>0</v>
      </c>
      <c r="M90" s="2"/>
      <c r="N90" s="6">
        <f t="shared" si="28"/>
        <v>0</v>
      </c>
      <c r="O90" s="11"/>
      <c r="P90" s="7">
        <v>195</v>
      </c>
      <c r="Q90" s="2"/>
      <c r="R90" s="6">
        <f t="shared" si="29"/>
        <v>6.6411437635261565E-5</v>
      </c>
      <c r="S90" s="2"/>
      <c r="T90" s="7">
        <v>890.25</v>
      </c>
      <c r="U90" s="2"/>
      <c r="V90" s="6">
        <f t="shared" si="30"/>
        <v>2.4279698791879555E-4</v>
      </c>
      <c r="W90" s="2"/>
      <c r="X90" s="7">
        <f t="shared" si="31"/>
        <v>-695.25</v>
      </c>
      <c r="Y90" s="2"/>
      <c r="Z90" s="6">
        <f t="shared" si="32"/>
        <v>-0.78096040438079195</v>
      </c>
    </row>
    <row r="91" spans="1:26" s="25" customFormat="1" outlineLevel="1" collapsed="1" x14ac:dyDescent="0.35">
      <c r="A91" s="26"/>
      <c r="B91" s="12" t="str">
        <f>CONCATENATE("     ","Advertising/Promo                                 ")</f>
        <v xml:space="preserve">     Advertising/Promo                                 </v>
      </c>
      <c r="C91" s="12"/>
      <c r="D91" s="1">
        <f>SUM(OSRRefD22_2x_0)</f>
        <v>0</v>
      </c>
      <c r="E91" s="1"/>
      <c r="F91" s="5">
        <f t="shared" ref="F91:F99" si="33">IF(D$12=0,0,D91/D$12)</f>
        <v>0</v>
      </c>
      <c r="G91" s="1"/>
      <c r="H91" s="1">
        <f>SUM(OSRRefH22_2x_0)</f>
        <v>2176.48</v>
      </c>
      <c r="I91" s="1"/>
      <c r="J91" s="5">
        <f t="shared" ref="J91:J99" si="34">IF(H$12=0,0,H91/H$12)</f>
        <v>1.1435637862780753E-2</v>
      </c>
      <c r="K91" s="1"/>
      <c r="L91" s="1">
        <f t="shared" ref="L91:L99" si="35">+D91-H91</f>
        <v>-2176.48</v>
      </c>
      <c r="M91" s="1"/>
      <c r="N91" s="5">
        <f t="shared" ref="N91:N99" si="36">IF(H91=0,0,L91/H91)</f>
        <v>-1</v>
      </c>
      <c r="O91" s="12"/>
      <c r="P91" s="1">
        <f>SUM(OSRRefP22_2x_0)</f>
        <v>22853.68</v>
      </c>
      <c r="Q91" s="1"/>
      <c r="R91" s="5">
        <f t="shared" ref="R91:R99" si="37">IF(P$12=0,0,P91/P$12)</f>
        <v>7.7833115079806395E-3</v>
      </c>
      <c r="S91" s="1"/>
      <c r="T91" s="1">
        <f>SUM(OSRRefT22_2x_0)</f>
        <v>15298.449999999999</v>
      </c>
      <c r="U91" s="1"/>
      <c r="V91" s="5">
        <f t="shared" ref="V91:V99" si="38">IF(T$12=0,0,T91/T$12)</f>
        <v>4.1723308956206654E-3</v>
      </c>
      <c r="W91" s="1"/>
      <c r="X91" s="1">
        <f t="shared" ref="X91:X99" si="39">+P91-T91</f>
        <v>7555.2300000000014</v>
      </c>
      <c r="Y91" s="1"/>
      <c r="Z91" s="5">
        <f t="shared" ref="Z91:Z99" si="40">IF(T91=0,0,X91/T91)</f>
        <v>0.49385591350757768</v>
      </c>
    </row>
    <row r="92" spans="1:26" s="24" customFormat="1" hidden="1" outlineLevel="2" x14ac:dyDescent="0.35">
      <c r="A92" s="27"/>
      <c r="B92" s="11" t="str">
        <f>CONCATENATE("          ", "6362", " - ", "ADVERTISING EXPENSE")</f>
        <v xml:space="preserve">          6362 - ADVERTISING EXPENSE</v>
      </c>
      <c r="C92" s="11"/>
      <c r="D92" s="7"/>
      <c r="E92" s="2"/>
      <c r="F92" s="6">
        <f t="shared" si="33"/>
        <v>0</v>
      </c>
      <c r="G92" s="2"/>
      <c r="H92" s="7">
        <v>2176.48</v>
      </c>
      <c r="I92" s="2"/>
      <c r="J92" s="6">
        <f t="shared" si="34"/>
        <v>1.1435637862780753E-2</v>
      </c>
      <c r="K92" s="2"/>
      <c r="L92" s="7">
        <f t="shared" si="35"/>
        <v>-2176.48</v>
      </c>
      <c r="M92" s="2"/>
      <c r="N92" s="6">
        <f t="shared" si="36"/>
        <v>-1</v>
      </c>
      <c r="O92" s="11"/>
      <c r="P92" s="7">
        <v>22853.68</v>
      </c>
      <c r="Q92" s="2"/>
      <c r="R92" s="6">
        <f t="shared" si="37"/>
        <v>7.7833115079806395E-3</v>
      </c>
      <c r="S92" s="2"/>
      <c r="T92" s="7">
        <v>15298.449999999999</v>
      </c>
      <c r="U92" s="2"/>
      <c r="V92" s="6">
        <f t="shared" si="38"/>
        <v>4.1723308956206654E-3</v>
      </c>
      <c r="W92" s="2"/>
      <c r="X92" s="7">
        <f t="shared" si="39"/>
        <v>7555.2300000000014</v>
      </c>
      <c r="Y92" s="2"/>
      <c r="Z92" s="6">
        <f t="shared" si="40"/>
        <v>0.49385591350757768</v>
      </c>
    </row>
    <row r="93" spans="1:26" s="25" customFormat="1" outlineLevel="1" collapsed="1" x14ac:dyDescent="0.35">
      <c r="A93" s="26"/>
      <c r="B93" s="12" t="str">
        <f>CONCATENATE("     ","Bad Debts/Over/Short                              ")</f>
        <v xml:space="preserve">     Bad Debts/Over/Short                              </v>
      </c>
      <c r="C93" s="12"/>
      <c r="D93" s="1">
        <f>SUM(OSRRefD22_3x_0)</f>
        <v>0</v>
      </c>
      <c r="E93" s="1"/>
      <c r="F93" s="5">
        <f t="shared" si="33"/>
        <v>0</v>
      </c>
      <c r="G93" s="1"/>
      <c r="H93" s="1">
        <f>SUM(OSRRefH22_3x_0)</f>
        <v>0.1</v>
      </c>
      <c r="I93" s="1"/>
      <c r="J93" s="5">
        <f t="shared" si="34"/>
        <v>5.2541892701889077E-7</v>
      </c>
      <c r="K93" s="1"/>
      <c r="L93" s="1">
        <f t="shared" si="35"/>
        <v>-0.1</v>
      </c>
      <c r="M93" s="1"/>
      <c r="N93" s="5">
        <f t="shared" si="36"/>
        <v>-1</v>
      </c>
      <c r="O93" s="12"/>
      <c r="P93" s="1">
        <f>SUM(OSRRefP22_3x_0)</f>
        <v>44.45</v>
      </c>
      <c r="Q93" s="1"/>
      <c r="R93" s="5">
        <f t="shared" si="37"/>
        <v>1.5138402066089113E-5</v>
      </c>
      <c r="S93" s="1"/>
      <c r="T93" s="1">
        <f>SUM(OSRRefT22_3x_0)</f>
        <v>165.54</v>
      </c>
      <c r="U93" s="1"/>
      <c r="V93" s="5">
        <f t="shared" si="38"/>
        <v>4.5147557854622203E-5</v>
      </c>
      <c r="W93" s="1"/>
      <c r="X93" s="1">
        <f t="shared" si="39"/>
        <v>-121.08999999999999</v>
      </c>
      <c r="Y93" s="1"/>
      <c r="Z93" s="5">
        <f t="shared" si="40"/>
        <v>-0.73148483750151017</v>
      </c>
    </row>
    <row r="94" spans="1:26" s="24" customFormat="1" hidden="1" outlineLevel="2" x14ac:dyDescent="0.35">
      <c r="A94" s="27"/>
      <c r="B94" s="11" t="str">
        <f>CONCATENATE("          ", "6272", " - ", "CASH (OVER/SHORT)")</f>
        <v xml:space="preserve">          6272 - CASH (OVER/SHORT)</v>
      </c>
      <c r="C94" s="11"/>
      <c r="D94" s="7"/>
      <c r="E94" s="2"/>
      <c r="F94" s="6">
        <f t="shared" si="33"/>
        <v>0</v>
      </c>
      <c r="G94" s="2"/>
      <c r="H94" s="7">
        <v>0.1</v>
      </c>
      <c r="I94" s="2"/>
      <c r="J94" s="6">
        <f t="shared" si="34"/>
        <v>5.2541892701889077E-7</v>
      </c>
      <c r="K94" s="2"/>
      <c r="L94" s="7">
        <f t="shared" si="35"/>
        <v>-0.1</v>
      </c>
      <c r="M94" s="2"/>
      <c r="N94" s="6">
        <f t="shared" si="36"/>
        <v>-1</v>
      </c>
      <c r="O94" s="11"/>
      <c r="P94" s="7">
        <v>44.45</v>
      </c>
      <c r="Q94" s="2"/>
      <c r="R94" s="6">
        <f t="shared" si="37"/>
        <v>1.5138402066089113E-5</v>
      </c>
      <c r="S94" s="2"/>
      <c r="T94" s="7">
        <v>165.54</v>
      </c>
      <c r="U94" s="2"/>
      <c r="V94" s="6">
        <f t="shared" si="38"/>
        <v>4.5147557854622203E-5</v>
      </c>
      <c r="W94" s="2"/>
      <c r="X94" s="7">
        <f t="shared" si="39"/>
        <v>-121.08999999999999</v>
      </c>
      <c r="Y94" s="2"/>
      <c r="Z94" s="6">
        <f t="shared" si="40"/>
        <v>-0.73148483750151017</v>
      </c>
    </row>
    <row r="95" spans="1:26" s="25" customFormat="1" outlineLevel="1" collapsed="1" x14ac:dyDescent="0.35">
      <c r="A95" s="26"/>
      <c r="B95" s="12" t="str">
        <f>CONCATENATE("     ","Bank/card Fees                                    ")</f>
        <v xml:space="preserve">     Bank/card Fees                                    </v>
      </c>
      <c r="C95" s="12"/>
      <c r="D95" s="1">
        <f>SUM(OSRRefD22_4x_0)</f>
        <v>5</v>
      </c>
      <c r="E95" s="1"/>
      <c r="F95" s="5">
        <f t="shared" si="33"/>
        <v>2.9623080076339857E-5</v>
      </c>
      <c r="G95" s="1"/>
      <c r="H95" s="1">
        <f>SUM(OSRRefH22_4x_0)</f>
        <v>635.9</v>
      </c>
      <c r="I95" s="1"/>
      <c r="J95" s="5">
        <f t="shared" si="34"/>
        <v>3.3411389569131264E-3</v>
      </c>
      <c r="K95" s="1"/>
      <c r="L95" s="1">
        <f t="shared" si="35"/>
        <v>-630.9</v>
      </c>
      <c r="M95" s="1"/>
      <c r="N95" s="5">
        <f t="shared" si="36"/>
        <v>-0.99213712847932067</v>
      </c>
      <c r="O95" s="12"/>
      <c r="P95" s="1">
        <f>SUM(OSRRefP22_4x_0)</f>
        <v>6184.92</v>
      </c>
      <c r="Q95" s="1"/>
      <c r="R95" s="5">
        <f t="shared" si="37"/>
        <v>2.1064073274824719E-3</v>
      </c>
      <c r="S95" s="1"/>
      <c r="T95" s="1">
        <f>SUM(OSRRefT22_4x_0)</f>
        <v>7594.48</v>
      </c>
      <c r="U95" s="1"/>
      <c r="V95" s="5">
        <f t="shared" si="38"/>
        <v>2.0712348989716757E-3</v>
      </c>
      <c r="W95" s="1"/>
      <c r="X95" s="1">
        <f t="shared" si="39"/>
        <v>-1409.5599999999995</v>
      </c>
      <c r="Y95" s="1"/>
      <c r="Z95" s="5">
        <f t="shared" si="40"/>
        <v>-0.18560322760742007</v>
      </c>
    </row>
    <row r="96" spans="1:26" s="24" customFormat="1" hidden="1" outlineLevel="2" x14ac:dyDescent="0.35">
      <c r="A96" s="27"/>
      <c r="B96" s="11" t="str">
        <f>CONCATENATE("          ", "6381", " - ", "BANK/CREDIT CARD FEES")</f>
        <v xml:space="preserve">          6381 - BANK/CREDIT CARD FEES</v>
      </c>
      <c r="C96" s="11"/>
      <c r="D96" s="7">
        <v>5</v>
      </c>
      <c r="E96" s="2"/>
      <c r="F96" s="6">
        <f t="shared" si="33"/>
        <v>2.9623080076339857E-5</v>
      </c>
      <c r="G96" s="2"/>
      <c r="H96" s="7">
        <v>635.9</v>
      </c>
      <c r="I96" s="2"/>
      <c r="J96" s="6">
        <f t="shared" si="34"/>
        <v>3.3411389569131264E-3</v>
      </c>
      <c r="K96" s="2"/>
      <c r="L96" s="7">
        <f t="shared" si="35"/>
        <v>-630.9</v>
      </c>
      <c r="M96" s="2"/>
      <c r="N96" s="6">
        <f t="shared" si="36"/>
        <v>-0.99213712847932067</v>
      </c>
      <c r="O96" s="11"/>
      <c r="P96" s="7">
        <v>6184.92</v>
      </c>
      <c r="Q96" s="2"/>
      <c r="R96" s="6">
        <f t="shared" si="37"/>
        <v>2.1064073274824719E-3</v>
      </c>
      <c r="S96" s="2"/>
      <c r="T96" s="7">
        <v>7594.48</v>
      </c>
      <c r="U96" s="2"/>
      <c r="V96" s="6">
        <f t="shared" si="38"/>
        <v>2.0712348989716757E-3</v>
      </c>
      <c r="W96" s="2"/>
      <c r="X96" s="7">
        <f t="shared" si="39"/>
        <v>-1409.5599999999995</v>
      </c>
      <c r="Y96" s="2"/>
      <c r="Z96" s="6">
        <f t="shared" si="40"/>
        <v>-0.18560322760742007</v>
      </c>
    </row>
    <row r="97" spans="1:26" s="25" customFormat="1" outlineLevel="1" collapsed="1" x14ac:dyDescent="0.35">
      <c r="A97" s="26"/>
      <c r="B97" s="12" t="str">
        <f>CONCATENATE("     ","Discounts and Markdowns                           ")</f>
        <v xml:space="preserve">     Discounts and Markdowns                           </v>
      </c>
      <c r="C97" s="12"/>
      <c r="D97" s="1">
        <f>SUM(OSRRefD22_5x_0)</f>
        <v>34738.369999999995</v>
      </c>
      <c r="E97" s="1"/>
      <c r="F97" s="5">
        <f t="shared" si="33"/>
        <v>0.20581150324630443</v>
      </c>
      <c r="G97" s="1"/>
      <c r="H97" s="1">
        <f>SUM(OSRRefH22_5x_0)</f>
        <v>12604.3</v>
      </c>
      <c r="I97" s="1"/>
      <c r="J97" s="5">
        <f t="shared" si="34"/>
        <v>6.6225377818242046E-2</v>
      </c>
      <c r="K97" s="1"/>
      <c r="L97" s="1">
        <f t="shared" si="35"/>
        <v>22134.069999999996</v>
      </c>
      <c r="M97" s="1"/>
      <c r="N97" s="5">
        <f t="shared" si="36"/>
        <v>1.7560729274929983</v>
      </c>
      <c r="O97" s="12"/>
      <c r="P97" s="1">
        <f>SUM(OSRRefP22_5x_0)</f>
        <v>362101.23</v>
      </c>
      <c r="Q97" s="1"/>
      <c r="R97" s="5">
        <f t="shared" si="37"/>
        <v>0.12332135001946926</v>
      </c>
      <c r="S97" s="1"/>
      <c r="T97" s="1">
        <f>SUM(OSRRefT22_5x_0)</f>
        <v>282380.69</v>
      </c>
      <c r="U97" s="1"/>
      <c r="V97" s="5">
        <f t="shared" si="38"/>
        <v>7.7013401829184119E-2</v>
      </c>
      <c r="W97" s="1"/>
      <c r="X97" s="1">
        <f t="shared" si="39"/>
        <v>79720.539999999979</v>
      </c>
      <c r="Y97" s="1"/>
      <c r="Z97" s="5">
        <f t="shared" si="40"/>
        <v>0.28231583398992327</v>
      </c>
    </row>
    <row r="98" spans="1:26" s="24" customFormat="1" hidden="1" outlineLevel="2" x14ac:dyDescent="0.35">
      <c r="A98" s="27"/>
      <c r="B98" s="11" t="str">
        <f>CONCATENATE("          ", "6382", " - ", "DISCOUNTS/MARK DOWNS")</f>
        <v xml:space="preserve">          6382 - DISCOUNTS/MARK DOWNS</v>
      </c>
      <c r="C98" s="11"/>
      <c r="D98" s="7">
        <v>34738.369999999995</v>
      </c>
      <c r="E98" s="2"/>
      <c r="F98" s="6">
        <f t="shared" si="33"/>
        <v>0.20581150324630443</v>
      </c>
      <c r="G98" s="2"/>
      <c r="H98" s="7">
        <v>12604.3</v>
      </c>
      <c r="I98" s="2"/>
      <c r="J98" s="6">
        <f t="shared" si="34"/>
        <v>6.6225377818242046E-2</v>
      </c>
      <c r="K98" s="2"/>
      <c r="L98" s="7">
        <f t="shared" si="35"/>
        <v>22134.069999999996</v>
      </c>
      <c r="M98" s="2"/>
      <c r="N98" s="6">
        <f t="shared" si="36"/>
        <v>1.7560729274929983</v>
      </c>
      <c r="O98" s="11"/>
      <c r="P98" s="7">
        <v>362120.62</v>
      </c>
      <c r="Q98" s="2"/>
      <c r="R98" s="6">
        <f t="shared" si="37"/>
        <v>0.12332795370037053</v>
      </c>
      <c r="S98" s="2"/>
      <c r="T98" s="7">
        <v>282386.55</v>
      </c>
      <c r="U98" s="2"/>
      <c r="V98" s="6">
        <f t="shared" si="38"/>
        <v>7.7015000021095598E-2</v>
      </c>
      <c r="W98" s="2"/>
      <c r="X98" s="7">
        <f t="shared" si="39"/>
        <v>79734.070000000007</v>
      </c>
      <c r="Y98" s="2"/>
      <c r="Z98" s="6">
        <f t="shared" si="40"/>
        <v>0.2823578885042507</v>
      </c>
    </row>
    <row r="99" spans="1:26" s="24" customFormat="1" hidden="1" outlineLevel="2" x14ac:dyDescent="0.35">
      <c r="A99" s="27"/>
      <c r="B99" s="11" t="str">
        <f>CONCATENATE("          ", "9175", " - ", "EARNED DISCOUNTS")</f>
        <v xml:space="preserve">          9175 - EARNED DISCOUNTS</v>
      </c>
      <c r="C99" s="11"/>
      <c r="D99" s="7"/>
      <c r="E99" s="2"/>
      <c r="F99" s="6">
        <f t="shared" si="33"/>
        <v>0</v>
      </c>
      <c r="G99" s="2"/>
      <c r="H99" s="7"/>
      <c r="I99" s="2"/>
      <c r="J99" s="6">
        <f t="shared" si="34"/>
        <v>0</v>
      </c>
      <c r="K99" s="2"/>
      <c r="L99" s="7">
        <f t="shared" si="35"/>
        <v>0</v>
      </c>
      <c r="M99" s="2"/>
      <c r="N99" s="6">
        <f t="shared" si="36"/>
        <v>0</v>
      </c>
      <c r="O99" s="11"/>
      <c r="P99" s="7">
        <v>-19.39</v>
      </c>
      <c r="Q99" s="2"/>
      <c r="R99" s="6">
        <f t="shared" si="37"/>
        <v>-6.6036809012703687E-6</v>
      </c>
      <c r="S99" s="2"/>
      <c r="T99" s="7">
        <v>-5.86</v>
      </c>
      <c r="U99" s="2"/>
      <c r="V99" s="6">
        <f t="shared" si="38"/>
        <v>-1.5981919114901905E-6</v>
      </c>
      <c r="W99" s="2"/>
      <c r="X99" s="7">
        <f t="shared" si="39"/>
        <v>-13.530000000000001</v>
      </c>
      <c r="Y99" s="2"/>
      <c r="Z99" s="6">
        <f t="shared" si="40"/>
        <v>2.308873720136519</v>
      </c>
    </row>
    <row r="100" spans="1:26" s="25" customFormat="1" outlineLevel="1" collapsed="1" x14ac:dyDescent="0.35">
      <c r="A100" s="26"/>
      <c r="B100" s="12" t="str">
        <f>CONCATENATE("     ","Donations                                         ")</f>
        <v xml:space="preserve">     Donations                                         </v>
      </c>
      <c r="C100" s="12"/>
      <c r="D100" s="1">
        <f>SUM(OSRRefD22_6x_0)</f>
        <v>0</v>
      </c>
      <c r="E100" s="1"/>
      <c r="F100" s="5">
        <f t="shared" ref="F100:F106" si="41">IF(D$12=0,0,D100/D$12)</f>
        <v>0</v>
      </c>
      <c r="G100" s="1"/>
      <c r="H100" s="1">
        <f>SUM(OSRRefH22_6x_0)</f>
        <v>0</v>
      </c>
      <c r="I100" s="1"/>
      <c r="J100" s="5">
        <f t="shared" ref="J100:J106" si="42">IF(H$12=0,0,H100/H$12)</f>
        <v>0</v>
      </c>
      <c r="K100" s="1"/>
      <c r="L100" s="1">
        <f t="shared" ref="L100:L106" si="43">+D100-H100</f>
        <v>0</v>
      </c>
      <c r="M100" s="1"/>
      <c r="N100" s="5">
        <f t="shared" ref="N100:N106" si="44">IF(H100=0,0,L100/H100)</f>
        <v>0</v>
      </c>
      <c r="O100" s="12"/>
      <c r="P100" s="1">
        <f>SUM(OSRRefP22_6x_0)</f>
        <v>0</v>
      </c>
      <c r="Q100" s="1"/>
      <c r="R100" s="5">
        <f t="shared" ref="R100:R106" si="45">IF(P$12=0,0,P100/P$12)</f>
        <v>0</v>
      </c>
      <c r="S100" s="1"/>
      <c r="T100" s="1">
        <f>SUM(OSRRefT22_6x_0)</f>
        <v>141.53</v>
      </c>
      <c r="U100" s="1"/>
      <c r="V100" s="5">
        <f t="shared" ref="V100:V106" si="46">IF(T$12=0,0,T100/T$12)</f>
        <v>3.8599334681434585E-5</v>
      </c>
      <c r="W100" s="1"/>
      <c r="X100" s="1">
        <f t="shared" ref="X100:X106" si="47">+P100-T100</f>
        <v>-141.53</v>
      </c>
      <c r="Y100" s="1"/>
      <c r="Z100" s="5">
        <f t="shared" ref="Z100:Z106" si="48">IF(T100=0,0,X100/T100)</f>
        <v>-1</v>
      </c>
    </row>
    <row r="101" spans="1:26" s="24" customFormat="1" hidden="1" outlineLevel="2" x14ac:dyDescent="0.35">
      <c r="A101" s="27"/>
      <c r="B101" s="11" t="str">
        <f>CONCATENATE("          ", "6399", " - ", "DONATION-ON CAMPUS")</f>
        <v xml:space="preserve">          6399 - DONATION-ON CAMPUS</v>
      </c>
      <c r="C101" s="11"/>
      <c r="D101" s="7"/>
      <c r="E101" s="2"/>
      <c r="F101" s="6">
        <f t="shared" si="41"/>
        <v>0</v>
      </c>
      <c r="G101" s="2"/>
      <c r="H101" s="7"/>
      <c r="I101" s="2"/>
      <c r="J101" s="6">
        <f t="shared" si="42"/>
        <v>0</v>
      </c>
      <c r="K101" s="2"/>
      <c r="L101" s="7">
        <f t="shared" si="43"/>
        <v>0</v>
      </c>
      <c r="M101" s="2"/>
      <c r="N101" s="6">
        <f t="shared" si="44"/>
        <v>0</v>
      </c>
      <c r="O101" s="11"/>
      <c r="P101" s="7"/>
      <c r="Q101" s="2"/>
      <c r="R101" s="6">
        <f t="shared" si="45"/>
        <v>0</v>
      </c>
      <c r="S101" s="2"/>
      <c r="T101" s="7">
        <v>141.53</v>
      </c>
      <c r="U101" s="2"/>
      <c r="V101" s="6">
        <f t="shared" si="46"/>
        <v>3.8599334681434585E-5</v>
      </c>
      <c r="W101" s="2"/>
      <c r="X101" s="7">
        <f t="shared" si="47"/>
        <v>-141.53</v>
      </c>
      <c r="Y101" s="2"/>
      <c r="Z101" s="6">
        <f t="shared" si="48"/>
        <v>-1</v>
      </c>
    </row>
    <row r="102" spans="1:26" s="25" customFormat="1" outlineLevel="1" collapsed="1" x14ac:dyDescent="0.35">
      <c r="A102" s="26"/>
      <c r="B102" s="12" t="str">
        <f>CONCATENATE("     ","Employees' Appreciation                           ")</f>
        <v xml:space="preserve">     Employees' Appreciation                           </v>
      </c>
      <c r="C102" s="12"/>
      <c r="D102" s="1">
        <f>SUM(OSRRefD22_7x_0)</f>
        <v>0</v>
      </c>
      <c r="E102" s="1"/>
      <c r="F102" s="5">
        <f t="shared" si="41"/>
        <v>0</v>
      </c>
      <c r="G102" s="1"/>
      <c r="H102" s="1">
        <f>SUM(OSRRefH22_7x_0)</f>
        <v>65.87</v>
      </c>
      <c r="I102" s="1"/>
      <c r="J102" s="5">
        <f t="shared" si="42"/>
        <v>3.4609344722734338E-4</v>
      </c>
      <c r="K102" s="1"/>
      <c r="L102" s="1">
        <f t="shared" si="43"/>
        <v>-65.87</v>
      </c>
      <c r="M102" s="1"/>
      <c r="N102" s="5">
        <f t="shared" si="44"/>
        <v>-1</v>
      </c>
      <c r="O102" s="12"/>
      <c r="P102" s="1">
        <f>SUM(OSRRefP22_7x_0)</f>
        <v>376.37</v>
      </c>
      <c r="Q102" s="1"/>
      <c r="R102" s="5">
        <f t="shared" si="45"/>
        <v>1.281808860655559E-4</v>
      </c>
      <c r="S102" s="1"/>
      <c r="T102" s="1">
        <f>SUM(OSRRefT22_7x_0)</f>
        <v>822.2</v>
      </c>
      <c r="U102" s="1"/>
      <c r="V102" s="5">
        <f t="shared" si="46"/>
        <v>2.2423777979986939E-4</v>
      </c>
      <c r="W102" s="1"/>
      <c r="X102" s="1">
        <f t="shared" si="47"/>
        <v>-445.83000000000004</v>
      </c>
      <c r="Y102" s="1"/>
      <c r="Z102" s="5">
        <f t="shared" si="48"/>
        <v>-0.54224033081975187</v>
      </c>
    </row>
    <row r="103" spans="1:26" s="24" customFormat="1" hidden="1" outlineLevel="2" x14ac:dyDescent="0.35">
      <c r="A103" s="27"/>
      <c r="B103" s="11" t="str">
        <f>CONCATENATE("          ", "6277", " - ", "EMPLOYEE APPRECIATION")</f>
        <v xml:space="preserve">          6277 - EMPLOYEE APPRECIATION</v>
      </c>
      <c r="C103" s="11"/>
      <c r="D103" s="7"/>
      <c r="E103" s="2"/>
      <c r="F103" s="6">
        <f t="shared" si="41"/>
        <v>0</v>
      </c>
      <c r="G103" s="2"/>
      <c r="H103" s="7">
        <v>65.87</v>
      </c>
      <c r="I103" s="2"/>
      <c r="J103" s="6">
        <f t="shared" si="42"/>
        <v>3.4609344722734338E-4</v>
      </c>
      <c r="K103" s="2"/>
      <c r="L103" s="7">
        <f t="shared" si="43"/>
        <v>-65.87</v>
      </c>
      <c r="M103" s="2"/>
      <c r="N103" s="6">
        <f t="shared" si="44"/>
        <v>-1</v>
      </c>
      <c r="O103" s="11"/>
      <c r="P103" s="7">
        <v>376.37</v>
      </c>
      <c r="Q103" s="2"/>
      <c r="R103" s="6">
        <f t="shared" si="45"/>
        <v>1.281808860655559E-4</v>
      </c>
      <c r="S103" s="2"/>
      <c r="T103" s="7">
        <v>822.2</v>
      </c>
      <c r="U103" s="2"/>
      <c r="V103" s="6">
        <f t="shared" si="46"/>
        <v>2.2423777979986939E-4</v>
      </c>
      <c r="W103" s="2"/>
      <c r="X103" s="7">
        <f t="shared" si="47"/>
        <v>-445.83000000000004</v>
      </c>
      <c r="Y103" s="2"/>
      <c r="Z103" s="6">
        <f t="shared" si="48"/>
        <v>-0.54224033081975187</v>
      </c>
    </row>
    <row r="104" spans="1:26" s="25" customFormat="1" outlineLevel="1" collapsed="1" x14ac:dyDescent="0.35">
      <c r="A104" s="26"/>
      <c r="B104" s="12" t="str">
        <f>CONCATENATE("     ","Freight out/Postage                               ")</f>
        <v xml:space="preserve">     Freight out/Postage                               </v>
      </c>
      <c r="C104" s="12"/>
      <c r="D104" s="1">
        <f>SUM(OSRRefD22_8x_0)</f>
        <v>34.229999999999997</v>
      </c>
      <c r="E104" s="1"/>
      <c r="F104" s="5">
        <f t="shared" si="41"/>
        <v>2.0279960620262264E-4</v>
      </c>
      <c r="G104" s="1"/>
      <c r="H104" s="1">
        <f>SUM(OSRRefH22_8x_0)</f>
        <v>17.899999999999999</v>
      </c>
      <c r="I104" s="1"/>
      <c r="J104" s="5">
        <f t="shared" si="42"/>
        <v>9.4049987936381445E-5</v>
      </c>
      <c r="K104" s="1"/>
      <c r="L104" s="1">
        <f t="shared" si="43"/>
        <v>16.329999999999998</v>
      </c>
      <c r="M104" s="1"/>
      <c r="N104" s="5">
        <f t="shared" si="44"/>
        <v>0.91229050279329604</v>
      </c>
      <c r="O104" s="12"/>
      <c r="P104" s="1">
        <f>SUM(OSRRefP22_8x_0)</f>
        <v>163.83000000000001</v>
      </c>
      <c r="Q104" s="1"/>
      <c r="R104" s="5">
        <f t="shared" si="45"/>
        <v>5.5795824757871302E-5</v>
      </c>
      <c r="S104" s="1"/>
      <c r="T104" s="1">
        <f>SUM(OSRRefT22_8x_0)</f>
        <v>50.5</v>
      </c>
      <c r="U104" s="1"/>
      <c r="V104" s="5">
        <f t="shared" si="46"/>
        <v>1.3772814254309662E-5</v>
      </c>
      <c r="W104" s="1"/>
      <c r="X104" s="1">
        <f t="shared" si="47"/>
        <v>113.33000000000001</v>
      </c>
      <c r="Y104" s="1"/>
      <c r="Z104" s="5">
        <f t="shared" si="48"/>
        <v>2.2441584158415844</v>
      </c>
    </row>
    <row r="105" spans="1:26" s="24" customFormat="1" hidden="1" outlineLevel="2" x14ac:dyDescent="0.35">
      <c r="A105" s="27"/>
      <c r="B105" s="11" t="str">
        <f>CONCATENATE("          ", "6305", " - ", "FREIGHT OUT")</f>
        <v xml:space="preserve">          6305 - FREIGHT OUT</v>
      </c>
      <c r="C105" s="11"/>
      <c r="D105" s="7">
        <v>34.229999999999997</v>
      </c>
      <c r="E105" s="2"/>
      <c r="F105" s="6">
        <f t="shared" si="41"/>
        <v>2.0279960620262264E-4</v>
      </c>
      <c r="G105" s="2"/>
      <c r="H105" s="7">
        <v>17.899999999999999</v>
      </c>
      <c r="I105" s="2"/>
      <c r="J105" s="6">
        <f t="shared" si="42"/>
        <v>9.4049987936381445E-5</v>
      </c>
      <c r="K105" s="2"/>
      <c r="L105" s="7">
        <f t="shared" si="43"/>
        <v>16.329999999999998</v>
      </c>
      <c r="M105" s="2"/>
      <c r="N105" s="6">
        <f t="shared" si="44"/>
        <v>0.91229050279329604</v>
      </c>
      <c r="O105" s="11"/>
      <c r="P105" s="7">
        <v>163.33000000000001</v>
      </c>
      <c r="Q105" s="2"/>
      <c r="R105" s="6">
        <f t="shared" si="45"/>
        <v>5.5625539020344991E-5</v>
      </c>
      <c r="S105" s="2"/>
      <c r="T105" s="7">
        <v>50.5</v>
      </c>
      <c r="U105" s="2"/>
      <c r="V105" s="6">
        <f t="shared" si="46"/>
        <v>1.3772814254309662E-5</v>
      </c>
      <c r="W105" s="2"/>
      <c r="X105" s="7">
        <f t="shared" si="47"/>
        <v>112.83000000000001</v>
      </c>
      <c r="Y105" s="2"/>
      <c r="Z105" s="6">
        <f t="shared" si="48"/>
        <v>2.2342574257425745</v>
      </c>
    </row>
    <row r="106" spans="1:26" s="24" customFormat="1" hidden="1" outlineLevel="2" x14ac:dyDescent="0.35">
      <c r="A106" s="27"/>
      <c r="B106" s="11" t="str">
        <f>CONCATENATE("          ", "6307", " - ", "POSTAGE")</f>
        <v xml:space="preserve">          6307 - POSTAGE</v>
      </c>
      <c r="C106" s="11"/>
      <c r="D106" s="7"/>
      <c r="E106" s="2"/>
      <c r="F106" s="6">
        <f t="shared" si="41"/>
        <v>0</v>
      </c>
      <c r="G106" s="2"/>
      <c r="H106" s="7"/>
      <c r="I106" s="2"/>
      <c r="J106" s="6">
        <f t="shared" si="42"/>
        <v>0</v>
      </c>
      <c r="K106" s="2"/>
      <c r="L106" s="7">
        <f t="shared" si="43"/>
        <v>0</v>
      </c>
      <c r="M106" s="2"/>
      <c r="N106" s="6">
        <f t="shared" si="44"/>
        <v>0</v>
      </c>
      <c r="O106" s="11"/>
      <c r="P106" s="7">
        <v>0.5</v>
      </c>
      <c r="Q106" s="2"/>
      <c r="R106" s="6">
        <f t="shared" si="45"/>
        <v>1.7028573752631172E-7</v>
      </c>
      <c r="S106" s="2"/>
      <c r="T106" s="7"/>
      <c r="U106" s="2"/>
      <c r="V106" s="6">
        <f t="shared" si="46"/>
        <v>0</v>
      </c>
      <c r="W106" s="2"/>
      <c r="X106" s="7">
        <f t="shared" si="47"/>
        <v>0.5</v>
      </c>
      <c r="Y106" s="2"/>
      <c r="Z106" s="6">
        <f t="shared" si="48"/>
        <v>0</v>
      </c>
    </row>
    <row r="107" spans="1:26" s="25" customFormat="1" outlineLevel="1" collapsed="1" x14ac:dyDescent="0.35">
      <c r="A107" s="26"/>
      <c r="B107" s="12" t="str">
        <f>CONCATENATE("     ","General                                           ")</f>
        <v xml:space="preserve">     General                                           </v>
      </c>
      <c r="C107" s="12"/>
      <c r="D107" s="1">
        <f>SUM(OSRRefD22_9x_0)</f>
        <v>0</v>
      </c>
      <c r="E107" s="1"/>
      <c r="F107" s="5">
        <f t="shared" ref="F107:F126" si="49">IF(D$12=0,0,D107/D$12)</f>
        <v>0</v>
      </c>
      <c r="G107" s="1"/>
      <c r="H107" s="1">
        <f>SUM(OSRRefH22_9x_0)</f>
        <v>0</v>
      </c>
      <c r="I107" s="1"/>
      <c r="J107" s="5">
        <f t="shared" ref="J107:J126" si="50">IF(H$12=0,0,H107/H$12)</f>
        <v>0</v>
      </c>
      <c r="K107" s="1"/>
      <c r="L107" s="1">
        <f t="shared" ref="L107:L126" si="51">+D107-H107</f>
        <v>0</v>
      </c>
      <c r="M107" s="1"/>
      <c r="N107" s="5">
        <f t="shared" ref="N107:N126" si="52">IF(H107=0,0,L107/H107)</f>
        <v>0</v>
      </c>
      <c r="O107" s="12"/>
      <c r="P107" s="1">
        <f>SUM(OSRRefP22_9x_0)</f>
        <v>1392.43</v>
      </c>
      <c r="Q107" s="1"/>
      <c r="R107" s="5">
        <f t="shared" ref="R107:R126" si="53">IF(P$12=0,0,P107/P$12)</f>
        <v>4.742219390075245E-4</v>
      </c>
      <c r="S107" s="1"/>
      <c r="T107" s="1">
        <f>SUM(OSRRefT22_9x_0)</f>
        <v>1527.44</v>
      </c>
      <c r="U107" s="1"/>
      <c r="V107" s="5">
        <f t="shared" ref="V107:V126" si="54">IF(T$12=0,0,T107/T$12)</f>
        <v>4.1657717632876735E-4</v>
      </c>
      <c r="W107" s="1"/>
      <c r="X107" s="1">
        <f t="shared" ref="X107:X126" si="55">+P107-T107</f>
        <v>-135.01</v>
      </c>
      <c r="Y107" s="1"/>
      <c r="Z107" s="5">
        <f t="shared" ref="Z107:Z126" si="56">IF(T107=0,0,X107/T107)</f>
        <v>-8.8389723982611412E-2</v>
      </c>
    </row>
    <row r="108" spans="1:26" s="24" customFormat="1" hidden="1" outlineLevel="2" x14ac:dyDescent="0.35">
      <c r="A108" s="27"/>
      <c r="B108" s="11" t="str">
        <f>CONCATENATE("          ", "6279", " - ", "GENERAL EXPENSE")</f>
        <v xml:space="preserve">          6279 - GENERAL EXPENSE</v>
      </c>
      <c r="C108" s="11"/>
      <c r="D108" s="7"/>
      <c r="E108" s="2"/>
      <c r="F108" s="6">
        <f t="shared" si="49"/>
        <v>0</v>
      </c>
      <c r="G108" s="2"/>
      <c r="H108" s="7"/>
      <c r="I108" s="2"/>
      <c r="J108" s="6">
        <f t="shared" si="50"/>
        <v>0</v>
      </c>
      <c r="K108" s="2"/>
      <c r="L108" s="7">
        <f t="shared" si="51"/>
        <v>0</v>
      </c>
      <c r="M108" s="2"/>
      <c r="N108" s="6">
        <f t="shared" si="52"/>
        <v>0</v>
      </c>
      <c r="O108" s="11"/>
      <c r="P108" s="7">
        <v>1392.43</v>
      </c>
      <c r="Q108" s="2"/>
      <c r="R108" s="6">
        <f t="shared" si="53"/>
        <v>4.742219390075245E-4</v>
      </c>
      <c r="S108" s="2"/>
      <c r="T108" s="7">
        <v>1527.44</v>
      </c>
      <c r="U108" s="2"/>
      <c r="V108" s="6">
        <f t="shared" si="54"/>
        <v>4.1657717632876735E-4</v>
      </c>
      <c r="W108" s="2"/>
      <c r="X108" s="7">
        <f t="shared" si="55"/>
        <v>-135.01</v>
      </c>
      <c r="Y108" s="2"/>
      <c r="Z108" s="6">
        <f t="shared" si="56"/>
        <v>-8.8389723982611412E-2</v>
      </c>
    </row>
    <row r="109" spans="1:26" s="25" customFormat="1" outlineLevel="1" collapsed="1" x14ac:dyDescent="0.35">
      <c r="A109" s="26"/>
      <c r="B109" s="12" t="str">
        <f>CONCATENATE("     ","Insurance                                         ")</f>
        <v xml:space="preserve">     Insurance                                         </v>
      </c>
      <c r="C109" s="12"/>
      <c r="D109" s="1">
        <f>SUM(OSRRefD22_10x_0)</f>
        <v>161.18</v>
      </c>
      <c r="E109" s="1"/>
      <c r="F109" s="5">
        <f t="shared" si="49"/>
        <v>9.5492960934089174E-4</v>
      </c>
      <c r="G109" s="1"/>
      <c r="H109" s="1">
        <f>SUM(OSRRefH22_10x_0)</f>
        <v>151.85</v>
      </c>
      <c r="I109" s="1"/>
      <c r="J109" s="5">
        <f t="shared" si="50"/>
        <v>7.9784864067818562E-4</v>
      </c>
      <c r="K109" s="1"/>
      <c r="L109" s="1">
        <f t="shared" si="51"/>
        <v>9.3300000000000125</v>
      </c>
      <c r="M109" s="1"/>
      <c r="N109" s="5">
        <f t="shared" si="52"/>
        <v>6.1442212709911181E-2</v>
      </c>
      <c r="O109" s="12"/>
      <c r="P109" s="1">
        <f>SUM(OSRRefP22_10x_0)</f>
        <v>1934.16</v>
      </c>
      <c r="Q109" s="1"/>
      <c r="R109" s="5">
        <f t="shared" si="53"/>
        <v>6.5871972418778222E-4</v>
      </c>
      <c r="S109" s="1"/>
      <c r="T109" s="1">
        <f>SUM(OSRRefT22_10x_0)</f>
        <v>1551.25</v>
      </c>
      <c r="U109" s="1"/>
      <c r="V109" s="5">
        <f t="shared" si="54"/>
        <v>4.2307085370292796E-4</v>
      </c>
      <c r="W109" s="1"/>
      <c r="X109" s="1">
        <f t="shared" si="55"/>
        <v>382.91000000000008</v>
      </c>
      <c r="Y109" s="1"/>
      <c r="Z109" s="5">
        <f t="shared" si="56"/>
        <v>0.24683964544722004</v>
      </c>
    </row>
    <row r="110" spans="1:26" s="24" customFormat="1" hidden="1" outlineLevel="2" x14ac:dyDescent="0.35">
      <c r="A110" s="27"/>
      <c r="B110" s="11" t="str">
        <f>CONCATENATE("          ", "6314", " - ", "LIABILITY INSURANCE")</f>
        <v xml:space="preserve">          6314 - LIABILITY INSURANCE</v>
      </c>
      <c r="C110" s="11"/>
      <c r="D110" s="7">
        <v>161.18</v>
      </c>
      <c r="E110" s="2"/>
      <c r="F110" s="6">
        <f t="shared" si="49"/>
        <v>9.5492960934089174E-4</v>
      </c>
      <c r="G110" s="2"/>
      <c r="H110" s="7">
        <v>151.85</v>
      </c>
      <c r="I110" s="2"/>
      <c r="J110" s="6">
        <f t="shared" si="50"/>
        <v>7.9784864067818562E-4</v>
      </c>
      <c r="K110" s="2"/>
      <c r="L110" s="7">
        <f t="shared" si="51"/>
        <v>9.3300000000000125</v>
      </c>
      <c r="M110" s="2"/>
      <c r="N110" s="6">
        <f t="shared" si="52"/>
        <v>6.1442212709911181E-2</v>
      </c>
      <c r="O110" s="11"/>
      <c r="P110" s="7">
        <v>1934.16</v>
      </c>
      <c r="Q110" s="2"/>
      <c r="R110" s="6">
        <f t="shared" si="53"/>
        <v>6.5871972418778222E-4</v>
      </c>
      <c r="S110" s="2"/>
      <c r="T110" s="7">
        <v>1551.25</v>
      </c>
      <c r="U110" s="2"/>
      <c r="V110" s="6">
        <f t="shared" si="54"/>
        <v>4.2307085370292796E-4</v>
      </c>
      <c r="W110" s="2"/>
      <c r="X110" s="7">
        <f t="shared" si="55"/>
        <v>382.91000000000008</v>
      </c>
      <c r="Y110" s="2"/>
      <c r="Z110" s="6">
        <f t="shared" si="56"/>
        <v>0.24683964544722004</v>
      </c>
    </row>
    <row r="111" spans="1:26" s="25" customFormat="1" outlineLevel="1" collapsed="1" x14ac:dyDescent="0.35">
      <c r="A111" s="26"/>
      <c r="B111" s="12" t="str">
        <f>CONCATENATE("     ","Inventory Adjustment                              ")</f>
        <v xml:space="preserve">     Inventory Adjustment                              </v>
      </c>
      <c r="C111" s="12"/>
      <c r="D111" s="1">
        <f>SUM(OSRRefD22_11x_0)</f>
        <v>102388</v>
      </c>
      <c r="E111" s="1"/>
      <c r="F111" s="5">
        <f t="shared" si="49"/>
        <v>0.60660958457125702</v>
      </c>
      <c r="G111" s="1"/>
      <c r="H111" s="1">
        <f>SUM(OSRRefH22_11x_0)</f>
        <v>-70255</v>
      </c>
      <c r="I111" s="1"/>
      <c r="J111" s="5">
        <f t="shared" si="50"/>
        <v>-0.36913306717712169</v>
      </c>
      <c r="K111" s="1"/>
      <c r="L111" s="1">
        <f t="shared" si="51"/>
        <v>172643</v>
      </c>
      <c r="M111" s="1"/>
      <c r="N111" s="5">
        <f t="shared" si="52"/>
        <v>-2.4573766991673192</v>
      </c>
      <c r="O111" s="12"/>
      <c r="P111" s="1">
        <f>SUM(OSRRefP22_11x_0)</f>
        <v>137938</v>
      </c>
      <c r="Q111" s="1"/>
      <c r="R111" s="5">
        <f t="shared" si="53"/>
        <v>4.6977748125808773E-2</v>
      </c>
      <c r="S111" s="1"/>
      <c r="T111" s="1">
        <f>SUM(OSRRefT22_11x_0)</f>
        <v>-55055</v>
      </c>
      <c r="U111" s="1"/>
      <c r="V111" s="5">
        <f t="shared" si="54"/>
        <v>-1.5015094827148879E-2</v>
      </c>
      <c r="W111" s="1"/>
      <c r="X111" s="1">
        <f t="shared" si="55"/>
        <v>192993</v>
      </c>
      <c r="Y111" s="1"/>
      <c r="Z111" s="5">
        <f t="shared" si="56"/>
        <v>-3.5054581781854508</v>
      </c>
    </row>
    <row r="112" spans="1:26" s="24" customFormat="1" hidden="1" outlineLevel="2" x14ac:dyDescent="0.35">
      <c r="A112" s="27"/>
      <c r="B112" s="11" t="str">
        <f>CONCATENATE("          ", "6408", " - ", "INVENTORY ADJUSTMENT")</f>
        <v xml:space="preserve">          6408 - INVENTORY ADJUSTMENT</v>
      </c>
      <c r="C112" s="11"/>
      <c r="D112" s="7">
        <v>-35550</v>
      </c>
      <c r="E112" s="2"/>
      <c r="F112" s="6">
        <f t="shared" si="49"/>
        <v>-0.2106200993427764</v>
      </c>
      <c r="G112" s="2"/>
      <c r="H112" s="7">
        <v>-15200</v>
      </c>
      <c r="I112" s="2"/>
      <c r="J112" s="6">
        <f t="shared" si="50"/>
        <v>-7.9863676906871392E-2</v>
      </c>
      <c r="K112" s="2"/>
      <c r="L112" s="7">
        <f t="shared" si="51"/>
        <v>-20350</v>
      </c>
      <c r="M112" s="2"/>
      <c r="N112" s="6">
        <f t="shared" si="52"/>
        <v>1.3388157894736843</v>
      </c>
      <c r="O112" s="11"/>
      <c r="P112" s="7">
        <v>0</v>
      </c>
      <c r="Q112" s="2"/>
      <c r="R112" s="6">
        <f t="shared" si="53"/>
        <v>0</v>
      </c>
      <c r="S112" s="2"/>
      <c r="T112" s="7">
        <v>0</v>
      </c>
      <c r="U112" s="2"/>
      <c r="V112" s="6">
        <f t="shared" si="54"/>
        <v>0</v>
      </c>
      <c r="W112" s="2"/>
      <c r="X112" s="7">
        <f t="shared" si="55"/>
        <v>0</v>
      </c>
      <c r="Y112" s="2"/>
      <c r="Z112" s="6">
        <f t="shared" si="56"/>
        <v>0</v>
      </c>
    </row>
    <row r="113" spans="1:26" s="24" customFormat="1" hidden="1" outlineLevel="2" x14ac:dyDescent="0.35">
      <c r="A113" s="27"/>
      <c r="B113" s="11" t="str">
        <f>CONCATENATE("          ", "7725", " - ", "INV. SHRINKAGE-TEST FORMS")</f>
        <v xml:space="preserve">          7725 - INV. SHRINKAGE-TEST FORMS</v>
      </c>
      <c r="C113" s="11"/>
      <c r="D113" s="7"/>
      <c r="E113" s="2"/>
      <c r="F113" s="6">
        <f t="shared" si="49"/>
        <v>0</v>
      </c>
      <c r="G113" s="2"/>
      <c r="H113" s="7">
        <v>33</v>
      </c>
      <c r="I113" s="2"/>
      <c r="J113" s="6">
        <f t="shared" si="50"/>
        <v>1.7338824591623395E-4</v>
      </c>
      <c r="K113" s="2"/>
      <c r="L113" s="7">
        <f t="shared" si="51"/>
        <v>-33</v>
      </c>
      <c r="M113" s="2"/>
      <c r="N113" s="6">
        <f t="shared" si="52"/>
        <v>-1</v>
      </c>
      <c r="O113" s="11"/>
      <c r="P113" s="7"/>
      <c r="Q113" s="2"/>
      <c r="R113" s="6">
        <f t="shared" si="53"/>
        <v>0</v>
      </c>
      <c r="S113" s="2"/>
      <c r="T113" s="7">
        <v>33</v>
      </c>
      <c r="U113" s="2"/>
      <c r="V113" s="6">
        <f t="shared" si="54"/>
        <v>9.0000568394498781E-6</v>
      </c>
      <c r="W113" s="2"/>
      <c r="X113" s="7">
        <f t="shared" si="55"/>
        <v>-33</v>
      </c>
      <c r="Y113" s="2"/>
      <c r="Z113" s="6">
        <f t="shared" si="56"/>
        <v>-1</v>
      </c>
    </row>
    <row r="114" spans="1:26" s="24" customFormat="1" hidden="1" outlineLevel="2" x14ac:dyDescent="0.35">
      <c r="A114" s="27"/>
      <c r="B114" s="11" t="str">
        <f>CONCATENATE("          ", "7726", " - ", "INV. SHRINKAGE-WRITING INSTRUM")</f>
        <v xml:space="preserve">          7726 - INV. SHRINKAGE-WRITING INSTRUM</v>
      </c>
      <c r="C114" s="11"/>
      <c r="D114" s="7">
        <v>2342</v>
      </c>
      <c r="E114" s="2"/>
      <c r="F114" s="6">
        <f t="shared" si="49"/>
        <v>1.387545070775759E-2</v>
      </c>
      <c r="G114" s="2"/>
      <c r="H114" s="7">
        <v>480</v>
      </c>
      <c r="I114" s="2"/>
      <c r="J114" s="6">
        <f t="shared" si="50"/>
        <v>2.5220108496906758E-3</v>
      </c>
      <c r="K114" s="2"/>
      <c r="L114" s="7">
        <f t="shared" si="51"/>
        <v>1862</v>
      </c>
      <c r="M114" s="2"/>
      <c r="N114" s="6">
        <f t="shared" si="52"/>
        <v>3.8791666666666669</v>
      </c>
      <c r="O114" s="11"/>
      <c r="P114" s="7">
        <v>2342</v>
      </c>
      <c r="Q114" s="2"/>
      <c r="R114" s="6">
        <f t="shared" si="53"/>
        <v>7.9761839457324413E-4</v>
      </c>
      <c r="S114" s="2"/>
      <c r="T114" s="7">
        <v>480</v>
      </c>
      <c r="U114" s="2"/>
      <c r="V114" s="6">
        <f t="shared" si="54"/>
        <v>1.309099176647255E-4</v>
      </c>
      <c r="W114" s="2"/>
      <c r="X114" s="7">
        <f t="shared" si="55"/>
        <v>1862</v>
      </c>
      <c r="Y114" s="2"/>
      <c r="Z114" s="6">
        <f t="shared" si="56"/>
        <v>3.8791666666666669</v>
      </c>
    </row>
    <row r="115" spans="1:26" s="24" customFormat="1" hidden="1" outlineLevel="2" x14ac:dyDescent="0.35">
      <c r="A115" s="27"/>
      <c r="B115" s="11" t="str">
        <f>CONCATENATE("          ", "7727", " - ", "INV. SHRINKAGE-SCHOOL SUPPLIES")</f>
        <v xml:space="preserve">          7727 - INV. SHRINKAGE-SCHOOL SUPPLIES</v>
      </c>
      <c r="C115" s="11"/>
      <c r="D115" s="7">
        <v>384</v>
      </c>
      <c r="E115" s="2"/>
      <c r="F115" s="6">
        <f t="shared" si="49"/>
        <v>2.2750525498629009E-3</v>
      </c>
      <c r="G115" s="2"/>
      <c r="H115" s="7">
        <v>799</v>
      </c>
      <c r="I115" s="2"/>
      <c r="J115" s="6">
        <f t="shared" si="50"/>
        <v>4.1980972268809372E-3</v>
      </c>
      <c r="K115" s="2"/>
      <c r="L115" s="7">
        <f t="shared" si="51"/>
        <v>-415</v>
      </c>
      <c r="M115" s="2"/>
      <c r="N115" s="6">
        <f t="shared" si="52"/>
        <v>-0.51939924906132662</v>
      </c>
      <c r="O115" s="11"/>
      <c r="P115" s="7">
        <v>384</v>
      </c>
      <c r="Q115" s="2"/>
      <c r="R115" s="6">
        <f t="shared" si="53"/>
        <v>1.3077944642020739E-4</v>
      </c>
      <c r="S115" s="2"/>
      <c r="T115" s="7">
        <v>799</v>
      </c>
      <c r="U115" s="2"/>
      <c r="V115" s="6">
        <f t="shared" si="54"/>
        <v>2.1791046711274099E-4</v>
      </c>
      <c r="W115" s="2"/>
      <c r="X115" s="7">
        <f t="shared" si="55"/>
        <v>-415</v>
      </c>
      <c r="Y115" s="2"/>
      <c r="Z115" s="6">
        <f t="shared" si="56"/>
        <v>-0.51939924906132662</v>
      </c>
    </row>
    <row r="116" spans="1:26" s="24" customFormat="1" hidden="1" outlineLevel="2" x14ac:dyDescent="0.35">
      <c r="A116" s="27"/>
      <c r="B116" s="11" t="str">
        <f>CONCATENATE("          ", "7734", " - ", "INV. SHRINKAGE-SODA")</f>
        <v xml:space="preserve">          7734 - INV. SHRINKAGE-SODA</v>
      </c>
      <c r="C116" s="11"/>
      <c r="D116" s="7"/>
      <c r="E116" s="2"/>
      <c r="F116" s="6">
        <f t="shared" si="49"/>
        <v>0</v>
      </c>
      <c r="G116" s="2"/>
      <c r="H116" s="7">
        <v>4</v>
      </c>
      <c r="I116" s="2"/>
      <c r="J116" s="6">
        <f t="shared" si="50"/>
        <v>2.1016757080755631E-5</v>
      </c>
      <c r="K116" s="2"/>
      <c r="L116" s="7">
        <f t="shared" si="51"/>
        <v>-4</v>
      </c>
      <c r="M116" s="2"/>
      <c r="N116" s="6">
        <f t="shared" si="52"/>
        <v>-1</v>
      </c>
      <c r="O116" s="11"/>
      <c r="P116" s="7"/>
      <c r="Q116" s="2"/>
      <c r="R116" s="6">
        <f t="shared" si="53"/>
        <v>0</v>
      </c>
      <c r="S116" s="2"/>
      <c r="T116" s="7">
        <v>4</v>
      </c>
      <c r="U116" s="2"/>
      <c r="V116" s="6">
        <f t="shared" si="54"/>
        <v>1.0909159805393791E-6</v>
      </c>
      <c r="W116" s="2"/>
      <c r="X116" s="7">
        <f t="shared" si="55"/>
        <v>-4</v>
      </c>
      <c r="Y116" s="2"/>
      <c r="Z116" s="6">
        <f t="shared" si="56"/>
        <v>-1</v>
      </c>
    </row>
    <row r="117" spans="1:26" s="24" customFormat="1" hidden="1" outlineLevel="2" x14ac:dyDescent="0.35">
      <c r="A117" s="27"/>
      <c r="B117" s="11" t="str">
        <f>CONCATENATE("          ", "7737", " - ", "INV. SHRINKAGE-WATER")</f>
        <v xml:space="preserve">          7737 - INV. SHRINKAGE-WATER</v>
      </c>
      <c r="C117" s="11"/>
      <c r="D117" s="7">
        <v>-69</v>
      </c>
      <c r="E117" s="2"/>
      <c r="F117" s="6">
        <f t="shared" si="49"/>
        <v>-4.0879850505349001E-4</v>
      </c>
      <c r="G117" s="2"/>
      <c r="H117" s="7">
        <v>33</v>
      </c>
      <c r="I117" s="2"/>
      <c r="J117" s="6">
        <f t="shared" si="50"/>
        <v>1.7338824591623395E-4</v>
      </c>
      <c r="K117" s="2"/>
      <c r="L117" s="7">
        <f t="shared" si="51"/>
        <v>-102</v>
      </c>
      <c r="M117" s="2"/>
      <c r="N117" s="6">
        <f t="shared" si="52"/>
        <v>-3.0909090909090908</v>
      </c>
      <c r="O117" s="11"/>
      <c r="P117" s="7">
        <v>-69</v>
      </c>
      <c r="Q117" s="2"/>
      <c r="R117" s="6">
        <f t="shared" si="53"/>
        <v>-2.3499431778631017E-5</v>
      </c>
      <c r="S117" s="2"/>
      <c r="T117" s="7">
        <v>33</v>
      </c>
      <c r="U117" s="2"/>
      <c r="V117" s="6">
        <f t="shared" si="54"/>
        <v>9.0000568394498781E-6</v>
      </c>
      <c r="W117" s="2"/>
      <c r="X117" s="7">
        <f t="shared" si="55"/>
        <v>-102</v>
      </c>
      <c r="Y117" s="2"/>
      <c r="Z117" s="6">
        <f t="shared" si="56"/>
        <v>-3.0909090909090908</v>
      </c>
    </row>
    <row r="118" spans="1:26" s="24" customFormat="1" hidden="1" outlineLevel="2" x14ac:dyDescent="0.35">
      <c r="A118" s="27"/>
      <c r="B118" s="11" t="str">
        <f>CONCATENATE("          ", "7740", " - ", "INV. SHRINKAGE-LOGO CLOTHING")</f>
        <v xml:space="preserve">          7740 - INV. SHRINKAGE-LOGO CLOTHING</v>
      </c>
      <c r="C118" s="11"/>
      <c r="D118" s="7">
        <v>62007.000000000007</v>
      </c>
      <c r="E118" s="2"/>
      <c r="F118" s="6">
        <f t="shared" si="49"/>
        <v>0.36736766525872117</v>
      </c>
      <c r="G118" s="2"/>
      <c r="H118" s="7">
        <v>-33861</v>
      </c>
      <c r="I118" s="2"/>
      <c r="J118" s="6">
        <f t="shared" si="50"/>
        <v>-0.1779121028778666</v>
      </c>
      <c r="K118" s="2"/>
      <c r="L118" s="7">
        <f t="shared" si="51"/>
        <v>95868</v>
      </c>
      <c r="M118" s="2"/>
      <c r="N118" s="6">
        <f t="shared" si="52"/>
        <v>-2.8312217595463807</v>
      </c>
      <c r="O118" s="11"/>
      <c r="P118" s="7">
        <v>62007.000000000007</v>
      </c>
      <c r="Q118" s="2"/>
      <c r="R118" s="6">
        <f t="shared" si="53"/>
        <v>2.1117815453588023E-2</v>
      </c>
      <c r="S118" s="2"/>
      <c r="T118" s="7">
        <v>-33861</v>
      </c>
      <c r="U118" s="2"/>
      <c r="V118" s="6">
        <f t="shared" si="54"/>
        <v>-9.2348765042609797E-3</v>
      </c>
      <c r="W118" s="2"/>
      <c r="X118" s="7">
        <f t="shared" si="55"/>
        <v>95868</v>
      </c>
      <c r="Y118" s="2"/>
      <c r="Z118" s="6">
        <f t="shared" si="56"/>
        <v>-2.8312217595463807</v>
      </c>
    </row>
    <row r="119" spans="1:26" s="24" customFormat="1" hidden="1" outlineLevel="2" x14ac:dyDescent="0.35">
      <c r="A119" s="27"/>
      <c r="B119" s="11" t="str">
        <f>CONCATENATE("          ", "7741", " - ", "INV. SHRINKAGE-LOGO GIFTS")</f>
        <v xml:space="preserve">          7741 - INV. SHRINKAGE-LOGO GIFTS</v>
      </c>
      <c r="C119" s="11"/>
      <c r="D119" s="7">
        <v>31201</v>
      </c>
      <c r="E119" s="2"/>
      <c r="F119" s="6">
        <f t="shared" si="49"/>
        <v>0.18485394429237598</v>
      </c>
      <c r="G119" s="2"/>
      <c r="H119" s="7">
        <v>-30911</v>
      </c>
      <c r="I119" s="2"/>
      <c r="J119" s="6">
        <f t="shared" si="50"/>
        <v>-0.16241224453080932</v>
      </c>
      <c r="K119" s="2"/>
      <c r="L119" s="7">
        <f t="shared" si="51"/>
        <v>62112</v>
      </c>
      <c r="M119" s="2"/>
      <c r="N119" s="6">
        <f t="shared" si="52"/>
        <v>-2.009381773478697</v>
      </c>
      <c r="O119" s="11"/>
      <c r="P119" s="7">
        <v>31201</v>
      </c>
      <c r="Q119" s="2"/>
      <c r="R119" s="6">
        <f t="shared" si="53"/>
        <v>1.0626170593116904E-2</v>
      </c>
      <c r="S119" s="2"/>
      <c r="T119" s="7">
        <v>-30911</v>
      </c>
      <c r="U119" s="2"/>
      <c r="V119" s="6">
        <f t="shared" si="54"/>
        <v>-8.4303259686131869E-3</v>
      </c>
      <c r="W119" s="2"/>
      <c r="X119" s="7">
        <f t="shared" si="55"/>
        <v>62112</v>
      </c>
      <c r="Y119" s="2"/>
      <c r="Z119" s="6">
        <f t="shared" si="56"/>
        <v>-2.009381773478697</v>
      </c>
    </row>
    <row r="120" spans="1:26" s="24" customFormat="1" hidden="1" outlineLevel="2" x14ac:dyDescent="0.35">
      <c r="A120" s="27"/>
      <c r="B120" s="11" t="str">
        <f>CONCATENATE("          ", "7742", " - ", "INV. SHRINKAGE-EVERYDAY GIFTS")</f>
        <v xml:space="preserve">          7742 - INV. SHRINKAGE-EVERYDAY GIFTS</v>
      </c>
      <c r="C120" s="11"/>
      <c r="D120" s="7">
        <v>26750</v>
      </c>
      <c r="E120" s="2"/>
      <c r="F120" s="6">
        <f t="shared" si="49"/>
        <v>0.15848347840841823</v>
      </c>
      <c r="G120" s="2"/>
      <c r="H120" s="7">
        <v>10358</v>
      </c>
      <c r="I120" s="2"/>
      <c r="J120" s="6">
        <f t="shared" si="50"/>
        <v>5.4422892460616705E-2</v>
      </c>
      <c r="K120" s="2"/>
      <c r="L120" s="7">
        <f t="shared" si="51"/>
        <v>16392</v>
      </c>
      <c r="M120" s="2"/>
      <c r="N120" s="6">
        <f t="shared" si="52"/>
        <v>1.5825448928364549</v>
      </c>
      <c r="O120" s="11"/>
      <c r="P120" s="7">
        <v>26750</v>
      </c>
      <c r="Q120" s="2"/>
      <c r="R120" s="6">
        <f t="shared" si="53"/>
        <v>9.1102869576576775E-3</v>
      </c>
      <c r="S120" s="2"/>
      <c r="T120" s="7">
        <v>10358</v>
      </c>
      <c r="U120" s="2"/>
      <c r="V120" s="6">
        <f t="shared" si="54"/>
        <v>2.8249269316067221E-3</v>
      </c>
      <c r="W120" s="2"/>
      <c r="X120" s="7">
        <f t="shared" si="55"/>
        <v>16392</v>
      </c>
      <c r="Y120" s="2"/>
      <c r="Z120" s="6">
        <f t="shared" si="56"/>
        <v>1.5825448928364549</v>
      </c>
    </row>
    <row r="121" spans="1:26" s="24" customFormat="1" hidden="1" outlineLevel="2" x14ac:dyDescent="0.35">
      <c r="A121" s="27"/>
      <c r="B121" s="11" t="str">
        <f>CONCATENATE("          ", "7743", " - ", "INV. SHRINKAGE-CARDS")</f>
        <v xml:space="preserve">          7743 - INV. SHRINKAGE-CARDS</v>
      </c>
      <c r="C121" s="11"/>
      <c r="D121" s="7">
        <v>-12818</v>
      </c>
      <c r="E121" s="2"/>
      <c r="F121" s="6">
        <f t="shared" si="49"/>
        <v>-7.5941728083704862E-2</v>
      </c>
      <c r="G121" s="2"/>
      <c r="H121" s="7">
        <v>-1135</v>
      </c>
      <c r="I121" s="2"/>
      <c r="J121" s="6">
        <f t="shared" si="50"/>
        <v>-5.9635048216644098E-3</v>
      </c>
      <c r="K121" s="2"/>
      <c r="L121" s="7">
        <f t="shared" si="51"/>
        <v>-11683</v>
      </c>
      <c r="M121" s="2"/>
      <c r="N121" s="6">
        <f t="shared" si="52"/>
        <v>10.293392070484581</v>
      </c>
      <c r="O121" s="11"/>
      <c r="P121" s="7">
        <v>-12818</v>
      </c>
      <c r="Q121" s="2"/>
      <c r="R121" s="6">
        <f t="shared" si="53"/>
        <v>-4.3654451672245275E-3</v>
      </c>
      <c r="S121" s="2"/>
      <c r="T121" s="7">
        <v>-1135</v>
      </c>
      <c r="U121" s="2"/>
      <c r="V121" s="6">
        <f t="shared" si="54"/>
        <v>-3.0954740947804882E-4</v>
      </c>
      <c r="W121" s="2"/>
      <c r="X121" s="7">
        <f t="shared" si="55"/>
        <v>-11683</v>
      </c>
      <c r="Y121" s="2"/>
      <c r="Z121" s="6">
        <f t="shared" si="56"/>
        <v>10.293392070484581</v>
      </c>
    </row>
    <row r="122" spans="1:26" s="24" customFormat="1" hidden="1" outlineLevel="2" x14ac:dyDescent="0.35">
      <c r="A122" s="27"/>
      <c r="B122" s="11" t="str">
        <f>CONCATENATE("          ", "7744", " - ", "INV. SHRINKAGE-ACCESSORIES")</f>
        <v xml:space="preserve">          7744 - INV. SHRINKAGE-ACCESSORIES</v>
      </c>
      <c r="C122" s="11"/>
      <c r="D122" s="7">
        <v>-16600</v>
      </c>
      <c r="E122" s="2"/>
      <c r="F122" s="6">
        <f t="shared" si="49"/>
        <v>-9.8348625853448321E-2</v>
      </c>
      <c r="G122" s="2"/>
      <c r="H122" s="7">
        <v>-141</v>
      </c>
      <c r="I122" s="2"/>
      <c r="J122" s="6">
        <f t="shared" si="50"/>
        <v>-7.4084068709663598E-4</v>
      </c>
      <c r="K122" s="2"/>
      <c r="L122" s="7">
        <f t="shared" si="51"/>
        <v>-16459</v>
      </c>
      <c r="M122" s="2"/>
      <c r="N122" s="6">
        <f t="shared" si="52"/>
        <v>116.73049645390071</v>
      </c>
      <c r="O122" s="11"/>
      <c r="P122" s="7">
        <v>-16600</v>
      </c>
      <c r="Q122" s="2"/>
      <c r="R122" s="6">
        <f t="shared" si="53"/>
        <v>-5.653486485873549E-3</v>
      </c>
      <c r="S122" s="2"/>
      <c r="T122" s="7">
        <v>-141</v>
      </c>
      <c r="U122" s="2"/>
      <c r="V122" s="6">
        <f t="shared" si="54"/>
        <v>-3.8454788314013115E-5</v>
      </c>
      <c r="W122" s="2"/>
      <c r="X122" s="7">
        <f t="shared" si="55"/>
        <v>-16459</v>
      </c>
      <c r="Y122" s="2"/>
      <c r="Z122" s="6">
        <f t="shared" si="56"/>
        <v>116.73049645390071</v>
      </c>
    </row>
    <row r="123" spans="1:26" s="24" customFormat="1" hidden="1" outlineLevel="2" x14ac:dyDescent="0.35">
      <c r="A123" s="27"/>
      <c r="B123" s="11" t="str">
        <f>CONCATENATE("          ", "7745", " - ", "INV. SHRINKAGE-SPECIAL ORDERS")</f>
        <v xml:space="preserve">          7745 - INV. SHRINKAGE-SPECIAL ORDERS</v>
      </c>
      <c r="C123" s="11"/>
      <c r="D123" s="7">
        <v>44531</v>
      </c>
      <c r="E123" s="2"/>
      <c r="F123" s="6">
        <f t="shared" si="49"/>
        <v>0.26382907577589804</v>
      </c>
      <c r="G123" s="2"/>
      <c r="H123" s="7">
        <v>-740</v>
      </c>
      <c r="I123" s="2"/>
      <c r="J123" s="6">
        <f t="shared" si="50"/>
        <v>-3.8881000599397916E-3</v>
      </c>
      <c r="K123" s="2"/>
      <c r="L123" s="7">
        <f t="shared" si="51"/>
        <v>45271</v>
      </c>
      <c r="M123" s="2"/>
      <c r="N123" s="6">
        <f t="shared" si="52"/>
        <v>-61.17702702702703</v>
      </c>
      <c r="O123" s="11"/>
      <c r="P123" s="7">
        <v>44531</v>
      </c>
      <c r="Q123" s="2"/>
      <c r="R123" s="6">
        <f t="shared" si="53"/>
        <v>1.5165988355568375E-2</v>
      </c>
      <c r="S123" s="2"/>
      <c r="T123" s="7">
        <v>-740</v>
      </c>
      <c r="U123" s="2"/>
      <c r="V123" s="6">
        <f t="shared" si="54"/>
        <v>-2.0181945639978513E-4</v>
      </c>
      <c r="W123" s="2"/>
      <c r="X123" s="7">
        <f t="shared" si="55"/>
        <v>45271</v>
      </c>
      <c r="Y123" s="2"/>
      <c r="Z123" s="6">
        <f t="shared" si="56"/>
        <v>-61.17702702702703</v>
      </c>
    </row>
    <row r="124" spans="1:26" s="24" customFormat="1" hidden="1" outlineLevel="2" x14ac:dyDescent="0.35">
      <c r="A124" s="27"/>
      <c r="B124" s="11" t="str">
        <f>CONCATENATE("          ", "7783", " - ", "INV. SHRINKAGE-COMPUTER EQUIPM")</f>
        <v xml:space="preserve">          7783 - INV. SHRINKAGE-COMPUTER EQUIPM</v>
      </c>
      <c r="C124" s="11"/>
      <c r="D124" s="7">
        <v>176</v>
      </c>
      <c r="E124" s="2"/>
      <c r="F124" s="6">
        <f t="shared" si="49"/>
        <v>1.0427324186871631E-3</v>
      </c>
      <c r="G124" s="2"/>
      <c r="H124" s="7">
        <v>30</v>
      </c>
      <c r="I124" s="2"/>
      <c r="J124" s="6">
        <f t="shared" si="50"/>
        <v>1.5762567810566724E-4</v>
      </c>
      <c r="K124" s="2"/>
      <c r="L124" s="7">
        <f t="shared" si="51"/>
        <v>146</v>
      </c>
      <c r="M124" s="2"/>
      <c r="N124" s="6">
        <f t="shared" si="52"/>
        <v>4.8666666666666663</v>
      </c>
      <c r="O124" s="11"/>
      <c r="P124" s="7">
        <v>176</v>
      </c>
      <c r="Q124" s="2"/>
      <c r="R124" s="6">
        <f t="shared" si="53"/>
        <v>5.9940579609261728E-5</v>
      </c>
      <c r="S124" s="2"/>
      <c r="T124" s="7">
        <v>30</v>
      </c>
      <c r="U124" s="2"/>
      <c r="V124" s="6">
        <f t="shared" si="54"/>
        <v>8.1818698540453439E-6</v>
      </c>
      <c r="W124" s="2"/>
      <c r="X124" s="7">
        <f t="shared" si="55"/>
        <v>146</v>
      </c>
      <c r="Y124" s="2"/>
      <c r="Z124" s="6">
        <f t="shared" si="56"/>
        <v>4.8666666666666663</v>
      </c>
    </row>
    <row r="125" spans="1:26" s="24" customFormat="1" hidden="1" outlineLevel="2" x14ac:dyDescent="0.35">
      <c r="A125" s="27"/>
      <c r="B125" s="11" t="str">
        <f>CONCATENATE("          ", "7792", " - ", "INV. SHRINKAGE-GRAD MERCH")</f>
        <v xml:space="preserve">          7792 - INV. SHRINKAGE-GRAD MERCH</v>
      </c>
      <c r="C125" s="11"/>
      <c r="D125" s="7">
        <v>40</v>
      </c>
      <c r="E125" s="2"/>
      <c r="F125" s="6">
        <f t="shared" si="49"/>
        <v>2.3698464061071886E-4</v>
      </c>
      <c r="G125" s="2"/>
      <c r="H125" s="7">
        <v>-5</v>
      </c>
      <c r="I125" s="2"/>
      <c r="J125" s="6">
        <f t="shared" si="50"/>
        <v>-2.6270946350944539E-5</v>
      </c>
      <c r="K125" s="2"/>
      <c r="L125" s="7">
        <f t="shared" si="51"/>
        <v>45</v>
      </c>
      <c r="M125" s="2"/>
      <c r="N125" s="6">
        <f t="shared" si="52"/>
        <v>-9</v>
      </c>
      <c r="O125" s="11"/>
      <c r="P125" s="7">
        <v>40</v>
      </c>
      <c r="Q125" s="2"/>
      <c r="R125" s="6">
        <f t="shared" si="53"/>
        <v>1.3622859002104937E-5</v>
      </c>
      <c r="S125" s="2"/>
      <c r="T125" s="7">
        <v>-5</v>
      </c>
      <c r="U125" s="2"/>
      <c r="V125" s="6">
        <f t="shared" si="54"/>
        <v>-1.363644975674224E-6</v>
      </c>
      <c r="W125" s="2"/>
      <c r="X125" s="7">
        <f t="shared" si="55"/>
        <v>45</v>
      </c>
      <c r="Y125" s="2"/>
      <c r="Z125" s="6">
        <f t="shared" si="56"/>
        <v>-9</v>
      </c>
    </row>
    <row r="126" spans="1:26" s="24" customFormat="1" hidden="1" outlineLevel="2" x14ac:dyDescent="0.35">
      <c r="A126" s="27"/>
      <c r="B126" s="11" t="str">
        <f>CONCATENATE("          ", "7795", " - ", "INV. SHRINKAGE-CUSTOMER SERVIC")</f>
        <v xml:space="preserve">          7795 - INV. SHRINKAGE-CUSTOMER SERVIC</v>
      </c>
      <c r="C126" s="11"/>
      <c r="D126" s="7">
        <v>-6</v>
      </c>
      <c r="E126" s="2"/>
      <c r="F126" s="6">
        <f t="shared" si="49"/>
        <v>-3.5547696091607827E-5</v>
      </c>
      <c r="G126" s="2"/>
      <c r="H126" s="7">
        <v>1</v>
      </c>
      <c r="I126" s="2"/>
      <c r="J126" s="6">
        <f t="shared" si="50"/>
        <v>5.2541892701889077E-6</v>
      </c>
      <c r="K126" s="2"/>
      <c r="L126" s="7">
        <f t="shared" si="51"/>
        <v>-7</v>
      </c>
      <c r="M126" s="2"/>
      <c r="N126" s="6">
        <f t="shared" si="52"/>
        <v>-7</v>
      </c>
      <c r="O126" s="11"/>
      <c r="P126" s="7">
        <v>-6</v>
      </c>
      <c r="Q126" s="2"/>
      <c r="R126" s="6">
        <f t="shared" si="53"/>
        <v>-2.0434288503157405E-6</v>
      </c>
      <c r="S126" s="2"/>
      <c r="T126" s="7">
        <v>1</v>
      </c>
      <c r="U126" s="2"/>
      <c r="V126" s="6">
        <f t="shared" si="54"/>
        <v>2.7272899513484477E-7</v>
      </c>
      <c r="W126" s="2"/>
      <c r="X126" s="7">
        <f t="shared" si="55"/>
        <v>-7</v>
      </c>
      <c r="Y126" s="2"/>
      <c r="Z126" s="6">
        <f t="shared" si="56"/>
        <v>-7</v>
      </c>
    </row>
    <row r="127" spans="1:26" s="25" customFormat="1" outlineLevel="1" collapsed="1" x14ac:dyDescent="0.35">
      <c r="A127" s="26"/>
      <c r="B127" s="12" t="str">
        <f>CONCATENATE("     ","Professional Services                             ")</f>
        <v xml:space="preserve">     Professional Services                             </v>
      </c>
      <c r="C127" s="12"/>
      <c r="D127" s="1">
        <f>SUM(OSRRefD22_12x_0)</f>
        <v>383.95</v>
      </c>
      <c r="E127" s="1"/>
      <c r="F127" s="5">
        <f t="shared" ref="F127:F134" si="57">IF(D$12=0,0,D127/D$12)</f>
        <v>2.2747563190621376E-3</v>
      </c>
      <c r="G127" s="1"/>
      <c r="H127" s="1">
        <f>SUM(OSRRefH22_12x_0)</f>
        <v>0</v>
      </c>
      <c r="I127" s="1"/>
      <c r="J127" s="5">
        <f t="shared" ref="J127:J134" si="58">IF(H$12=0,0,H127/H$12)</f>
        <v>0</v>
      </c>
      <c r="K127" s="1"/>
      <c r="L127" s="1">
        <f t="shared" ref="L127:L134" si="59">+D127-H127</f>
        <v>383.95</v>
      </c>
      <c r="M127" s="1"/>
      <c r="N127" s="5">
        <f t="shared" ref="N127:N134" si="60">IF(H127=0,0,L127/H127)</f>
        <v>0</v>
      </c>
      <c r="O127" s="12"/>
      <c r="P127" s="1">
        <f>SUM(OSRRefP22_12x_0)</f>
        <v>4063.95</v>
      </c>
      <c r="Q127" s="1"/>
      <c r="R127" s="5">
        <f t="shared" ref="R127:R134" si="61">IF(P$12=0,0,P127/P$12)</f>
        <v>1.384065446040109E-3</v>
      </c>
      <c r="S127" s="1"/>
      <c r="T127" s="1">
        <f>SUM(OSRRefT22_12x_0)</f>
        <v>750</v>
      </c>
      <c r="U127" s="1"/>
      <c r="V127" s="5">
        <f t="shared" ref="V127:V134" si="62">IF(T$12=0,0,T127/T$12)</f>
        <v>2.045467463511336E-4</v>
      </c>
      <c r="W127" s="1"/>
      <c r="X127" s="1">
        <f t="shared" ref="X127:X134" si="63">+P127-T127</f>
        <v>3313.95</v>
      </c>
      <c r="Y127" s="1"/>
      <c r="Z127" s="5">
        <f t="shared" ref="Z127:Z134" si="64">IF(T127=0,0,X127/T127)</f>
        <v>4.4185999999999996</v>
      </c>
    </row>
    <row r="128" spans="1:26" s="24" customFormat="1" hidden="1" outlineLevel="2" x14ac:dyDescent="0.35">
      <c r="A128" s="27"/>
      <c r="B128" s="11" t="str">
        <f>CONCATENATE("          ", "6336", " - ", "PROFESSIONAL SERVICES")</f>
        <v xml:space="preserve">          6336 - PROFESSIONAL SERVICES</v>
      </c>
      <c r="C128" s="11"/>
      <c r="D128" s="7">
        <v>383.95</v>
      </c>
      <c r="E128" s="2"/>
      <c r="F128" s="6">
        <f t="shared" si="57"/>
        <v>2.2747563190621376E-3</v>
      </c>
      <c r="G128" s="2"/>
      <c r="H128" s="7"/>
      <c r="I128" s="2"/>
      <c r="J128" s="6">
        <f t="shared" si="58"/>
        <v>0</v>
      </c>
      <c r="K128" s="2"/>
      <c r="L128" s="7">
        <f t="shared" si="59"/>
        <v>383.95</v>
      </c>
      <c r="M128" s="2"/>
      <c r="N128" s="6">
        <f t="shared" si="60"/>
        <v>0</v>
      </c>
      <c r="O128" s="11"/>
      <c r="P128" s="7">
        <v>4063.95</v>
      </c>
      <c r="Q128" s="2"/>
      <c r="R128" s="6">
        <f t="shared" si="61"/>
        <v>1.384065446040109E-3</v>
      </c>
      <c r="S128" s="2"/>
      <c r="T128" s="7">
        <v>750</v>
      </c>
      <c r="U128" s="2"/>
      <c r="V128" s="6">
        <f t="shared" si="62"/>
        <v>2.045467463511336E-4</v>
      </c>
      <c r="W128" s="2"/>
      <c r="X128" s="7">
        <f t="shared" si="63"/>
        <v>3313.95</v>
      </c>
      <c r="Y128" s="2"/>
      <c r="Z128" s="6">
        <f t="shared" si="64"/>
        <v>4.4185999999999996</v>
      </c>
    </row>
    <row r="129" spans="1:26" s="25" customFormat="1" outlineLevel="1" collapsed="1" x14ac:dyDescent="0.35">
      <c r="A129" s="26"/>
      <c r="B129" s="12" t="str">
        <f>CONCATENATE("     ","Rent                                              ")</f>
        <v xml:space="preserve">     Rent                                              </v>
      </c>
      <c r="C129" s="12"/>
      <c r="D129" s="1">
        <f>SUM(OSRRefD22_13x_0)</f>
        <v>6900</v>
      </c>
      <c r="E129" s="1"/>
      <c r="F129" s="5">
        <f t="shared" si="57"/>
        <v>4.0879850505349001E-2</v>
      </c>
      <c r="G129" s="1"/>
      <c r="H129" s="1">
        <f>SUM(OSRRefH22_13x_0)</f>
        <v>6900</v>
      </c>
      <c r="I129" s="1"/>
      <c r="J129" s="5">
        <f t="shared" si="58"/>
        <v>3.6253905964303459E-2</v>
      </c>
      <c r="K129" s="1"/>
      <c r="L129" s="1">
        <f t="shared" si="59"/>
        <v>0</v>
      </c>
      <c r="M129" s="1"/>
      <c r="N129" s="5">
        <f t="shared" si="60"/>
        <v>0</v>
      </c>
      <c r="O129" s="12"/>
      <c r="P129" s="1">
        <f>SUM(OSRRefP22_13x_0)</f>
        <v>82800</v>
      </c>
      <c r="Q129" s="1"/>
      <c r="R129" s="5">
        <f t="shared" si="61"/>
        <v>2.8199318134357221E-2</v>
      </c>
      <c r="S129" s="1"/>
      <c r="T129" s="1">
        <f>SUM(OSRRefT22_13x_0)</f>
        <v>82800</v>
      </c>
      <c r="U129" s="1"/>
      <c r="V129" s="5">
        <f t="shared" si="62"/>
        <v>2.2581960797165148E-2</v>
      </c>
      <c r="W129" s="1"/>
      <c r="X129" s="1">
        <f t="shared" si="63"/>
        <v>0</v>
      </c>
      <c r="Y129" s="1"/>
      <c r="Z129" s="5">
        <f t="shared" si="64"/>
        <v>0</v>
      </c>
    </row>
    <row r="130" spans="1:26" s="24" customFormat="1" hidden="1" outlineLevel="2" x14ac:dyDescent="0.35">
      <c r="A130" s="27"/>
      <c r="B130" s="11" t="str">
        <f>CONCATENATE("          ", "6273", " - ", "RENT")</f>
        <v xml:space="preserve">          6273 - RENT</v>
      </c>
      <c r="C130" s="11"/>
      <c r="D130" s="7">
        <v>6900</v>
      </c>
      <c r="E130" s="2"/>
      <c r="F130" s="6">
        <f t="shared" si="57"/>
        <v>4.0879850505349001E-2</v>
      </c>
      <c r="G130" s="2"/>
      <c r="H130" s="7">
        <v>6900</v>
      </c>
      <c r="I130" s="2"/>
      <c r="J130" s="6">
        <f t="shared" si="58"/>
        <v>3.6253905964303459E-2</v>
      </c>
      <c r="K130" s="2"/>
      <c r="L130" s="7">
        <f t="shared" si="59"/>
        <v>0</v>
      </c>
      <c r="M130" s="2"/>
      <c r="N130" s="6">
        <f t="shared" si="60"/>
        <v>0</v>
      </c>
      <c r="O130" s="11"/>
      <c r="P130" s="7">
        <v>82800</v>
      </c>
      <c r="Q130" s="2"/>
      <c r="R130" s="6">
        <f t="shared" si="61"/>
        <v>2.8199318134357221E-2</v>
      </c>
      <c r="S130" s="2"/>
      <c r="T130" s="7">
        <v>82800</v>
      </c>
      <c r="U130" s="2"/>
      <c r="V130" s="6">
        <f t="shared" si="62"/>
        <v>2.2581960797165148E-2</v>
      </c>
      <c r="W130" s="2"/>
      <c r="X130" s="7">
        <f t="shared" si="63"/>
        <v>0</v>
      </c>
      <c r="Y130" s="2"/>
      <c r="Z130" s="6">
        <f t="shared" si="64"/>
        <v>0</v>
      </c>
    </row>
    <row r="131" spans="1:26" s="25" customFormat="1" outlineLevel="1" collapsed="1" x14ac:dyDescent="0.35">
      <c r="A131" s="26"/>
      <c r="B131" s="12" t="str">
        <f>CONCATENATE("     ","Repair and Maintenance                            ")</f>
        <v xml:space="preserve">     Repair and Maintenance                            </v>
      </c>
      <c r="C131" s="12"/>
      <c r="D131" s="1">
        <f>SUM(OSRRefD22_14x_0)</f>
        <v>48.23</v>
      </c>
      <c r="E131" s="1"/>
      <c r="F131" s="5">
        <f t="shared" si="57"/>
        <v>2.8574423041637423E-4</v>
      </c>
      <c r="G131" s="1"/>
      <c r="H131" s="1">
        <f>SUM(OSRRefH22_14x_0)</f>
        <v>75.77</v>
      </c>
      <c r="I131" s="1"/>
      <c r="J131" s="5">
        <f t="shared" si="58"/>
        <v>3.9810992100221352E-4</v>
      </c>
      <c r="K131" s="1"/>
      <c r="L131" s="1">
        <f t="shared" si="59"/>
        <v>-27.54</v>
      </c>
      <c r="M131" s="1"/>
      <c r="N131" s="5">
        <f t="shared" si="60"/>
        <v>-0.36346839118384588</v>
      </c>
      <c r="O131" s="12"/>
      <c r="P131" s="1">
        <f>SUM(OSRRefP22_14x_0)</f>
        <v>681.99</v>
      </c>
      <c r="Q131" s="1"/>
      <c r="R131" s="5">
        <f t="shared" si="61"/>
        <v>2.3226634027113867E-4</v>
      </c>
      <c r="S131" s="1"/>
      <c r="T131" s="1">
        <f>SUM(OSRRefT22_14x_0)</f>
        <v>939.02</v>
      </c>
      <c r="U131" s="1"/>
      <c r="V131" s="5">
        <f t="shared" si="62"/>
        <v>2.5609798101152196E-4</v>
      </c>
      <c r="W131" s="1"/>
      <c r="X131" s="1">
        <f t="shared" si="63"/>
        <v>-257.02999999999997</v>
      </c>
      <c r="Y131" s="1"/>
      <c r="Z131" s="5">
        <f t="shared" si="64"/>
        <v>-0.27372153947732741</v>
      </c>
    </row>
    <row r="132" spans="1:26" s="24" customFormat="1" hidden="1" outlineLevel="2" x14ac:dyDescent="0.35">
      <c r="A132" s="27"/>
      <c r="B132" s="11" t="str">
        <f>CONCATENATE("          ", "6371", " - ", "COMPUTER SOFTWARE MAINTENANCE")</f>
        <v xml:space="preserve">          6371 - COMPUTER SOFTWARE MAINTENANCE</v>
      </c>
      <c r="C132" s="11"/>
      <c r="D132" s="7"/>
      <c r="E132" s="2"/>
      <c r="F132" s="6">
        <f t="shared" si="57"/>
        <v>0</v>
      </c>
      <c r="G132" s="2"/>
      <c r="H132" s="7"/>
      <c r="I132" s="2"/>
      <c r="J132" s="6">
        <f t="shared" si="58"/>
        <v>0</v>
      </c>
      <c r="K132" s="2"/>
      <c r="L132" s="7">
        <f t="shared" si="59"/>
        <v>0</v>
      </c>
      <c r="M132" s="2"/>
      <c r="N132" s="6">
        <f t="shared" si="60"/>
        <v>0</v>
      </c>
      <c r="O132" s="11"/>
      <c r="P132" s="7"/>
      <c r="Q132" s="2"/>
      <c r="R132" s="6">
        <f t="shared" si="61"/>
        <v>0</v>
      </c>
      <c r="S132" s="2"/>
      <c r="T132" s="7">
        <v>186.58</v>
      </c>
      <c r="U132" s="2"/>
      <c r="V132" s="6">
        <f t="shared" si="62"/>
        <v>5.0885775912259341E-5</v>
      </c>
      <c r="W132" s="2"/>
      <c r="X132" s="7">
        <f t="shared" si="63"/>
        <v>-186.58</v>
      </c>
      <c r="Y132" s="2"/>
      <c r="Z132" s="6">
        <f t="shared" si="64"/>
        <v>-1</v>
      </c>
    </row>
    <row r="133" spans="1:26" s="24" customFormat="1" hidden="1" outlineLevel="2" x14ac:dyDescent="0.35">
      <c r="A133" s="27"/>
      <c r="B133" s="11" t="str">
        <f>CONCATENATE("          ", "6373", " - ", "MAINTENANCE CONTRACTS")</f>
        <v xml:space="preserve">          6373 - MAINTENANCE CONTRACTS</v>
      </c>
      <c r="C133" s="11"/>
      <c r="D133" s="7">
        <v>48.23</v>
      </c>
      <c r="E133" s="2"/>
      <c r="F133" s="6">
        <f t="shared" si="57"/>
        <v>2.8574423041637423E-4</v>
      </c>
      <c r="G133" s="2"/>
      <c r="H133" s="7">
        <v>44.98</v>
      </c>
      <c r="I133" s="2"/>
      <c r="J133" s="6">
        <f t="shared" si="58"/>
        <v>2.3633343337309704E-4</v>
      </c>
      <c r="K133" s="2"/>
      <c r="L133" s="7">
        <f t="shared" si="59"/>
        <v>3.25</v>
      </c>
      <c r="M133" s="2"/>
      <c r="N133" s="6">
        <f t="shared" si="60"/>
        <v>7.2254335260115612E-2</v>
      </c>
      <c r="O133" s="11"/>
      <c r="P133" s="7">
        <v>499.46</v>
      </c>
      <c r="Q133" s="2"/>
      <c r="R133" s="6">
        <f t="shared" si="61"/>
        <v>1.701018289297833E-4</v>
      </c>
      <c r="S133" s="2"/>
      <c r="T133" s="7">
        <v>179.92</v>
      </c>
      <c r="U133" s="2"/>
      <c r="V133" s="6">
        <f t="shared" si="62"/>
        <v>4.9069400804661271E-5</v>
      </c>
      <c r="W133" s="2"/>
      <c r="X133" s="7">
        <f t="shared" si="63"/>
        <v>319.53999999999996</v>
      </c>
      <c r="Y133" s="2"/>
      <c r="Z133" s="6">
        <f t="shared" si="64"/>
        <v>1.7760115606936415</v>
      </c>
    </row>
    <row r="134" spans="1:26" s="24" customFormat="1" hidden="1" outlineLevel="2" x14ac:dyDescent="0.35">
      <c r="A134" s="27"/>
      <c r="B134" s="11" t="str">
        <f>CONCATENATE("          ", "6375", " - ", "OUTSIDE REPAIRS &amp; MAINTENANCE")</f>
        <v xml:space="preserve">          6375 - OUTSIDE REPAIRS &amp; MAINTENANCE</v>
      </c>
      <c r="C134" s="11"/>
      <c r="D134" s="7"/>
      <c r="E134" s="2"/>
      <c r="F134" s="6">
        <f t="shared" si="57"/>
        <v>0</v>
      </c>
      <c r="G134" s="2"/>
      <c r="H134" s="7">
        <v>30.79</v>
      </c>
      <c r="I134" s="2"/>
      <c r="J134" s="6">
        <f t="shared" si="58"/>
        <v>1.6177648762911645E-4</v>
      </c>
      <c r="K134" s="2"/>
      <c r="L134" s="7">
        <f t="shared" si="59"/>
        <v>-30.79</v>
      </c>
      <c r="M134" s="2"/>
      <c r="N134" s="6">
        <f t="shared" si="60"/>
        <v>-1</v>
      </c>
      <c r="O134" s="11"/>
      <c r="P134" s="7">
        <v>182.53</v>
      </c>
      <c r="Q134" s="2"/>
      <c r="R134" s="6">
        <f t="shared" si="61"/>
        <v>6.2164511341355363E-5</v>
      </c>
      <c r="S134" s="2"/>
      <c r="T134" s="7">
        <v>572.52</v>
      </c>
      <c r="U134" s="2"/>
      <c r="V134" s="6">
        <f t="shared" si="62"/>
        <v>1.5614280429460133E-4</v>
      </c>
      <c r="W134" s="2"/>
      <c r="X134" s="7">
        <f t="shared" si="63"/>
        <v>-389.99</v>
      </c>
      <c r="Y134" s="2"/>
      <c r="Z134" s="6">
        <f t="shared" si="64"/>
        <v>-0.68118144344302389</v>
      </c>
    </row>
    <row r="135" spans="1:26" s="25" customFormat="1" outlineLevel="1" collapsed="1" x14ac:dyDescent="0.35">
      <c r="A135" s="26"/>
      <c r="B135" s="12" t="str">
        <f>CONCATENATE("     ","Royalty &amp; Commissions                             ")</f>
        <v xml:space="preserve">     Royalty &amp; Commissions                             </v>
      </c>
      <c r="C135" s="12"/>
      <c r="D135" s="1">
        <f>SUM(OSRRefD22_15x_0)</f>
        <v>0</v>
      </c>
      <c r="E135" s="1"/>
      <c r="F135" s="5">
        <f t="shared" ref="F135:F137" si="65">IF(D$12=0,0,D135/D$12)</f>
        <v>0</v>
      </c>
      <c r="G135" s="1"/>
      <c r="H135" s="1">
        <f>SUM(OSRRefH22_15x_0)</f>
        <v>0</v>
      </c>
      <c r="I135" s="1"/>
      <c r="J135" s="5">
        <f t="shared" ref="J135:J137" si="66">IF(H$12=0,0,H135/H$12)</f>
        <v>0</v>
      </c>
      <c r="K135" s="1"/>
      <c r="L135" s="1">
        <f t="shared" ref="L135:L137" si="67">+D135-H135</f>
        <v>0</v>
      </c>
      <c r="M135" s="1"/>
      <c r="N135" s="5">
        <f t="shared" ref="N135:N137" si="68">IF(H135=0,0,L135/H135)</f>
        <v>0</v>
      </c>
      <c r="O135" s="12"/>
      <c r="P135" s="1">
        <f>SUM(OSRRefP22_15x_0)</f>
        <v>40841.660000000003</v>
      </c>
      <c r="Q135" s="1"/>
      <c r="R135" s="5">
        <f t="shared" ref="R135:R137" si="69">IF(P$12=0,0,P135/P$12)</f>
        <v>1.390950438979773E-2</v>
      </c>
      <c r="S135" s="1"/>
      <c r="T135" s="1">
        <f>SUM(OSRRefT22_15x_0)</f>
        <v>57814.420000000006</v>
      </c>
      <c r="U135" s="1"/>
      <c r="V135" s="5">
        <f t="shared" ref="V135:V137" si="70">IF(T$12=0,0,T135/T$12)</f>
        <v>1.5767668670903873E-2</v>
      </c>
      <c r="W135" s="1"/>
      <c r="X135" s="1">
        <f t="shared" ref="X135:X137" si="71">+P135-T135</f>
        <v>-16972.760000000002</v>
      </c>
      <c r="Y135" s="1"/>
      <c r="Z135" s="5">
        <f t="shared" ref="Z135:Z137" si="72">IF(T135=0,0,X135/T135)</f>
        <v>-0.29357312587413315</v>
      </c>
    </row>
    <row r="136" spans="1:26" s="24" customFormat="1" hidden="1" outlineLevel="2" x14ac:dyDescent="0.35">
      <c r="A136" s="27"/>
      <c r="B136" s="11" t="str">
        <f>CONCATENATE("          ", "6253", " - ", "ROYALTY DUE ATHLETICS-LRG")</f>
        <v xml:space="preserve">          6253 - ROYALTY DUE ATHLETICS-LRG</v>
      </c>
      <c r="C136" s="11"/>
      <c r="D136" s="7"/>
      <c r="E136" s="2"/>
      <c r="F136" s="6">
        <f t="shared" si="65"/>
        <v>0</v>
      </c>
      <c r="G136" s="2"/>
      <c r="H136" s="7"/>
      <c r="I136" s="2"/>
      <c r="J136" s="6">
        <f t="shared" si="66"/>
        <v>0</v>
      </c>
      <c r="K136" s="2"/>
      <c r="L136" s="7">
        <f t="shared" si="67"/>
        <v>0</v>
      </c>
      <c r="M136" s="2"/>
      <c r="N136" s="6">
        <f t="shared" si="68"/>
        <v>0</v>
      </c>
      <c r="O136" s="11"/>
      <c r="P136" s="7">
        <v>32870.44</v>
      </c>
      <c r="Q136" s="2"/>
      <c r="R136" s="6">
        <f t="shared" si="69"/>
        <v>1.1194734236428756E-2</v>
      </c>
      <c r="S136" s="2"/>
      <c r="T136" s="7">
        <v>41365.990000000005</v>
      </c>
      <c r="U136" s="2"/>
      <c r="V136" s="6">
        <f t="shared" si="70"/>
        <v>1.1281704885458039E-2</v>
      </c>
      <c r="W136" s="2"/>
      <c r="X136" s="7">
        <f t="shared" si="71"/>
        <v>-8495.5500000000029</v>
      </c>
      <c r="Y136" s="2"/>
      <c r="Z136" s="6">
        <f t="shared" si="72"/>
        <v>-0.20537523700025073</v>
      </c>
    </row>
    <row r="137" spans="1:26" s="24" customFormat="1" hidden="1" outlineLevel="2" x14ac:dyDescent="0.35">
      <c r="A137" s="27"/>
      <c r="B137" s="11" t="str">
        <f>CONCATENATE("          ", "6254", " - ", "ROYALTY &amp; COMMISSIONS")</f>
        <v xml:space="preserve">          6254 - ROYALTY &amp; COMMISSIONS</v>
      </c>
      <c r="C137" s="11"/>
      <c r="D137" s="7"/>
      <c r="E137" s="2"/>
      <c r="F137" s="6">
        <f t="shared" si="65"/>
        <v>0</v>
      </c>
      <c r="G137" s="2"/>
      <c r="H137" s="7"/>
      <c r="I137" s="2"/>
      <c r="J137" s="6">
        <f t="shared" si="66"/>
        <v>0</v>
      </c>
      <c r="K137" s="2"/>
      <c r="L137" s="7">
        <f t="shared" si="67"/>
        <v>0</v>
      </c>
      <c r="M137" s="2"/>
      <c r="N137" s="6">
        <f t="shared" si="68"/>
        <v>0</v>
      </c>
      <c r="O137" s="11"/>
      <c r="P137" s="7">
        <v>7971.22</v>
      </c>
      <c r="Q137" s="2"/>
      <c r="R137" s="6">
        <f t="shared" si="69"/>
        <v>2.7147701533689729E-3</v>
      </c>
      <c r="S137" s="2"/>
      <c r="T137" s="7">
        <v>16448.43</v>
      </c>
      <c r="U137" s="2"/>
      <c r="V137" s="6">
        <f t="shared" si="70"/>
        <v>4.485963785445835E-3</v>
      </c>
      <c r="W137" s="2"/>
      <c r="X137" s="7">
        <f t="shared" si="71"/>
        <v>-8477.2099999999991</v>
      </c>
      <c r="Y137" s="2"/>
      <c r="Z137" s="6">
        <f t="shared" si="72"/>
        <v>-0.51538110324207231</v>
      </c>
    </row>
    <row r="138" spans="1:26" s="25" customFormat="1" outlineLevel="1" collapsed="1" x14ac:dyDescent="0.35">
      <c r="A138" s="26"/>
      <c r="B138" s="12" t="str">
        <f>CONCATENATE("     ","Services                                          ")</f>
        <v xml:space="preserve">     Services                                          </v>
      </c>
      <c r="C138" s="12"/>
      <c r="D138" s="1">
        <f>SUM(OSRRefD22_16x_0)</f>
        <v>189.45</v>
      </c>
      <c r="E138" s="1"/>
      <c r="F138" s="5">
        <f t="shared" ref="F138:F141" si="73">IF(D$12=0,0,D138/D$12)</f>
        <v>1.1224185040925171E-3</v>
      </c>
      <c r="G138" s="1"/>
      <c r="H138" s="1">
        <f>SUM(OSRRefH22_16x_0)</f>
        <v>228.01</v>
      </c>
      <c r="I138" s="1"/>
      <c r="J138" s="5">
        <f t="shared" ref="J138:J141" si="74">IF(H$12=0,0,H138/H$12)</f>
        <v>1.1980076954957728E-3</v>
      </c>
      <c r="K138" s="1"/>
      <c r="L138" s="1">
        <f t="shared" ref="L138:L141" si="75">+D138-H138</f>
        <v>-38.56</v>
      </c>
      <c r="M138" s="1"/>
      <c r="N138" s="5">
        <f t="shared" ref="N138:N141" si="76">IF(H138=0,0,L138/H138)</f>
        <v>-0.16911538967589143</v>
      </c>
      <c r="O138" s="12"/>
      <c r="P138" s="1">
        <f>SUM(OSRRefP22_16x_0)</f>
        <v>3138.98</v>
      </c>
      <c r="Q138" s="1"/>
      <c r="R138" s="5">
        <f t="shared" ref="R138:R141" si="77">IF(P$12=0,0,P138/P$12)</f>
        <v>1.0690470487606839E-3</v>
      </c>
      <c r="S138" s="1"/>
      <c r="T138" s="1">
        <f>SUM(OSRRefT22_16x_0)</f>
        <v>2603.5199999999995</v>
      </c>
      <c r="U138" s="1"/>
      <c r="V138" s="5">
        <f t="shared" ref="V138:V141" si="78">IF(T$12=0,0,T138/T$12)</f>
        <v>7.1005539341347098E-4</v>
      </c>
      <c r="W138" s="1"/>
      <c r="X138" s="1">
        <f t="shared" ref="X138:X141" si="79">+P138-T138</f>
        <v>535.46000000000049</v>
      </c>
      <c r="Y138" s="1"/>
      <c r="Z138" s="5">
        <f t="shared" ref="Z138:Z141" si="80">IF(T138=0,0,X138/T138)</f>
        <v>0.20566771140609658</v>
      </c>
    </row>
    <row r="139" spans="1:26" s="24" customFormat="1" hidden="1" outlineLevel="2" x14ac:dyDescent="0.35">
      <c r="A139" s="27"/>
      <c r="B139" s="11" t="str">
        <f>CONCATENATE("          ", "6283", " - ", "PLANT SERVICE")</f>
        <v xml:space="preserve">          6283 - PLANT SERVICE</v>
      </c>
      <c r="C139" s="11"/>
      <c r="D139" s="7"/>
      <c r="E139" s="2"/>
      <c r="F139" s="6">
        <f t="shared" si="73"/>
        <v>0</v>
      </c>
      <c r="G139" s="2"/>
      <c r="H139" s="7">
        <v>59.55</v>
      </c>
      <c r="I139" s="2"/>
      <c r="J139" s="6">
        <f t="shared" si="74"/>
        <v>3.1288697103974944E-4</v>
      </c>
      <c r="K139" s="2"/>
      <c r="L139" s="7">
        <f t="shared" si="75"/>
        <v>-59.55</v>
      </c>
      <c r="M139" s="2"/>
      <c r="N139" s="6">
        <f t="shared" si="76"/>
        <v>-1</v>
      </c>
      <c r="O139" s="11"/>
      <c r="P139" s="7">
        <v>178.65</v>
      </c>
      <c r="Q139" s="2"/>
      <c r="R139" s="6">
        <f t="shared" si="77"/>
        <v>6.0843094018151181E-5</v>
      </c>
      <c r="S139" s="2"/>
      <c r="T139" s="7">
        <v>675.55</v>
      </c>
      <c r="U139" s="2"/>
      <c r="V139" s="6">
        <f t="shared" si="78"/>
        <v>1.8424207266334438E-4</v>
      </c>
      <c r="W139" s="2"/>
      <c r="X139" s="7">
        <f t="shared" si="79"/>
        <v>-496.9</v>
      </c>
      <c r="Y139" s="2"/>
      <c r="Z139" s="6">
        <f t="shared" si="80"/>
        <v>-0.73554881207904677</v>
      </c>
    </row>
    <row r="140" spans="1:26" s="24" customFormat="1" hidden="1" outlineLevel="2" x14ac:dyDescent="0.35">
      <c r="A140" s="27"/>
      <c r="B140" s="11" t="str">
        <f>CONCATENATE("          ", "6284", " - ", "TRASH REMOVAL EXPENSE")</f>
        <v xml:space="preserve">          6284 - TRASH REMOVAL EXPENSE</v>
      </c>
      <c r="C140" s="11"/>
      <c r="D140" s="7">
        <v>134.82</v>
      </c>
      <c r="E140" s="2"/>
      <c r="F140" s="6">
        <f t="shared" si="73"/>
        <v>7.9875673117842788E-4</v>
      </c>
      <c r="G140" s="2"/>
      <c r="H140" s="7">
        <v>121.46</v>
      </c>
      <c r="I140" s="2"/>
      <c r="J140" s="6">
        <f t="shared" si="74"/>
        <v>6.3817382875714463E-4</v>
      </c>
      <c r="K140" s="2"/>
      <c r="L140" s="7">
        <f t="shared" si="75"/>
        <v>13.36</v>
      </c>
      <c r="M140" s="2"/>
      <c r="N140" s="6">
        <f t="shared" si="76"/>
        <v>0.10999506010209123</v>
      </c>
      <c r="O140" s="11"/>
      <c r="P140" s="7">
        <v>1617.84</v>
      </c>
      <c r="Q140" s="2"/>
      <c r="R140" s="6">
        <f t="shared" si="77"/>
        <v>5.5099015519913632E-4</v>
      </c>
      <c r="S140" s="2"/>
      <c r="T140" s="7">
        <v>1457.52</v>
      </c>
      <c r="U140" s="2"/>
      <c r="V140" s="6">
        <f t="shared" si="78"/>
        <v>3.9750796498893898E-4</v>
      </c>
      <c r="W140" s="2"/>
      <c r="X140" s="7">
        <f t="shared" si="79"/>
        <v>160.31999999999994</v>
      </c>
      <c r="Y140" s="2"/>
      <c r="Z140" s="6">
        <f t="shared" si="80"/>
        <v>0.10999506010209117</v>
      </c>
    </row>
    <row r="141" spans="1:26" s="24" customFormat="1" hidden="1" outlineLevel="2" x14ac:dyDescent="0.35">
      <c r="A141" s="27"/>
      <c r="B141" s="11" t="str">
        <f>CONCATENATE("          ", "6285", " - ", "JANITORIAL SERVICES")</f>
        <v xml:space="preserve">          6285 - JANITORIAL SERVICES</v>
      </c>
      <c r="C141" s="11"/>
      <c r="D141" s="7">
        <v>54.63</v>
      </c>
      <c r="E141" s="2"/>
      <c r="F141" s="6">
        <f t="shared" si="73"/>
        <v>3.2366177291408927E-4</v>
      </c>
      <c r="G141" s="2"/>
      <c r="H141" s="7">
        <v>47</v>
      </c>
      <c r="I141" s="2"/>
      <c r="J141" s="6">
        <f t="shared" si="74"/>
        <v>2.4694689569887868E-4</v>
      </c>
      <c r="K141" s="2"/>
      <c r="L141" s="7">
        <f t="shared" si="75"/>
        <v>7.6300000000000026</v>
      </c>
      <c r="M141" s="2"/>
      <c r="N141" s="6">
        <f t="shared" si="76"/>
        <v>0.16234042553191494</v>
      </c>
      <c r="O141" s="11"/>
      <c r="P141" s="7">
        <v>1342.49</v>
      </c>
      <c r="Q141" s="2"/>
      <c r="R141" s="6">
        <f t="shared" si="77"/>
        <v>4.5721379954339643E-4</v>
      </c>
      <c r="S141" s="2"/>
      <c r="T141" s="7">
        <v>470.45</v>
      </c>
      <c r="U141" s="2"/>
      <c r="V141" s="6">
        <f t="shared" si="78"/>
        <v>1.2830535576118773E-4</v>
      </c>
      <c r="W141" s="2"/>
      <c r="X141" s="7">
        <f t="shared" si="79"/>
        <v>872.04</v>
      </c>
      <c r="Y141" s="2"/>
      <c r="Z141" s="6">
        <f t="shared" si="80"/>
        <v>1.8536295036667021</v>
      </c>
    </row>
    <row r="142" spans="1:26" s="25" customFormat="1" outlineLevel="1" collapsed="1" x14ac:dyDescent="0.35">
      <c r="A142" s="26"/>
      <c r="B142" s="12" t="str">
        <f>CONCATENATE("     ","Subscriptions &amp; Dues                              ")</f>
        <v xml:space="preserve">     Subscriptions &amp; Dues                              </v>
      </c>
      <c r="C142" s="12"/>
      <c r="D142" s="1">
        <f>SUM(OSRRefD22_17x_0)</f>
        <v>119.97</v>
      </c>
      <c r="E142" s="1"/>
      <c r="F142" s="5">
        <f t="shared" ref="F142:F144" si="81">IF(D$12=0,0,D142/D$12)</f>
        <v>7.107761833516985E-4</v>
      </c>
      <c r="G142" s="1"/>
      <c r="H142" s="1">
        <f>SUM(OSRRefH22_17x_0)</f>
        <v>131.97999999999999</v>
      </c>
      <c r="I142" s="1"/>
      <c r="J142" s="5">
        <f t="shared" ref="J142:J144" si="82">IF(H$12=0,0,H142/H$12)</f>
        <v>6.9344789987953192E-4</v>
      </c>
      <c r="K142" s="1"/>
      <c r="L142" s="1">
        <f t="shared" ref="L142:L144" si="83">+D142-H142</f>
        <v>-12.009999999999991</v>
      </c>
      <c r="M142" s="1"/>
      <c r="N142" s="5">
        <f t="shared" ref="N142:N144" si="84">IF(H142=0,0,L142/H142)</f>
        <v>-9.0998636156993426E-2</v>
      </c>
      <c r="O142" s="12"/>
      <c r="P142" s="1">
        <f>SUM(OSRRefP22_17x_0)</f>
        <v>767.95999999999992</v>
      </c>
      <c r="Q142" s="1"/>
      <c r="R142" s="5">
        <f t="shared" ref="R142:R144" si="85">IF(P$12=0,0,P142/P$12)</f>
        <v>2.6154526998141268E-4</v>
      </c>
      <c r="S142" s="1"/>
      <c r="T142" s="1">
        <f>SUM(OSRRefT22_17x_0)</f>
        <v>2585.1600000000003</v>
      </c>
      <c r="U142" s="1"/>
      <c r="V142" s="5">
        <f t="shared" ref="V142:V144" si="86">IF(T$12=0,0,T142/T$12)</f>
        <v>7.0504808906279544E-4</v>
      </c>
      <c r="W142" s="1"/>
      <c r="X142" s="1">
        <f t="shared" ref="X142:X144" si="87">+P142-T142</f>
        <v>-1817.2000000000003</v>
      </c>
      <c r="Y142" s="1"/>
      <c r="Z142" s="5">
        <f t="shared" ref="Z142:Z144" si="88">IF(T142=0,0,X142/T142)</f>
        <v>-0.70293521484163457</v>
      </c>
    </row>
    <row r="143" spans="1:26" s="24" customFormat="1" hidden="1" outlineLevel="2" x14ac:dyDescent="0.35">
      <c r="A143" s="27"/>
      <c r="B143" s="11" t="str">
        <f>CONCATENATE("          ", "6258", " - ", "MEMBERSHIP DUES")</f>
        <v xml:space="preserve">          6258 - MEMBERSHIP DUES</v>
      </c>
      <c r="C143" s="11"/>
      <c r="D143" s="7">
        <v>119.97</v>
      </c>
      <c r="E143" s="2"/>
      <c r="F143" s="6">
        <f t="shared" si="81"/>
        <v>7.107761833516985E-4</v>
      </c>
      <c r="G143" s="2"/>
      <c r="H143" s="7"/>
      <c r="I143" s="2"/>
      <c r="J143" s="6">
        <f t="shared" si="82"/>
        <v>0</v>
      </c>
      <c r="K143" s="2"/>
      <c r="L143" s="7">
        <f t="shared" si="83"/>
        <v>119.97</v>
      </c>
      <c r="M143" s="2"/>
      <c r="N143" s="6">
        <f t="shared" si="84"/>
        <v>0</v>
      </c>
      <c r="O143" s="11"/>
      <c r="P143" s="7">
        <v>232.9</v>
      </c>
      <c r="Q143" s="2"/>
      <c r="R143" s="6">
        <f t="shared" si="85"/>
        <v>7.9319096539755998E-5</v>
      </c>
      <c r="S143" s="2"/>
      <c r="T143" s="7">
        <v>129.88</v>
      </c>
      <c r="U143" s="2"/>
      <c r="V143" s="6">
        <f t="shared" si="86"/>
        <v>3.5422041888113638E-5</v>
      </c>
      <c r="W143" s="2"/>
      <c r="X143" s="7">
        <f t="shared" si="87"/>
        <v>103.02000000000001</v>
      </c>
      <c r="Y143" s="2"/>
      <c r="Z143" s="6">
        <f t="shared" si="88"/>
        <v>0.793193717277487</v>
      </c>
    </row>
    <row r="144" spans="1:26" s="24" customFormat="1" hidden="1" outlineLevel="2" x14ac:dyDescent="0.35">
      <c r="A144" s="27"/>
      <c r="B144" s="11" t="str">
        <f>CONCATENATE("          ", "6275", " - ", "SUBSCRIPTIONS")</f>
        <v xml:space="preserve">          6275 - SUBSCRIPTIONS</v>
      </c>
      <c r="C144" s="11"/>
      <c r="D144" s="7"/>
      <c r="E144" s="2"/>
      <c r="F144" s="6">
        <f t="shared" si="81"/>
        <v>0</v>
      </c>
      <c r="G144" s="2"/>
      <c r="H144" s="7">
        <v>131.97999999999999</v>
      </c>
      <c r="I144" s="2"/>
      <c r="J144" s="6">
        <f t="shared" si="82"/>
        <v>6.9344789987953192E-4</v>
      </c>
      <c r="K144" s="2"/>
      <c r="L144" s="7">
        <f t="shared" si="83"/>
        <v>-131.97999999999999</v>
      </c>
      <c r="M144" s="2"/>
      <c r="N144" s="6">
        <f t="shared" si="84"/>
        <v>-1</v>
      </c>
      <c r="O144" s="11"/>
      <c r="P144" s="7">
        <v>535.05999999999995</v>
      </c>
      <c r="Q144" s="2"/>
      <c r="R144" s="6">
        <f t="shared" si="85"/>
        <v>1.8222617344165667E-4</v>
      </c>
      <c r="S144" s="2"/>
      <c r="T144" s="7">
        <v>2455.2800000000002</v>
      </c>
      <c r="U144" s="2"/>
      <c r="V144" s="6">
        <f t="shared" si="86"/>
        <v>6.6962604717468179E-4</v>
      </c>
      <c r="W144" s="2"/>
      <c r="X144" s="7">
        <f t="shared" si="87"/>
        <v>-1920.2200000000003</v>
      </c>
      <c r="Y144" s="2"/>
      <c r="Z144" s="6">
        <f t="shared" si="88"/>
        <v>-0.78207780782639869</v>
      </c>
    </row>
    <row r="145" spans="1:26" s="25" customFormat="1" outlineLevel="1" collapsed="1" x14ac:dyDescent="0.35">
      <c r="A145" s="26"/>
      <c r="B145" s="12" t="str">
        <f>CONCATENATE("     ","Supplies                                          ")</f>
        <v xml:space="preserve">     Supplies                                          </v>
      </c>
      <c r="C145" s="12"/>
      <c r="D145" s="1">
        <f>SUM(OSRRefD22_18x_0)</f>
        <v>162.72</v>
      </c>
      <c r="E145" s="1"/>
      <c r="F145" s="5">
        <f t="shared" ref="F145:F151" si="89">IF(D$12=0,0,D145/D$12)</f>
        <v>9.6405351800440432E-4</v>
      </c>
      <c r="G145" s="1"/>
      <c r="H145" s="1">
        <f>SUM(OSRRefH22_18x_0)</f>
        <v>539.75</v>
      </c>
      <c r="I145" s="1"/>
      <c r="J145" s="5">
        <f t="shared" ref="J145:J151" si="90">IF(H$12=0,0,H145/H$12)</f>
        <v>2.835948658584463E-3</v>
      </c>
      <c r="K145" s="1"/>
      <c r="L145" s="1">
        <f t="shared" ref="L145:L151" si="91">+D145-H145</f>
        <v>-377.03</v>
      </c>
      <c r="M145" s="1"/>
      <c r="N145" s="5">
        <f t="shared" ref="N145:N151" si="92">IF(H145=0,0,L145/H145)</f>
        <v>-0.6985270958777211</v>
      </c>
      <c r="O145" s="12"/>
      <c r="P145" s="1">
        <f>SUM(OSRRefP22_18x_0)</f>
        <v>7598.6299999999992</v>
      </c>
      <c r="Q145" s="1"/>
      <c r="R145" s="5">
        <f t="shared" ref="R145:R151" si="93">IF(P$12=0,0,P145/P$12)</f>
        <v>2.5878766274791158E-3</v>
      </c>
      <c r="S145" s="1"/>
      <c r="T145" s="1">
        <f>SUM(OSRRefT22_18x_0)</f>
        <v>8239.5</v>
      </c>
      <c r="U145" s="1"/>
      <c r="V145" s="5">
        <f t="shared" ref="V145:V151" si="94">IF(T$12=0,0,T145/T$12)</f>
        <v>2.2471505554135535E-3</v>
      </c>
      <c r="W145" s="1"/>
      <c r="X145" s="1">
        <f t="shared" ref="X145:X151" si="95">+P145-T145</f>
        <v>-640.8700000000008</v>
      </c>
      <c r="Y145" s="1"/>
      <c r="Z145" s="5">
        <f t="shared" ref="Z145:Z151" si="96">IF(T145=0,0,X145/T145)</f>
        <v>-7.7780205109533443E-2</v>
      </c>
    </row>
    <row r="146" spans="1:26" s="24" customFormat="1" hidden="1" outlineLevel="2" x14ac:dyDescent="0.35">
      <c r="A146" s="27"/>
      <c r="B146" s="11" t="str">
        <f>CONCATENATE("          ", "6234", " - ", "EXPENDABLE SUPPLIES &amp; EQUIPMEN")</f>
        <v xml:space="preserve">          6234 - EXPENDABLE SUPPLIES &amp; EQUIPMEN</v>
      </c>
      <c r="C146" s="11"/>
      <c r="D146" s="7"/>
      <c r="E146" s="2"/>
      <c r="F146" s="6">
        <f t="shared" si="89"/>
        <v>0</v>
      </c>
      <c r="G146" s="2"/>
      <c r="H146" s="7">
        <v>193.68</v>
      </c>
      <c r="I146" s="2"/>
      <c r="J146" s="6">
        <f t="shared" si="90"/>
        <v>1.0176313778501877E-3</v>
      </c>
      <c r="K146" s="2"/>
      <c r="L146" s="7">
        <f t="shared" si="91"/>
        <v>-193.68</v>
      </c>
      <c r="M146" s="2"/>
      <c r="N146" s="6">
        <f t="shared" si="92"/>
        <v>-1</v>
      </c>
      <c r="O146" s="11"/>
      <c r="P146" s="7">
        <v>976.24</v>
      </c>
      <c r="Q146" s="2"/>
      <c r="R146" s="6">
        <f t="shared" si="93"/>
        <v>3.324794968053731E-4</v>
      </c>
      <c r="S146" s="2"/>
      <c r="T146" s="7">
        <v>723.49</v>
      </c>
      <c r="U146" s="2"/>
      <c r="V146" s="6">
        <f t="shared" si="94"/>
        <v>1.9731670069010886E-4</v>
      </c>
      <c r="W146" s="2"/>
      <c r="X146" s="7">
        <f t="shared" si="95"/>
        <v>252.75</v>
      </c>
      <c r="Y146" s="2"/>
      <c r="Z146" s="6">
        <f t="shared" si="96"/>
        <v>0.34934829783410964</v>
      </c>
    </row>
    <row r="147" spans="1:26" s="24" customFormat="1" hidden="1" outlineLevel="2" x14ac:dyDescent="0.35">
      <c r="A147" s="27"/>
      <c r="B147" s="11" t="str">
        <f>CONCATENATE("          ", "6237", " - ", "JANITORIAL SUPPLIES")</f>
        <v xml:space="preserve">          6237 - JANITORIAL SUPPLIES</v>
      </c>
      <c r="C147" s="11"/>
      <c r="D147" s="7"/>
      <c r="E147" s="2"/>
      <c r="F147" s="6">
        <f t="shared" si="89"/>
        <v>0</v>
      </c>
      <c r="G147" s="2"/>
      <c r="H147" s="7"/>
      <c r="I147" s="2"/>
      <c r="J147" s="6">
        <f t="shared" si="90"/>
        <v>0</v>
      </c>
      <c r="K147" s="2"/>
      <c r="L147" s="7">
        <f t="shared" si="91"/>
        <v>0</v>
      </c>
      <c r="M147" s="2"/>
      <c r="N147" s="6">
        <f t="shared" si="92"/>
        <v>0</v>
      </c>
      <c r="O147" s="11"/>
      <c r="P147" s="7">
        <v>670.42</v>
      </c>
      <c r="Q147" s="2"/>
      <c r="R147" s="6">
        <f t="shared" si="93"/>
        <v>2.2832592830477979E-4</v>
      </c>
      <c r="S147" s="2"/>
      <c r="T147" s="7">
        <v>641.32000000000005</v>
      </c>
      <c r="U147" s="2"/>
      <c r="V147" s="6">
        <f t="shared" si="94"/>
        <v>1.7490655915987867E-4</v>
      </c>
      <c r="W147" s="2"/>
      <c r="X147" s="7">
        <f t="shared" si="95"/>
        <v>29.099999999999909</v>
      </c>
      <c r="Y147" s="2"/>
      <c r="Z147" s="6">
        <f t="shared" si="96"/>
        <v>4.5375163724817417E-2</v>
      </c>
    </row>
    <row r="148" spans="1:26" s="24" customFormat="1" hidden="1" outlineLevel="2" x14ac:dyDescent="0.35">
      <c r="A148" s="27"/>
      <c r="B148" s="11" t="str">
        <f>CONCATENATE("          ", "6241", " - ", "OFFICE EXPENSE")</f>
        <v xml:space="preserve">          6241 - OFFICE EXPENSE</v>
      </c>
      <c r="C148" s="11"/>
      <c r="D148" s="7">
        <v>3.96</v>
      </c>
      <c r="E148" s="2"/>
      <c r="F148" s="6">
        <f t="shared" si="89"/>
        <v>2.3461479420461166E-5</v>
      </c>
      <c r="G148" s="2"/>
      <c r="H148" s="7">
        <v>24.12</v>
      </c>
      <c r="I148" s="2"/>
      <c r="J148" s="6">
        <f t="shared" si="90"/>
        <v>1.2673104519695646E-4</v>
      </c>
      <c r="K148" s="2"/>
      <c r="L148" s="7">
        <f t="shared" si="91"/>
        <v>-20.16</v>
      </c>
      <c r="M148" s="2"/>
      <c r="N148" s="6">
        <f t="shared" si="92"/>
        <v>-0.83582089552238803</v>
      </c>
      <c r="O148" s="11"/>
      <c r="P148" s="7">
        <v>5060.78</v>
      </c>
      <c r="Q148" s="2"/>
      <c r="R148" s="6">
        <f t="shared" si="93"/>
        <v>1.7235573095168155E-3</v>
      </c>
      <c r="S148" s="2"/>
      <c r="T148" s="7">
        <v>3031.67</v>
      </c>
      <c r="U148" s="2"/>
      <c r="V148" s="6">
        <f t="shared" si="94"/>
        <v>8.2682431268045486E-4</v>
      </c>
      <c r="W148" s="2"/>
      <c r="X148" s="7">
        <f t="shared" si="95"/>
        <v>2029.1099999999997</v>
      </c>
      <c r="Y148" s="2"/>
      <c r="Z148" s="6">
        <f t="shared" si="96"/>
        <v>0.66930437679562738</v>
      </c>
    </row>
    <row r="149" spans="1:26" s="24" customFormat="1" hidden="1" outlineLevel="2" x14ac:dyDescent="0.35">
      <c r="A149" s="27"/>
      <c r="B149" s="11" t="str">
        <f>CONCATENATE("          ", "6245", " - ", "PRINTING")</f>
        <v xml:space="preserve">          6245 - PRINTING</v>
      </c>
      <c r="C149" s="11"/>
      <c r="D149" s="7">
        <v>158.76</v>
      </c>
      <c r="E149" s="2"/>
      <c r="F149" s="6">
        <f t="shared" si="89"/>
        <v>9.4059203858394308E-4</v>
      </c>
      <c r="G149" s="2"/>
      <c r="H149" s="7"/>
      <c r="I149" s="2"/>
      <c r="J149" s="6">
        <f t="shared" si="90"/>
        <v>0</v>
      </c>
      <c r="K149" s="2"/>
      <c r="L149" s="7">
        <f t="shared" si="91"/>
        <v>158.76</v>
      </c>
      <c r="M149" s="2"/>
      <c r="N149" s="6">
        <f t="shared" si="92"/>
        <v>0</v>
      </c>
      <c r="O149" s="11"/>
      <c r="P149" s="7">
        <v>-348.17</v>
      </c>
      <c r="Q149" s="2"/>
      <c r="R149" s="6">
        <f t="shared" si="93"/>
        <v>-1.1857677046907191E-4</v>
      </c>
      <c r="S149" s="2"/>
      <c r="T149" s="7">
        <v>970.75</v>
      </c>
      <c r="U149" s="2"/>
      <c r="V149" s="6">
        <f t="shared" si="94"/>
        <v>2.6475167202715059E-4</v>
      </c>
      <c r="W149" s="2"/>
      <c r="X149" s="7">
        <f t="shared" si="95"/>
        <v>-1318.92</v>
      </c>
      <c r="Y149" s="2"/>
      <c r="Z149" s="6">
        <f t="shared" si="96"/>
        <v>-1.3586608292557303</v>
      </c>
    </row>
    <row r="150" spans="1:26" s="24" customFormat="1" hidden="1" outlineLevel="2" x14ac:dyDescent="0.35">
      <c r="A150" s="27"/>
      <c r="B150" s="11" t="str">
        <f>CONCATENATE("          ", "6247", " - ", "STORE SUPPLIES")</f>
        <v xml:space="preserve">          6247 - STORE SUPPLIES</v>
      </c>
      <c r="C150" s="11"/>
      <c r="D150" s="7"/>
      <c r="E150" s="2"/>
      <c r="F150" s="6">
        <f t="shared" si="89"/>
        <v>0</v>
      </c>
      <c r="G150" s="2"/>
      <c r="H150" s="7">
        <v>321.95</v>
      </c>
      <c r="I150" s="2"/>
      <c r="J150" s="6">
        <f t="shared" si="90"/>
        <v>1.6915862355373187E-3</v>
      </c>
      <c r="K150" s="2"/>
      <c r="L150" s="7">
        <f t="shared" si="91"/>
        <v>-321.95</v>
      </c>
      <c r="M150" s="2"/>
      <c r="N150" s="6">
        <f t="shared" si="92"/>
        <v>-1</v>
      </c>
      <c r="O150" s="11"/>
      <c r="P150" s="7">
        <v>1239.3599999999999</v>
      </c>
      <c r="Q150" s="2"/>
      <c r="R150" s="6">
        <f t="shared" si="93"/>
        <v>4.2209066332121937E-4</v>
      </c>
      <c r="S150" s="2"/>
      <c r="T150" s="7">
        <v>2296.9899999999998</v>
      </c>
      <c r="U150" s="2"/>
      <c r="V150" s="6">
        <f t="shared" si="94"/>
        <v>6.2645577453478705E-4</v>
      </c>
      <c r="W150" s="2"/>
      <c r="X150" s="7">
        <f t="shared" si="95"/>
        <v>-1057.6299999999999</v>
      </c>
      <c r="Y150" s="2"/>
      <c r="Z150" s="6">
        <f t="shared" si="96"/>
        <v>-0.46044170849677185</v>
      </c>
    </row>
    <row r="151" spans="1:26" s="24" customFormat="1" hidden="1" outlineLevel="2" x14ac:dyDescent="0.35">
      <c r="A151" s="27"/>
      <c r="B151" s="11" t="str">
        <f>CONCATENATE("          ", "6248", " - ", "UNIFORMS")</f>
        <v xml:space="preserve">          6248 - UNIFORMS</v>
      </c>
      <c r="C151" s="11"/>
      <c r="D151" s="7"/>
      <c r="E151" s="2"/>
      <c r="F151" s="6">
        <f t="shared" si="89"/>
        <v>0</v>
      </c>
      <c r="G151" s="2"/>
      <c r="H151" s="7"/>
      <c r="I151" s="2"/>
      <c r="J151" s="6">
        <f t="shared" si="90"/>
        <v>0</v>
      </c>
      <c r="K151" s="2"/>
      <c r="L151" s="7">
        <f t="shared" si="91"/>
        <v>0</v>
      </c>
      <c r="M151" s="2"/>
      <c r="N151" s="6">
        <f t="shared" si="92"/>
        <v>0</v>
      </c>
      <c r="O151" s="11"/>
      <c r="P151" s="7"/>
      <c r="Q151" s="2"/>
      <c r="R151" s="6">
        <f t="shared" si="93"/>
        <v>0</v>
      </c>
      <c r="S151" s="2"/>
      <c r="T151" s="7">
        <v>575.28</v>
      </c>
      <c r="U151" s="2"/>
      <c r="V151" s="6">
        <f t="shared" si="94"/>
        <v>1.568955363211735E-4</v>
      </c>
      <c r="W151" s="2"/>
      <c r="X151" s="7">
        <f t="shared" si="95"/>
        <v>-575.28</v>
      </c>
      <c r="Y151" s="2"/>
      <c r="Z151" s="6">
        <f t="shared" si="96"/>
        <v>-1</v>
      </c>
    </row>
    <row r="152" spans="1:26" s="25" customFormat="1" outlineLevel="1" collapsed="1" x14ac:dyDescent="0.35">
      <c r="A152" s="26"/>
      <c r="B152" s="12" t="str">
        <f>CONCATENATE("     ","Telephone/Data Lines                              ")</f>
        <v xml:space="preserve">     Telephone/Data Lines                              </v>
      </c>
      <c r="C152" s="12"/>
      <c r="D152" s="1">
        <f>SUM(OSRRefD22_19x_0)</f>
        <v>-226.32</v>
      </c>
      <c r="E152" s="1"/>
      <c r="F152" s="5">
        <f t="shared" ref="F152:F158" si="97">IF(D$12=0,0,D152/D$12)</f>
        <v>-1.3408590965754473E-3</v>
      </c>
      <c r="G152" s="1"/>
      <c r="H152" s="1">
        <f>SUM(OSRRefH22_19x_0)</f>
        <v>1102.93</v>
      </c>
      <c r="I152" s="1"/>
      <c r="J152" s="5">
        <f t="shared" ref="J152:J158" si="98">IF(H$12=0,0,H152/H$12)</f>
        <v>5.7950029717694519E-3</v>
      </c>
      <c r="K152" s="1"/>
      <c r="L152" s="1">
        <f t="shared" ref="L152:L158" si="99">+D152-H152</f>
        <v>-1329.25</v>
      </c>
      <c r="M152" s="1"/>
      <c r="N152" s="5">
        <f t="shared" ref="N152:N158" si="100">IF(H152=0,0,L152/H152)</f>
        <v>-1.2051988793486439</v>
      </c>
      <c r="O152" s="12"/>
      <c r="P152" s="1">
        <f>SUM(OSRRefP22_19x_0)</f>
        <v>8605.7199999999993</v>
      </c>
      <c r="Q152" s="1"/>
      <c r="R152" s="5">
        <f t="shared" ref="R152:R158" si="101">IF(P$12=0,0,P152/P$12)</f>
        <v>2.9308627542898621E-3</v>
      </c>
      <c r="S152" s="1"/>
      <c r="T152" s="1">
        <f>SUM(OSRRefT22_19x_0)</f>
        <v>11026.05</v>
      </c>
      <c r="U152" s="1"/>
      <c r="V152" s="5">
        <f t="shared" ref="V152:V158" si="102">IF(T$12=0,0,T152/T$12)</f>
        <v>3.0071235368065549E-3</v>
      </c>
      <c r="W152" s="1"/>
      <c r="X152" s="1">
        <f t="shared" ref="X152:X158" si="103">+P152-T152</f>
        <v>-2420.33</v>
      </c>
      <c r="Y152" s="1"/>
      <c r="Z152" s="5">
        <f t="shared" ref="Z152:Z158" si="104">IF(T152=0,0,X152/T152)</f>
        <v>-0.21951016003011051</v>
      </c>
    </row>
    <row r="153" spans="1:26" s="24" customFormat="1" hidden="1" outlineLevel="2" x14ac:dyDescent="0.35">
      <c r="A153" s="27"/>
      <c r="B153" s="11" t="str">
        <f>CONCATENATE("          ", "6309", " - ", "TELEPHONE")</f>
        <v xml:space="preserve">          6309 - TELEPHONE</v>
      </c>
      <c r="C153" s="11"/>
      <c r="D153" s="7">
        <v>-226.32</v>
      </c>
      <c r="E153" s="2"/>
      <c r="F153" s="6">
        <f t="shared" si="97"/>
        <v>-1.3408590965754473E-3</v>
      </c>
      <c r="G153" s="2"/>
      <c r="H153" s="7">
        <v>1102.93</v>
      </c>
      <c r="I153" s="2"/>
      <c r="J153" s="6">
        <f t="shared" si="98"/>
        <v>5.7950029717694519E-3</v>
      </c>
      <c r="K153" s="2"/>
      <c r="L153" s="7">
        <f t="shared" si="99"/>
        <v>-1329.25</v>
      </c>
      <c r="M153" s="2"/>
      <c r="N153" s="6">
        <f t="shared" si="100"/>
        <v>-1.2051988793486439</v>
      </c>
      <c r="O153" s="11"/>
      <c r="P153" s="7">
        <v>8605.7199999999993</v>
      </c>
      <c r="Q153" s="2"/>
      <c r="R153" s="6">
        <f t="shared" si="101"/>
        <v>2.9308627542898621E-3</v>
      </c>
      <c r="S153" s="2"/>
      <c r="T153" s="7">
        <v>11026.05</v>
      </c>
      <c r="U153" s="2"/>
      <c r="V153" s="6">
        <f t="shared" si="102"/>
        <v>3.0071235368065549E-3</v>
      </c>
      <c r="W153" s="2"/>
      <c r="X153" s="7">
        <f t="shared" si="103"/>
        <v>-2420.33</v>
      </c>
      <c r="Y153" s="2"/>
      <c r="Z153" s="6">
        <f t="shared" si="104"/>
        <v>-0.21951016003011051</v>
      </c>
    </row>
    <row r="154" spans="1:26" s="25" customFormat="1" outlineLevel="1" collapsed="1" x14ac:dyDescent="0.35">
      <c r="A154" s="26"/>
      <c r="B154" s="12" t="str">
        <f>CONCATENATE("     ","Training                                          ")</f>
        <v xml:space="preserve">     Training                                          </v>
      </c>
      <c r="C154" s="12"/>
      <c r="D154" s="1">
        <f>SUM(OSRRefD22_20x_0)</f>
        <v>0</v>
      </c>
      <c r="E154" s="1"/>
      <c r="F154" s="5">
        <f t="shared" si="97"/>
        <v>0</v>
      </c>
      <c r="G154" s="1"/>
      <c r="H154" s="1">
        <f>SUM(OSRRefH22_20x_0)</f>
        <v>0</v>
      </c>
      <c r="I154" s="1"/>
      <c r="J154" s="5">
        <f t="shared" si="98"/>
        <v>0</v>
      </c>
      <c r="K154" s="1"/>
      <c r="L154" s="1">
        <f t="shared" si="99"/>
        <v>0</v>
      </c>
      <c r="M154" s="1"/>
      <c r="N154" s="5">
        <f t="shared" si="100"/>
        <v>0</v>
      </c>
      <c r="O154" s="12"/>
      <c r="P154" s="1">
        <f>SUM(OSRRefP22_20x_0)</f>
        <v>5264.54</v>
      </c>
      <c r="Q154" s="1"/>
      <c r="R154" s="5">
        <f t="shared" si="101"/>
        <v>1.7929521532735382E-3</v>
      </c>
      <c r="S154" s="1"/>
      <c r="T154" s="1">
        <f>SUM(OSRRefT22_20x_0)</f>
        <v>3454.53</v>
      </c>
      <c r="U154" s="1"/>
      <c r="V154" s="5">
        <f t="shared" si="102"/>
        <v>9.4215049556317535E-4</v>
      </c>
      <c r="W154" s="1"/>
      <c r="X154" s="1">
        <f t="shared" si="103"/>
        <v>1810.0099999999998</v>
      </c>
      <c r="Y154" s="1"/>
      <c r="Z154" s="5">
        <f t="shared" si="104"/>
        <v>0.52395260715640035</v>
      </c>
    </row>
    <row r="155" spans="1:26" s="24" customFormat="1" hidden="1" outlineLevel="2" x14ac:dyDescent="0.35">
      <c r="A155" s="27"/>
      <c r="B155" s="11" t="str">
        <f>CONCATENATE("          ", "6376", " - ", "TRAINING")</f>
        <v xml:space="preserve">          6376 - TRAINING</v>
      </c>
      <c r="C155" s="11"/>
      <c r="D155" s="7"/>
      <c r="E155" s="2"/>
      <c r="F155" s="6">
        <f t="shared" si="97"/>
        <v>0</v>
      </c>
      <c r="G155" s="2"/>
      <c r="H155" s="7"/>
      <c r="I155" s="2"/>
      <c r="J155" s="6">
        <f t="shared" si="98"/>
        <v>0</v>
      </c>
      <c r="K155" s="2"/>
      <c r="L155" s="7">
        <f t="shared" si="99"/>
        <v>0</v>
      </c>
      <c r="M155" s="2"/>
      <c r="N155" s="6">
        <f t="shared" si="100"/>
        <v>0</v>
      </c>
      <c r="O155" s="11"/>
      <c r="P155" s="7">
        <v>5264.54</v>
      </c>
      <c r="Q155" s="2"/>
      <c r="R155" s="6">
        <f t="shared" si="101"/>
        <v>1.7929521532735382E-3</v>
      </c>
      <c r="S155" s="2"/>
      <c r="T155" s="7">
        <v>3454.53</v>
      </c>
      <c r="U155" s="2"/>
      <c r="V155" s="6">
        <f t="shared" si="102"/>
        <v>9.4215049556317535E-4</v>
      </c>
      <c r="W155" s="2"/>
      <c r="X155" s="7">
        <f t="shared" si="103"/>
        <v>1810.0099999999998</v>
      </c>
      <c r="Y155" s="2"/>
      <c r="Z155" s="6">
        <f t="shared" si="104"/>
        <v>0.52395260715640035</v>
      </c>
    </row>
    <row r="156" spans="1:26" s="25" customFormat="1" outlineLevel="1" collapsed="1" x14ac:dyDescent="0.35">
      <c r="A156" s="26"/>
      <c r="B156" s="12" t="str">
        <f>CONCATENATE("     ","Travel                                            ")</f>
        <v xml:space="preserve">     Travel                                            </v>
      </c>
      <c r="C156" s="12"/>
      <c r="D156" s="1">
        <f>SUM(OSRRefD22_21x_0)</f>
        <v>0</v>
      </c>
      <c r="E156" s="1"/>
      <c r="F156" s="5">
        <f t="shared" si="97"/>
        <v>0</v>
      </c>
      <c r="G156" s="1"/>
      <c r="H156" s="1">
        <f>SUM(OSRRefH22_21x_0)</f>
        <v>98.54</v>
      </c>
      <c r="I156" s="1"/>
      <c r="J156" s="5">
        <f t="shared" si="98"/>
        <v>5.1774781068441504E-4</v>
      </c>
      <c r="K156" s="1"/>
      <c r="L156" s="1">
        <f t="shared" si="99"/>
        <v>-98.54</v>
      </c>
      <c r="M156" s="1"/>
      <c r="N156" s="5">
        <f t="shared" si="100"/>
        <v>-1</v>
      </c>
      <c r="O156" s="12"/>
      <c r="P156" s="1">
        <f>SUM(OSRRefP22_21x_0)</f>
        <v>612.98</v>
      </c>
      <c r="Q156" s="1"/>
      <c r="R156" s="5">
        <f t="shared" si="101"/>
        <v>2.0876350277775711E-4</v>
      </c>
      <c r="S156" s="1"/>
      <c r="T156" s="1">
        <f>SUM(OSRRefT22_21x_0)</f>
        <v>677.94</v>
      </c>
      <c r="U156" s="1"/>
      <c r="V156" s="5">
        <f t="shared" si="102"/>
        <v>1.8489389496171668E-4</v>
      </c>
      <c r="W156" s="1"/>
      <c r="X156" s="1">
        <f t="shared" si="103"/>
        <v>-64.960000000000036</v>
      </c>
      <c r="Y156" s="1"/>
      <c r="Z156" s="5">
        <f t="shared" si="104"/>
        <v>-9.5819689058028776E-2</v>
      </c>
    </row>
    <row r="157" spans="1:26" s="24" customFormat="1" hidden="1" outlineLevel="2" x14ac:dyDescent="0.35">
      <c r="A157" s="27"/>
      <c r="B157" s="11" t="str">
        <f>CONCATENATE("          ", "6292", " - ", "TRAVEL/CONFERENCE")</f>
        <v xml:space="preserve">          6292 - TRAVEL/CONFERENCE</v>
      </c>
      <c r="C157" s="11"/>
      <c r="D157" s="7"/>
      <c r="E157" s="2"/>
      <c r="F157" s="6">
        <f t="shared" si="97"/>
        <v>0</v>
      </c>
      <c r="G157" s="2"/>
      <c r="H157" s="7"/>
      <c r="I157" s="2"/>
      <c r="J157" s="6">
        <f t="shared" si="98"/>
        <v>0</v>
      </c>
      <c r="K157" s="2"/>
      <c r="L157" s="7">
        <f t="shared" si="99"/>
        <v>0</v>
      </c>
      <c r="M157" s="2"/>
      <c r="N157" s="6">
        <f t="shared" si="100"/>
        <v>0</v>
      </c>
      <c r="O157" s="11"/>
      <c r="P157" s="7">
        <v>107.04</v>
      </c>
      <c r="Q157" s="2"/>
      <c r="R157" s="6">
        <f t="shared" si="101"/>
        <v>3.6454770689632813E-5</v>
      </c>
      <c r="S157" s="2"/>
      <c r="T157" s="7"/>
      <c r="U157" s="2"/>
      <c r="V157" s="6">
        <f t="shared" si="102"/>
        <v>0</v>
      </c>
      <c r="W157" s="2"/>
      <c r="X157" s="7">
        <f t="shared" si="103"/>
        <v>107.04</v>
      </c>
      <c r="Y157" s="2"/>
      <c r="Z157" s="6">
        <f t="shared" si="104"/>
        <v>0</v>
      </c>
    </row>
    <row r="158" spans="1:26" s="24" customFormat="1" hidden="1" outlineLevel="2" x14ac:dyDescent="0.35">
      <c r="A158" s="27"/>
      <c r="B158" s="11" t="str">
        <f>CONCATENATE("          ", "6294", " - ", "TRAVEL OPERATIONAL")</f>
        <v xml:space="preserve">          6294 - TRAVEL OPERATIONAL</v>
      </c>
      <c r="C158" s="11"/>
      <c r="D158" s="7"/>
      <c r="E158" s="2"/>
      <c r="F158" s="6">
        <f t="shared" si="97"/>
        <v>0</v>
      </c>
      <c r="G158" s="2"/>
      <c r="H158" s="7">
        <v>98.54</v>
      </c>
      <c r="I158" s="2"/>
      <c r="J158" s="6">
        <f t="shared" si="98"/>
        <v>5.1774781068441504E-4</v>
      </c>
      <c r="K158" s="2"/>
      <c r="L158" s="7">
        <f t="shared" si="99"/>
        <v>-98.54</v>
      </c>
      <c r="M158" s="2"/>
      <c r="N158" s="6">
        <f t="shared" si="100"/>
        <v>-1</v>
      </c>
      <c r="O158" s="11"/>
      <c r="P158" s="7">
        <v>505.94</v>
      </c>
      <c r="Q158" s="2"/>
      <c r="R158" s="6">
        <f t="shared" si="101"/>
        <v>1.7230873208812431E-4</v>
      </c>
      <c r="S158" s="2"/>
      <c r="T158" s="7">
        <v>677.94</v>
      </c>
      <c r="U158" s="2"/>
      <c r="V158" s="6">
        <f t="shared" si="102"/>
        <v>1.8489389496171668E-4</v>
      </c>
      <c r="W158" s="2"/>
      <c r="X158" s="7">
        <f t="shared" si="103"/>
        <v>-172.00000000000006</v>
      </c>
      <c r="Y158" s="2"/>
      <c r="Z158" s="6">
        <f t="shared" si="104"/>
        <v>-0.25370976782606136</v>
      </c>
    </row>
    <row r="159" spans="1:26" s="25" customFormat="1" outlineLevel="1" collapsed="1" x14ac:dyDescent="0.35">
      <c r="A159" s="26"/>
      <c r="B159" s="12" t="str">
        <f>CONCATENATE("     ","Utilities                                         ")</f>
        <v xml:space="preserve">     Utilities                                         </v>
      </c>
      <c r="C159" s="12"/>
      <c r="D159" s="1">
        <f>SUM(OSRRefD22_22x_0)</f>
        <v>27.8</v>
      </c>
      <c r="E159" s="1"/>
      <c r="F159" s="5">
        <f t="shared" ref="F159:F160" si="105">IF(D$12=0,0,D159/D$12)</f>
        <v>1.6470432522444961E-4</v>
      </c>
      <c r="G159" s="1"/>
      <c r="H159" s="1">
        <f>SUM(OSRRefH22_22x_0)</f>
        <v>32.24</v>
      </c>
      <c r="I159" s="1"/>
      <c r="J159" s="5">
        <f t="shared" ref="J159:J160" si="106">IF(H$12=0,0,H159/H$12)</f>
        <v>1.6939506207089039E-4</v>
      </c>
      <c r="K159" s="1"/>
      <c r="L159" s="1">
        <f t="shared" ref="L159:L160" si="107">+D159-H159</f>
        <v>-4.4400000000000013</v>
      </c>
      <c r="M159" s="1"/>
      <c r="N159" s="5">
        <f t="shared" ref="N159:N160" si="108">IF(H159=0,0,L159/H159)</f>
        <v>-0.13771712158808935</v>
      </c>
      <c r="O159" s="12"/>
      <c r="P159" s="1">
        <f>SUM(OSRRefP22_22x_0)</f>
        <v>2987.58</v>
      </c>
      <c r="Q159" s="1"/>
      <c r="R159" s="5">
        <f t="shared" ref="R159:R160" si="109">IF(P$12=0,0,P159/P$12)</f>
        <v>1.0174845274377167E-3</v>
      </c>
      <c r="S159" s="1"/>
      <c r="T159" s="1">
        <f>SUM(OSRRefT22_22x_0)</f>
        <v>3552.56</v>
      </c>
      <c r="U159" s="1"/>
      <c r="V159" s="5">
        <f t="shared" ref="V159:V160" si="110">IF(T$12=0,0,T159/T$12)</f>
        <v>9.6888611895624413E-4</v>
      </c>
      <c r="W159" s="1"/>
      <c r="X159" s="1">
        <f t="shared" ref="X159:X160" si="111">+P159-T159</f>
        <v>-564.98</v>
      </c>
      <c r="Y159" s="1"/>
      <c r="Z159" s="5">
        <f t="shared" ref="Z159:Z160" si="112">IF(T159=0,0,X159/T159)</f>
        <v>-0.15903461166032384</v>
      </c>
    </row>
    <row r="160" spans="1:26" s="24" customFormat="1" hidden="1" outlineLevel="2" x14ac:dyDescent="0.35">
      <c r="A160" s="27"/>
      <c r="B160" s="11" t="str">
        <f>CONCATENATE("          ", "6274", " - ", "UTILITIES")</f>
        <v xml:space="preserve">          6274 - UTILITIES</v>
      </c>
      <c r="C160" s="11"/>
      <c r="D160" s="7">
        <v>27.8</v>
      </c>
      <c r="E160" s="2"/>
      <c r="F160" s="6">
        <f t="shared" si="105"/>
        <v>1.6470432522444961E-4</v>
      </c>
      <c r="G160" s="2"/>
      <c r="H160" s="7">
        <v>32.24</v>
      </c>
      <c r="I160" s="2"/>
      <c r="J160" s="6">
        <f t="shared" si="106"/>
        <v>1.6939506207089039E-4</v>
      </c>
      <c r="K160" s="2"/>
      <c r="L160" s="7">
        <f t="shared" si="107"/>
        <v>-4.4400000000000013</v>
      </c>
      <c r="M160" s="2"/>
      <c r="N160" s="6">
        <f t="shared" si="108"/>
        <v>-0.13771712158808935</v>
      </c>
      <c r="O160" s="11"/>
      <c r="P160" s="7">
        <v>2987.58</v>
      </c>
      <c r="Q160" s="2"/>
      <c r="R160" s="6">
        <f t="shared" si="109"/>
        <v>1.0174845274377167E-3</v>
      </c>
      <c r="S160" s="2"/>
      <c r="T160" s="7">
        <v>3552.56</v>
      </c>
      <c r="U160" s="2"/>
      <c r="V160" s="6">
        <f t="shared" si="110"/>
        <v>9.6888611895624413E-4</v>
      </c>
      <c r="W160" s="2"/>
      <c r="X160" s="7">
        <f t="shared" si="111"/>
        <v>-564.98</v>
      </c>
      <c r="Y160" s="2"/>
      <c r="Z160" s="6">
        <f t="shared" si="112"/>
        <v>-0.15903461166032384</v>
      </c>
    </row>
    <row r="161" spans="1:26" s="56" customFormat="1" x14ac:dyDescent="0.35">
      <c r="A161" s="37"/>
      <c r="B161" s="37"/>
      <c r="C161" s="37"/>
      <c r="D161" s="1"/>
      <c r="E161" s="1"/>
      <c r="F161" s="5"/>
      <c r="G161" s="1"/>
      <c r="H161" s="1"/>
      <c r="I161" s="1"/>
      <c r="J161" s="5"/>
      <c r="K161" s="1"/>
      <c r="L161" s="1"/>
      <c r="M161" s="1"/>
      <c r="N161" s="5"/>
      <c r="O161" s="37"/>
      <c r="P161" s="1"/>
      <c r="Q161" s="1"/>
      <c r="R161" s="5"/>
      <c r="S161" s="1"/>
      <c r="T161" s="1"/>
      <c r="U161" s="1"/>
      <c r="V161" s="5"/>
      <c r="W161" s="1"/>
      <c r="X161" s="1"/>
      <c r="Y161" s="1"/>
      <c r="Z161" s="5"/>
    </row>
    <row r="162" spans="1:26" s="23" customFormat="1" collapsed="1" x14ac:dyDescent="0.35">
      <c r="A162" s="10"/>
      <c r="B162" s="29" t="s">
        <v>0</v>
      </c>
      <c r="C162" s="10"/>
      <c r="D162" s="4">
        <f>SUM(OSRRefD25x_0)</f>
        <v>-7960.4</v>
      </c>
      <c r="E162" s="4"/>
      <c r="F162" s="13">
        <f t="shared" ref="F162:F163" si="113">IF(D$12=0,0,D162/D$12)</f>
        <v>-4.7162313327939159E-2</v>
      </c>
      <c r="G162" s="4"/>
      <c r="H162" s="4">
        <f>SUM(OSRRefH25x_0)</f>
        <v>22706.9</v>
      </c>
      <c r="I162" s="4"/>
      <c r="J162" s="13">
        <f t="shared" ref="J162:J163" si="114">IF(H$12=0,0,H162/H$12)</f>
        <v>0.11930635033925252</v>
      </c>
      <c r="K162" s="4"/>
      <c r="L162" s="4">
        <f t="shared" ref="L162:L163" si="115">+D162-H162</f>
        <v>-30667.300000000003</v>
      </c>
      <c r="M162" s="4"/>
      <c r="N162" s="13">
        <f t="shared" ref="N162:N163" si="116">IF(H162=0,0,L162/H162)</f>
        <v>-1.3505718526086785</v>
      </c>
      <c r="O162" s="10"/>
      <c r="P162" s="4">
        <f>SUM(OSRRefP25x_0)</f>
        <v>88944.49</v>
      </c>
      <c r="Q162" s="4"/>
      <c r="R162" s="13">
        <f t="shared" ref="R162:R163" si="117">IF(P$12=0,0,P162/P$12)</f>
        <v>3.0291956157103315E-2</v>
      </c>
      <c r="S162" s="4"/>
      <c r="T162" s="4">
        <f>SUM(OSRRefT25x_0)</f>
        <v>135294.13</v>
      </c>
      <c r="U162" s="4"/>
      <c r="V162" s="13">
        <f t="shared" ref="V162:V163" si="118">IF(T$12=0,0,T162/T$12)</f>
        <v>3.689863212254306E-2</v>
      </c>
      <c r="W162" s="4"/>
      <c r="X162" s="4">
        <f t="shared" ref="X162:X163" si="119">+P162-T162</f>
        <v>-46349.64</v>
      </c>
      <c r="Y162" s="4"/>
      <c r="Z162" s="13">
        <f t="shared" ref="Z162:Z163" si="120">IF(T162=0,0,X162/T162)</f>
        <v>-0.34258426437274109</v>
      </c>
    </row>
    <row r="163" spans="1:26" s="24" customFormat="1" hidden="1" outlineLevel="1" x14ac:dyDescent="0.35">
      <c r="A163" s="44"/>
      <c r="B163" s="11" t="str">
        <f>CONCATENATE("          ", "9150", " - ", "MISC. INCOME")</f>
        <v xml:space="preserve">          9150 - MISC. INCOME</v>
      </c>
      <c r="C163" s="11"/>
      <c r="D163" s="2">
        <f>-7960.4</f>
        <v>-7960.4</v>
      </c>
      <c r="E163" s="2"/>
      <c r="F163" s="19">
        <f t="shared" si="113"/>
        <v>-4.7162313327939159E-2</v>
      </c>
      <c r="G163" s="2"/>
      <c r="H163" s="2">
        <f>--22706.9</f>
        <v>22706.9</v>
      </c>
      <c r="I163" s="2"/>
      <c r="J163" s="19">
        <f t="shared" si="114"/>
        <v>0.11930635033925252</v>
      </c>
      <c r="K163" s="2"/>
      <c r="L163" s="2">
        <f t="shared" si="115"/>
        <v>-30667.300000000003</v>
      </c>
      <c r="M163" s="2"/>
      <c r="N163" s="19">
        <f t="shared" si="116"/>
        <v>-1.3505718526086785</v>
      </c>
      <c r="O163" s="11"/>
      <c r="P163" s="2">
        <f>--88944.49</f>
        <v>88944.49</v>
      </c>
      <c r="Q163" s="2"/>
      <c r="R163" s="19">
        <f t="shared" si="117"/>
        <v>3.0291956157103315E-2</v>
      </c>
      <c r="S163" s="2"/>
      <c r="T163" s="2">
        <f>--135294.13</f>
        <v>135294.13</v>
      </c>
      <c r="U163" s="2"/>
      <c r="V163" s="19">
        <f t="shared" si="118"/>
        <v>3.689863212254306E-2</v>
      </c>
      <c r="W163" s="2"/>
      <c r="X163" s="2">
        <f t="shared" si="119"/>
        <v>-46349.64</v>
      </c>
      <c r="Y163" s="2"/>
      <c r="Z163" s="19">
        <f t="shared" si="120"/>
        <v>-0.34258426437274109</v>
      </c>
    </row>
    <row r="164" spans="1:26" x14ac:dyDescent="0.35">
      <c r="A164" s="9"/>
      <c r="B164" s="10"/>
      <c r="C164" s="10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O164" s="10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x14ac:dyDescent="0.35">
      <c r="A165" s="10"/>
      <c r="B165" s="28" t="s">
        <v>3</v>
      </c>
      <c r="C165" s="28"/>
      <c r="D165" s="22">
        <f>+D72-D74+D162</f>
        <v>-137054.83999999997</v>
      </c>
      <c r="E165" s="14"/>
      <c r="F165" s="21">
        <f>IF(D$12=0,0,D165/D$12)</f>
        <v>-0.81199730003398918</v>
      </c>
      <c r="G165" s="14"/>
      <c r="H165" s="22">
        <f>+H72-H74+H162</f>
        <v>85462.959999999977</v>
      </c>
      <c r="I165" s="14"/>
      <c r="J165" s="21">
        <f>IF(H$12=0,0,H165/H$12)</f>
        <v>0.44903856743058368</v>
      </c>
      <c r="K165" s="15"/>
      <c r="L165" s="22">
        <f>+D165-H165</f>
        <v>-222517.79999999993</v>
      </c>
      <c r="M165" s="15"/>
      <c r="N165" s="21">
        <f>IF(H165=0,0,L165/H165)</f>
        <v>-2.6036753232043446</v>
      </c>
      <c r="O165" s="29"/>
      <c r="P165" s="22">
        <f>+P72-P74+P162</f>
        <v>443095.83000000054</v>
      </c>
      <c r="Q165" s="14"/>
      <c r="R165" s="21">
        <f>IF(P$12=0,0,P165/P$12)</f>
        <v>0.15090580041276666</v>
      </c>
      <c r="S165" s="14"/>
      <c r="T165" s="22">
        <f>+T72-T74+T162</f>
        <v>1218500.5899999989</v>
      </c>
      <c r="U165" s="14"/>
      <c r="V165" s="21">
        <f>IF(T$12=0,0,T165/T$12)</f>
        <v>0.3323204414819152</v>
      </c>
      <c r="W165" s="15"/>
      <c r="X165" s="22">
        <f>+P165-T165</f>
        <v>-775404.75999999838</v>
      </c>
      <c r="Y165" s="15"/>
      <c r="Z165" s="21">
        <f>IF(T165=0,0,X165/T165)</f>
        <v>-0.63635977394151211</v>
      </c>
    </row>
    <row r="166" spans="1:26" x14ac:dyDescent="0.35">
      <c r="A166" s="9"/>
      <c r="B166" s="10"/>
      <c r="C166" s="9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x14ac:dyDescent="0.35">
      <c r="A167" s="51"/>
      <c r="B167" s="10" t="s">
        <v>13</v>
      </c>
      <c r="C167" s="10"/>
      <c r="D167" s="4">
        <v>116937.20999999999</v>
      </c>
      <c r="E167" s="4"/>
      <c r="F167" s="13">
        <f>IF(D$12=0,0,D167/D$12)</f>
        <v>0.69280806714675391</v>
      </c>
      <c r="G167" s="4"/>
      <c r="H167" s="4">
        <v>-100240.19</v>
      </c>
      <c r="I167" s="4"/>
      <c r="J167" s="13">
        <f>IF(H$12=0,0,H167/H$12)</f>
        <v>-0.52668093073969746</v>
      </c>
      <c r="K167" s="4"/>
      <c r="L167" s="4">
        <f>+D167-H167</f>
        <v>217177.4</v>
      </c>
      <c r="M167" s="4"/>
      <c r="N167" s="13">
        <f>IF(H167=0,0,L167/H167)</f>
        <v>-2.1665701152402046</v>
      </c>
      <c r="O167" s="10"/>
      <c r="P167" s="4">
        <v>444660.69</v>
      </c>
      <c r="Q167" s="4"/>
      <c r="R167" s="13">
        <f>IF(P$12=0,0,P167/P$12)</f>
        <v>0.15143874709121732</v>
      </c>
      <c r="S167" s="4"/>
      <c r="T167" s="4">
        <v>261347.68000000002</v>
      </c>
      <c r="U167" s="4"/>
      <c r="V167" s="13">
        <f>IF(T$12=0,0,T167/T$12)</f>
        <v>7.1277090147222971E-2</v>
      </c>
      <c r="W167" s="4"/>
      <c r="X167" s="4">
        <f>+P167-T167</f>
        <v>183313.00999999998</v>
      </c>
      <c r="Y167" s="4"/>
      <c r="Z167" s="13">
        <f>IF(T167=0,0,X167/T167)</f>
        <v>0.70141433817204712</v>
      </c>
    </row>
    <row r="168" spans="1:26" x14ac:dyDescent="0.35">
      <c r="A168" s="9"/>
      <c r="B168" s="10"/>
      <c r="C168" s="10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0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ht="15" thickBot="1" x14ac:dyDescent="0.4">
      <c r="A169" s="10"/>
      <c r="B169" s="28" t="s">
        <v>4</v>
      </c>
      <c r="C169" s="28"/>
      <c r="D169" s="34">
        <f>+D165-D167</f>
        <v>-253992.04999999996</v>
      </c>
      <c r="E169" s="14"/>
      <c r="F169" s="32">
        <f>IF(D$12=0,0,D169/D$12)</f>
        <v>-1.5048053671807431</v>
      </c>
      <c r="G169" s="14"/>
      <c r="H169" s="34">
        <f>+H165-H167</f>
        <v>185703.14999999997</v>
      </c>
      <c r="I169" s="14"/>
      <c r="J169" s="32">
        <f>IF(H$12=0,0,H169/H$12)</f>
        <v>0.97571949817028103</v>
      </c>
      <c r="K169" s="15"/>
      <c r="L169" s="34">
        <f>D169-H169</f>
        <v>-439695.19999999995</v>
      </c>
      <c r="M169" s="15"/>
      <c r="N169" s="32">
        <f>IF(H169=0,0,L169/H169)</f>
        <v>-2.3677315112856192</v>
      </c>
      <c r="O169" s="29"/>
      <c r="P169" s="34">
        <f>+P165-P167</f>
        <v>-1564.8599999994622</v>
      </c>
      <c r="Q169" s="14"/>
      <c r="R169" s="32">
        <f>IF(P$12=0,0,P169/P$12)</f>
        <v>-5.3294667845066518E-4</v>
      </c>
      <c r="S169" s="14"/>
      <c r="T169" s="34">
        <f>+T165-T167</f>
        <v>957152.90999999887</v>
      </c>
      <c r="U169" s="14"/>
      <c r="V169" s="32">
        <f>IF(T$12=0,0,T169/T$12)</f>
        <v>0.2610433513346922</v>
      </c>
      <c r="W169" s="15"/>
      <c r="X169" s="34">
        <f>P169-T169</f>
        <v>-958717.76999999839</v>
      </c>
      <c r="Y169" s="15"/>
      <c r="Z169" s="32">
        <f>IF(T169=0,0,X169/T169)</f>
        <v>-1.0016349111867606</v>
      </c>
    </row>
    <row r="170" spans="1:26" ht="15" thickTop="1" x14ac:dyDescent="0.35">
      <c r="A170" s="9"/>
      <c r="B170" s="9"/>
      <c r="C170" s="9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x14ac:dyDescent="0.35">
      <c r="A171" s="9"/>
      <c r="B171" s="9"/>
      <c r="C171" s="9"/>
      <c r="D171" s="3"/>
      <c r="E171" s="3"/>
      <c r="F171" s="8"/>
      <c r="G171" s="3"/>
      <c r="H171" s="3"/>
      <c r="I171" s="3"/>
      <c r="J171" s="8"/>
      <c r="K171" s="3"/>
      <c r="L171" s="3"/>
      <c r="M171" s="3"/>
      <c r="N171" s="8"/>
      <c r="P171" s="3"/>
      <c r="Q171" s="3"/>
      <c r="R171" s="8"/>
      <c r="S171" s="3"/>
      <c r="T171" s="3"/>
      <c r="U171" s="3"/>
      <c r="V171" s="8"/>
      <c r="W171" s="3"/>
      <c r="X171" s="3"/>
      <c r="Y171" s="3"/>
      <c r="Z171" s="8"/>
    </row>
    <row r="172" spans="1:26" s="23" customFormat="1" ht="15" thickBot="1" x14ac:dyDescent="0.4">
      <c r="A172" s="10"/>
      <c r="B172" s="28" t="s">
        <v>5</v>
      </c>
      <c r="C172" s="28"/>
      <c r="D172" s="35">
        <f>SUM(D169:D171)</f>
        <v>-253992.04999999996</v>
      </c>
      <c r="E172" s="14"/>
      <c r="F172" s="33">
        <f>IF(D$12=0,0,D172/D$12)</f>
        <v>-1.5048053671807431</v>
      </c>
      <c r="G172" s="14"/>
      <c r="H172" s="35">
        <f>SUM(H169:H171)</f>
        <v>185703.14999999997</v>
      </c>
      <c r="I172" s="14"/>
      <c r="J172" s="33">
        <f>IF(H$12=0,0,H172/H$12)</f>
        <v>0.97571949817028103</v>
      </c>
      <c r="K172" s="15"/>
      <c r="L172" s="35">
        <f>+D172-H172</f>
        <v>-439695.19999999995</v>
      </c>
      <c r="M172" s="15"/>
      <c r="N172" s="33">
        <f>IF(H172=0,0,L172/H172)</f>
        <v>-2.3677315112856192</v>
      </c>
      <c r="O172" s="29"/>
      <c r="P172" s="35">
        <f>SUM(P169:P171)</f>
        <v>-1564.8599999994622</v>
      </c>
      <c r="Q172" s="14"/>
      <c r="R172" s="33">
        <f>IF(P$12=0,0,P172/P$12)</f>
        <v>-5.3294667845066518E-4</v>
      </c>
      <c r="S172" s="14"/>
      <c r="T172" s="35">
        <f>SUM(T169:T171)</f>
        <v>957152.90999999887</v>
      </c>
      <c r="U172" s="14"/>
      <c r="V172" s="33">
        <f>IF(T$12=0,0,T172/T$12)</f>
        <v>0.2610433513346922</v>
      </c>
      <c r="W172" s="15"/>
      <c r="X172" s="35">
        <f>+P172-T172</f>
        <v>-958717.76999999839</v>
      </c>
      <c r="Y172" s="15"/>
      <c r="Z172" s="33">
        <f>IF(T172=0,0,X172/T172)</f>
        <v>-1.0016349111867606</v>
      </c>
    </row>
    <row r="173" spans="1:26" ht="15" thickTop="1" x14ac:dyDescent="0.35">
      <c r="A173" s="9"/>
      <c r="C173" s="9"/>
      <c r="D173" s="17"/>
      <c r="E173" s="17"/>
      <c r="G173" s="17"/>
      <c r="H173" s="17"/>
      <c r="I173" s="17"/>
      <c r="J173" s="42"/>
      <c r="K173" s="17"/>
      <c r="L173" s="17"/>
      <c r="M173" s="17"/>
      <c r="P173" s="17"/>
      <c r="Q173" s="17"/>
      <c r="R173" s="42"/>
      <c r="S173" s="17"/>
      <c r="T173" s="17"/>
      <c r="U173" s="17"/>
      <c r="V173" s="42"/>
      <c r="W173" s="17"/>
      <c r="X173" s="17"/>
    </row>
    <row r="174" spans="1:26" x14ac:dyDescent="0.35">
      <c r="A174" s="9"/>
      <c r="B174" s="52">
        <v>44043.522381331015</v>
      </c>
      <c r="D174" s="17"/>
      <c r="E174" s="17"/>
      <c r="G174" s="17"/>
      <c r="H174" s="17"/>
      <c r="I174" s="17"/>
      <c r="J174" s="42"/>
      <c r="K174" s="17"/>
      <c r="L174" s="17"/>
      <c r="M174" s="17"/>
      <c r="P174" s="17"/>
      <c r="Q174" s="17"/>
      <c r="R174" s="42"/>
      <c r="S174" s="17"/>
      <c r="T174" s="17"/>
      <c r="U174" s="17"/>
      <c r="V174" s="42"/>
      <c r="W174" s="17"/>
      <c r="X174" s="17"/>
    </row>
    <row r="175" spans="1:26" x14ac:dyDescent="0.35">
      <c r="A175" s="9"/>
      <c r="B175" s="61" t="s">
        <v>313</v>
      </c>
      <c r="D175" s="17"/>
      <c r="E175" s="17"/>
      <c r="G175" s="17"/>
      <c r="H175" s="17"/>
      <c r="I175" s="17"/>
      <c r="J175" s="42"/>
      <c r="K175" s="17"/>
      <c r="L175" s="17"/>
      <c r="M175" s="17"/>
      <c r="P175" s="17"/>
      <c r="Q175" s="17"/>
      <c r="R175" s="42"/>
      <c r="S175" s="17"/>
      <c r="T175" s="17"/>
      <c r="U175" s="17"/>
      <c r="V175" s="42"/>
      <c r="W175" s="17"/>
      <c r="X175" s="17"/>
    </row>
    <row r="176" spans="1:26" x14ac:dyDescent="0.35">
      <c r="A176" s="9"/>
      <c r="B176" s="54"/>
      <c r="D176" s="17"/>
      <c r="E176" s="17"/>
      <c r="G176" s="17"/>
      <c r="H176" s="17"/>
      <c r="I176" s="17"/>
      <c r="J176" s="42"/>
      <c r="K176" s="17"/>
      <c r="L176" s="17"/>
      <c r="M176" s="17"/>
      <c r="P176" s="17"/>
      <c r="Q176" s="17"/>
      <c r="R176" s="42"/>
      <c r="S176" s="17"/>
      <c r="T176" s="17"/>
      <c r="U176" s="17"/>
      <c r="V176" s="42"/>
      <c r="W176" s="17"/>
      <c r="X176" s="17"/>
    </row>
    <row r="177" spans="4:24" x14ac:dyDescent="0.35">
      <c r="D177" s="17"/>
      <c r="E177" s="17"/>
      <c r="G177" s="17"/>
      <c r="H177" s="17"/>
      <c r="I177" s="17"/>
      <c r="J177" s="42"/>
      <c r="K177" s="17"/>
      <c r="L177" s="17"/>
      <c r="M177" s="17"/>
      <c r="P177" s="17"/>
      <c r="Q177" s="17"/>
      <c r="R177" s="42"/>
      <c r="S177" s="17"/>
      <c r="T177" s="17"/>
      <c r="U177" s="17"/>
      <c r="V177" s="42"/>
      <c r="W177" s="17"/>
      <c r="X177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","315", " - ", "Beach Shop")</f>
        <v>Department 315 - Beach Shop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168787.31000000003</v>
      </c>
      <c r="E12" s="4"/>
      <c r="F12" s="13"/>
      <c r="G12" s="4"/>
      <c r="H12" s="4">
        <f>SUM(OSRRefH13x_0)</f>
        <v>150864.54</v>
      </c>
      <c r="I12" s="4"/>
      <c r="J12" s="13"/>
      <c r="K12" s="4"/>
      <c r="L12" s="4">
        <f t="shared" ref="L12:L33" si="0">+D12-H12</f>
        <v>17922.770000000019</v>
      </c>
      <c r="M12" s="4"/>
      <c r="N12" s="13">
        <f t="shared" ref="N12:N33" si="1">IF(H12=0,0,L12/H12)</f>
        <v>0.11880041525994126</v>
      </c>
      <c r="O12" s="10"/>
      <c r="P12" s="4">
        <f>SUM(OSRRefP13x_0)</f>
        <v>2506400.3400000003</v>
      </c>
      <c r="Q12" s="4"/>
      <c r="R12" s="13"/>
      <c r="S12" s="4"/>
      <c r="T12" s="4">
        <f>SUM(OSRRefT13x_0)</f>
        <v>3166368.1599999997</v>
      </c>
      <c r="U12" s="4"/>
      <c r="V12" s="13"/>
      <c r="W12" s="4"/>
      <c r="X12" s="4">
        <f t="shared" ref="X12:X33" si="2">+P12-T12</f>
        <v>-659967.81999999937</v>
      </c>
      <c r="Y12" s="4"/>
      <c r="Z12" s="13">
        <f t="shared" ref="Z12:Z33" si="3">IF(T12=0,0,X12/T12)</f>
        <v>-0.20843053828585728</v>
      </c>
    </row>
    <row r="13" spans="1:26" s="24" customFormat="1" hidden="1" outlineLevel="1" x14ac:dyDescent="0.35">
      <c r="A13" s="44"/>
      <c r="B13" s="11" t="str">
        <f>CONCATENATE("          ", "4040", " - ", "TAXABLE SALES-LOGO CLOTHING")</f>
        <v xml:space="preserve">          4040 - TAXABLE SALES-LOGO CLOTHING</v>
      </c>
      <c r="C13" s="11"/>
      <c r="D13" s="2">
        <f>--46364.3</f>
        <v>46364.3</v>
      </c>
      <c r="E13" s="2"/>
      <c r="F13" s="19"/>
      <c r="G13" s="2"/>
      <c r="H13" s="2">
        <f>--91490.41</f>
        <v>91490.41</v>
      </c>
      <c r="I13" s="2"/>
      <c r="J13" s="19"/>
      <c r="K13" s="2"/>
      <c r="L13" s="2">
        <f t="shared" si="0"/>
        <v>-45126.11</v>
      </c>
      <c r="M13" s="2"/>
      <c r="N13" s="19">
        <f t="shared" si="1"/>
        <v>-0.49323322520906837</v>
      </c>
      <c r="O13" s="11"/>
      <c r="P13" s="2">
        <f>--1579400.75</f>
        <v>1579400.75</v>
      </c>
      <c r="Q13" s="2"/>
      <c r="R13" s="19"/>
      <c r="S13" s="2"/>
      <c r="T13" s="2">
        <f>--2086505.31</f>
        <v>2086505.31</v>
      </c>
      <c r="U13" s="2"/>
      <c r="V13" s="19"/>
      <c r="W13" s="2"/>
      <c r="X13" s="2">
        <f t="shared" si="2"/>
        <v>-507104.56000000006</v>
      </c>
      <c r="Y13" s="2"/>
      <c r="Z13" s="19">
        <f t="shared" si="3"/>
        <v>-0.24304014831383297</v>
      </c>
    </row>
    <row r="14" spans="1:26" s="24" customFormat="1" hidden="1" outlineLevel="1" x14ac:dyDescent="0.3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--29345.98</f>
        <v>29345.98</v>
      </c>
      <c r="E14" s="2"/>
      <c r="F14" s="19"/>
      <c r="G14" s="2"/>
      <c r="H14" s="2">
        <f>--23355.25</f>
        <v>23355.25</v>
      </c>
      <c r="I14" s="2"/>
      <c r="J14" s="19"/>
      <c r="K14" s="2"/>
      <c r="L14" s="2">
        <f t="shared" si="0"/>
        <v>5990.73</v>
      </c>
      <c r="M14" s="2"/>
      <c r="N14" s="19">
        <f t="shared" si="1"/>
        <v>0.25650464028430436</v>
      </c>
      <c r="O14" s="11"/>
      <c r="P14" s="2">
        <f>--331913.65</f>
        <v>331913.65000000002</v>
      </c>
      <c r="Q14" s="2"/>
      <c r="R14" s="19"/>
      <c r="S14" s="2"/>
      <c r="T14" s="2">
        <f>--596440.87</f>
        <v>596440.87</v>
      </c>
      <c r="U14" s="2"/>
      <c r="V14" s="19"/>
      <c r="W14" s="2"/>
      <c r="X14" s="2">
        <f t="shared" si="2"/>
        <v>-264527.21999999997</v>
      </c>
      <c r="Y14" s="2"/>
      <c r="Z14" s="19">
        <f t="shared" si="3"/>
        <v>-0.44350954688936722</v>
      </c>
    </row>
    <row r="15" spans="1:26" s="24" customFormat="1" hidden="1" outlineLevel="1" x14ac:dyDescent="0.3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--2752.94</f>
        <v>2752.94</v>
      </c>
      <c r="E15" s="2"/>
      <c r="F15" s="19"/>
      <c r="G15" s="2"/>
      <c r="H15" s="2">
        <f>--6363.83</f>
        <v>6363.83</v>
      </c>
      <c r="I15" s="2"/>
      <c r="J15" s="19"/>
      <c r="K15" s="2"/>
      <c r="L15" s="2">
        <f t="shared" si="0"/>
        <v>-3610.89</v>
      </c>
      <c r="M15" s="2"/>
      <c r="N15" s="19">
        <f t="shared" si="1"/>
        <v>-0.56740830600440295</v>
      </c>
      <c r="O15" s="11"/>
      <c r="P15" s="2">
        <f>--177666.21</f>
        <v>177666.21</v>
      </c>
      <c r="Q15" s="2"/>
      <c r="R15" s="19"/>
      <c r="S15" s="2"/>
      <c r="T15" s="2">
        <f>--207202.67</f>
        <v>207202.67</v>
      </c>
      <c r="U15" s="2"/>
      <c r="V15" s="19"/>
      <c r="W15" s="2"/>
      <c r="X15" s="2">
        <f t="shared" si="2"/>
        <v>-29536.460000000021</v>
      </c>
      <c r="Y15" s="2"/>
      <c r="Z15" s="19">
        <f t="shared" si="3"/>
        <v>-0.14254864572932394</v>
      </c>
    </row>
    <row r="16" spans="1:26" s="24" customFormat="1" hidden="1" outlineLevel="1" x14ac:dyDescent="0.3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--54.96</f>
        <v>54.96</v>
      </c>
      <c r="E16" s="2"/>
      <c r="F16" s="19"/>
      <c r="G16" s="2"/>
      <c r="H16" s="2">
        <f>--68.96</f>
        <v>68.959999999999994</v>
      </c>
      <c r="I16" s="2"/>
      <c r="J16" s="19"/>
      <c r="K16" s="2"/>
      <c r="L16" s="2">
        <f t="shared" si="0"/>
        <v>-13.999999999999993</v>
      </c>
      <c r="M16" s="2"/>
      <c r="N16" s="19">
        <f t="shared" si="1"/>
        <v>-0.20301624129930387</v>
      </c>
      <c r="O16" s="11"/>
      <c r="P16" s="2">
        <f>--74858.4</f>
        <v>74858.399999999994</v>
      </c>
      <c r="Q16" s="2"/>
      <c r="R16" s="19"/>
      <c r="S16" s="2"/>
      <c r="T16" s="2">
        <f>--3384.58</f>
        <v>3384.58</v>
      </c>
      <c r="U16" s="2"/>
      <c r="V16" s="19"/>
      <c r="W16" s="2"/>
      <c r="X16" s="2">
        <f t="shared" si="2"/>
        <v>71473.819999999992</v>
      </c>
      <c r="Y16" s="2"/>
      <c r="Z16" s="19">
        <f t="shared" si="3"/>
        <v>21.117485773714904</v>
      </c>
    </row>
    <row r="17" spans="1:26" s="24" customFormat="1" hidden="1" outlineLevel="1" x14ac:dyDescent="0.3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--2524.8</f>
        <v>2524.8000000000002</v>
      </c>
      <c r="E17" s="2"/>
      <c r="F17" s="19"/>
      <c r="G17" s="2"/>
      <c r="H17" s="2">
        <f>--1835.84</f>
        <v>1835.84</v>
      </c>
      <c r="I17" s="2"/>
      <c r="J17" s="19"/>
      <c r="K17" s="2"/>
      <c r="L17" s="2">
        <f t="shared" si="0"/>
        <v>688.96000000000026</v>
      </c>
      <c r="M17" s="2"/>
      <c r="N17" s="19">
        <f t="shared" si="1"/>
        <v>0.37528324908488775</v>
      </c>
      <c r="O17" s="11"/>
      <c r="P17" s="2">
        <f>--69264.33</f>
        <v>69264.33</v>
      </c>
      <c r="Q17" s="2"/>
      <c r="R17" s="19"/>
      <c r="S17" s="2"/>
      <c r="T17" s="2">
        <f>--81705.3</f>
        <v>81705.3</v>
      </c>
      <c r="U17" s="2"/>
      <c r="V17" s="19"/>
      <c r="W17" s="2"/>
      <c r="X17" s="2">
        <f t="shared" si="2"/>
        <v>-12440.970000000001</v>
      </c>
      <c r="Y17" s="2"/>
      <c r="Z17" s="19">
        <f t="shared" si="3"/>
        <v>-0.1522663768445866</v>
      </c>
    </row>
    <row r="18" spans="1:26" s="24" customFormat="1" hidden="1" outlineLevel="1" x14ac:dyDescent="0.35">
      <c r="A18" s="44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--26263.53</f>
        <v>26263.53</v>
      </c>
      <c r="E18" s="2"/>
      <c r="F18" s="19"/>
      <c r="G18" s="2"/>
      <c r="H18" s="2">
        <f>--25511.32</f>
        <v>25511.32</v>
      </c>
      <c r="I18" s="2"/>
      <c r="J18" s="19"/>
      <c r="K18" s="2"/>
      <c r="L18" s="2">
        <f t="shared" si="0"/>
        <v>752.20999999999913</v>
      </c>
      <c r="M18" s="2"/>
      <c r="N18" s="19">
        <f t="shared" si="1"/>
        <v>2.9485342193191068E-2</v>
      </c>
      <c r="O18" s="11"/>
      <c r="P18" s="2">
        <f>--122635.49</f>
        <v>122635.49</v>
      </c>
      <c r="Q18" s="2"/>
      <c r="R18" s="19"/>
      <c r="S18" s="2"/>
      <c r="T18" s="2">
        <f>--216834.59</f>
        <v>216834.59</v>
      </c>
      <c r="U18" s="2"/>
      <c r="V18" s="19"/>
      <c r="W18" s="2"/>
      <c r="X18" s="2">
        <f t="shared" si="2"/>
        <v>-94199.099999999991</v>
      </c>
      <c r="Y18" s="2"/>
      <c r="Z18" s="19">
        <f t="shared" si="3"/>
        <v>-0.43442838156034053</v>
      </c>
    </row>
    <row r="19" spans="1:26" s="24" customFormat="1" hidden="1" outlineLevel="1" x14ac:dyDescent="0.35">
      <c r="A19" s="44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--40740.37</f>
        <v>40740.370000000003</v>
      </c>
      <c r="E19" s="2"/>
      <c r="F19" s="19"/>
      <c r="G19" s="2"/>
      <c r="H19" s="2">
        <f>--6820.39</f>
        <v>6820.39</v>
      </c>
      <c r="I19" s="2"/>
      <c r="J19" s="19"/>
      <c r="K19" s="2"/>
      <c r="L19" s="2">
        <f t="shared" si="0"/>
        <v>33919.980000000003</v>
      </c>
      <c r="M19" s="2"/>
      <c r="N19" s="19">
        <f t="shared" si="1"/>
        <v>4.9733197075240572</v>
      </c>
      <c r="O19" s="11"/>
      <c r="P19" s="2">
        <f>--176221.13</f>
        <v>176221.13</v>
      </c>
      <c r="Q19" s="2"/>
      <c r="R19" s="19"/>
      <c r="S19" s="2"/>
      <c r="T19" s="2">
        <f>--62811.11</f>
        <v>62811.11</v>
      </c>
      <c r="U19" s="2"/>
      <c r="V19" s="19"/>
      <c r="W19" s="2"/>
      <c r="X19" s="2">
        <f t="shared" si="2"/>
        <v>113410.02</v>
      </c>
      <c r="Y19" s="2"/>
      <c r="Z19" s="19">
        <f t="shared" si="3"/>
        <v>1.8055726128705576</v>
      </c>
    </row>
    <row r="20" spans="1:26" s="24" customFormat="1" hidden="1" outlineLevel="1" x14ac:dyDescent="0.3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--6534.64</f>
        <v>6534.64</v>
      </c>
      <c r="E20" s="2"/>
      <c r="F20" s="19"/>
      <c r="G20" s="2"/>
      <c r="H20" s="2">
        <f>--377.75</f>
        <v>377.75</v>
      </c>
      <c r="I20" s="2"/>
      <c r="J20" s="19"/>
      <c r="K20" s="2"/>
      <c r="L20" s="2">
        <f t="shared" si="0"/>
        <v>6156.89</v>
      </c>
      <c r="M20" s="2"/>
      <c r="N20" s="19">
        <f t="shared" si="1"/>
        <v>16.298848444738585</v>
      </c>
      <c r="O20" s="11"/>
      <c r="P20" s="2">
        <f>--22573.35</f>
        <v>22573.35</v>
      </c>
      <c r="Q20" s="2"/>
      <c r="R20" s="19"/>
      <c r="S20" s="2"/>
      <c r="T20" s="2">
        <f>--4788.33</f>
        <v>4788.33</v>
      </c>
      <c r="U20" s="2"/>
      <c r="V20" s="19"/>
      <c r="W20" s="2"/>
      <c r="X20" s="2">
        <f t="shared" si="2"/>
        <v>17785.019999999997</v>
      </c>
      <c r="Y20" s="2"/>
      <c r="Z20" s="19">
        <f t="shared" si="3"/>
        <v>3.7142427526924831</v>
      </c>
    </row>
    <row r="21" spans="1:26" s="24" customFormat="1" hidden="1" outlineLevel="1" x14ac:dyDescent="0.3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--1018.52</f>
        <v>1018.52</v>
      </c>
      <c r="E21" s="2"/>
      <c r="F21" s="19"/>
      <c r="G21" s="2"/>
      <c r="H21" s="2">
        <f>--128.33</f>
        <v>128.33000000000001</v>
      </c>
      <c r="I21" s="2"/>
      <c r="J21" s="19"/>
      <c r="K21" s="2"/>
      <c r="L21" s="2">
        <f t="shared" si="0"/>
        <v>890.18999999999994</v>
      </c>
      <c r="M21" s="2"/>
      <c r="N21" s="19">
        <f t="shared" si="1"/>
        <v>6.936725629237122</v>
      </c>
      <c r="O21" s="11"/>
      <c r="P21" s="2">
        <f>--6834.86</f>
        <v>6834.86</v>
      </c>
      <c r="Q21" s="2"/>
      <c r="R21" s="19"/>
      <c r="S21" s="2"/>
      <c r="T21" s="2">
        <f>--6908.33</f>
        <v>6908.33</v>
      </c>
      <c r="U21" s="2"/>
      <c r="V21" s="19"/>
      <c r="W21" s="2"/>
      <c r="X21" s="2">
        <f t="shared" si="2"/>
        <v>-73.470000000000255</v>
      </c>
      <c r="Y21" s="2"/>
      <c r="Z21" s="19">
        <f t="shared" si="3"/>
        <v>-1.0634987037388233E-2</v>
      </c>
    </row>
    <row r="22" spans="1:26" s="24" customFormat="1" hidden="1" outlineLevel="1" x14ac:dyDescent="0.35">
      <c r="A22" s="44"/>
      <c r="B22" s="11" t="str">
        <f>CONCATENATE("          ", "4143", " - ", "NON-TAXABLE SALES-CARDS")</f>
        <v xml:space="preserve">          4143 - NON-TAXABLE SALES-CARDS</v>
      </c>
      <c r="C22" s="11"/>
      <c r="D22" s="2">
        <f>0</f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--19.98</f>
        <v>19.98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19.98</v>
      </c>
      <c r="Y22" s="2"/>
      <c r="Z22" s="19">
        <f t="shared" si="3"/>
        <v>0</v>
      </c>
    </row>
    <row r="23" spans="1:26" s="24" customFormat="1" hidden="1" outlineLevel="1" x14ac:dyDescent="0.35">
      <c r="A23" s="44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--386.9</f>
        <v>386.9</v>
      </c>
      <c r="E23" s="2"/>
      <c r="F23" s="19"/>
      <c r="G23" s="2"/>
      <c r="H23" s="2">
        <f>--19.95</f>
        <v>19.95</v>
      </c>
      <c r="I23" s="2"/>
      <c r="J23" s="19"/>
      <c r="K23" s="2"/>
      <c r="L23" s="2">
        <f t="shared" si="0"/>
        <v>366.95</v>
      </c>
      <c r="M23" s="2"/>
      <c r="N23" s="19">
        <f t="shared" si="1"/>
        <v>18.393483709273184</v>
      </c>
      <c r="O23" s="11"/>
      <c r="P23" s="2">
        <f>--3710.92</f>
        <v>3710.92</v>
      </c>
      <c r="Q23" s="2"/>
      <c r="R23" s="19"/>
      <c r="S23" s="2"/>
      <c r="T23" s="2">
        <f>--659.84</f>
        <v>659.84</v>
      </c>
      <c r="U23" s="2"/>
      <c r="V23" s="19"/>
      <c r="W23" s="2"/>
      <c r="X23" s="2">
        <f t="shared" si="2"/>
        <v>3051.08</v>
      </c>
      <c r="Y23" s="2"/>
      <c r="Z23" s="19">
        <f t="shared" si="3"/>
        <v>4.6239694471387001</v>
      </c>
    </row>
    <row r="24" spans="1:26" s="24" customFormat="1" hidden="1" outlineLevel="1" x14ac:dyDescent="0.35">
      <c r="A24" s="44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>--19379.5</f>
        <v>19379.5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19379.5</v>
      </c>
      <c r="M24" s="2"/>
      <c r="N24" s="19">
        <f t="shared" si="1"/>
        <v>0</v>
      </c>
      <c r="O24" s="11"/>
      <c r="P24" s="2">
        <f>--27208.18</f>
        <v>27208.18</v>
      </c>
      <c r="Q24" s="2"/>
      <c r="R24" s="19"/>
      <c r="S24" s="2"/>
      <c r="T24" s="2">
        <f>--2382.85</f>
        <v>2382.85</v>
      </c>
      <c r="U24" s="2"/>
      <c r="V24" s="19"/>
      <c r="W24" s="2"/>
      <c r="X24" s="2">
        <f t="shared" si="2"/>
        <v>24825.33</v>
      </c>
      <c r="Y24" s="2"/>
      <c r="Z24" s="19">
        <f t="shared" si="3"/>
        <v>10.418335186856076</v>
      </c>
    </row>
    <row r="25" spans="1:26" s="24" customFormat="1" hidden="1" outlineLevel="1" x14ac:dyDescent="0.35">
      <c r="A25" s="44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-2702.34</f>
        <v>-2702.34</v>
      </c>
      <c r="E25" s="2"/>
      <c r="F25" s="19"/>
      <c r="G25" s="2"/>
      <c r="H25" s="2">
        <f>-3059.78</f>
        <v>-3059.78</v>
      </c>
      <c r="I25" s="2"/>
      <c r="J25" s="19"/>
      <c r="K25" s="2"/>
      <c r="L25" s="2">
        <f t="shared" si="0"/>
        <v>357.44000000000005</v>
      </c>
      <c r="M25" s="2"/>
      <c r="N25" s="19">
        <f t="shared" si="1"/>
        <v>-0.11681885625763945</v>
      </c>
      <c r="O25" s="11"/>
      <c r="P25" s="2">
        <f>-64264.92</f>
        <v>-64264.92</v>
      </c>
      <c r="Q25" s="2"/>
      <c r="R25" s="19"/>
      <c r="S25" s="2"/>
      <c r="T25" s="2">
        <f>-76773.14</f>
        <v>-76773.14</v>
      </c>
      <c r="U25" s="2"/>
      <c r="V25" s="19"/>
      <c r="W25" s="2"/>
      <c r="X25" s="2">
        <f t="shared" si="2"/>
        <v>12508.220000000001</v>
      </c>
      <c r="Y25" s="2"/>
      <c r="Z25" s="19">
        <f t="shared" si="3"/>
        <v>-0.16292442903859347</v>
      </c>
    </row>
    <row r="26" spans="1:26" s="24" customFormat="1" hidden="1" outlineLevel="1" x14ac:dyDescent="0.3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-525.51</f>
        <v>-525.51</v>
      </c>
      <c r="E26" s="2"/>
      <c r="F26" s="19"/>
      <c r="G26" s="2"/>
      <c r="H26" s="2">
        <f>-735.68</f>
        <v>-735.68</v>
      </c>
      <c r="I26" s="2"/>
      <c r="J26" s="19"/>
      <c r="K26" s="2"/>
      <c r="L26" s="2">
        <f t="shared" si="0"/>
        <v>210.16999999999996</v>
      </c>
      <c r="M26" s="2"/>
      <c r="N26" s="19">
        <f t="shared" si="1"/>
        <v>-0.28568127446715957</v>
      </c>
      <c r="O26" s="11"/>
      <c r="P26" s="2">
        <f>-5671.27</f>
        <v>-5671.27</v>
      </c>
      <c r="Q26" s="2"/>
      <c r="R26" s="19"/>
      <c r="S26" s="2"/>
      <c r="T26" s="2">
        <f>-13782.98</f>
        <v>-13782.98</v>
      </c>
      <c r="U26" s="2"/>
      <c r="V26" s="19"/>
      <c r="W26" s="2"/>
      <c r="X26" s="2">
        <f t="shared" si="2"/>
        <v>8111.7099999999991</v>
      </c>
      <c r="Y26" s="2"/>
      <c r="Z26" s="19">
        <f t="shared" si="3"/>
        <v>-0.58853092727407275</v>
      </c>
    </row>
    <row r="27" spans="1:26" s="24" customFormat="1" hidden="1" outlineLevel="1" x14ac:dyDescent="0.3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-51.44</f>
        <v>-51.44</v>
      </c>
      <c r="E27" s="2"/>
      <c r="F27" s="19"/>
      <c r="G27" s="2"/>
      <c r="H27" s="2">
        <f>-199.83</f>
        <v>-199.83</v>
      </c>
      <c r="I27" s="2"/>
      <c r="J27" s="19"/>
      <c r="K27" s="2"/>
      <c r="L27" s="2">
        <f t="shared" si="0"/>
        <v>148.39000000000001</v>
      </c>
      <c r="M27" s="2"/>
      <c r="N27" s="19">
        <f t="shared" si="1"/>
        <v>-0.74258119401491274</v>
      </c>
      <c r="O27" s="11"/>
      <c r="P27" s="2">
        <f>-3154.84</f>
        <v>-3154.84</v>
      </c>
      <c r="Q27" s="2"/>
      <c r="R27" s="19"/>
      <c r="S27" s="2"/>
      <c r="T27" s="2">
        <f>-4732.4</f>
        <v>-4732.3999999999996</v>
      </c>
      <c r="U27" s="2"/>
      <c r="V27" s="19"/>
      <c r="W27" s="2"/>
      <c r="X27" s="2">
        <f t="shared" si="2"/>
        <v>1577.5599999999995</v>
      </c>
      <c r="Y27" s="2"/>
      <c r="Z27" s="19">
        <f t="shared" si="3"/>
        <v>-0.33335305553207667</v>
      </c>
    </row>
    <row r="28" spans="1:26" s="24" customFormat="1" hidden="1" outlineLevel="1" x14ac:dyDescent="0.35">
      <c r="A28" s="44"/>
      <c r="B28" s="11" t="str">
        <f>CONCATENATE("          ", "4243", " - ", "SALES RETURN TAXABLE-CARDS")</f>
        <v xml:space="preserve">          4243 - SALES RETURN TAXABLE-CARDS</v>
      </c>
      <c r="C28" s="11"/>
      <c r="D28" s="2">
        <f>-19.99</f>
        <v>-19.989999999999998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-19.989999999999998</v>
      </c>
      <c r="M28" s="2"/>
      <c r="N28" s="19">
        <f t="shared" si="1"/>
        <v>0</v>
      </c>
      <c r="O28" s="11"/>
      <c r="P28" s="2">
        <f>-3026.3</f>
        <v>-3026.3</v>
      </c>
      <c r="Q28" s="2"/>
      <c r="R28" s="19"/>
      <c r="S28" s="2"/>
      <c r="T28" s="2">
        <f>-25.94</f>
        <v>-25.94</v>
      </c>
      <c r="U28" s="2"/>
      <c r="V28" s="19"/>
      <c r="W28" s="2"/>
      <c r="X28" s="2">
        <f t="shared" si="2"/>
        <v>-3000.36</v>
      </c>
      <c r="Y28" s="2"/>
      <c r="Z28" s="19">
        <f t="shared" si="3"/>
        <v>115.66538164996145</v>
      </c>
    </row>
    <row r="29" spans="1:26" s="24" customFormat="1" hidden="1" outlineLevel="1" x14ac:dyDescent="0.35">
      <c r="A29" s="44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>0</f>
        <v>0</v>
      </c>
      <c r="E29" s="2"/>
      <c r="F29" s="19"/>
      <c r="G29" s="2"/>
      <c r="H29" s="2">
        <f>-9.95</f>
        <v>-9.9499999999999993</v>
      </c>
      <c r="I29" s="2"/>
      <c r="J29" s="19"/>
      <c r="K29" s="2"/>
      <c r="L29" s="2">
        <f t="shared" si="0"/>
        <v>9.9499999999999993</v>
      </c>
      <c r="M29" s="2"/>
      <c r="N29" s="19">
        <f t="shared" si="1"/>
        <v>-1</v>
      </c>
      <c r="O29" s="11"/>
      <c r="P29" s="2">
        <f>-2595.61</f>
        <v>-2595.61</v>
      </c>
      <c r="Q29" s="2"/>
      <c r="R29" s="19"/>
      <c r="S29" s="2"/>
      <c r="T29" s="2">
        <f>-3756.12</f>
        <v>-3756.12</v>
      </c>
      <c r="U29" s="2"/>
      <c r="V29" s="19"/>
      <c r="W29" s="2"/>
      <c r="X29" s="2">
        <f t="shared" si="2"/>
        <v>1160.5099999999998</v>
      </c>
      <c r="Y29" s="2"/>
      <c r="Z29" s="19">
        <f t="shared" si="3"/>
        <v>-0.30896510228640189</v>
      </c>
    </row>
    <row r="30" spans="1:26" s="24" customFormat="1" hidden="1" outlineLevel="1" x14ac:dyDescent="0.35">
      <c r="A30" s="44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>-2187.5</f>
        <v>-2187.5</v>
      </c>
      <c r="E30" s="2"/>
      <c r="F30" s="19"/>
      <c r="G30" s="2"/>
      <c r="H30" s="2">
        <f>-937.5</f>
        <v>-937.5</v>
      </c>
      <c r="I30" s="2"/>
      <c r="J30" s="19"/>
      <c r="K30" s="2"/>
      <c r="L30" s="2">
        <f t="shared" si="0"/>
        <v>-1250</v>
      </c>
      <c r="M30" s="2"/>
      <c r="N30" s="19">
        <f t="shared" si="1"/>
        <v>1.3333333333333333</v>
      </c>
      <c r="O30" s="11"/>
      <c r="P30" s="2">
        <f>-4087.54</f>
        <v>-4087.54</v>
      </c>
      <c r="Q30" s="2"/>
      <c r="R30" s="19"/>
      <c r="S30" s="2"/>
      <c r="T30" s="2">
        <f>-2712.32</f>
        <v>-2712.32</v>
      </c>
      <c r="U30" s="2"/>
      <c r="V30" s="19"/>
      <c r="W30" s="2"/>
      <c r="X30" s="2">
        <f t="shared" si="2"/>
        <v>-1375.2199999999998</v>
      </c>
      <c r="Y30" s="2"/>
      <c r="Z30" s="19">
        <f t="shared" si="3"/>
        <v>0.50702719443133548</v>
      </c>
    </row>
    <row r="31" spans="1:26" s="24" customFormat="1" hidden="1" outlineLevel="1" x14ac:dyDescent="0.35">
      <c r="A31" s="44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>-1045.65</f>
        <v>-1045.6500000000001</v>
      </c>
      <c r="E31" s="2"/>
      <c r="F31" s="19"/>
      <c r="G31" s="2"/>
      <c r="H31" s="2">
        <f>-96.85</f>
        <v>-96.85</v>
      </c>
      <c r="I31" s="2"/>
      <c r="J31" s="19"/>
      <c r="K31" s="2"/>
      <c r="L31" s="2">
        <f t="shared" si="0"/>
        <v>-948.80000000000007</v>
      </c>
      <c r="M31" s="2"/>
      <c r="N31" s="19">
        <f t="shared" si="1"/>
        <v>9.796592669075892</v>
      </c>
      <c r="O31" s="11"/>
      <c r="P31" s="2">
        <f>-2664.48</f>
        <v>-2664.48</v>
      </c>
      <c r="Q31" s="2"/>
      <c r="R31" s="19"/>
      <c r="S31" s="2"/>
      <c r="T31" s="2">
        <f>-1132.72</f>
        <v>-1132.72</v>
      </c>
      <c r="U31" s="2"/>
      <c r="V31" s="19"/>
      <c r="W31" s="2"/>
      <c r="X31" s="2">
        <f t="shared" si="2"/>
        <v>-1531.76</v>
      </c>
      <c r="Y31" s="2"/>
      <c r="Z31" s="19">
        <f t="shared" si="3"/>
        <v>1.3522847658732962</v>
      </c>
    </row>
    <row r="32" spans="1:26" s="24" customFormat="1" hidden="1" outlineLevel="1" x14ac:dyDescent="0.35">
      <c r="A32" s="44"/>
      <c r="B32" s="11" t="str">
        <f>CONCATENATE("          ", "4341", " - ", "SALES RETURN NON TAXABLE-LOGO")</f>
        <v xml:space="preserve">          4341 - SALES RETURN NON TAXABLE-LOGO</v>
      </c>
      <c r="C32" s="11"/>
      <c r="D32" s="2">
        <f>-9.9</f>
        <v>-9.9</v>
      </c>
      <c r="E32" s="2"/>
      <c r="F32" s="19"/>
      <c r="G32" s="2"/>
      <c r="H32" s="2">
        <f>-42.95</f>
        <v>-42.95</v>
      </c>
      <c r="I32" s="2"/>
      <c r="J32" s="19"/>
      <c r="K32" s="2"/>
      <c r="L32" s="2">
        <f t="shared" si="0"/>
        <v>33.050000000000004</v>
      </c>
      <c r="M32" s="2"/>
      <c r="N32" s="19">
        <f t="shared" si="1"/>
        <v>-0.76949941792782306</v>
      </c>
      <c r="O32" s="11"/>
      <c r="P32" s="2">
        <f>-295.35</f>
        <v>-295.35000000000002</v>
      </c>
      <c r="Q32" s="2"/>
      <c r="R32" s="19"/>
      <c r="S32" s="2"/>
      <c r="T32" s="2">
        <f>-211.45</f>
        <v>-211.45</v>
      </c>
      <c r="U32" s="2"/>
      <c r="V32" s="19"/>
      <c r="W32" s="2"/>
      <c r="X32" s="2">
        <f t="shared" si="2"/>
        <v>-83.900000000000034</v>
      </c>
      <c r="Y32" s="2"/>
      <c r="Z32" s="19">
        <f t="shared" si="3"/>
        <v>0.39678410971860978</v>
      </c>
    </row>
    <row r="33" spans="1:26" s="24" customFormat="1" hidden="1" outlineLevel="1" x14ac:dyDescent="0.35">
      <c r="A33" s="44"/>
      <c r="B33" s="11" t="str">
        <f>CONCATENATE("          ", "4342", " - ", "SALES RETURN NON TAXABLE-EVERY")</f>
        <v xml:space="preserve">          4342 - SALES RETURN NON TAXABLE-EVERY</v>
      </c>
      <c r="C33" s="11"/>
      <c r="D33" s="2">
        <f>-36.8</f>
        <v>-36.799999999999997</v>
      </c>
      <c r="E33" s="2"/>
      <c r="F33" s="19"/>
      <c r="G33" s="2"/>
      <c r="H33" s="2">
        <f>-24.95</f>
        <v>-24.95</v>
      </c>
      <c r="I33" s="2"/>
      <c r="J33" s="19"/>
      <c r="K33" s="2"/>
      <c r="L33" s="2">
        <f t="shared" si="0"/>
        <v>-11.849999999999998</v>
      </c>
      <c r="M33" s="2"/>
      <c r="N33" s="19">
        <f t="shared" si="1"/>
        <v>0.47494989979959912</v>
      </c>
      <c r="O33" s="11"/>
      <c r="P33" s="2">
        <f>-146.6</f>
        <v>-146.6</v>
      </c>
      <c r="Q33" s="2"/>
      <c r="R33" s="19"/>
      <c r="S33" s="2"/>
      <c r="T33" s="2">
        <f>-128.55</f>
        <v>-128.55000000000001</v>
      </c>
      <c r="U33" s="2"/>
      <c r="V33" s="19"/>
      <c r="W33" s="2"/>
      <c r="X33" s="2">
        <f t="shared" si="2"/>
        <v>-18.049999999999983</v>
      </c>
      <c r="Y33" s="2"/>
      <c r="Z33" s="19">
        <f t="shared" si="3"/>
        <v>0.14041229093737831</v>
      </c>
    </row>
    <row r="34" spans="1:26" x14ac:dyDescent="0.3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5">
      <c r="A35" s="10"/>
      <c r="B35" s="29" t="s">
        <v>8</v>
      </c>
      <c r="C35" s="10"/>
      <c r="D35" s="4">
        <f>SUM(OSRRefD16x_0)</f>
        <v>104924.83</v>
      </c>
      <c r="E35" s="4"/>
      <c r="F35" s="13">
        <f t="shared" ref="F35:F51" si="4">IF(D$12=0,0,D35/D$12)</f>
        <v>0.6216393282172693</v>
      </c>
      <c r="G35" s="4"/>
      <c r="H35" s="4">
        <f>SUM(OSRRefH16x_0)</f>
        <v>120849.42</v>
      </c>
      <c r="I35" s="4"/>
      <c r="J35" s="13">
        <f t="shared" ref="J35:J51" si="5">IF(H$12=0,0,H35/H$12)</f>
        <v>0.80104589189745978</v>
      </c>
      <c r="K35" s="4"/>
      <c r="L35" s="4">
        <f t="shared" ref="L35:L51" si="6">+D35-H35</f>
        <v>-15924.589999999997</v>
      </c>
      <c r="M35" s="4"/>
      <c r="N35" s="13">
        <f t="shared" ref="N35:N51" si="7">IF(H35=0,0,L35/H35)</f>
        <v>-0.13177216737986824</v>
      </c>
      <c r="O35" s="10"/>
      <c r="P35" s="4">
        <f>SUM(OSRRefP16x_0)</f>
        <v>1202402.33</v>
      </c>
      <c r="Q35" s="4"/>
      <c r="R35" s="13">
        <f t="shared" ref="R35:R51" si="8">IF(P$12=0,0,P35/P$12)</f>
        <v>0.47973275091400597</v>
      </c>
      <c r="S35" s="4"/>
      <c r="T35" s="4">
        <f>SUM(OSRRefT16x_0)</f>
        <v>1480424.35</v>
      </c>
      <c r="U35" s="4"/>
      <c r="V35" s="13">
        <f t="shared" ref="V35:V51" si="9">IF(T$12=0,0,T35/T$12)</f>
        <v>0.46754649970962325</v>
      </c>
      <c r="W35" s="4"/>
      <c r="X35" s="4">
        <f t="shared" ref="X35:X51" si="10">+P35-T35</f>
        <v>-278022.02</v>
      </c>
      <c r="Y35" s="4"/>
      <c r="Z35" s="13">
        <f t="shared" ref="Z35:Z51" si="11">IF(T35=0,0,X35/T35)</f>
        <v>-0.18779886996589862</v>
      </c>
    </row>
    <row r="36" spans="1:26" s="24" customFormat="1" hidden="1" outlineLevel="1" x14ac:dyDescent="0.3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4"/>
        <v>0</v>
      </c>
      <c r="G36" s="2"/>
      <c r="H36" s="2">
        <v>-1000</v>
      </c>
      <c r="I36" s="2"/>
      <c r="J36" s="19">
        <f t="shared" si="5"/>
        <v>-6.6284628581375054E-3</v>
      </c>
      <c r="K36" s="2"/>
      <c r="L36" s="2">
        <f t="shared" si="6"/>
        <v>1000</v>
      </c>
      <c r="M36" s="2"/>
      <c r="N36" s="19">
        <f t="shared" si="7"/>
        <v>-1</v>
      </c>
      <c r="O36" s="11"/>
      <c r="P36" s="2">
        <v>0</v>
      </c>
      <c r="Q36" s="2"/>
      <c r="R36" s="19">
        <f t="shared" si="8"/>
        <v>0</v>
      </c>
      <c r="S36" s="2"/>
      <c r="T36" s="2">
        <v>0</v>
      </c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5">
      <c r="A37" s="44"/>
      <c r="B37" s="11" t="str">
        <f>CONCATENATE("          ", "5040", " - ", "PURCHASES @ COST-LOGO CLOTHING")</f>
        <v xml:space="preserve">          5040 - PURCHASES @ COST-LOGO CLOTHING</v>
      </c>
      <c r="C37" s="11"/>
      <c r="D37" s="2">
        <v>26085.52</v>
      </c>
      <c r="E37" s="2"/>
      <c r="F37" s="19">
        <f t="shared" si="4"/>
        <v>0.15454668955859299</v>
      </c>
      <c r="G37" s="2"/>
      <c r="H37" s="2">
        <v>22992.15</v>
      </c>
      <c r="I37" s="2"/>
      <c r="J37" s="19">
        <f t="shared" si="5"/>
        <v>0.15240261230372623</v>
      </c>
      <c r="K37" s="2"/>
      <c r="L37" s="2">
        <f t="shared" si="6"/>
        <v>3093.369999999999</v>
      </c>
      <c r="M37" s="2"/>
      <c r="N37" s="19">
        <f t="shared" si="7"/>
        <v>0.1345402670041731</v>
      </c>
      <c r="O37" s="11"/>
      <c r="P37" s="2">
        <v>838896.02</v>
      </c>
      <c r="Q37" s="2"/>
      <c r="R37" s="19">
        <f t="shared" si="8"/>
        <v>0.33470152657256658</v>
      </c>
      <c r="S37" s="2"/>
      <c r="T37" s="2">
        <v>885489.95</v>
      </c>
      <c r="U37" s="2"/>
      <c r="V37" s="19">
        <f t="shared" si="9"/>
        <v>0.27965476699336189</v>
      </c>
      <c r="W37" s="2"/>
      <c r="X37" s="2">
        <f t="shared" si="10"/>
        <v>-46593.929999999935</v>
      </c>
      <c r="Y37" s="2"/>
      <c r="Z37" s="19">
        <f t="shared" si="11"/>
        <v>-5.2619377554764951E-2</v>
      </c>
    </row>
    <row r="38" spans="1:26" s="24" customFormat="1" hidden="1" outlineLevel="1" x14ac:dyDescent="0.35">
      <c r="A38" s="44"/>
      <c r="B38" s="11" t="str">
        <f>CONCATENATE("          ", "5041", " - ", "PURCHASES @ COST-LOGO GIFTS")</f>
        <v xml:space="preserve">          5041 - PURCHASES @ COST-LOGO GIFTS</v>
      </c>
      <c r="C38" s="11"/>
      <c r="D38" s="2">
        <v>19462.47</v>
      </c>
      <c r="E38" s="2"/>
      <c r="F38" s="19">
        <f t="shared" si="4"/>
        <v>0.11530766145867244</v>
      </c>
      <c r="G38" s="2"/>
      <c r="H38" s="2">
        <v>39121.35</v>
      </c>
      <c r="I38" s="2"/>
      <c r="J38" s="19">
        <f t="shared" si="5"/>
        <v>0.25931441543519768</v>
      </c>
      <c r="K38" s="2"/>
      <c r="L38" s="2">
        <f t="shared" si="6"/>
        <v>-19658.879999999997</v>
      </c>
      <c r="M38" s="2"/>
      <c r="N38" s="19">
        <f t="shared" si="7"/>
        <v>-0.50251026613345395</v>
      </c>
      <c r="O38" s="11"/>
      <c r="P38" s="2">
        <v>144446.13</v>
      </c>
      <c r="Q38" s="2"/>
      <c r="R38" s="19">
        <f t="shared" si="8"/>
        <v>5.7630909035066596E-2</v>
      </c>
      <c r="S38" s="2"/>
      <c r="T38" s="2">
        <v>293141.40000000002</v>
      </c>
      <c r="U38" s="2"/>
      <c r="V38" s="19">
        <f t="shared" si="9"/>
        <v>9.2579695470409243E-2</v>
      </c>
      <c r="W38" s="2"/>
      <c r="X38" s="2">
        <f t="shared" si="10"/>
        <v>-148695.27000000002</v>
      </c>
      <c r="Y38" s="2"/>
      <c r="Z38" s="19">
        <f t="shared" si="11"/>
        <v>-0.50724759450558676</v>
      </c>
    </row>
    <row r="39" spans="1:26" s="24" customFormat="1" hidden="1" outlineLevel="1" x14ac:dyDescent="0.35">
      <c r="A39" s="44"/>
      <c r="B39" s="11" t="str">
        <f>CONCATENATE("          ", "5042", " - ", "PURCHASES @ COST-EVERYDAY GIFT")</f>
        <v xml:space="preserve">          5042 - PURCHASES @ COST-EVERYDAY GIFT</v>
      </c>
      <c r="C39" s="11"/>
      <c r="D39" s="2">
        <v>-124.42</v>
      </c>
      <c r="E39" s="2"/>
      <c r="F39" s="19">
        <f t="shared" si="4"/>
        <v>-7.3714072461964104E-4</v>
      </c>
      <c r="G39" s="2"/>
      <c r="H39" s="2">
        <v>1325.86</v>
      </c>
      <c r="I39" s="2"/>
      <c r="J39" s="19">
        <f t="shared" si="5"/>
        <v>8.788413765090191E-3</v>
      </c>
      <c r="K39" s="2"/>
      <c r="L39" s="2">
        <f t="shared" si="6"/>
        <v>-1450.28</v>
      </c>
      <c r="M39" s="2"/>
      <c r="N39" s="19">
        <f t="shared" si="7"/>
        <v>-1.0938409786855325</v>
      </c>
      <c r="O39" s="11"/>
      <c r="P39" s="2">
        <v>106138.08</v>
      </c>
      <c r="Q39" s="2"/>
      <c r="R39" s="19">
        <f t="shared" si="8"/>
        <v>4.2346818385765136E-2</v>
      </c>
      <c r="S39" s="2"/>
      <c r="T39" s="2">
        <v>129922.13</v>
      </c>
      <c r="U39" s="2"/>
      <c r="V39" s="19">
        <f t="shared" si="9"/>
        <v>4.1031908936325336E-2</v>
      </c>
      <c r="W39" s="2"/>
      <c r="X39" s="2">
        <f t="shared" si="10"/>
        <v>-23784.050000000003</v>
      </c>
      <c r="Y39" s="2"/>
      <c r="Z39" s="19">
        <f t="shared" si="11"/>
        <v>-0.18306388603696694</v>
      </c>
    </row>
    <row r="40" spans="1:26" s="24" customFormat="1" hidden="1" outlineLevel="1" x14ac:dyDescent="0.35">
      <c r="A40" s="44"/>
      <c r="B40" s="11" t="str">
        <f>CONCATENATE("          ", "5043", " - ", "PURCHASES @ COST-CARDS")</f>
        <v xml:space="preserve">          5043 - PURCHASES @ COST-CARDS</v>
      </c>
      <c r="C40" s="11"/>
      <c r="D40" s="2">
        <v>6.51</v>
      </c>
      <c r="E40" s="2"/>
      <c r="F40" s="19">
        <f t="shared" si="4"/>
        <v>3.8569250259394496E-5</v>
      </c>
      <c r="G40" s="2"/>
      <c r="H40" s="2">
        <v>238.47</v>
      </c>
      <c r="I40" s="2"/>
      <c r="J40" s="19">
        <f t="shared" si="5"/>
        <v>1.5806895377800509E-3</v>
      </c>
      <c r="K40" s="2"/>
      <c r="L40" s="2">
        <f t="shared" si="6"/>
        <v>-231.96</v>
      </c>
      <c r="M40" s="2"/>
      <c r="N40" s="19">
        <f t="shared" si="7"/>
        <v>-0.97270096867530509</v>
      </c>
      <c r="O40" s="11"/>
      <c r="P40" s="2">
        <v>30766.700000000004</v>
      </c>
      <c r="Q40" s="2"/>
      <c r="R40" s="19">
        <f t="shared" si="8"/>
        <v>1.2275253681141777E-2</v>
      </c>
      <c r="S40" s="2"/>
      <c r="T40" s="2">
        <v>3378.54</v>
      </c>
      <c r="U40" s="2"/>
      <c r="V40" s="19">
        <f t="shared" si="9"/>
        <v>1.0670079502062705E-3</v>
      </c>
      <c r="W40" s="2"/>
      <c r="X40" s="2">
        <f t="shared" si="10"/>
        <v>27388.160000000003</v>
      </c>
      <c r="Y40" s="2"/>
      <c r="Z40" s="19">
        <f t="shared" si="11"/>
        <v>8.1065075446790633</v>
      </c>
    </row>
    <row r="41" spans="1:26" s="24" customFormat="1" hidden="1" outlineLevel="1" x14ac:dyDescent="0.35">
      <c r="A41" s="44"/>
      <c r="B41" s="11" t="str">
        <f>CONCATENATE("          ", "5044", " - ", "PURCHASES @ COST-ACCESSORIES")</f>
        <v xml:space="preserve">          5044 - PURCHASES @ COST-ACCESSORIES</v>
      </c>
      <c r="C41" s="11"/>
      <c r="D41" s="2">
        <v>1263.75</v>
      </c>
      <c r="E41" s="2"/>
      <c r="F41" s="19">
        <f t="shared" si="4"/>
        <v>7.4872334892948991E-3</v>
      </c>
      <c r="G41" s="2"/>
      <c r="H41" s="2">
        <v>14.17</v>
      </c>
      <c r="I41" s="2"/>
      <c r="J41" s="19">
        <f t="shared" si="5"/>
        <v>9.3925318699808439E-5</v>
      </c>
      <c r="K41" s="2"/>
      <c r="L41" s="2">
        <f t="shared" si="6"/>
        <v>1249.58</v>
      </c>
      <c r="M41" s="2"/>
      <c r="N41" s="19">
        <f t="shared" si="7"/>
        <v>88.184897671136198</v>
      </c>
      <c r="O41" s="11"/>
      <c r="P41" s="2">
        <v>43605.630000000005</v>
      </c>
      <c r="Q41" s="2"/>
      <c r="R41" s="19">
        <f t="shared" si="8"/>
        <v>1.7397711492490461E-2</v>
      </c>
      <c r="S41" s="2"/>
      <c r="T41" s="2">
        <v>35773.85</v>
      </c>
      <c r="U41" s="2"/>
      <c r="V41" s="19">
        <f t="shared" si="9"/>
        <v>1.1298070278725895E-2</v>
      </c>
      <c r="W41" s="2"/>
      <c r="X41" s="2">
        <f t="shared" si="10"/>
        <v>7831.7800000000061</v>
      </c>
      <c r="Y41" s="2"/>
      <c r="Z41" s="19">
        <f t="shared" si="11"/>
        <v>0.21892471735639318</v>
      </c>
    </row>
    <row r="42" spans="1:26" s="24" customFormat="1" hidden="1" outlineLevel="1" x14ac:dyDescent="0.35">
      <c r="A42" s="44"/>
      <c r="B42" s="11" t="str">
        <f>CONCATENATE("          ", "5045", " - ", "PURCHASES @ COST-SPECIAL ORDER")</f>
        <v xml:space="preserve">          5045 - PURCHASES @ COST-SPECIAL ORDER</v>
      </c>
      <c r="C42" s="11"/>
      <c r="D42" s="2">
        <v>52772.409999999996</v>
      </c>
      <c r="E42" s="2"/>
      <c r="F42" s="19">
        <f t="shared" si="4"/>
        <v>0.31265626545028763</v>
      </c>
      <c r="G42" s="2"/>
      <c r="H42" s="2">
        <v>35608.67</v>
      </c>
      <c r="I42" s="2"/>
      <c r="J42" s="19">
        <f t="shared" si="5"/>
        <v>0.23603074652267522</v>
      </c>
      <c r="K42" s="2"/>
      <c r="L42" s="2">
        <f t="shared" si="6"/>
        <v>17163.739999999998</v>
      </c>
      <c r="M42" s="2"/>
      <c r="N42" s="19">
        <f t="shared" si="7"/>
        <v>0.48201013966542416</v>
      </c>
      <c r="O42" s="11"/>
      <c r="P42" s="2">
        <v>132613.01</v>
      </c>
      <c r="Q42" s="2"/>
      <c r="R42" s="19">
        <f t="shared" si="8"/>
        <v>5.2909747849778858E-2</v>
      </c>
      <c r="S42" s="2"/>
      <c r="T42" s="2">
        <v>156366.49</v>
      </c>
      <c r="U42" s="2"/>
      <c r="V42" s="19">
        <f t="shared" si="9"/>
        <v>4.938354673197573E-2</v>
      </c>
      <c r="W42" s="2"/>
      <c r="X42" s="2">
        <f t="shared" si="10"/>
        <v>-23753.479999999981</v>
      </c>
      <c r="Y42" s="2"/>
      <c r="Z42" s="19">
        <f t="shared" si="11"/>
        <v>-0.15190901835808929</v>
      </c>
    </row>
    <row r="43" spans="1:26" s="24" customFormat="1" hidden="1" outlineLevel="1" x14ac:dyDescent="0.35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-100202</v>
      </c>
      <c r="E43" s="2"/>
      <c r="F43" s="19">
        <f t="shared" si="4"/>
        <v>-0.59365837396188126</v>
      </c>
      <c r="G43" s="2"/>
      <c r="H43" s="2">
        <v>-74286</v>
      </c>
      <c r="I43" s="2"/>
      <c r="J43" s="19">
        <f t="shared" si="5"/>
        <v>-0.49240199187960271</v>
      </c>
      <c r="K43" s="2"/>
      <c r="L43" s="2">
        <f t="shared" si="6"/>
        <v>-25916</v>
      </c>
      <c r="M43" s="2"/>
      <c r="N43" s="19">
        <f t="shared" si="7"/>
        <v>0.34886788896965781</v>
      </c>
      <c r="O43" s="11"/>
      <c r="P43" s="2">
        <v>-1341591</v>
      </c>
      <c r="Q43" s="2"/>
      <c r="R43" s="19">
        <f t="shared" si="8"/>
        <v>-0.53526604612573581</v>
      </c>
      <c r="S43" s="2"/>
      <c r="T43" s="2">
        <v>-1554421</v>
      </c>
      <c r="U43" s="2"/>
      <c r="V43" s="19">
        <f t="shared" si="9"/>
        <v>-0.49091606580581587</v>
      </c>
      <c r="W43" s="2"/>
      <c r="X43" s="2">
        <f t="shared" si="10"/>
        <v>212830</v>
      </c>
      <c r="Y43" s="2"/>
      <c r="Z43" s="19">
        <f t="shared" si="11"/>
        <v>-0.13691914867336455</v>
      </c>
    </row>
    <row r="44" spans="1:26" s="24" customFormat="1" hidden="1" outlineLevel="1" x14ac:dyDescent="0.35">
      <c r="A44" s="44"/>
      <c r="B44" s="11" t="str">
        <f>CONCATENATE("          ", "5300", " - ", "COG$ OFFSET")</f>
        <v xml:space="preserve">          5300 - COG$ OFFSET</v>
      </c>
      <c r="C44" s="11"/>
      <c r="D44" s="2">
        <v>104927</v>
      </c>
      <c r="E44" s="2"/>
      <c r="F44" s="19">
        <f t="shared" si="4"/>
        <v>0.6216521846340225</v>
      </c>
      <c r="G44" s="2"/>
      <c r="H44" s="2">
        <v>90780</v>
      </c>
      <c r="I44" s="2"/>
      <c r="J44" s="19">
        <f t="shared" si="5"/>
        <v>0.60173185826172271</v>
      </c>
      <c r="K44" s="2"/>
      <c r="L44" s="2">
        <f t="shared" si="6"/>
        <v>14147</v>
      </c>
      <c r="M44" s="2"/>
      <c r="N44" s="19">
        <f t="shared" si="7"/>
        <v>0.15583829037232871</v>
      </c>
      <c r="O44" s="11"/>
      <c r="P44" s="2">
        <v>1202377</v>
      </c>
      <c r="Q44" s="2"/>
      <c r="R44" s="19">
        <f t="shared" si="8"/>
        <v>0.47972264478706533</v>
      </c>
      <c r="S44" s="2"/>
      <c r="T44" s="2">
        <v>1480410</v>
      </c>
      <c r="U44" s="2"/>
      <c r="V44" s="19">
        <f t="shared" si="9"/>
        <v>0.46754196770346507</v>
      </c>
      <c r="W44" s="2"/>
      <c r="X44" s="2">
        <f t="shared" si="10"/>
        <v>-278033</v>
      </c>
      <c r="Y44" s="2"/>
      <c r="Z44" s="19">
        <f t="shared" si="11"/>
        <v>-0.18780810721354219</v>
      </c>
    </row>
    <row r="45" spans="1:26" s="24" customFormat="1" hidden="1" outlineLevel="1" x14ac:dyDescent="0.3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29.23</v>
      </c>
      <c r="Q45" s="2"/>
      <c r="R45" s="19">
        <f t="shared" si="8"/>
        <v>1.1662143327031305E-5</v>
      </c>
      <c r="S45" s="2"/>
      <c r="T45" s="2">
        <v>14.08</v>
      </c>
      <c r="U45" s="2"/>
      <c r="V45" s="19">
        <f t="shared" si="9"/>
        <v>4.4467349621150818E-6</v>
      </c>
      <c r="W45" s="2"/>
      <c r="X45" s="2">
        <f t="shared" si="10"/>
        <v>15.15</v>
      </c>
      <c r="Y45" s="2"/>
      <c r="Z45" s="19">
        <f t="shared" si="11"/>
        <v>1.0759943181818181</v>
      </c>
    </row>
    <row r="46" spans="1:26" s="24" customFormat="1" hidden="1" outlineLevel="1" x14ac:dyDescent="0.35">
      <c r="A46" s="44"/>
      <c r="B46" s="11" t="str">
        <f>CONCATENATE("          ", "5540", " - ", "FREIGHT-IN-LOGO CLOTHING")</f>
        <v xml:space="preserve">          5540 - FREIGHT-IN-LOGO CLOTHING</v>
      </c>
      <c r="C46" s="11"/>
      <c r="D46" s="2">
        <v>29.98</v>
      </c>
      <c r="E46" s="2"/>
      <c r="F46" s="19">
        <f t="shared" si="4"/>
        <v>1.7761998813773378E-4</v>
      </c>
      <c r="G46" s="2"/>
      <c r="H46" s="2">
        <v>5856.09</v>
      </c>
      <c r="I46" s="2"/>
      <c r="J46" s="19">
        <f t="shared" si="5"/>
        <v>3.8816875058910461E-2</v>
      </c>
      <c r="K46" s="2"/>
      <c r="L46" s="2">
        <f t="shared" si="6"/>
        <v>-5826.1100000000006</v>
      </c>
      <c r="M46" s="2"/>
      <c r="N46" s="19">
        <f t="shared" si="7"/>
        <v>-0.99488054316105123</v>
      </c>
      <c r="O46" s="11"/>
      <c r="P46" s="2">
        <v>32492.79</v>
      </c>
      <c r="Q46" s="2"/>
      <c r="R46" s="19">
        <f t="shared" si="8"/>
        <v>1.2963926584848771E-2</v>
      </c>
      <c r="S46" s="2"/>
      <c r="T46" s="2">
        <v>35739.980000000003</v>
      </c>
      <c r="U46" s="2"/>
      <c r="V46" s="19">
        <f t="shared" si="9"/>
        <v>1.1287373480915753E-2</v>
      </c>
      <c r="W46" s="2"/>
      <c r="X46" s="2">
        <f t="shared" si="10"/>
        <v>-3247.1900000000023</v>
      </c>
      <c r="Y46" s="2"/>
      <c r="Z46" s="19">
        <f t="shared" si="11"/>
        <v>-9.0855954592028373E-2</v>
      </c>
    </row>
    <row r="47" spans="1:26" s="24" customFormat="1" hidden="1" outlineLevel="1" x14ac:dyDescent="0.35">
      <c r="A47" s="44"/>
      <c r="B47" s="11" t="str">
        <f>CONCATENATE("          ", "5541", " - ", "FREIGHT-IN-LOGO GIFTS")</f>
        <v xml:space="preserve">          5541 - FREIGHT-IN-LOGO GIFTS</v>
      </c>
      <c r="C47" s="11"/>
      <c r="D47" s="2">
        <v>348.31</v>
      </c>
      <c r="E47" s="2"/>
      <c r="F47" s="19">
        <f t="shared" si="4"/>
        <v>2.063603004277987E-3</v>
      </c>
      <c r="G47" s="2"/>
      <c r="H47" s="2">
        <v>-327.45</v>
      </c>
      <c r="I47" s="2"/>
      <c r="J47" s="19">
        <f t="shared" si="5"/>
        <v>-2.1704901628971261E-3</v>
      </c>
      <c r="K47" s="2"/>
      <c r="L47" s="2">
        <f t="shared" si="6"/>
        <v>675.76</v>
      </c>
      <c r="M47" s="2"/>
      <c r="N47" s="19">
        <f t="shared" si="7"/>
        <v>-2.0637043823484502</v>
      </c>
      <c r="O47" s="11"/>
      <c r="P47" s="2">
        <v>5574.41</v>
      </c>
      <c r="Q47" s="2"/>
      <c r="R47" s="19">
        <f t="shared" si="8"/>
        <v>2.2240700781264652E-3</v>
      </c>
      <c r="S47" s="2"/>
      <c r="T47" s="2">
        <v>8438.06</v>
      </c>
      <c r="U47" s="2"/>
      <c r="V47" s="19">
        <f t="shared" si="9"/>
        <v>2.6649017339790328E-3</v>
      </c>
      <c r="W47" s="2"/>
      <c r="X47" s="2">
        <f t="shared" si="10"/>
        <v>-2863.6499999999996</v>
      </c>
      <c r="Y47" s="2"/>
      <c r="Z47" s="19">
        <f t="shared" si="11"/>
        <v>-0.33937303124177831</v>
      </c>
    </row>
    <row r="48" spans="1:26" s="24" customFormat="1" hidden="1" outlineLevel="1" x14ac:dyDescent="0.35">
      <c r="A48" s="44"/>
      <c r="B48" s="11" t="str">
        <f>CONCATENATE("          ", "5542", " - ", "FREIGHT-IN-EVERYDAY GIFTS")</f>
        <v xml:space="preserve">          5542 - FREIGHT-IN-EVERYDAY GIFTS</v>
      </c>
      <c r="C48" s="11"/>
      <c r="D48" s="2"/>
      <c r="E48" s="2"/>
      <c r="F48" s="19">
        <f t="shared" si="4"/>
        <v>0</v>
      </c>
      <c r="G48" s="2"/>
      <c r="H48" s="2">
        <v>62.85</v>
      </c>
      <c r="I48" s="2"/>
      <c r="J48" s="19">
        <f t="shared" si="5"/>
        <v>4.1659889063394221E-4</v>
      </c>
      <c r="K48" s="2"/>
      <c r="L48" s="2">
        <f t="shared" si="6"/>
        <v>-62.85</v>
      </c>
      <c r="M48" s="2"/>
      <c r="N48" s="19">
        <f t="shared" si="7"/>
        <v>-1</v>
      </c>
      <c r="O48" s="11"/>
      <c r="P48" s="2">
        <v>2223.5100000000002</v>
      </c>
      <c r="Q48" s="2"/>
      <c r="R48" s="19">
        <f t="shared" si="8"/>
        <v>8.8713281933244553E-4</v>
      </c>
      <c r="S48" s="2"/>
      <c r="T48" s="2">
        <v>2008.93</v>
      </c>
      <c r="U48" s="2"/>
      <c r="V48" s="19">
        <f t="shared" si="9"/>
        <v>6.3445875478990426E-4</v>
      </c>
      <c r="W48" s="2"/>
      <c r="X48" s="2">
        <f t="shared" si="10"/>
        <v>214.58000000000015</v>
      </c>
      <c r="Y48" s="2"/>
      <c r="Z48" s="19">
        <f t="shared" si="11"/>
        <v>0.10681307959958791</v>
      </c>
    </row>
    <row r="49" spans="1:26" s="24" customFormat="1" hidden="1" outlineLevel="1" x14ac:dyDescent="0.35">
      <c r="A49" s="44"/>
      <c r="B49" s="11" t="str">
        <f>CONCATENATE("          ", "5543", " - ", "FREIGHT-IN-CARDS")</f>
        <v xml:space="preserve">          5543 - FREIGHT-IN-CARDS</v>
      </c>
      <c r="C49" s="11"/>
      <c r="D49" s="2"/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2926.76</v>
      </c>
      <c r="Q49" s="2"/>
      <c r="R49" s="19">
        <f t="shared" si="8"/>
        <v>1.1677144920910758E-3</v>
      </c>
      <c r="S49" s="2"/>
      <c r="T49" s="2">
        <v>57.18</v>
      </c>
      <c r="U49" s="2"/>
      <c r="V49" s="19">
        <f t="shared" si="9"/>
        <v>1.8058544398703152E-5</v>
      </c>
      <c r="W49" s="2"/>
      <c r="X49" s="2">
        <f t="shared" si="10"/>
        <v>2869.5800000000004</v>
      </c>
      <c r="Y49" s="2"/>
      <c r="Z49" s="19">
        <f t="shared" si="11"/>
        <v>50.185029730675069</v>
      </c>
    </row>
    <row r="50" spans="1:26" s="24" customFormat="1" hidden="1" outlineLevel="1" x14ac:dyDescent="0.35">
      <c r="A50" s="44"/>
      <c r="B50" s="11" t="str">
        <f>CONCATENATE("          ", "5544", " - ", "FREIGHT-IN-ACCESSORIES")</f>
        <v xml:space="preserve">          5544 - FREIGHT-IN-ACCESSORIES</v>
      </c>
      <c r="C50" s="11"/>
      <c r="D50" s="2"/>
      <c r="E50" s="2"/>
      <c r="F50" s="19">
        <f t="shared" si="4"/>
        <v>0</v>
      </c>
      <c r="G50" s="2"/>
      <c r="H50" s="2"/>
      <c r="I50" s="2"/>
      <c r="J50" s="19">
        <f t="shared" si="5"/>
        <v>0</v>
      </c>
      <c r="K50" s="2"/>
      <c r="L50" s="2">
        <f t="shared" si="6"/>
        <v>0</v>
      </c>
      <c r="M50" s="2"/>
      <c r="N50" s="19">
        <f t="shared" si="7"/>
        <v>0</v>
      </c>
      <c r="O50" s="11"/>
      <c r="P50" s="2">
        <v>483.44</v>
      </c>
      <c r="Q50" s="2"/>
      <c r="R50" s="19">
        <f t="shared" si="8"/>
        <v>1.9288219534793072E-4</v>
      </c>
      <c r="S50" s="2"/>
      <c r="T50" s="2">
        <v>1360.08</v>
      </c>
      <c r="U50" s="2"/>
      <c r="V50" s="19">
        <f t="shared" si="9"/>
        <v>4.2953943801658242E-4</v>
      </c>
      <c r="W50" s="2"/>
      <c r="X50" s="2">
        <f t="shared" si="10"/>
        <v>-876.63999999999987</v>
      </c>
      <c r="Y50" s="2"/>
      <c r="Z50" s="19">
        <f t="shared" si="11"/>
        <v>-0.64455032056937822</v>
      </c>
    </row>
    <row r="51" spans="1:26" s="24" customFormat="1" hidden="1" outlineLevel="1" x14ac:dyDescent="0.35">
      <c r="A51" s="44"/>
      <c r="B51" s="11" t="str">
        <f>CONCATENATE("          ", "5545", " - ", "FREIGHT-IN-SPECIAL ORDERS")</f>
        <v xml:space="preserve">          5545 - FREIGHT-IN-SPECIAL ORDERS</v>
      </c>
      <c r="C51" s="11"/>
      <c r="D51" s="2">
        <v>355.3</v>
      </c>
      <c r="E51" s="2"/>
      <c r="F51" s="19">
        <f t="shared" si="4"/>
        <v>2.1050160702247105E-3</v>
      </c>
      <c r="G51" s="2"/>
      <c r="H51" s="2">
        <v>463.26</v>
      </c>
      <c r="I51" s="2"/>
      <c r="J51" s="19">
        <f t="shared" si="5"/>
        <v>3.0707017036607806E-3</v>
      </c>
      <c r="K51" s="2"/>
      <c r="L51" s="2">
        <f t="shared" si="6"/>
        <v>-107.95999999999998</v>
      </c>
      <c r="M51" s="2"/>
      <c r="N51" s="19">
        <f t="shared" si="7"/>
        <v>-0.23304407891896556</v>
      </c>
      <c r="O51" s="11"/>
      <c r="P51" s="2">
        <v>1420.62</v>
      </c>
      <c r="Q51" s="2"/>
      <c r="R51" s="19">
        <f t="shared" si="8"/>
        <v>5.6679692279326763E-4</v>
      </c>
      <c r="S51" s="2"/>
      <c r="T51" s="2">
        <v>2744.68</v>
      </c>
      <c r="U51" s="2"/>
      <c r="V51" s="19">
        <f t="shared" si="9"/>
        <v>8.6682276390752995E-4</v>
      </c>
      <c r="W51" s="2"/>
      <c r="X51" s="2">
        <f t="shared" si="10"/>
        <v>-1324.06</v>
      </c>
      <c r="Y51" s="2"/>
      <c r="Z51" s="19">
        <f t="shared" si="11"/>
        <v>-0.48240960694871532</v>
      </c>
    </row>
    <row r="52" spans="1:26" x14ac:dyDescent="0.3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35">
      <c r="A53" s="10"/>
      <c r="B53" s="28" t="s">
        <v>6</v>
      </c>
      <c r="C53" s="28"/>
      <c r="D53" s="22">
        <f>D12-D35</f>
        <v>63862.480000000025</v>
      </c>
      <c r="E53" s="14"/>
      <c r="F53" s="21">
        <f>IF(D$12=0,0,D53/D$12)</f>
        <v>0.3783606717827307</v>
      </c>
      <c r="G53" s="14"/>
      <c r="H53" s="22">
        <f>H12-H35</f>
        <v>30015.12000000001</v>
      </c>
      <c r="I53" s="14"/>
      <c r="J53" s="21">
        <f>IF(H$12=0,0,H53/H$12)</f>
        <v>0.19895410810254024</v>
      </c>
      <c r="K53" s="15"/>
      <c r="L53" s="22">
        <f>+D53-H53</f>
        <v>33847.360000000015</v>
      </c>
      <c r="M53" s="15"/>
      <c r="N53" s="21">
        <f>IF(H53=0,0,L53/H53)</f>
        <v>1.1276769841333303</v>
      </c>
      <c r="O53" s="29"/>
      <c r="P53" s="22">
        <f>P12-P35</f>
        <v>1303998.0100000002</v>
      </c>
      <c r="Q53" s="14"/>
      <c r="R53" s="21">
        <f>IF(P$12=0,0,P53/P$12)</f>
        <v>0.52026724908599398</v>
      </c>
      <c r="S53" s="14"/>
      <c r="T53" s="22">
        <f>T12-T35</f>
        <v>1685943.8099999996</v>
      </c>
      <c r="U53" s="14"/>
      <c r="V53" s="21">
        <f>IF(T$12=0,0,T53/T$12)</f>
        <v>0.53245350029037675</v>
      </c>
      <c r="W53" s="15"/>
      <c r="X53" s="22">
        <f>+P53-T53</f>
        <v>-381945.79999999935</v>
      </c>
      <c r="Y53" s="15"/>
      <c r="Z53" s="21">
        <f>IF(T53=0,0,X53/T53)</f>
        <v>-0.22654717063197938</v>
      </c>
    </row>
    <row r="54" spans="1:26" x14ac:dyDescent="0.3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35">
      <c r="A55" s="10"/>
      <c r="B55" s="29" t="s">
        <v>9</v>
      </c>
      <c r="C55" s="10"/>
      <c r="D55" s="20">
        <f>SUM(OSRRefD22x_0)</f>
        <v>96263.9</v>
      </c>
      <c r="E55" s="20"/>
      <c r="F55" s="36">
        <f t="shared" ref="F55:F64" si="12">IF(D$12=0,0,D55/D$12)</f>
        <v>0.57032664363215446</v>
      </c>
      <c r="G55" s="20"/>
      <c r="H55" s="20">
        <f>SUM(OSRRefH22x_0)</f>
        <v>-27072.809999999998</v>
      </c>
      <c r="I55" s="20"/>
      <c r="J55" s="36">
        <f t="shared" ref="J55:J64" si="13">IF(H$12=0,0,H55/H$12)</f>
        <v>-0.1794511155504136</v>
      </c>
      <c r="K55" s="4"/>
      <c r="L55" s="20">
        <f t="shared" ref="L55:L64" si="14">+D55-H55</f>
        <v>123336.70999999999</v>
      </c>
      <c r="M55" s="4"/>
      <c r="N55" s="36">
        <f t="shared" ref="N55:N64" si="15">IF(H55=0,0,L55/H55)</f>
        <v>-4.5557409814496541</v>
      </c>
      <c r="O55" s="10"/>
      <c r="P55" s="20">
        <f>SUM(OSRRefP22x_0)</f>
        <v>779662.7300000001</v>
      </c>
      <c r="Q55" s="20"/>
      <c r="R55" s="36">
        <f t="shared" ref="R55:R64" si="16">IF(P$12=0,0,P55/P$12)</f>
        <v>0.31106871378735929</v>
      </c>
      <c r="S55" s="20"/>
      <c r="T55" s="20">
        <f>SUM(OSRRefT22x_0)</f>
        <v>601672.9800000001</v>
      </c>
      <c r="U55" s="20"/>
      <c r="V55" s="36">
        <f t="shared" ref="V55:V64" si="17">IF(T$12=0,0,T55/T$12)</f>
        <v>0.19001990596065119</v>
      </c>
      <c r="W55" s="4"/>
      <c r="X55" s="20">
        <f t="shared" ref="X55:X64" si="18">+P55-T55</f>
        <v>177989.75</v>
      </c>
      <c r="Y55" s="4"/>
      <c r="Z55" s="36">
        <f t="shared" ref="Z55:Z64" si="19">IF(T55=0,0,X55/T55)</f>
        <v>0.2958247352241079</v>
      </c>
    </row>
    <row r="56" spans="1:26" s="25" customFormat="1" outlineLevel="1" collapsed="1" x14ac:dyDescent="0.35">
      <c r="A56" s="26"/>
      <c r="B56" s="12" t="str">
        <f>CONCATENATE("     ","*Benefits                                         ")</f>
        <v xml:space="preserve">     *Benefits                                         </v>
      </c>
      <c r="C56" s="12"/>
      <c r="D56" s="1">
        <f>SUM(OSRRefD22_0x_0)</f>
        <v>3950.65</v>
      </c>
      <c r="E56" s="1"/>
      <c r="F56" s="5">
        <f t="shared" si="12"/>
        <v>2.3406084260718413E-2</v>
      </c>
      <c r="G56" s="1"/>
      <c r="H56" s="1">
        <f>SUM(OSRRefH22_0x_0)</f>
        <v>6054.4699999999993</v>
      </c>
      <c r="I56" s="1"/>
      <c r="J56" s="5">
        <f t="shared" si="13"/>
        <v>4.0131829520707776E-2</v>
      </c>
      <c r="K56" s="1"/>
      <c r="L56" s="1">
        <f t="shared" si="14"/>
        <v>-2103.8199999999993</v>
      </c>
      <c r="M56" s="1"/>
      <c r="N56" s="5">
        <f t="shared" si="15"/>
        <v>-0.34748210826050829</v>
      </c>
      <c r="O56" s="12"/>
      <c r="P56" s="1">
        <f>SUM(OSRRefP22_0x_0)</f>
        <v>77796.89</v>
      </c>
      <c r="Q56" s="1"/>
      <c r="R56" s="5">
        <f t="shared" si="16"/>
        <v>3.1039291193201798E-2</v>
      </c>
      <c r="S56" s="1"/>
      <c r="T56" s="1">
        <f>SUM(OSRRefT22_0x_0)</f>
        <v>64418.679999999993</v>
      </c>
      <c r="U56" s="1"/>
      <c r="V56" s="5">
        <f t="shared" si="17"/>
        <v>2.0344658847251673E-2</v>
      </c>
      <c r="W56" s="1"/>
      <c r="X56" s="1">
        <f t="shared" si="18"/>
        <v>13378.210000000006</v>
      </c>
      <c r="Y56" s="1"/>
      <c r="Z56" s="5">
        <f t="shared" si="19"/>
        <v>0.20767594120214833</v>
      </c>
    </row>
    <row r="57" spans="1:26" s="24" customFormat="1" hidden="1" outlineLevel="2" x14ac:dyDescent="0.35">
      <c r="A57" s="27"/>
      <c r="B57" s="11" t="str">
        <f>CONCATENATE("          ", "6111", " - ", "F.I.C.A.")</f>
        <v xml:space="preserve">          6111 - F.I.C.A.</v>
      </c>
      <c r="C57" s="11"/>
      <c r="D57" s="7">
        <v>947.64</v>
      </c>
      <c r="E57" s="2"/>
      <c r="F57" s="6">
        <f t="shared" si="12"/>
        <v>5.6144031207085408E-3</v>
      </c>
      <c r="G57" s="2"/>
      <c r="H57" s="7">
        <v>1548.93</v>
      </c>
      <c r="I57" s="2"/>
      <c r="J57" s="6">
        <f t="shared" si="13"/>
        <v>1.0267024974854926E-2</v>
      </c>
      <c r="K57" s="2"/>
      <c r="L57" s="7">
        <f t="shared" si="14"/>
        <v>-601.29000000000008</v>
      </c>
      <c r="M57" s="2"/>
      <c r="N57" s="6">
        <f t="shared" si="15"/>
        <v>-0.38819701342216889</v>
      </c>
      <c r="O57" s="11"/>
      <c r="P57" s="7">
        <v>14734.01</v>
      </c>
      <c r="Q57" s="2"/>
      <c r="R57" s="6">
        <f t="shared" si="16"/>
        <v>5.8785541020154822E-3</v>
      </c>
      <c r="S57" s="2"/>
      <c r="T57" s="7">
        <v>13960.71</v>
      </c>
      <c r="U57" s="2"/>
      <c r="V57" s="6">
        <f t="shared" si="17"/>
        <v>4.4090608844424457E-3</v>
      </c>
      <c r="W57" s="2"/>
      <c r="X57" s="7">
        <f t="shared" si="18"/>
        <v>773.30000000000109</v>
      </c>
      <c r="Y57" s="2"/>
      <c r="Z57" s="6">
        <f t="shared" si="19"/>
        <v>5.539116563555873E-2</v>
      </c>
    </row>
    <row r="58" spans="1:26" s="24" customFormat="1" hidden="1" outlineLevel="2" x14ac:dyDescent="0.35">
      <c r="A58" s="27"/>
      <c r="B58" s="11" t="str">
        <f>CONCATENATE("          ", "6112", " - ", "COMPENSATION INSURANCE")</f>
        <v xml:space="preserve">          6112 - COMPENSATION INSURANCE</v>
      </c>
      <c r="C58" s="11"/>
      <c r="D58" s="7">
        <v>203.12</v>
      </c>
      <c r="E58" s="2"/>
      <c r="F58" s="6">
        <f t="shared" si="12"/>
        <v>1.2034080050212304E-3</v>
      </c>
      <c r="G58" s="2"/>
      <c r="H58" s="7">
        <v>354.28</v>
      </c>
      <c r="I58" s="2"/>
      <c r="J58" s="6">
        <f t="shared" si="13"/>
        <v>2.3483318213809549E-3</v>
      </c>
      <c r="K58" s="2"/>
      <c r="L58" s="7">
        <f t="shared" si="14"/>
        <v>-151.15999999999997</v>
      </c>
      <c r="M58" s="2"/>
      <c r="N58" s="6">
        <f t="shared" si="15"/>
        <v>-0.42666817206729135</v>
      </c>
      <c r="O58" s="11"/>
      <c r="P58" s="7">
        <v>4540.79</v>
      </c>
      <c r="Q58" s="2"/>
      <c r="R58" s="6">
        <f t="shared" si="16"/>
        <v>1.8116778582945769E-3</v>
      </c>
      <c r="S58" s="2"/>
      <c r="T58" s="7">
        <v>2898.59</v>
      </c>
      <c r="U58" s="2"/>
      <c r="V58" s="6">
        <f t="shared" si="17"/>
        <v>9.1543050382366167E-4</v>
      </c>
      <c r="W58" s="2"/>
      <c r="X58" s="7">
        <f t="shared" si="18"/>
        <v>1642.1999999999998</v>
      </c>
      <c r="Y58" s="2"/>
      <c r="Z58" s="6">
        <f t="shared" si="19"/>
        <v>0.56655132322957014</v>
      </c>
    </row>
    <row r="59" spans="1:26" s="24" customFormat="1" hidden="1" outlineLevel="2" x14ac:dyDescent="0.35">
      <c r="A59" s="27"/>
      <c r="B59" s="11" t="str">
        <f>CONCATENATE("          ", "6113", " - ", "GROUP INSURANCE")</f>
        <v xml:space="preserve">          6113 - GROUP INSURANCE</v>
      </c>
      <c r="C59" s="11"/>
      <c r="D59" s="7">
        <v>1458.55</v>
      </c>
      <c r="E59" s="2"/>
      <c r="F59" s="6">
        <f t="shared" si="12"/>
        <v>8.6413486890690987E-3</v>
      </c>
      <c r="G59" s="2"/>
      <c r="H59" s="7">
        <v>3221.63</v>
      </c>
      <c r="I59" s="2"/>
      <c r="J59" s="6">
        <f t="shared" si="13"/>
        <v>2.1354454797661532E-2</v>
      </c>
      <c r="K59" s="2"/>
      <c r="L59" s="7">
        <f t="shared" si="14"/>
        <v>-1763.0800000000002</v>
      </c>
      <c r="M59" s="2"/>
      <c r="N59" s="6">
        <f t="shared" si="15"/>
        <v>-0.54726334184869152</v>
      </c>
      <c r="O59" s="11"/>
      <c r="P59" s="7">
        <v>22506.22</v>
      </c>
      <c r="Q59" s="2"/>
      <c r="R59" s="6">
        <f t="shared" si="16"/>
        <v>8.9794992606807567E-3</v>
      </c>
      <c r="S59" s="2"/>
      <c r="T59" s="7">
        <v>24986.63</v>
      </c>
      <c r="U59" s="2"/>
      <c r="V59" s="6">
        <f t="shared" si="17"/>
        <v>7.8912586084114757E-3</v>
      </c>
      <c r="W59" s="2"/>
      <c r="X59" s="7">
        <f t="shared" si="18"/>
        <v>-2480.41</v>
      </c>
      <c r="Y59" s="2"/>
      <c r="Z59" s="6">
        <f t="shared" si="19"/>
        <v>-9.926948932288987E-2</v>
      </c>
    </row>
    <row r="60" spans="1:26" s="24" customFormat="1" hidden="1" outlineLevel="2" x14ac:dyDescent="0.35">
      <c r="A60" s="27"/>
      <c r="B60" s="11" t="str">
        <f>CONCATENATE("          ", "6114", " - ", "STATE UNEMPLOYMENT INSURANCE")</f>
        <v xml:space="preserve">          6114 - STATE UNEMPLOYMENT INSURANCE</v>
      </c>
      <c r="C60" s="11"/>
      <c r="D60" s="7">
        <v>-670.36</v>
      </c>
      <c r="E60" s="2"/>
      <c r="F60" s="6">
        <f t="shared" si="12"/>
        <v>-3.9716255919950375E-3</v>
      </c>
      <c r="G60" s="2"/>
      <c r="H60" s="7">
        <v>77.41</v>
      </c>
      <c r="I60" s="2"/>
      <c r="J60" s="6">
        <f t="shared" si="13"/>
        <v>5.1310930984842424E-4</v>
      </c>
      <c r="K60" s="2"/>
      <c r="L60" s="7">
        <f t="shared" si="14"/>
        <v>-747.77</v>
      </c>
      <c r="M60" s="2"/>
      <c r="N60" s="6">
        <f t="shared" si="15"/>
        <v>-9.6598630667872367</v>
      </c>
      <c r="O60" s="11"/>
      <c r="P60" s="7">
        <v>0</v>
      </c>
      <c r="Q60" s="2"/>
      <c r="R60" s="6">
        <f t="shared" si="16"/>
        <v>0</v>
      </c>
      <c r="S60" s="2"/>
      <c r="T60" s="7">
        <v>695.31</v>
      </c>
      <c r="U60" s="2"/>
      <c r="V60" s="6">
        <f t="shared" si="17"/>
        <v>2.1959227887132366E-4</v>
      </c>
      <c r="W60" s="2"/>
      <c r="X60" s="7">
        <f t="shared" si="18"/>
        <v>-695.31</v>
      </c>
      <c r="Y60" s="2"/>
      <c r="Z60" s="6">
        <f t="shared" si="19"/>
        <v>-1</v>
      </c>
    </row>
    <row r="61" spans="1:26" s="24" customFormat="1" hidden="1" outlineLevel="2" x14ac:dyDescent="0.35">
      <c r="A61" s="27"/>
      <c r="B61" s="11" t="str">
        <f>CONCATENATE("          ", "6115", " - ", "P.E.R.S.")</f>
        <v xml:space="preserve">          6115 - P.E.R.S.</v>
      </c>
      <c r="C61" s="11"/>
      <c r="D61" s="7">
        <v>691.88</v>
      </c>
      <c r="E61" s="2"/>
      <c r="F61" s="6">
        <f t="shared" si="12"/>
        <v>4.0991233286436042E-3</v>
      </c>
      <c r="G61" s="2"/>
      <c r="H61" s="7"/>
      <c r="I61" s="2"/>
      <c r="J61" s="6">
        <f t="shared" si="13"/>
        <v>0</v>
      </c>
      <c r="K61" s="2"/>
      <c r="L61" s="7">
        <f t="shared" si="14"/>
        <v>691.88</v>
      </c>
      <c r="M61" s="2"/>
      <c r="N61" s="6">
        <f t="shared" si="15"/>
        <v>0</v>
      </c>
      <c r="O61" s="11"/>
      <c r="P61" s="7">
        <v>9508.2800000000007</v>
      </c>
      <c r="Q61" s="2"/>
      <c r="R61" s="6">
        <f t="shared" si="16"/>
        <v>3.7935998684072948E-3</v>
      </c>
      <c r="S61" s="2"/>
      <c r="T61" s="7">
        <v>7493.91</v>
      </c>
      <c r="U61" s="2"/>
      <c r="V61" s="6">
        <f t="shared" si="17"/>
        <v>2.3667209943141927E-3</v>
      </c>
      <c r="W61" s="2"/>
      <c r="X61" s="7">
        <f t="shared" si="18"/>
        <v>2014.3700000000008</v>
      </c>
      <c r="Y61" s="2"/>
      <c r="Z61" s="6">
        <f t="shared" si="19"/>
        <v>0.26880093302428248</v>
      </c>
    </row>
    <row r="62" spans="1:26" s="24" customFormat="1" hidden="1" outlineLevel="2" x14ac:dyDescent="0.35">
      <c r="A62" s="27"/>
      <c r="B62" s="11" t="str">
        <f>CONCATENATE("          ", "6118", " - ", "VACATION")</f>
        <v xml:space="preserve">          6118 - VACATION</v>
      </c>
      <c r="C62" s="11"/>
      <c r="D62" s="7">
        <v>694.46</v>
      </c>
      <c r="E62" s="2"/>
      <c r="F62" s="6">
        <f t="shared" si="12"/>
        <v>4.1144088379629958E-3</v>
      </c>
      <c r="G62" s="2"/>
      <c r="H62" s="7">
        <v>476.98</v>
      </c>
      <c r="I62" s="2"/>
      <c r="J62" s="6">
        <f t="shared" si="13"/>
        <v>3.1616442140744274E-3</v>
      </c>
      <c r="K62" s="2"/>
      <c r="L62" s="7">
        <f t="shared" si="14"/>
        <v>217.48000000000002</v>
      </c>
      <c r="M62" s="2"/>
      <c r="N62" s="6">
        <f t="shared" si="15"/>
        <v>0.45595203153172043</v>
      </c>
      <c r="O62" s="11"/>
      <c r="P62" s="7">
        <v>10468.94</v>
      </c>
      <c r="Q62" s="2"/>
      <c r="R62" s="6">
        <f t="shared" si="16"/>
        <v>4.176882612456077E-3</v>
      </c>
      <c r="S62" s="2"/>
      <c r="T62" s="7">
        <v>7515.71</v>
      </c>
      <c r="U62" s="2"/>
      <c r="V62" s="6">
        <f t="shared" si="17"/>
        <v>2.3736058538436039E-3</v>
      </c>
      <c r="W62" s="2"/>
      <c r="X62" s="7">
        <f t="shared" si="18"/>
        <v>2953.2300000000005</v>
      </c>
      <c r="Y62" s="2"/>
      <c r="Z62" s="6">
        <f t="shared" si="19"/>
        <v>0.39294091975342321</v>
      </c>
    </row>
    <row r="63" spans="1:26" s="24" customFormat="1" hidden="1" outlineLevel="2" x14ac:dyDescent="0.35">
      <c r="A63" s="27"/>
      <c r="B63" s="11" t="str">
        <f>CONCATENATE("          ", "6119", " - ", "SICK LEAVE")</f>
        <v xml:space="preserve">          6119 - SICK LEAVE</v>
      </c>
      <c r="C63" s="11"/>
      <c r="D63" s="7">
        <v>489.36</v>
      </c>
      <c r="E63" s="2"/>
      <c r="F63" s="6">
        <f t="shared" si="12"/>
        <v>2.8992700932315347E-3</v>
      </c>
      <c r="G63" s="2"/>
      <c r="H63" s="7">
        <v>272.45999999999998</v>
      </c>
      <c r="I63" s="2"/>
      <c r="J63" s="6">
        <f t="shared" si="13"/>
        <v>1.8059909903281445E-3</v>
      </c>
      <c r="K63" s="2"/>
      <c r="L63" s="7">
        <f t="shared" si="14"/>
        <v>216.90000000000003</v>
      </c>
      <c r="M63" s="2"/>
      <c r="N63" s="6">
        <f t="shared" si="15"/>
        <v>0.7960801585553845</v>
      </c>
      <c r="O63" s="11"/>
      <c r="P63" s="7">
        <v>13775.37</v>
      </c>
      <c r="Q63" s="2"/>
      <c r="R63" s="6">
        <f t="shared" si="16"/>
        <v>5.4960772946591602E-3</v>
      </c>
      <c r="S63" s="2"/>
      <c r="T63" s="7">
        <v>5593.54</v>
      </c>
      <c r="U63" s="2"/>
      <c r="V63" s="6">
        <f t="shared" si="17"/>
        <v>1.7665475767037781E-3</v>
      </c>
      <c r="W63" s="2"/>
      <c r="X63" s="7">
        <f t="shared" si="18"/>
        <v>8181.8300000000008</v>
      </c>
      <c r="Y63" s="2"/>
      <c r="Z63" s="6">
        <f t="shared" si="19"/>
        <v>1.4627284331568204</v>
      </c>
    </row>
    <row r="64" spans="1:26" s="24" customFormat="1" hidden="1" outlineLevel="2" x14ac:dyDescent="0.35">
      <c r="A64" s="27"/>
      <c r="B64" s="11" t="str">
        <f>CONCATENATE("          ", "6156", " - ", "EMPLOYEE MEALS")</f>
        <v xml:space="preserve">          6156 - EMPLOYEE MEALS</v>
      </c>
      <c r="C64" s="11"/>
      <c r="D64" s="7">
        <v>136</v>
      </c>
      <c r="E64" s="2"/>
      <c r="F64" s="6">
        <f t="shared" si="12"/>
        <v>8.0574777807644409E-4</v>
      </c>
      <c r="G64" s="2"/>
      <c r="H64" s="7">
        <v>102.78</v>
      </c>
      <c r="I64" s="2"/>
      <c r="J64" s="6">
        <f t="shared" si="13"/>
        <v>6.8127341255937277E-4</v>
      </c>
      <c r="K64" s="2"/>
      <c r="L64" s="7">
        <f t="shared" si="14"/>
        <v>33.22</v>
      </c>
      <c r="M64" s="2"/>
      <c r="N64" s="6">
        <f t="shared" si="15"/>
        <v>0.32321463319712007</v>
      </c>
      <c r="O64" s="11"/>
      <c r="P64" s="7">
        <v>2263.2800000000002</v>
      </c>
      <c r="Q64" s="2"/>
      <c r="R64" s="6">
        <f t="shared" si="16"/>
        <v>9.0300019668845073E-4</v>
      </c>
      <c r="S64" s="2"/>
      <c r="T64" s="7">
        <v>1274.28</v>
      </c>
      <c r="U64" s="2"/>
      <c r="V64" s="6">
        <f t="shared" si="17"/>
        <v>4.0244214684119364E-4</v>
      </c>
      <c r="W64" s="2"/>
      <c r="X64" s="7">
        <f t="shared" si="18"/>
        <v>989.00000000000023</v>
      </c>
      <c r="Y64" s="2"/>
      <c r="Z64" s="6">
        <f t="shared" si="19"/>
        <v>0.77612455661236168</v>
      </c>
    </row>
    <row r="65" spans="1:26" s="25" customFormat="1" outlineLevel="1" collapsed="1" x14ac:dyDescent="0.35">
      <c r="A65" s="26"/>
      <c r="B65" s="12" t="str">
        <f>CONCATENATE("     ","*Payroll                                          ")</f>
        <v xml:space="preserve">     *Payroll                                          </v>
      </c>
      <c r="C65" s="12"/>
      <c r="D65" s="1">
        <f>SUM(OSRRefD22_1x_0)</f>
        <v>12195.279999999999</v>
      </c>
      <c r="E65" s="1"/>
      <c r="F65" s="5">
        <f t="shared" ref="F65:F71" si="20">IF(D$12=0,0,D65/D$12)</f>
        <v>7.2252351198677178E-2</v>
      </c>
      <c r="G65" s="1"/>
      <c r="H65" s="1">
        <f>SUM(OSRRefH22_1x_0)</f>
        <v>19804.32</v>
      </c>
      <c r="I65" s="1"/>
      <c r="J65" s="5">
        <f t="shared" ref="J65:J71" si="21">IF(H$12=0,0,H65/H$12)</f>
        <v>0.13127219955066974</v>
      </c>
      <c r="K65" s="1"/>
      <c r="L65" s="1">
        <f t="shared" ref="L65:L71" si="22">+D65-H65</f>
        <v>-7609.0400000000009</v>
      </c>
      <c r="M65" s="1"/>
      <c r="N65" s="5">
        <f t="shared" ref="N65:N71" si="23">IF(H65=0,0,L65/H65)</f>
        <v>-0.38421112161387017</v>
      </c>
      <c r="O65" s="12"/>
      <c r="P65" s="1">
        <f>SUM(OSRRefP22_1x_0)</f>
        <v>254454.91000000003</v>
      </c>
      <c r="Q65" s="1"/>
      <c r="R65" s="5">
        <f t="shared" ref="R65:R71" si="24">IF(P$12=0,0,P65/P$12)</f>
        <v>0.10152205373543798</v>
      </c>
      <c r="S65" s="1"/>
      <c r="T65" s="1">
        <f>SUM(OSRRefT22_1x_0)</f>
        <v>272455.26</v>
      </c>
      <c r="U65" s="1"/>
      <c r="V65" s="5">
        <f t="shared" ref="V65:V71" si="25">IF(T$12=0,0,T65/T$12)</f>
        <v>8.6046614364641671E-2</v>
      </c>
      <c r="W65" s="1"/>
      <c r="X65" s="1">
        <f t="shared" ref="X65:X71" si="26">+P65-T65</f>
        <v>-18000.349999999977</v>
      </c>
      <c r="Y65" s="1"/>
      <c r="Z65" s="5">
        <f t="shared" ref="Z65:Z71" si="27">IF(T65=0,0,X65/T65)</f>
        <v>-6.6067177414743161E-2</v>
      </c>
    </row>
    <row r="66" spans="1:26" s="24" customFormat="1" hidden="1" outlineLevel="2" x14ac:dyDescent="0.35">
      <c r="A66" s="27"/>
      <c r="B66" s="11" t="str">
        <f>CONCATENATE("          ", "6002", " - ", "STAFF SALARIES")</f>
        <v xml:space="preserve">          6002 - STAFF SALARIES</v>
      </c>
      <c r="C66" s="11"/>
      <c r="D66" s="7">
        <v>6769.24</v>
      </c>
      <c r="E66" s="2"/>
      <c r="F66" s="6">
        <f t="shared" si="20"/>
        <v>4.0105147715192566E-2</v>
      </c>
      <c r="G66" s="2"/>
      <c r="H66" s="7">
        <v>3987.14</v>
      </c>
      <c r="I66" s="2"/>
      <c r="J66" s="6">
        <f t="shared" si="21"/>
        <v>2.6428609400194369E-2</v>
      </c>
      <c r="K66" s="2"/>
      <c r="L66" s="7">
        <f t="shared" si="22"/>
        <v>2782.1</v>
      </c>
      <c r="M66" s="2"/>
      <c r="N66" s="6">
        <f t="shared" si="23"/>
        <v>0.69776832516540677</v>
      </c>
      <c r="O66" s="11"/>
      <c r="P66" s="7">
        <v>86209.58</v>
      </c>
      <c r="Q66" s="2"/>
      <c r="R66" s="6">
        <f t="shared" si="24"/>
        <v>3.4395774140375354E-2</v>
      </c>
      <c r="S66" s="2"/>
      <c r="T66" s="7">
        <v>99921.64</v>
      </c>
      <c r="U66" s="2"/>
      <c r="V66" s="6">
        <f t="shared" si="25"/>
        <v>3.1557176850843527E-2</v>
      </c>
      <c r="W66" s="2"/>
      <c r="X66" s="7">
        <f t="shared" si="26"/>
        <v>-13712.059999999998</v>
      </c>
      <c r="Y66" s="2"/>
      <c r="Z66" s="6">
        <f t="shared" si="27"/>
        <v>-0.13722813196420713</v>
      </c>
    </row>
    <row r="67" spans="1:26" s="24" customFormat="1" hidden="1" outlineLevel="2" x14ac:dyDescent="0.35">
      <c r="A67" s="27"/>
      <c r="B67" s="11" t="str">
        <f>CONCATENATE("          ", "6004", " - ", "STAFF HOURLY")</f>
        <v xml:space="preserve">          6004 - STAFF HOURLY</v>
      </c>
      <c r="C67" s="11"/>
      <c r="D67" s="7">
        <v>3738.92</v>
      </c>
      <c r="E67" s="2"/>
      <c r="F67" s="6">
        <f t="shared" si="20"/>
        <v>2.2151665311805725E-2</v>
      </c>
      <c r="G67" s="2"/>
      <c r="H67" s="7"/>
      <c r="I67" s="2"/>
      <c r="J67" s="6">
        <f t="shared" si="21"/>
        <v>0</v>
      </c>
      <c r="K67" s="2"/>
      <c r="L67" s="7">
        <f t="shared" si="22"/>
        <v>3738.92</v>
      </c>
      <c r="M67" s="2"/>
      <c r="N67" s="6">
        <f t="shared" si="23"/>
        <v>0</v>
      </c>
      <c r="O67" s="11"/>
      <c r="P67" s="7">
        <v>20401.43</v>
      </c>
      <c r="Q67" s="2"/>
      <c r="R67" s="6">
        <f t="shared" si="24"/>
        <v>8.1397331760655594E-3</v>
      </c>
      <c r="S67" s="2"/>
      <c r="T67" s="7"/>
      <c r="U67" s="2"/>
      <c r="V67" s="6">
        <f t="shared" si="25"/>
        <v>0</v>
      </c>
      <c r="W67" s="2"/>
      <c r="X67" s="7">
        <f t="shared" si="26"/>
        <v>20401.43</v>
      </c>
      <c r="Y67" s="2"/>
      <c r="Z67" s="6">
        <f t="shared" si="27"/>
        <v>0</v>
      </c>
    </row>
    <row r="68" spans="1:26" s="24" customFormat="1" hidden="1" outlineLevel="2" x14ac:dyDescent="0.35">
      <c r="A68" s="27"/>
      <c r="B68" s="11" t="str">
        <f>CONCATENATE("          ", "6005", " - ", "TEMPORARY WAGES-HOURLY")</f>
        <v xml:space="preserve">          6005 - TEMPORARY WAGES-HOURLY</v>
      </c>
      <c r="C68" s="11"/>
      <c r="D68" s="7">
        <v>834.9</v>
      </c>
      <c r="E68" s="2"/>
      <c r="F68" s="6">
        <f t="shared" si="20"/>
        <v>4.9464619111472289E-3</v>
      </c>
      <c r="G68" s="2"/>
      <c r="H68" s="7">
        <v>5400.07</v>
      </c>
      <c r="I68" s="2"/>
      <c r="J68" s="6">
        <f t="shared" si="21"/>
        <v>3.5794163426342597E-2</v>
      </c>
      <c r="K68" s="2"/>
      <c r="L68" s="7">
        <f t="shared" si="22"/>
        <v>-4565.17</v>
      </c>
      <c r="M68" s="2"/>
      <c r="N68" s="6">
        <f t="shared" si="23"/>
        <v>-0.84539089308101567</v>
      </c>
      <c r="O68" s="11"/>
      <c r="P68" s="7">
        <v>30444.179999999997</v>
      </c>
      <c r="Q68" s="2"/>
      <c r="R68" s="6">
        <f t="shared" si="24"/>
        <v>1.2146575115769411E-2</v>
      </c>
      <c r="S68" s="2"/>
      <c r="T68" s="7">
        <v>51137.04</v>
      </c>
      <c r="U68" s="2"/>
      <c r="V68" s="6">
        <f t="shared" si="25"/>
        <v>1.6150061337150384E-2</v>
      </c>
      <c r="W68" s="2"/>
      <c r="X68" s="7">
        <f t="shared" si="26"/>
        <v>-20692.860000000004</v>
      </c>
      <c r="Y68" s="2"/>
      <c r="Z68" s="6">
        <f t="shared" si="27"/>
        <v>-0.4046550210962544</v>
      </c>
    </row>
    <row r="69" spans="1:26" s="24" customFormat="1" hidden="1" outlineLevel="2" x14ac:dyDescent="0.35">
      <c r="A69" s="27"/>
      <c r="B69" s="11" t="str">
        <f>CONCATENATE("          ", "6006", " - ", "TEMPORARY PART TIME")</f>
        <v xml:space="preserve">          6006 - TEMPORARY PART TIME</v>
      </c>
      <c r="C69" s="11"/>
      <c r="D69" s="7"/>
      <c r="E69" s="2"/>
      <c r="F69" s="6">
        <f t="shared" si="20"/>
        <v>0</v>
      </c>
      <c r="G69" s="2"/>
      <c r="H69" s="7">
        <v>112</v>
      </c>
      <c r="I69" s="2"/>
      <c r="J69" s="6">
        <f t="shared" si="21"/>
        <v>7.4238784011140054E-4</v>
      </c>
      <c r="K69" s="2"/>
      <c r="L69" s="7">
        <f t="shared" si="22"/>
        <v>-112</v>
      </c>
      <c r="M69" s="2"/>
      <c r="N69" s="6">
        <f t="shared" si="23"/>
        <v>-1</v>
      </c>
      <c r="O69" s="11"/>
      <c r="P69" s="7">
        <v>911.29</v>
      </c>
      <c r="Q69" s="2"/>
      <c r="R69" s="6">
        <f t="shared" si="24"/>
        <v>3.6358517251078884E-4</v>
      </c>
      <c r="S69" s="2"/>
      <c r="T69" s="7">
        <v>11032.62</v>
      </c>
      <c r="U69" s="2"/>
      <c r="V69" s="6">
        <f t="shared" si="25"/>
        <v>3.4843137129069671E-3</v>
      </c>
      <c r="W69" s="2"/>
      <c r="X69" s="7">
        <f t="shared" si="26"/>
        <v>-10121.330000000002</v>
      </c>
      <c r="Y69" s="2"/>
      <c r="Z69" s="6">
        <f t="shared" si="27"/>
        <v>-0.9174003999050091</v>
      </c>
    </row>
    <row r="70" spans="1:26" s="24" customFormat="1" hidden="1" outlineLevel="2" x14ac:dyDescent="0.35">
      <c r="A70" s="27"/>
      <c r="B70" s="11" t="str">
        <f>CONCATENATE("          ", "6007", " - ", "STUDENT HOURLY")</f>
        <v xml:space="preserve">          6007 - STUDENT HOURLY</v>
      </c>
      <c r="C70" s="11"/>
      <c r="D70" s="7">
        <v>852.22</v>
      </c>
      <c r="E70" s="2"/>
      <c r="F70" s="6">
        <f t="shared" si="20"/>
        <v>5.0490762605316705E-3</v>
      </c>
      <c r="G70" s="2"/>
      <c r="H70" s="7">
        <v>10305.11</v>
      </c>
      <c r="I70" s="2"/>
      <c r="J70" s="6">
        <f t="shared" si="21"/>
        <v>6.8307038884021384E-2</v>
      </c>
      <c r="K70" s="2"/>
      <c r="L70" s="7">
        <f t="shared" si="22"/>
        <v>-9452.8900000000012</v>
      </c>
      <c r="M70" s="2"/>
      <c r="N70" s="6">
        <f t="shared" si="23"/>
        <v>-0.9173012224032544</v>
      </c>
      <c r="O70" s="11"/>
      <c r="P70" s="7">
        <v>116293.43000000001</v>
      </c>
      <c r="Q70" s="2"/>
      <c r="R70" s="6">
        <f t="shared" si="24"/>
        <v>4.6398585311395221E-2</v>
      </c>
      <c r="S70" s="2"/>
      <c r="T70" s="7">
        <v>109542.71</v>
      </c>
      <c r="U70" s="2"/>
      <c r="V70" s="6">
        <f t="shared" si="25"/>
        <v>3.4595695909221125E-2</v>
      </c>
      <c r="W70" s="2"/>
      <c r="X70" s="7">
        <f t="shared" si="26"/>
        <v>6750.7200000000012</v>
      </c>
      <c r="Y70" s="2"/>
      <c r="Z70" s="6">
        <f t="shared" si="27"/>
        <v>6.1626373859109393E-2</v>
      </c>
    </row>
    <row r="71" spans="1:26" s="24" customFormat="1" hidden="1" outlineLevel="2" x14ac:dyDescent="0.35">
      <c r="A71" s="27"/>
      <c r="B71" s="11" t="str">
        <f>CONCATENATE("          ", "6008", " - ", "STUDENT HOURLY-FICA EXEMPT")</f>
        <v xml:space="preserve">          6008 - STUDENT HOURLY-FICA EXEMPT</v>
      </c>
      <c r="C71" s="11"/>
      <c r="D71" s="7"/>
      <c r="E71" s="2"/>
      <c r="F71" s="6">
        <f t="shared" si="20"/>
        <v>0</v>
      </c>
      <c r="G71" s="2"/>
      <c r="H71" s="7"/>
      <c r="I71" s="2"/>
      <c r="J71" s="6">
        <f t="shared" si="21"/>
        <v>0</v>
      </c>
      <c r="K71" s="2"/>
      <c r="L71" s="7">
        <f t="shared" si="22"/>
        <v>0</v>
      </c>
      <c r="M71" s="2"/>
      <c r="N71" s="6">
        <f t="shared" si="23"/>
        <v>0</v>
      </c>
      <c r="O71" s="11"/>
      <c r="P71" s="7">
        <v>195</v>
      </c>
      <c r="Q71" s="2"/>
      <c r="R71" s="6">
        <f t="shared" si="24"/>
        <v>7.7800819321625201E-5</v>
      </c>
      <c r="S71" s="2"/>
      <c r="T71" s="7">
        <v>821.25</v>
      </c>
      <c r="U71" s="2"/>
      <c r="V71" s="6">
        <f t="shared" si="25"/>
        <v>2.5936655451967407E-4</v>
      </c>
      <c r="W71" s="2"/>
      <c r="X71" s="7">
        <f t="shared" si="26"/>
        <v>-626.25</v>
      </c>
      <c r="Y71" s="2"/>
      <c r="Z71" s="6">
        <f t="shared" si="27"/>
        <v>-0.76255707762557079</v>
      </c>
    </row>
    <row r="72" spans="1:26" s="25" customFormat="1" outlineLevel="1" collapsed="1" x14ac:dyDescent="0.35">
      <c r="A72" s="26"/>
      <c r="B72" s="12" t="str">
        <f>CONCATENATE("     ","Advertising/Promo                                 ")</f>
        <v xml:space="preserve">     Advertising/Promo                                 </v>
      </c>
      <c r="C72" s="12"/>
      <c r="D72" s="1">
        <f>SUM(OSRRefD22_2x_0)</f>
        <v>0</v>
      </c>
      <c r="E72" s="1"/>
      <c r="F72" s="5">
        <f t="shared" ref="F72:F76" si="28">IF(D$12=0,0,D72/D$12)</f>
        <v>0</v>
      </c>
      <c r="G72" s="1"/>
      <c r="H72" s="1">
        <f>SUM(OSRRefH22_2x_0)</f>
        <v>2176.48</v>
      </c>
      <c r="I72" s="1"/>
      <c r="J72" s="5">
        <f t="shared" ref="J72:J76" si="29">IF(H$12=0,0,H72/H$12)</f>
        <v>1.4426716841479116E-2</v>
      </c>
      <c r="K72" s="1"/>
      <c r="L72" s="1">
        <f t="shared" ref="L72:L76" si="30">+D72-H72</f>
        <v>-2176.48</v>
      </c>
      <c r="M72" s="1"/>
      <c r="N72" s="5">
        <f t="shared" ref="N72:N76" si="31">IF(H72=0,0,L72/H72)</f>
        <v>-1</v>
      </c>
      <c r="O72" s="12"/>
      <c r="P72" s="1">
        <f>SUM(OSRRefP22_2x_0)</f>
        <v>19215.2</v>
      </c>
      <c r="Q72" s="1"/>
      <c r="R72" s="5">
        <f t="shared" ref="R72:R76" si="32">IF(P$12=0,0,P72/P$12)</f>
        <v>7.6664528380968851E-3</v>
      </c>
      <c r="S72" s="1"/>
      <c r="T72" s="1">
        <f>SUM(OSRRefT22_2x_0)</f>
        <v>7789.2</v>
      </c>
      <c r="U72" s="1"/>
      <c r="V72" s="5">
        <f t="shared" ref="V72:V76" si="33">IF(T$12=0,0,T72/T$12)</f>
        <v>2.4599792590132667E-3</v>
      </c>
      <c r="W72" s="1"/>
      <c r="X72" s="1">
        <f t="shared" ref="X72:X76" si="34">+P72-T72</f>
        <v>11426</v>
      </c>
      <c r="Y72" s="1"/>
      <c r="Z72" s="5">
        <f t="shared" ref="Z72:Z76" si="35">IF(T72=0,0,X72/T72)</f>
        <v>1.4669028911826631</v>
      </c>
    </row>
    <row r="73" spans="1:26" s="24" customFormat="1" hidden="1" outlineLevel="2" x14ac:dyDescent="0.35">
      <c r="A73" s="27"/>
      <c r="B73" s="11" t="str">
        <f>CONCATENATE("          ", "6362", " - ", "ADVERTISING EXPENSE")</f>
        <v xml:space="preserve">          6362 - ADVERTISING EXPENSE</v>
      </c>
      <c r="C73" s="11"/>
      <c r="D73" s="7"/>
      <c r="E73" s="2"/>
      <c r="F73" s="6">
        <f t="shared" si="28"/>
        <v>0</v>
      </c>
      <c r="G73" s="2"/>
      <c r="H73" s="7">
        <v>2176.48</v>
      </c>
      <c r="I73" s="2"/>
      <c r="J73" s="6">
        <f t="shared" si="29"/>
        <v>1.4426716841479116E-2</v>
      </c>
      <c r="K73" s="2"/>
      <c r="L73" s="7">
        <f t="shared" si="30"/>
        <v>-2176.48</v>
      </c>
      <c r="M73" s="2"/>
      <c r="N73" s="6">
        <f t="shared" si="31"/>
        <v>-1</v>
      </c>
      <c r="O73" s="11"/>
      <c r="P73" s="7">
        <v>19215.2</v>
      </c>
      <c r="Q73" s="2"/>
      <c r="R73" s="6">
        <f t="shared" si="32"/>
        <v>7.6664528380968851E-3</v>
      </c>
      <c r="S73" s="2"/>
      <c r="T73" s="7">
        <v>7789.2</v>
      </c>
      <c r="U73" s="2"/>
      <c r="V73" s="6">
        <f t="shared" si="33"/>
        <v>2.4599792590132667E-3</v>
      </c>
      <c r="W73" s="2"/>
      <c r="X73" s="7">
        <f t="shared" si="34"/>
        <v>11426</v>
      </c>
      <c r="Y73" s="2"/>
      <c r="Z73" s="6">
        <f t="shared" si="35"/>
        <v>1.4669028911826631</v>
      </c>
    </row>
    <row r="74" spans="1:26" s="25" customFormat="1" outlineLevel="1" collapsed="1" x14ac:dyDescent="0.35">
      <c r="A74" s="26"/>
      <c r="B74" s="12" t="str">
        <f>CONCATENATE("     ","Discounts and Markdowns                           ")</f>
        <v xml:space="preserve">     Discounts and Markdowns                           </v>
      </c>
      <c r="C74" s="12"/>
      <c r="D74" s="1">
        <f>SUM(OSRRefD22_3x_0)</f>
        <v>34738.369999999995</v>
      </c>
      <c r="E74" s="1"/>
      <c r="F74" s="5">
        <f t="shared" si="28"/>
        <v>0.20581150324630443</v>
      </c>
      <c r="G74" s="1"/>
      <c r="H74" s="1">
        <f>SUM(OSRRefH22_3x_0)</f>
        <v>11255.34</v>
      </c>
      <c r="I74" s="1"/>
      <c r="J74" s="5">
        <f t="shared" si="29"/>
        <v>7.4605603145709382E-2</v>
      </c>
      <c r="K74" s="1"/>
      <c r="L74" s="1">
        <f t="shared" si="30"/>
        <v>23483.029999999995</v>
      </c>
      <c r="M74" s="1"/>
      <c r="N74" s="5">
        <f t="shared" si="31"/>
        <v>2.0863901046081232</v>
      </c>
      <c r="O74" s="12"/>
      <c r="P74" s="1">
        <f>SUM(OSRRefP22_3x_0)</f>
        <v>293529.58999999997</v>
      </c>
      <c r="Q74" s="1"/>
      <c r="R74" s="5">
        <f t="shared" si="32"/>
        <v>0.11711201331867037</v>
      </c>
      <c r="S74" s="1"/>
      <c r="T74" s="1">
        <f>SUM(OSRRefT22_3x_0)</f>
        <v>240325.30000000002</v>
      </c>
      <c r="U74" s="1"/>
      <c r="V74" s="5">
        <f t="shared" si="33"/>
        <v>7.589935467264175E-2</v>
      </c>
      <c r="W74" s="1"/>
      <c r="X74" s="1">
        <f t="shared" si="34"/>
        <v>53204.28999999995</v>
      </c>
      <c r="Y74" s="1"/>
      <c r="Z74" s="5">
        <f t="shared" si="35"/>
        <v>0.22138447346159537</v>
      </c>
    </row>
    <row r="75" spans="1:26" s="24" customFormat="1" hidden="1" outlineLevel="2" x14ac:dyDescent="0.35">
      <c r="A75" s="27"/>
      <c r="B75" s="11" t="str">
        <f>CONCATENATE("          ", "6382", " - ", "DISCOUNTS/MARK DOWNS")</f>
        <v xml:space="preserve">          6382 - DISCOUNTS/MARK DOWNS</v>
      </c>
      <c r="C75" s="11"/>
      <c r="D75" s="7">
        <v>34738.369999999995</v>
      </c>
      <c r="E75" s="2"/>
      <c r="F75" s="6">
        <f t="shared" si="28"/>
        <v>0.20581150324630443</v>
      </c>
      <c r="G75" s="2"/>
      <c r="H75" s="7">
        <v>11255.34</v>
      </c>
      <c r="I75" s="2"/>
      <c r="J75" s="6">
        <f t="shared" si="29"/>
        <v>7.4605603145709382E-2</v>
      </c>
      <c r="K75" s="2"/>
      <c r="L75" s="7">
        <f t="shared" si="30"/>
        <v>23483.029999999995</v>
      </c>
      <c r="M75" s="2"/>
      <c r="N75" s="6">
        <f t="shared" si="31"/>
        <v>2.0863901046081232</v>
      </c>
      <c r="O75" s="11"/>
      <c r="P75" s="7">
        <v>293548.98</v>
      </c>
      <c r="Q75" s="2"/>
      <c r="R75" s="6">
        <f t="shared" si="32"/>
        <v>0.11711974951296086</v>
      </c>
      <c r="S75" s="2"/>
      <c r="T75" s="7">
        <v>240331.16</v>
      </c>
      <c r="U75" s="2"/>
      <c r="V75" s="6">
        <f t="shared" si="33"/>
        <v>7.5901205373414327E-2</v>
      </c>
      <c r="W75" s="2"/>
      <c r="X75" s="7">
        <f t="shared" si="34"/>
        <v>53217.819999999978</v>
      </c>
      <c r="Y75" s="2"/>
      <c r="Z75" s="6">
        <f t="shared" si="35"/>
        <v>0.22143537275815578</v>
      </c>
    </row>
    <row r="76" spans="1:26" s="24" customFormat="1" hidden="1" outlineLevel="2" x14ac:dyDescent="0.35">
      <c r="A76" s="27"/>
      <c r="B76" s="11" t="str">
        <f>CONCATENATE("          ", "9175", " - ", "EARNED DISCOUNTS")</f>
        <v xml:space="preserve">          9175 - EARNED DISCOUNTS</v>
      </c>
      <c r="C76" s="11"/>
      <c r="D76" s="7"/>
      <c r="E76" s="2"/>
      <c r="F76" s="6">
        <f t="shared" si="28"/>
        <v>0</v>
      </c>
      <c r="G76" s="2"/>
      <c r="H76" s="7"/>
      <c r="I76" s="2"/>
      <c r="J76" s="6">
        <f t="shared" si="29"/>
        <v>0</v>
      </c>
      <c r="K76" s="2"/>
      <c r="L76" s="7">
        <f t="shared" si="30"/>
        <v>0</v>
      </c>
      <c r="M76" s="2"/>
      <c r="N76" s="6">
        <f t="shared" si="31"/>
        <v>0</v>
      </c>
      <c r="O76" s="11"/>
      <c r="P76" s="7">
        <v>-19.39</v>
      </c>
      <c r="Q76" s="2"/>
      <c r="R76" s="6">
        <f t="shared" si="32"/>
        <v>-7.7361942904939108E-6</v>
      </c>
      <c r="S76" s="2"/>
      <c r="T76" s="7">
        <v>-5.86</v>
      </c>
      <c r="U76" s="2"/>
      <c r="V76" s="6">
        <f t="shared" si="33"/>
        <v>-1.8507007725848281E-6</v>
      </c>
      <c r="W76" s="2"/>
      <c r="X76" s="7">
        <f t="shared" si="34"/>
        <v>-13.530000000000001</v>
      </c>
      <c r="Y76" s="2"/>
      <c r="Z76" s="6">
        <f t="shared" si="35"/>
        <v>2.308873720136519</v>
      </c>
    </row>
    <row r="77" spans="1:26" s="25" customFormat="1" outlineLevel="1" collapsed="1" x14ac:dyDescent="0.35">
      <c r="A77" s="26"/>
      <c r="B77" s="12" t="str">
        <f>CONCATENATE("     ","Employees' Appreciation                           ")</f>
        <v xml:space="preserve">     Employees' Appreciation                           </v>
      </c>
      <c r="C77" s="12"/>
      <c r="D77" s="1">
        <f>SUM(OSRRefD22_4x_0)</f>
        <v>0</v>
      </c>
      <c r="E77" s="1"/>
      <c r="F77" s="5">
        <f t="shared" ref="F77:F81" si="36">IF(D$12=0,0,D77/D$12)</f>
        <v>0</v>
      </c>
      <c r="G77" s="1"/>
      <c r="H77" s="1">
        <f>SUM(OSRRefH22_4x_0)</f>
        <v>65.87</v>
      </c>
      <c r="I77" s="1"/>
      <c r="J77" s="5">
        <f t="shared" ref="J77:J81" si="37">IF(H$12=0,0,H77/H$12)</f>
        <v>4.3661684846551748E-4</v>
      </c>
      <c r="K77" s="1"/>
      <c r="L77" s="1">
        <f t="shared" ref="L77:L81" si="38">+D77-H77</f>
        <v>-65.87</v>
      </c>
      <c r="M77" s="1"/>
      <c r="N77" s="5">
        <f t="shared" ref="N77:N81" si="39">IF(H77=0,0,L77/H77)</f>
        <v>-1</v>
      </c>
      <c r="O77" s="12"/>
      <c r="P77" s="1">
        <f>SUM(OSRRefP22_4x_0)</f>
        <v>255.44</v>
      </c>
      <c r="Q77" s="1"/>
      <c r="R77" s="5">
        <f t="shared" ref="R77:R81" si="40">IF(P$12=0,0,P77/P$12)</f>
        <v>1.0191508352572277E-4</v>
      </c>
      <c r="S77" s="1"/>
      <c r="T77" s="1">
        <f>SUM(OSRRefT22_4x_0)</f>
        <v>746.67</v>
      </c>
      <c r="U77" s="1"/>
      <c r="V77" s="5">
        <f t="shared" ref="V77:V81" si="41">IF(T$12=0,0,T77/T$12)</f>
        <v>2.3581275526722074E-4</v>
      </c>
      <c r="W77" s="1"/>
      <c r="X77" s="1">
        <f t="shared" ref="X77:X81" si="42">+P77-T77</f>
        <v>-491.22999999999996</v>
      </c>
      <c r="Y77" s="1"/>
      <c r="Z77" s="5">
        <f t="shared" ref="Z77:Z81" si="43">IF(T77=0,0,X77/T77)</f>
        <v>-0.65789438440006964</v>
      </c>
    </row>
    <row r="78" spans="1:26" s="24" customFormat="1" hidden="1" outlineLevel="2" x14ac:dyDescent="0.35">
      <c r="A78" s="27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36"/>
        <v>0</v>
      </c>
      <c r="G78" s="2"/>
      <c r="H78" s="7">
        <v>65.87</v>
      </c>
      <c r="I78" s="2"/>
      <c r="J78" s="6">
        <f t="shared" si="37"/>
        <v>4.3661684846551748E-4</v>
      </c>
      <c r="K78" s="2"/>
      <c r="L78" s="7">
        <f t="shared" si="38"/>
        <v>-65.87</v>
      </c>
      <c r="M78" s="2"/>
      <c r="N78" s="6">
        <f t="shared" si="39"/>
        <v>-1</v>
      </c>
      <c r="O78" s="11"/>
      <c r="P78" s="7">
        <v>255.44</v>
      </c>
      <c r="Q78" s="2"/>
      <c r="R78" s="6">
        <f t="shared" si="40"/>
        <v>1.0191508352572277E-4</v>
      </c>
      <c r="S78" s="2"/>
      <c r="T78" s="7">
        <v>746.67</v>
      </c>
      <c r="U78" s="2"/>
      <c r="V78" s="6">
        <f t="shared" si="41"/>
        <v>2.3581275526722074E-4</v>
      </c>
      <c r="W78" s="2"/>
      <c r="X78" s="7">
        <f t="shared" si="42"/>
        <v>-491.22999999999996</v>
      </c>
      <c r="Y78" s="2"/>
      <c r="Z78" s="6">
        <f t="shared" si="43"/>
        <v>-0.65789438440006964</v>
      </c>
    </row>
    <row r="79" spans="1:26" s="25" customFormat="1" outlineLevel="1" collapsed="1" x14ac:dyDescent="0.35">
      <c r="A79" s="26"/>
      <c r="B79" s="12" t="str">
        <f>CONCATENATE("     ","Freight out/Postage                               ")</f>
        <v xml:space="preserve">     Freight out/Postage                               </v>
      </c>
      <c r="C79" s="12"/>
      <c r="D79" s="1">
        <f>SUM(OSRRefD22_5x_0)</f>
        <v>34.229999999999997</v>
      </c>
      <c r="E79" s="1"/>
      <c r="F79" s="5">
        <f t="shared" si="36"/>
        <v>2.0279960620262264E-4</v>
      </c>
      <c r="G79" s="1"/>
      <c r="H79" s="1">
        <f>SUM(OSRRefH22_5x_0)</f>
        <v>17.899999999999999</v>
      </c>
      <c r="I79" s="1"/>
      <c r="J79" s="5">
        <f t="shared" si="37"/>
        <v>1.1864948516066133E-4</v>
      </c>
      <c r="K79" s="1"/>
      <c r="L79" s="1">
        <f t="shared" si="38"/>
        <v>16.329999999999998</v>
      </c>
      <c r="M79" s="1"/>
      <c r="N79" s="5">
        <f t="shared" si="39"/>
        <v>0.91229050279329604</v>
      </c>
      <c r="O79" s="12"/>
      <c r="P79" s="1">
        <f>SUM(OSRRefP22_5x_0)</f>
        <v>163.83000000000001</v>
      </c>
      <c r="Q79" s="1"/>
      <c r="R79" s="5">
        <f t="shared" si="40"/>
        <v>6.5364657586983882E-5</v>
      </c>
      <c r="S79" s="1"/>
      <c r="T79" s="1">
        <f>SUM(OSRRefT22_5x_0)</f>
        <v>50.5</v>
      </c>
      <c r="U79" s="1"/>
      <c r="V79" s="5">
        <f t="shared" si="41"/>
        <v>1.5948871845654235E-5</v>
      </c>
      <c r="W79" s="1"/>
      <c r="X79" s="1">
        <f t="shared" si="42"/>
        <v>113.33000000000001</v>
      </c>
      <c r="Y79" s="1"/>
      <c r="Z79" s="5">
        <f t="shared" si="43"/>
        <v>2.2441584158415844</v>
      </c>
    </row>
    <row r="80" spans="1:26" s="24" customFormat="1" hidden="1" outlineLevel="2" x14ac:dyDescent="0.35">
      <c r="A80" s="27"/>
      <c r="B80" s="11" t="str">
        <f>CONCATENATE("          ", "6305", " - ", "FREIGHT OUT")</f>
        <v xml:space="preserve">          6305 - FREIGHT OUT</v>
      </c>
      <c r="C80" s="11"/>
      <c r="D80" s="7">
        <v>34.229999999999997</v>
      </c>
      <c r="E80" s="2"/>
      <c r="F80" s="6">
        <f t="shared" si="36"/>
        <v>2.0279960620262264E-4</v>
      </c>
      <c r="G80" s="2"/>
      <c r="H80" s="7">
        <v>17.899999999999999</v>
      </c>
      <c r="I80" s="2"/>
      <c r="J80" s="6">
        <f t="shared" si="37"/>
        <v>1.1864948516066133E-4</v>
      </c>
      <c r="K80" s="2"/>
      <c r="L80" s="7">
        <f t="shared" si="38"/>
        <v>16.329999999999998</v>
      </c>
      <c r="M80" s="2"/>
      <c r="N80" s="6">
        <f t="shared" si="39"/>
        <v>0.91229050279329604</v>
      </c>
      <c r="O80" s="11"/>
      <c r="P80" s="7">
        <v>163.33000000000001</v>
      </c>
      <c r="Q80" s="2"/>
      <c r="R80" s="6">
        <f t="shared" si="40"/>
        <v>6.5165168306672029E-5</v>
      </c>
      <c r="S80" s="2"/>
      <c r="T80" s="7">
        <v>50.5</v>
      </c>
      <c r="U80" s="2"/>
      <c r="V80" s="6">
        <f t="shared" si="41"/>
        <v>1.5948871845654235E-5</v>
      </c>
      <c r="W80" s="2"/>
      <c r="X80" s="7">
        <f t="shared" si="42"/>
        <v>112.83000000000001</v>
      </c>
      <c r="Y80" s="2"/>
      <c r="Z80" s="6">
        <f t="shared" si="43"/>
        <v>2.2342574257425745</v>
      </c>
    </row>
    <row r="81" spans="1:26" s="24" customFormat="1" hidden="1" outlineLevel="2" x14ac:dyDescent="0.35">
      <c r="A81" s="27"/>
      <c r="B81" s="11" t="str">
        <f>CONCATENATE("          ", "6307", " - ", "POSTAGE")</f>
        <v xml:space="preserve">          6307 - POSTAGE</v>
      </c>
      <c r="C81" s="11"/>
      <c r="D81" s="7"/>
      <c r="E81" s="2"/>
      <c r="F81" s="6">
        <f t="shared" si="36"/>
        <v>0</v>
      </c>
      <c r="G81" s="2"/>
      <c r="H81" s="7"/>
      <c r="I81" s="2"/>
      <c r="J81" s="6">
        <f t="shared" si="37"/>
        <v>0</v>
      </c>
      <c r="K81" s="2"/>
      <c r="L81" s="7">
        <f t="shared" si="38"/>
        <v>0</v>
      </c>
      <c r="M81" s="2"/>
      <c r="N81" s="6">
        <f t="shared" si="39"/>
        <v>0</v>
      </c>
      <c r="O81" s="11"/>
      <c r="P81" s="7">
        <v>0.5</v>
      </c>
      <c r="Q81" s="2"/>
      <c r="R81" s="6">
        <f t="shared" si="40"/>
        <v>1.9948928031185948E-7</v>
      </c>
      <c r="S81" s="2"/>
      <c r="T81" s="7"/>
      <c r="U81" s="2"/>
      <c r="V81" s="6">
        <f t="shared" si="41"/>
        <v>0</v>
      </c>
      <c r="W81" s="2"/>
      <c r="X81" s="7">
        <f t="shared" si="42"/>
        <v>0.5</v>
      </c>
      <c r="Y81" s="2"/>
      <c r="Z81" s="6">
        <f t="shared" si="43"/>
        <v>0</v>
      </c>
    </row>
    <row r="82" spans="1:26" s="25" customFormat="1" outlineLevel="1" collapsed="1" x14ac:dyDescent="0.35">
      <c r="A82" s="26"/>
      <c r="B82" s="12" t="str">
        <f>CONCATENATE("     ","General                                           ")</f>
        <v xml:space="preserve">     General                                           </v>
      </c>
      <c r="C82" s="12"/>
      <c r="D82" s="1">
        <f>SUM(OSRRefD22_6x_0)</f>
        <v>0</v>
      </c>
      <c r="E82" s="1"/>
      <c r="F82" s="5">
        <f t="shared" ref="F82:F91" si="44">IF(D$12=0,0,D82/D$12)</f>
        <v>0</v>
      </c>
      <c r="G82" s="1"/>
      <c r="H82" s="1">
        <f>SUM(OSRRefH22_6x_0)</f>
        <v>0</v>
      </c>
      <c r="I82" s="1"/>
      <c r="J82" s="5">
        <f t="shared" ref="J82:J91" si="45">IF(H$12=0,0,H82/H$12)</f>
        <v>0</v>
      </c>
      <c r="K82" s="1"/>
      <c r="L82" s="1">
        <f t="shared" ref="L82:L91" si="46">+D82-H82</f>
        <v>0</v>
      </c>
      <c r="M82" s="1"/>
      <c r="N82" s="5">
        <f t="shared" ref="N82:N91" si="47">IF(H82=0,0,L82/H82)</f>
        <v>0</v>
      </c>
      <c r="O82" s="12"/>
      <c r="P82" s="1">
        <f>SUM(OSRRefP22_6x_0)</f>
        <v>0</v>
      </c>
      <c r="Q82" s="1"/>
      <c r="R82" s="5">
        <f t="shared" ref="R82:R91" si="48">IF(P$12=0,0,P82/P$12)</f>
        <v>0</v>
      </c>
      <c r="S82" s="1"/>
      <c r="T82" s="1">
        <f>SUM(OSRRefT22_6x_0)</f>
        <v>33.06</v>
      </c>
      <c r="U82" s="1"/>
      <c r="V82" s="5">
        <f t="shared" ref="V82:V91" si="49">IF(T$12=0,0,T82/T$12)</f>
        <v>1.0440984222125327E-5</v>
      </c>
      <c r="W82" s="1"/>
      <c r="X82" s="1">
        <f t="shared" ref="X82:X91" si="50">+P82-T82</f>
        <v>-33.06</v>
      </c>
      <c r="Y82" s="1"/>
      <c r="Z82" s="5">
        <f t="shared" ref="Z82:Z91" si="51">IF(T82=0,0,X82/T82)</f>
        <v>-1</v>
      </c>
    </row>
    <row r="83" spans="1:26" s="24" customFormat="1" hidden="1" outlineLevel="2" x14ac:dyDescent="0.35">
      <c r="A83" s="27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44"/>
        <v>0</v>
      </c>
      <c r="G83" s="2"/>
      <c r="H83" s="7"/>
      <c r="I83" s="2"/>
      <c r="J83" s="6">
        <f t="shared" si="45"/>
        <v>0</v>
      </c>
      <c r="K83" s="2"/>
      <c r="L83" s="7">
        <f t="shared" si="46"/>
        <v>0</v>
      </c>
      <c r="M83" s="2"/>
      <c r="N83" s="6">
        <f t="shared" si="47"/>
        <v>0</v>
      </c>
      <c r="O83" s="11"/>
      <c r="P83" s="7"/>
      <c r="Q83" s="2"/>
      <c r="R83" s="6">
        <f t="shared" si="48"/>
        <v>0</v>
      </c>
      <c r="S83" s="2"/>
      <c r="T83" s="7">
        <v>33.06</v>
      </c>
      <c r="U83" s="2"/>
      <c r="V83" s="6">
        <f t="shared" si="49"/>
        <v>1.0440984222125327E-5</v>
      </c>
      <c r="W83" s="2"/>
      <c r="X83" s="7">
        <f t="shared" si="50"/>
        <v>-33.06</v>
      </c>
      <c r="Y83" s="2"/>
      <c r="Z83" s="6">
        <f t="shared" si="51"/>
        <v>-1</v>
      </c>
    </row>
    <row r="84" spans="1:26" s="25" customFormat="1" outlineLevel="1" collapsed="1" x14ac:dyDescent="0.35">
      <c r="A84" s="26"/>
      <c r="B84" s="12" t="str">
        <f>CONCATENATE("     ","Inventory Adjustment                              ")</f>
        <v xml:space="preserve">     Inventory Adjustment                              </v>
      </c>
      <c r="C84" s="12"/>
      <c r="D84" s="1">
        <f>SUM(OSRRefD22_7x_0)</f>
        <v>45082</v>
      </c>
      <c r="E84" s="1"/>
      <c r="F84" s="5">
        <f t="shared" si="44"/>
        <v>0.2670935392003107</v>
      </c>
      <c r="G84" s="1"/>
      <c r="H84" s="1">
        <f>SUM(OSRRefH22_7x_0)</f>
        <v>-67430</v>
      </c>
      <c r="I84" s="1"/>
      <c r="J84" s="5">
        <f t="shared" si="45"/>
        <v>-0.44695725052421198</v>
      </c>
      <c r="K84" s="1"/>
      <c r="L84" s="1">
        <f t="shared" si="46"/>
        <v>112512</v>
      </c>
      <c r="M84" s="1"/>
      <c r="N84" s="5">
        <f t="shared" si="47"/>
        <v>-1.6685748183301201</v>
      </c>
      <c r="O84" s="12"/>
      <c r="P84" s="1">
        <f>SUM(OSRRefP22_7x_0)</f>
        <v>76432</v>
      </c>
      <c r="Q84" s="1"/>
      <c r="R84" s="5">
        <f t="shared" si="48"/>
        <v>3.0494729345592088E-2</v>
      </c>
      <c r="S84" s="1"/>
      <c r="T84" s="1">
        <f>SUM(OSRRefT22_7x_0)</f>
        <v>-56430</v>
      </c>
      <c r="U84" s="1"/>
      <c r="V84" s="5">
        <f t="shared" si="49"/>
        <v>-1.7821679965351851E-2</v>
      </c>
      <c r="W84" s="1"/>
      <c r="X84" s="1">
        <f t="shared" si="50"/>
        <v>132862</v>
      </c>
      <c r="Y84" s="1"/>
      <c r="Z84" s="5">
        <f t="shared" si="51"/>
        <v>-2.3544568491936912</v>
      </c>
    </row>
    <row r="85" spans="1:26" s="24" customFormat="1" hidden="1" outlineLevel="2" x14ac:dyDescent="0.35">
      <c r="A85" s="27"/>
      <c r="B85" s="11" t="str">
        <f>CONCATENATE("          ", "6408", " - ", "INVENTORY ADJUSTMENT")</f>
        <v xml:space="preserve">          6408 - INVENTORY ADJUSTMENT</v>
      </c>
      <c r="C85" s="11"/>
      <c r="D85" s="7">
        <v>-31350</v>
      </c>
      <c r="E85" s="2"/>
      <c r="F85" s="6">
        <f t="shared" si="44"/>
        <v>-0.18573671207865092</v>
      </c>
      <c r="G85" s="2"/>
      <c r="H85" s="7">
        <v>-11000</v>
      </c>
      <c r="I85" s="2"/>
      <c r="J85" s="6">
        <f t="shared" si="45"/>
        <v>-7.2913091439512551E-2</v>
      </c>
      <c r="K85" s="2"/>
      <c r="L85" s="7">
        <f t="shared" si="46"/>
        <v>-20350</v>
      </c>
      <c r="M85" s="2"/>
      <c r="N85" s="6">
        <f t="shared" si="47"/>
        <v>1.85</v>
      </c>
      <c r="O85" s="11"/>
      <c r="P85" s="7">
        <v>0</v>
      </c>
      <c r="Q85" s="2"/>
      <c r="R85" s="6">
        <f t="shared" si="48"/>
        <v>0</v>
      </c>
      <c r="S85" s="2"/>
      <c r="T85" s="7">
        <v>0</v>
      </c>
      <c r="U85" s="2"/>
      <c r="V85" s="6">
        <f t="shared" si="49"/>
        <v>0</v>
      </c>
      <c r="W85" s="2"/>
      <c r="X85" s="7">
        <f t="shared" si="50"/>
        <v>0</v>
      </c>
      <c r="Y85" s="2"/>
      <c r="Z85" s="6">
        <f t="shared" si="51"/>
        <v>0</v>
      </c>
    </row>
    <row r="86" spans="1:26" s="24" customFormat="1" hidden="1" outlineLevel="2" x14ac:dyDescent="0.35">
      <c r="A86" s="27"/>
      <c r="B86" s="11" t="str">
        <f>CONCATENATE("          ", "7740", " - ", "INV. SHRINKAGE-LOGO CLOTHING")</f>
        <v xml:space="preserve">          7740 - INV. SHRINKAGE-LOGO CLOTHING</v>
      </c>
      <c r="C86" s="11"/>
      <c r="D86" s="7">
        <v>-12967</v>
      </c>
      <c r="E86" s="2"/>
      <c r="F86" s="6">
        <f t="shared" si="44"/>
        <v>-7.6824495869979789E-2</v>
      </c>
      <c r="G86" s="2"/>
      <c r="H86" s="7">
        <v>-27751</v>
      </c>
      <c r="I86" s="2"/>
      <c r="J86" s="6">
        <f t="shared" si="45"/>
        <v>-0.1839464727761739</v>
      </c>
      <c r="K86" s="2"/>
      <c r="L86" s="7">
        <f t="shared" si="46"/>
        <v>14784</v>
      </c>
      <c r="M86" s="2"/>
      <c r="N86" s="6">
        <f t="shared" si="47"/>
        <v>-0.53273755900688269</v>
      </c>
      <c r="O86" s="11"/>
      <c r="P86" s="7">
        <v>-12967</v>
      </c>
      <c r="Q86" s="2"/>
      <c r="R86" s="6">
        <f t="shared" si="48"/>
        <v>-5.1735549956077641E-3</v>
      </c>
      <c r="S86" s="2"/>
      <c r="T86" s="7">
        <v>-27751</v>
      </c>
      <c r="U86" s="2"/>
      <c r="V86" s="6">
        <f t="shared" si="49"/>
        <v>-8.7642998532425874E-3</v>
      </c>
      <c r="W86" s="2"/>
      <c r="X86" s="7">
        <f t="shared" si="50"/>
        <v>14784</v>
      </c>
      <c r="Y86" s="2"/>
      <c r="Z86" s="6">
        <f t="shared" si="51"/>
        <v>-0.53273755900688269</v>
      </c>
    </row>
    <row r="87" spans="1:26" s="24" customFormat="1" hidden="1" outlineLevel="2" x14ac:dyDescent="0.35">
      <c r="A87" s="27"/>
      <c r="B87" s="11" t="str">
        <f>CONCATENATE("          ", "7741", " - ", "INV. SHRINKAGE-LOGO GIFTS")</f>
        <v xml:space="preserve">          7741 - INV. SHRINKAGE-LOGO GIFTS</v>
      </c>
      <c r="C87" s="11"/>
      <c r="D87" s="7">
        <v>33363</v>
      </c>
      <c r="E87" s="2"/>
      <c r="F87" s="6">
        <f t="shared" si="44"/>
        <v>0.19766296411738532</v>
      </c>
      <c r="G87" s="2"/>
      <c r="H87" s="7">
        <v>-38317</v>
      </c>
      <c r="I87" s="2"/>
      <c r="J87" s="6">
        <f t="shared" si="45"/>
        <v>-0.2539828113352548</v>
      </c>
      <c r="K87" s="2"/>
      <c r="L87" s="7">
        <f t="shared" si="46"/>
        <v>71680</v>
      </c>
      <c r="M87" s="2"/>
      <c r="N87" s="6">
        <f t="shared" si="47"/>
        <v>-1.8707101286635175</v>
      </c>
      <c r="O87" s="11"/>
      <c r="P87" s="7">
        <v>33363</v>
      </c>
      <c r="Q87" s="2"/>
      <c r="R87" s="6">
        <f t="shared" si="48"/>
        <v>1.3311121718089137E-2</v>
      </c>
      <c r="S87" s="2"/>
      <c r="T87" s="7">
        <v>-38317</v>
      </c>
      <c r="U87" s="2"/>
      <c r="V87" s="6">
        <f t="shared" si="49"/>
        <v>-1.210124599029571E-2</v>
      </c>
      <c r="W87" s="2"/>
      <c r="X87" s="7">
        <f t="shared" si="50"/>
        <v>71680</v>
      </c>
      <c r="Y87" s="2"/>
      <c r="Z87" s="6">
        <f t="shared" si="51"/>
        <v>-1.8707101286635175</v>
      </c>
    </row>
    <row r="88" spans="1:26" s="24" customFormat="1" hidden="1" outlineLevel="2" x14ac:dyDescent="0.35">
      <c r="A88" s="27"/>
      <c r="B88" s="11" t="str">
        <f>CONCATENATE("          ", "7742", " - ", "INV. SHRINKAGE-EVERYDAY GIFTS")</f>
        <v xml:space="preserve">          7742 - INV. SHRINKAGE-EVERYDAY GIFTS</v>
      </c>
      <c r="C88" s="11"/>
      <c r="D88" s="7">
        <v>24230</v>
      </c>
      <c r="E88" s="2"/>
      <c r="F88" s="6">
        <f t="shared" si="44"/>
        <v>0.14355344604994294</v>
      </c>
      <c r="G88" s="2"/>
      <c r="H88" s="7">
        <v>11936</v>
      </c>
      <c r="I88" s="2"/>
      <c r="J88" s="6">
        <f t="shared" si="45"/>
        <v>7.9117332674729257E-2</v>
      </c>
      <c r="K88" s="2"/>
      <c r="L88" s="7">
        <f t="shared" si="46"/>
        <v>12294</v>
      </c>
      <c r="M88" s="2"/>
      <c r="N88" s="6">
        <f t="shared" si="47"/>
        <v>1.0299932975871313</v>
      </c>
      <c r="O88" s="11"/>
      <c r="P88" s="7">
        <v>24230</v>
      </c>
      <c r="Q88" s="2"/>
      <c r="R88" s="6">
        <f t="shared" si="48"/>
        <v>9.6672505239127106E-3</v>
      </c>
      <c r="S88" s="2"/>
      <c r="T88" s="7">
        <v>11936</v>
      </c>
      <c r="U88" s="2"/>
      <c r="V88" s="6">
        <f t="shared" si="49"/>
        <v>3.7696185019748308E-3</v>
      </c>
      <c r="W88" s="2"/>
      <c r="X88" s="7">
        <f t="shared" si="50"/>
        <v>12294</v>
      </c>
      <c r="Y88" s="2"/>
      <c r="Z88" s="6">
        <f t="shared" si="51"/>
        <v>1.0299932975871313</v>
      </c>
    </row>
    <row r="89" spans="1:26" s="24" customFormat="1" hidden="1" outlineLevel="2" x14ac:dyDescent="0.35">
      <c r="A89" s="27"/>
      <c r="B89" s="11" t="str">
        <f>CONCATENATE("          ", "7743", " - ", "INV. SHRINKAGE-CARDS")</f>
        <v xml:space="preserve">          7743 - INV. SHRINKAGE-CARDS</v>
      </c>
      <c r="C89" s="11"/>
      <c r="D89" s="7">
        <v>-11529</v>
      </c>
      <c r="E89" s="2"/>
      <c r="F89" s="6">
        <f t="shared" si="44"/>
        <v>-6.8304898040024445E-2</v>
      </c>
      <c r="G89" s="2"/>
      <c r="H89" s="7">
        <v>-913</v>
      </c>
      <c r="I89" s="2"/>
      <c r="J89" s="6">
        <f t="shared" si="45"/>
        <v>-6.0517865894795424E-3</v>
      </c>
      <c r="K89" s="2"/>
      <c r="L89" s="7">
        <f t="shared" si="46"/>
        <v>-10616</v>
      </c>
      <c r="M89" s="2"/>
      <c r="N89" s="6">
        <f t="shared" si="47"/>
        <v>11.627601314348302</v>
      </c>
      <c r="O89" s="11"/>
      <c r="P89" s="7">
        <v>-11529</v>
      </c>
      <c r="Q89" s="2"/>
      <c r="R89" s="6">
        <f t="shared" si="48"/>
        <v>-4.5998238254308559E-3</v>
      </c>
      <c r="S89" s="2"/>
      <c r="T89" s="7">
        <v>-913</v>
      </c>
      <c r="U89" s="2"/>
      <c r="V89" s="6">
        <f t="shared" si="49"/>
        <v>-2.8834297019964987E-4</v>
      </c>
      <c r="W89" s="2"/>
      <c r="X89" s="7">
        <f t="shared" si="50"/>
        <v>-10616</v>
      </c>
      <c r="Y89" s="2"/>
      <c r="Z89" s="6">
        <f t="shared" si="51"/>
        <v>11.627601314348302</v>
      </c>
    </row>
    <row r="90" spans="1:26" s="24" customFormat="1" hidden="1" outlineLevel="2" x14ac:dyDescent="0.35">
      <c r="A90" s="27"/>
      <c r="B90" s="11" t="str">
        <f>CONCATENATE("          ", "7744", " - ", "INV. SHRINKAGE-ACCESSORIES")</f>
        <v xml:space="preserve">          7744 - INV. SHRINKAGE-ACCESSORIES</v>
      </c>
      <c r="C90" s="11"/>
      <c r="D90" s="7">
        <v>249</v>
      </c>
      <c r="E90" s="2"/>
      <c r="F90" s="6">
        <f t="shared" si="44"/>
        <v>1.475229387801725E-3</v>
      </c>
      <c r="G90" s="2"/>
      <c r="H90" s="7">
        <v>-1606</v>
      </c>
      <c r="I90" s="2"/>
      <c r="J90" s="6">
        <f t="shared" si="45"/>
        <v>-1.0645311350168832E-2</v>
      </c>
      <c r="K90" s="2"/>
      <c r="L90" s="7">
        <f t="shared" si="46"/>
        <v>1855</v>
      </c>
      <c r="M90" s="2"/>
      <c r="N90" s="6">
        <f t="shared" si="47"/>
        <v>-1.1550435865504358</v>
      </c>
      <c r="O90" s="11"/>
      <c r="P90" s="7">
        <v>249</v>
      </c>
      <c r="Q90" s="2"/>
      <c r="R90" s="6">
        <f t="shared" si="48"/>
        <v>9.9345661595306024E-5</v>
      </c>
      <c r="S90" s="2"/>
      <c r="T90" s="7">
        <v>-1606</v>
      </c>
      <c r="U90" s="2"/>
      <c r="V90" s="6">
        <f t="shared" si="49"/>
        <v>-5.0720570661625156E-4</v>
      </c>
      <c r="W90" s="2"/>
      <c r="X90" s="7">
        <f t="shared" si="50"/>
        <v>1855</v>
      </c>
      <c r="Y90" s="2"/>
      <c r="Z90" s="6">
        <f t="shared" si="51"/>
        <v>-1.1550435865504358</v>
      </c>
    </row>
    <row r="91" spans="1:26" s="24" customFormat="1" hidden="1" outlineLevel="2" x14ac:dyDescent="0.35">
      <c r="A91" s="27"/>
      <c r="B91" s="11" t="str">
        <f>CONCATENATE("          ", "7745", " - ", "INV. SHRINKAGE-SPECIAL ORDERS")</f>
        <v xml:space="preserve">          7745 - INV. SHRINKAGE-SPECIAL ORDERS</v>
      </c>
      <c r="C91" s="11"/>
      <c r="D91" s="7">
        <v>43086</v>
      </c>
      <c r="E91" s="2"/>
      <c r="F91" s="6">
        <f t="shared" si="44"/>
        <v>0.25526800563383584</v>
      </c>
      <c r="G91" s="2"/>
      <c r="H91" s="7">
        <v>221</v>
      </c>
      <c r="I91" s="2"/>
      <c r="J91" s="6">
        <f t="shared" si="45"/>
        <v>1.4648902916483885E-3</v>
      </c>
      <c r="K91" s="2"/>
      <c r="L91" s="7">
        <f t="shared" si="46"/>
        <v>42865</v>
      </c>
      <c r="M91" s="2"/>
      <c r="N91" s="6">
        <f t="shared" si="47"/>
        <v>193.95927601809956</v>
      </c>
      <c r="O91" s="11"/>
      <c r="P91" s="7">
        <v>43086</v>
      </c>
      <c r="Q91" s="2"/>
      <c r="R91" s="6">
        <f t="shared" si="48"/>
        <v>1.7190390263033557E-2</v>
      </c>
      <c r="S91" s="2"/>
      <c r="T91" s="7">
        <v>221</v>
      </c>
      <c r="U91" s="2"/>
      <c r="V91" s="6">
        <f t="shared" si="49"/>
        <v>6.9796053027516549E-5</v>
      </c>
      <c r="W91" s="2"/>
      <c r="X91" s="7">
        <f t="shared" si="50"/>
        <v>42865</v>
      </c>
      <c r="Y91" s="2"/>
      <c r="Z91" s="6">
        <f t="shared" si="51"/>
        <v>193.95927601809956</v>
      </c>
    </row>
    <row r="92" spans="1:26" s="25" customFormat="1" outlineLevel="1" collapsed="1" x14ac:dyDescent="0.35">
      <c r="A92" s="26"/>
      <c r="B92" s="12" t="str">
        <f>CONCATENATE("     ","Professional Services                             ")</f>
        <v xml:space="preserve">     Professional Services                             </v>
      </c>
      <c r="C92" s="12"/>
      <c r="D92" s="1">
        <f>SUM(OSRRefD22_8x_0)</f>
        <v>0</v>
      </c>
      <c r="E92" s="1"/>
      <c r="F92" s="5">
        <f t="shared" ref="F92:F97" si="52">IF(D$12=0,0,D92/D$12)</f>
        <v>0</v>
      </c>
      <c r="G92" s="1"/>
      <c r="H92" s="1">
        <f>SUM(OSRRefH22_8x_0)</f>
        <v>0</v>
      </c>
      <c r="I92" s="1"/>
      <c r="J92" s="5">
        <f t="shared" ref="J92:J97" si="53">IF(H$12=0,0,H92/H$12)</f>
        <v>0</v>
      </c>
      <c r="K92" s="1"/>
      <c r="L92" s="1">
        <f t="shared" ref="L92:L97" si="54">+D92-H92</f>
        <v>0</v>
      </c>
      <c r="M92" s="1"/>
      <c r="N92" s="5">
        <f t="shared" ref="N92:N97" si="55">IF(H92=0,0,L92/H92)</f>
        <v>0</v>
      </c>
      <c r="O92" s="12"/>
      <c r="P92" s="1">
        <f>SUM(OSRRefP22_8x_0)</f>
        <v>2930</v>
      </c>
      <c r="Q92" s="1"/>
      <c r="R92" s="5">
        <f t="shared" ref="R92:R97" si="56">IF(P$12=0,0,P92/P$12)</f>
        <v>1.1690071826274966E-3</v>
      </c>
      <c r="S92" s="1"/>
      <c r="T92" s="1">
        <f>SUM(OSRRefT22_8x_0)</f>
        <v>0</v>
      </c>
      <c r="U92" s="1"/>
      <c r="V92" s="5">
        <f t="shared" ref="V92:V97" si="57">IF(T$12=0,0,T92/T$12)</f>
        <v>0</v>
      </c>
      <c r="W92" s="1"/>
      <c r="X92" s="1">
        <f t="shared" ref="X92:X97" si="58">+P92-T92</f>
        <v>2930</v>
      </c>
      <c r="Y92" s="1"/>
      <c r="Z92" s="5">
        <f t="shared" ref="Z92:Z97" si="59">IF(T92=0,0,X92/T92)</f>
        <v>0</v>
      </c>
    </row>
    <row r="93" spans="1:26" s="24" customFormat="1" hidden="1" outlineLevel="2" x14ac:dyDescent="0.35">
      <c r="A93" s="27"/>
      <c r="B93" s="11" t="str">
        <f>CONCATENATE("          ", "6336", " - ", "PROFESSIONAL SERVICES")</f>
        <v xml:space="preserve">          6336 - PROFESSIONAL SERVICES</v>
      </c>
      <c r="C93" s="11"/>
      <c r="D93" s="7"/>
      <c r="E93" s="2"/>
      <c r="F93" s="6">
        <f t="shared" si="52"/>
        <v>0</v>
      </c>
      <c r="G93" s="2"/>
      <c r="H93" s="7"/>
      <c r="I93" s="2"/>
      <c r="J93" s="6">
        <f t="shared" si="53"/>
        <v>0</v>
      </c>
      <c r="K93" s="2"/>
      <c r="L93" s="7">
        <f t="shared" si="54"/>
        <v>0</v>
      </c>
      <c r="M93" s="2"/>
      <c r="N93" s="6">
        <f t="shared" si="55"/>
        <v>0</v>
      </c>
      <c r="O93" s="11"/>
      <c r="P93" s="7">
        <v>2930</v>
      </c>
      <c r="Q93" s="2"/>
      <c r="R93" s="6">
        <f t="shared" si="56"/>
        <v>1.1690071826274966E-3</v>
      </c>
      <c r="S93" s="2"/>
      <c r="T93" s="7"/>
      <c r="U93" s="2"/>
      <c r="V93" s="6">
        <f t="shared" si="57"/>
        <v>0</v>
      </c>
      <c r="W93" s="2"/>
      <c r="X93" s="7">
        <f t="shared" si="58"/>
        <v>2930</v>
      </c>
      <c r="Y93" s="2"/>
      <c r="Z93" s="6">
        <f t="shared" si="59"/>
        <v>0</v>
      </c>
    </row>
    <row r="94" spans="1:26" s="25" customFormat="1" outlineLevel="1" collapsed="1" x14ac:dyDescent="0.35">
      <c r="A94" s="26"/>
      <c r="B94" s="12" t="str">
        <f>CONCATENATE("     ","Repair and Maintenance                            ")</f>
        <v xml:space="preserve">     Repair and Maintenance                            </v>
      </c>
      <c r="C94" s="12"/>
      <c r="D94" s="1">
        <f>SUM(OSRRefD22_9x_0)</f>
        <v>0</v>
      </c>
      <c r="E94" s="1"/>
      <c r="F94" s="5">
        <f t="shared" si="52"/>
        <v>0</v>
      </c>
      <c r="G94" s="1"/>
      <c r="H94" s="1">
        <f>SUM(OSRRefH22_9x_0)</f>
        <v>0</v>
      </c>
      <c r="I94" s="1"/>
      <c r="J94" s="5">
        <f t="shared" si="53"/>
        <v>0</v>
      </c>
      <c r="K94" s="1"/>
      <c r="L94" s="1">
        <f t="shared" si="54"/>
        <v>0</v>
      </c>
      <c r="M94" s="1"/>
      <c r="N94" s="5">
        <f t="shared" si="55"/>
        <v>0</v>
      </c>
      <c r="O94" s="12"/>
      <c r="P94" s="1">
        <f>SUM(OSRRefP22_9x_0)</f>
        <v>309.77999999999997</v>
      </c>
      <c r="Q94" s="1"/>
      <c r="R94" s="5">
        <f t="shared" si="56"/>
        <v>1.2359557851001566E-4</v>
      </c>
      <c r="S94" s="1"/>
      <c r="T94" s="1">
        <f>SUM(OSRRefT22_9x_0)</f>
        <v>208.67000000000002</v>
      </c>
      <c r="U94" s="1"/>
      <c r="V94" s="5">
        <f t="shared" si="57"/>
        <v>6.5902001743221175E-5</v>
      </c>
      <c r="W94" s="1"/>
      <c r="X94" s="1">
        <f t="shared" si="58"/>
        <v>101.10999999999996</v>
      </c>
      <c r="Y94" s="1"/>
      <c r="Z94" s="5">
        <f t="shared" si="59"/>
        <v>0.48454497531988283</v>
      </c>
    </row>
    <row r="95" spans="1:26" s="24" customFormat="1" hidden="1" outlineLevel="2" x14ac:dyDescent="0.35">
      <c r="A95" s="27"/>
      <c r="B95" s="11" t="str">
        <f>CONCATENATE("          ", "6371", " - ", "COMPUTER SOFTWARE MAINTENANCE")</f>
        <v xml:space="preserve">          6371 - COMPUTER SOFTWARE MAINTENANCE</v>
      </c>
      <c r="C95" s="11"/>
      <c r="D95" s="7"/>
      <c r="E95" s="2"/>
      <c r="F95" s="6">
        <f t="shared" si="52"/>
        <v>0</v>
      </c>
      <c r="G95" s="2"/>
      <c r="H95" s="7"/>
      <c r="I95" s="2"/>
      <c r="J95" s="6">
        <f t="shared" si="53"/>
        <v>0</v>
      </c>
      <c r="K95" s="2"/>
      <c r="L95" s="7">
        <f t="shared" si="54"/>
        <v>0</v>
      </c>
      <c r="M95" s="2"/>
      <c r="N95" s="6">
        <f t="shared" si="55"/>
        <v>0</v>
      </c>
      <c r="O95" s="11"/>
      <c r="P95" s="7"/>
      <c r="Q95" s="2"/>
      <c r="R95" s="6">
        <f t="shared" si="56"/>
        <v>0</v>
      </c>
      <c r="S95" s="2"/>
      <c r="T95" s="7">
        <v>186.58</v>
      </c>
      <c r="U95" s="2"/>
      <c r="V95" s="6">
        <f t="shared" si="57"/>
        <v>5.8925554632914204E-5</v>
      </c>
      <c r="W95" s="2"/>
      <c r="X95" s="7">
        <f t="shared" si="58"/>
        <v>-186.58</v>
      </c>
      <c r="Y95" s="2"/>
      <c r="Z95" s="6">
        <f t="shared" si="59"/>
        <v>-1</v>
      </c>
    </row>
    <row r="96" spans="1:26" s="24" customFormat="1" hidden="1" outlineLevel="2" x14ac:dyDescent="0.35">
      <c r="A96" s="27"/>
      <c r="B96" s="11" t="str">
        <f>CONCATENATE("          ", "6373", " - ", "MAINTENANCE CONTRACTS")</f>
        <v xml:space="preserve">          6373 - MAINTENANCE CONTRACTS</v>
      </c>
      <c r="C96" s="11"/>
      <c r="D96" s="7"/>
      <c r="E96" s="2"/>
      <c r="F96" s="6">
        <f t="shared" si="52"/>
        <v>0</v>
      </c>
      <c r="G96" s="2"/>
      <c r="H96" s="7"/>
      <c r="I96" s="2"/>
      <c r="J96" s="6">
        <f t="shared" si="53"/>
        <v>0</v>
      </c>
      <c r="K96" s="2"/>
      <c r="L96" s="7">
        <f t="shared" si="54"/>
        <v>0</v>
      </c>
      <c r="M96" s="2"/>
      <c r="N96" s="6">
        <f t="shared" si="55"/>
        <v>0</v>
      </c>
      <c r="O96" s="11"/>
      <c r="P96" s="7">
        <v>309.77999999999997</v>
      </c>
      <c r="Q96" s="2"/>
      <c r="R96" s="6">
        <f t="shared" si="56"/>
        <v>1.2359557851001566E-4</v>
      </c>
      <c r="S96" s="2"/>
      <c r="T96" s="7"/>
      <c r="U96" s="2"/>
      <c r="V96" s="6">
        <f t="shared" si="57"/>
        <v>0</v>
      </c>
      <c r="W96" s="2"/>
      <c r="X96" s="7">
        <f t="shared" si="58"/>
        <v>309.77999999999997</v>
      </c>
      <c r="Y96" s="2"/>
      <c r="Z96" s="6">
        <f t="shared" si="59"/>
        <v>0</v>
      </c>
    </row>
    <row r="97" spans="1:26" s="24" customFormat="1" hidden="1" outlineLevel="2" x14ac:dyDescent="0.35">
      <c r="A97" s="27"/>
      <c r="B97" s="11" t="str">
        <f>CONCATENATE("          ", "6375", " - ", "OUTSIDE REPAIRS &amp; MAINTENANCE")</f>
        <v xml:space="preserve">          6375 - OUTSIDE REPAIRS &amp; MAINTENANCE</v>
      </c>
      <c r="C97" s="11"/>
      <c r="D97" s="7"/>
      <c r="E97" s="2"/>
      <c r="F97" s="6">
        <f t="shared" si="52"/>
        <v>0</v>
      </c>
      <c r="G97" s="2"/>
      <c r="H97" s="7"/>
      <c r="I97" s="2"/>
      <c r="J97" s="6">
        <f t="shared" si="53"/>
        <v>0</v>
      </c>
      <c r="K97" s="2"/>
      <c r="L97" s="7">
        <f t="shared" si="54"/>
        <v>0</v>
      </c>
      <c r="M97" s="2"/>
      <c r="N97" s="6">
        <f t="shared" si="55"/>
        <v>0</v>
      </c>
      <c r="O97" s="11"/>
      <c r="P97" s="7"/>
      <c r="Q97" s="2"/>
      <c r="R97" s="6">
        <f t="shared" si="56"/>
        <v>0</v>
      </c>
      <c r="S97" s="2"/>
      <c r="T97" s="7">
        <v>22.09</v>
      </c>
      <c r="U97" s="2"/>
      <c r="V97" s="6">
        <f t="shared" si="57"/>
        <v>6.9764471103069713E-6</v>
      </c>
      <c r="W97" s="2"/>
      <c r="X97" s="7">
        <f t="shared" si="58"/>
        <v>-22.09</v>
      </c>
      <c r="Y97" s="2"/>
      <c r="Z97" s="6">
        <f t="shared" si="59"/>
        <v>-1</v>
      </c>
    </row>
    <row r="98" spans="1:26" s="25" customFormat="1" outlineLevel="1" collapsed="1" x14ac:dyDescent="0.35">
      <c r="A98" s="26"/>
      <c r="B98" s="12" t="str">
        <f>CONCATENATE("     ","Royalty &amp; Commissions                             ")</f>
        <v xml:space="preserve">     Royalty &amp; Commissions                             </v>
      </c>
      <c r="C98" s="12"/>
      <c r="D98" s="1">
        <f>SUM(OSRRefD22_10x_0)</f>
        <v>0</v>
      </c>
      <c r="E98" s="1"/>
      <c r="F98" s="5">
        <f t="shared" ref="F98:F100" si="60">IF(D$12=0,0,D98/D$12)</f>
        <v>0</v>
      </c>
      <c r="G98" s="1"/>
      <c r="H98" s="1">
        <f>SUM(OSRRefH22_10x_0)</f>
        <v>0</v>
      </c>
      <c r="I98" s="1"/>
      <c r="J98" s="5">
        <f t="shared" ref="J98:J100" si="61">IF(H$12=0,0,H98/H$12)</f>
        <v>0</v>
      </c>
      <c r="K98" s="1"/>
      <c r="L98" s="1">
        <f t="shared" ref="L98:L100" si="62">+D98-H98</f>
        <v>0</v>
      </c>
      <c r="M98" s="1"/>
      <c r="N98" s="5">
        <f t="shared" ref="N98:N100" si="63">IF(H98=0,0,L98/H98)</f>
        <v>0</v>
      </c>
      <c r="O98" s="12"/>
      <c r="P98" s="1">
        <f>SUM(OSRRefP22_10x_0)</f>
        <v>40841.660000000003</v>
      </c>
      <c r="Q98" s="1"/>
      <c r="R98" s="5">
        <f t="shared" ref="R98:R100" si="64">IF(P$12=0,0,P98/P$12)</f>
        <v>1.629494672028332E-2</v>
      </c>
      <c r="S98" s="1"/>
      <c r="T98" s="1">
        <f>SUM(OSRRefT22_10x_0)</f>
        <v>57814.420000000006</v>
      </c>
      <c r="U98" s="1"/>
      <c r="V98" s="5">
        <f t="shared" ref="V98:V100" si="65">IF(T$12=0,0,T98/T$12)</f>
        <v>1.8258906443778797E-2</v>
      </c>
      <c r="W98" s="1"/>
      <c r="X98" s="1">
        <f t="shared" ref="X98:X100" si="66">+P98-T98</f>
        <v>-16972.760000000002</v>
      </c>
      <c r="Y98" s="1"/>
      <c r="Z98" s="5">
        <f t="shared" ref="Z98:Z100" si="67">IF(T98=0,0,X98/T98)</f>
        <v>-0.29357312587413315</v>
      </c>
    </row>
    <row r="99" spans="1:26" s="24" customFormat="1" hidden="1" outlineLevel="2" x14ac:dyDescent="0.35">
      <c r="A99" s="27"/>
      <c r="B99" s="11" t="str">
        <f>CONCATENATE("          ", "6253", " - ", "ROYALTY DUE ATHLETICS-LRG")</f>
        <v xml:space="preserve">          6253 - ROYALTY DUE ATHLETICS-LRG</v>
      </c>
      <c r="C99" s="11"/>
      <c r="D99" s="7"/>
      <c r="E99" s="2"/>
      <c r="F99" s="6">
        <f t="shared" si="60"/>
        <v>0</v>
      </c>
      <c r="G99" s="2"/>
      <c r="H99" s="7"/>
      <c r="I99" s="2"/>
      <c r="J99" s="6">
        <f t="shared" si="61"/>
        <v>0</v>
      </c>
      <c r="K99" s="2"/>
      <c r="L99" s="7">
        <f t="shared" si="62"/>
        <v>0</v>
      </c>
      <c r="M99" s="2"/>
      <c r="N99" s="6">
        <f t="shared" si="63"/>
        <v>0</v>
      </c>
      <c r="O99" s="11"/>
      <c r="P99" s="7">
        <v>32870.44</v>
      </c>
      <c r="Q99" s="2"/>
      <c r="R99" s="6">
        <f t="shared" si="64"/>
        <v>1.3114600838268318E-2</v>
      </c>
      <c r="S99" s="2"/>
      <c r="T99" s="7">
        <v>41365.990000000005</v>
      </c>
      <c r="U99" s="2"/>
      <c r="V99" s="6">
        <f t="shared" si="65"/>
        <v>1.3064175708487421E-2</v>
      </c>
      <c r="W99" s="2"/>
      <c r="X99" s="7">
        <f t="shared" si="66"/>
        <v>-8495.5500000000029</v>
      </c>
      <c r="Y99" s="2"/>
      <c r="Z99" s="6">
        <f t="shared" si="67"/>
        <v>-0.20537523700025073</v>
      </c>
    </row>
    <row r="100" spans="1:26" s="24" customFormat="1" hidden="1" outlineLevel="2" x14ac:dyDescent="0.35">
      <c r="A100" s="27"/>
      <c r="B100" s="11" t="str">
        <f>CONCATENATE("          ", "6254", " - ", "ROYALTY &amp; COMMISSIONS")</f>
        <v xml:space="preserve">          6254 - ROYALTY &amp; COMMISSIONS</v>
      </c>
      <c r="C100" s="11"/>
      <c r="D100" s="7"/>
      <c r="E100" s="2"/>
      <c r="F100" s="6">
        <f t="shared" si="60"/>
        <v>0</v>
      </c>
      <c r="G100" s="2"/>
      <c r="H100" s="7"/>
      <c r="I100" s="2"/>
      <c r="J100" s="6">
        <f t="shared" si="61"/>
        <v>0</v>
      </c>
      <c r="K100" s="2"/>
      <c r="L100" s="7">
        <f t="shared" si="62"/>
        <v>0</v>
      </c>
      <c r="M100" s="2"/>
      <c r="N100" s="6">
        <f t="shared" si="63"/>
        <v>0</v>
      </c>
      <c r="O100" s="11"/>
      <c r="P100" s="7">
        <v>7971.22</v>
      </c>
      <c r="Q100" s="2"/>
      <c r="R100" s="6">
        <f t="shared" si="64"/>
        <v>3.1803458820150012E-3</v>
      </c>
      <c r="S100" s="2"/>
      <c r="T100" s="7">
        <v>16448.43</v>
      </c>
      <c r="U100" s="2"/>
      <c r="V100" s="6">
        <f t="shared" si="65"/>
        <v>5.1947307352913762E-3</v>
      </c>
      <c r="W100" s="2"/>
      <c r="X100" s="7">
        <f t="shared" si="66"/>
        <v>-8477.2099999999991</v>
      </c>
      <c r="Y100" s="2"/>
      <c r="Z100" s="6">
        <f t="shared" si="67"/>
        <v>-0.51538110324207231</v>
      </c>
    </row>
    <row r="101" spans="1:26" s="25" customFormat="1" outlineLevel="1" collapsed="1" x14ac:dyDescent="0.35">
      <c r="A101" s="26"/>
      <c r="B101" s="12" t="str">
        <f>CONCATENATE("     ","Subscriptions &amp; Dues                              ")</f>
        <v xml:space="preserve">     Subscriptions &amp; Dues                              </v>
      </c>
      <c r="C101" s="12"/>
      <c r="D101" s="1">
        <f>SUM(OSRRefD22_11x_0)</f>
        <v>119.97</v>
      </c>
      <c r="E101" s="1"/>
      <c r="F101" s="5">
        <f t="shared" ref="F101:F103" si="68">IF(D$12=0,0,D101/D$12)</f>
        <v>7.107761833516985E-4</v>
      </c>
      <c r="G101" s="1"/>
      <c r="H101" s="1">
        <f>SUM(OSRRefH22_11x_0)</f>
        <v>0</v>
      </c>
      <c r="I101" s="1"/>
      <c r="J101" s="5">
        <f t="shared" ref="J101:J103" si="69">IF(H$12=0,0,H101/H$12)</f>
        <v>0</v>
      </c>
      <c r="K101" s="1"/>
      <c r="L101" s="1">
        <f t="shared" ref="L101:L103" si="70">+D101-H101</f>
        <v>119.97</v>
      </c>
      <c r="M101" s="1"/>
      <c r="N101" s="5">
        <f t="shared" ref="N101:N103" si="71">IF(H101=0,0,L101/H101)</f>
        <v>0</v>
      </c>
      <c r="O101" s="12"/>
      <c r="P101" s="1">
        <f>SUM(OSRRefP22_11x_0)</f>
        <v>499.54999999999995</v>
      </c>
      <c r="Q101" s="1"/>
      <c r="R101" s="5">
        <f t="shared" ref="R101:R103" si="72">IF(P$12=0,0,P101/P$12)</f>
        <v>1.993097399595788E-4</v>
      </c>
      <c r="S101" s="1"/>
      <c r="T101" s="1">
        <f>SUM(OSRRefT22_11x_0)</f>
        <v>710.02</v>
      </c>
      <c r="U101" s="1"/>
      <c r="V101" s="5">
        <f t="shared" ref="V101:V103" si="73">IF(T$12=0,0,T101/T$12)</f>
        <v>2.2423797995745385E-4</v>
      </c>
      <c r="W101" s="1"/>
      <c r="X101" s="1">
        <f t="shared" ref="X101:X103" si="74">+P101-T101</f>
        <v>-210.47000000000003</v>
      </c>
      <c r="Y101" s="1"/>
      <c r="Z101" s="5">
        <f t="shared" ref="Z101:Z103" si="75">IF(T101=0,0,X101/T101)</f>
        <v>-0.29642826962620777</v>
      </c>
    </row>
    <row r="102" spans="1:26" s="24" customFormat="1" hidden="1" outlineLevel="2" x14ac:dyDescent="0.35">
      <c r="A102" s="27"/>
      <c r="B102" s="11" t="str">
        <f>CONCATENATE("          ", "6258", " - ", "MEMBERSHIP DUES")</f>
        <v xml:space="preserve">          6258 - MEMBERSHIP DUES</v>
      </c>
      <c r="C102" s="11"/>
      <c r="D102" s="7">
        <v>119.97</v>
      </c>
      <c r="E102" s="2"/>
      <c r="F102" s="6">
        <f t="shared" si="68"/>
        <v>7.107761833516985E-4</v>
      </c>
      <c r="G102" s="2"/>
      <c r="H102" s="7"/>
      <c r="I102" s="2"/>
      <c r="J102" s="6">
        <f t="shared" si="69"/>
        <v>0</v>
      </c>
      <c r="K102" s="2"/>
      <c r="L102" s="7">
        <f t="shared" si="70"/>
        <v>119.97</v>
      </c>
      <c r="M102" s="2"/>
      <c r="N102" s="6">
        <f t="shared" si="71"/>
        <v>0</v>
      </c>
      <c r="O102" s="11"/>
      <c r="P102" s="7">
        <v>202.91</v>
      </c>
      <c r="Q102" s="2"/>
      <c r="R102" s="6">
        <f t="shared" si="72"/>
        <v>8.0956739736158818E-5</v>
      </c>
      <c r="S102" s="2"/>
      <c r="T102" s="7">
        <v>129.88</v>
      </c>
      <c r="U102" s="2"/>
      <c r="V102" s="6">
        <f t="shared" si="73"/>
        <v>4.1018603471555882E-5</v>
      </c>
      <c r="W102" s="2"/>
      <c r="X102" s="7">
        <f t="shared" si="74"/>
        <v>73.03</v>
      </c>
      <c r="Y102" s="2"/>
      <c r="Z102" s="6">
        <f t="shared" si="75"/>
        <v>0.56228826609177707</v>
      </c>
    </row>
    <row r="103" spans="1:26" s="24" customFormat="1" hidden="1" outlineLevel="2" x14ac:dyDescent="0.35">
      <c r="A103" s="27"/>
      <c r="B103" s="11" t="str">
        <f>CONCATENATE("          ", "6275", " - ", "SUBSCRIPTIONS")</f>
        <v xml:space="preserve">          6275 - SUBSCRIPTIONS</v>
      </c>
      <c r="C103" s="11"/>
      <c r="D103" s="7"/>
      <c r="E103" s="2"/>
      <c r="F103" s="6">
        <f t="shared" si="68"/>
        <v>0</v>
      </c>
      <c r="G103" s="2"/>
      <c r="H103" s="7"/>
      <c r="I103" s="2"/>
      <c r="J103" s="6">
        <f t="shared" si="69"/>
        <v>0</v>
      </c>
      <c r="K103" s="2"/>
      <c r="L103" s="7">
        <f t="shared" si="70"/>
        <v>0</v>
      </c>
      <c r="M103" s="2"/>
      <c r="N103" s="6">
        <f t="shared" si="71"/>
        <v>0</v>
      </c>
      <c r="O103" s="11"/>
      <c r="P103" s="7">
        <v>296.64</v>
      </c>
      <c r="Q103" s="2"/>
      <c r="R103" s="6">
        <f t="shared" si="72"/>
        <v>1.1835300022341999E-4</v>
      </c>
      <c r="S103" s="2"/>
      <c r="T103" s="7">
        <v>580.14</v>
      </c>
      <c r="U103" s="2"/>
      <c r="V103" s="6">
        <f t="shared" si="73"/>
        <v>1.8321937648589797E-4</v>
      </c>
      <c r="W103" s="2"/>
      <c r="X103" s="7">
        <f t="shared" si="74"/>
        <v>-283.5</v>
      </c>
      <c r="Y103" s="2"/>
      <c r="Z103" s="6">
        <f t="shared" si="75"/>
        <v>-0.48867514737821904</v>
      </c>
    </row>
    <row r="104" spans="1:26" s="25" customFormat="1" outlineLevel="1" collapsed="1" x14ac:dyDescent="0.35">
      <c r="A104" s="26"/>
      <c r="B104" s="12" t="str">
        <f>CONCATENATE("     ","Supplies                                          ")</f>
        <v xml:space="preserve">     Supplies                                          </v>
      </c>
      <c r="C104" s="12"/>
      <c r="D104" s="1">
        <f>SUM(OSRRefD22_12x_0)</f>
        <v>158.76</v>
      </c>
      <c r="E104" s="1"/>
      <c r="F104" s="5">
        <f t="shared" ref="F104:F109" si="76">IF(D$12=0,0,D104/D$12)</f>
        <v>9.4059203858394308E-4</v>
      </c>
      <c r="G104" s="1"/>
      <c r="H104" s="1">
        <f>SUM(OSRRefH22_12x_0)</f>
        <v>445.54999999999995</v>
      </c>
      <c r="I104" s="1"/>
      <c r="J104" s="5">
        <f t="shared" ref="J104:J109" si="77">IF(H$12=0,0,H104/H$12)</f>
        <v>2.9533116264431648E-3</v>
      </c>
      <c r="K104" s="1"/>
      <c r="L104" s="1">
        <f t="shared" ref="L104:L109" si="78">+D104-H104</f>
        <v>-286.78999999999996</v>
      </c>
      <c r="M104" s="1"/>
      <c r="N104" s="5">
        <f t="shared" ref="N104:N109" si="79">IF(H104=0,0,L104/H104)</f>
        <v>-0.64367635506677134</v>
      </c>
      <c r="O104" s="12"/>
      <c r="P104" s="1">
        <f>SUM(OSRRefP22_12x_0)</f>
        <v>3783.6099999999997</v>
      </c>
      <c r="Q104" s="1"/>
      <c r="R104" s="5">
        <f t="shared" ref="R104:R109" si="80">IF(P$12=0,0,P104/P$12)</f>
        <v>1.5095792717615092E-3</v>
      </c>
      <c r="S104" s="1"/>
      <c r="T104" s="1">
        <f>SUM(OSRRefT22_12x_0)</f>
        <v>3875.0599999999995</v>
      </c>
      <c r="U104" s="1"/>
      <c r="V104" s="5">
        <f t="shared" ref="V104:V109" si="81">IF(T$12=0,0,T104/T$12)</f>
        <v>1.2238185214697207E-3</v>
      </c>
      <c r="W104" s="1"/>
      <c r="X104" s="1">
        <f t="shared" ref="X104:X109" si="82">+P104-T104</f>
        <v>-91.449999999999818</v>
      </c>
      <c r="Y104" s="1"/>
      <c r="Z104" s="5">
        <f t="shared" ref="Z104:Z109" si="83">IF(T104=0,0,X104/T104)</f>
        <v>-2.3599634586303136E-2</v>
      </c>
    </row>
    <row r="105" spans="1:26" s="24" customFormat="1" hidden="1" outlineLevel="2" x14ac:dyDescent="0.35">
      <c r="A105" s="27"/>
      <c r="B105" s="11" t="str">
        <f>CONCATENATE("          ", "6234", " - ", "EXPENDABLE SUPPLIES &amp; EQUIPMEN")</f>
        <v xml:space="preserve">          6234 - EXPENDABLE SUPPLIES &amp; EQUIPMEN</v>
      </c>
      <c r="C105" s="11"/>
      <c r="D105" s="7"/>
      <c r="E105" s="2"/>
      <c r="F105" s="6">
        <f t="shared" si="76"/>
        <v>0</v>
      </c>
      <c r="G105" s="2"/>
      <c r="H105" s="7">
        <v>160.77000000000001</v>
      </c>
      <c r="I105" s="2"/>
      <c r="J105" s="6">
        <f t="shared" si="77"/>
        <v>1.0656579737027667E-3</v>
      </c>
      <c r="K105" s="2"/>
      <c r="L105" s="7">
        <f t="shared" si="78"/>
        <v>-160.77000000000001</v>
      </c>
      <c r="M105" s="2"/>
      <c r="N105" s="6">
        <f t="shared" si="79"/>
        <v>-1</v>
      </c>
      <c r="O105" s="11"/>
      <c r="P105" s="7">
        <v>672.38</v>
      </c>
      <c r="Q105" s="2"/>
      <c r="R105" s="6">
        <f t="shared" si="80"/>
        <v>2.6826520459217616E-4</v>
      </c>
      <c r="S105" s="2"/>
      <c r="T105" s="7">
        <v>326.72000000000003</v>
      </c>
      <c r="U105" s="2"/>
      <c r="V105" s="6">
        <f t="shared" si="81"/>
        <v>1.0318446355271589E-4</v>
      </c>
      <c r="W105" s="2"/>
      <c r="X105" s="7">
        <f t="shared" si="82"/>
        <v>345.65999999999997</v>
      </c>
      <c r="Y105" s="2"/>
      <c r="Z105" s="6">
        <f t="shared" si="83"/>
        <v>1.0579701273261506</v>
      </c>
    </row>
    <row r="106" spans="1:26" s="24" customFormat="1" hidden="1" outlineLevel="2" x14ac:dyDescent="0.35">
      <c r="A106" s="27"/>
      <c r="B106" s="11" t="str">
        <f>CONCATENATE("          ", "6241", " - ", "OFFICE EXPENSE")</f>
        <v xml:space="preserve">          6241 - OFFICE EXPENSE</v>
      </c>
      <c r="C106" s="11"/>
      <c r="D106" s="7"/>
      <c r="E106" s="2"/>
      <c r="F106" s="6">
        <f t="shared" si="76"/>
        <v>0</v>
      </c>
      <c r="G106" s="2"/>
      <c r="H106" s="7"/>
      <c r="I106" s="2"/>
      <c r="J106" s="6">
        <f t="shared" si="77"/>
        <v>0</v>
      </c>
      <c r="K106" s="2"/>
      <c r="L106" s="7">
        <f t="shared" si="78"/>
        <v>0</v>
      </c>
      <c r="M106" s="2"/>
      <c r="N106" s="6">
        <f t="shared" si="79"/>
        <v>0</v>
      </c>
      <c r="O106" s="11"/>
      <c r="P106" s="7">
        <v>2718.41</v>
      </c>
      <c r="Q106" s="2"/>
      <c r="R106" s="6">
        <f t="shared" si="80"/>
        <v>1.0845873089851239E-3</v>
      </c>
      <c r="S106" s="2"/>
      <c r="T106" s="7">
        <v>1219.83</v>
      </c>
      <c r="U106" s="2"/>
      <c r="V106" s="6">
        <f t="shared" si="81"/>
        <v>3.8524578897988922E-4</v>
      </c>
      <c r="W106" s="2"/>
      <c r="X106" s="7">
        <f t="shared" si="82"/>
        <v>1498.58</v>
      </c>
      <c r="Y106" s="2"/>
      <c r="Z106" s="6">
        <f t="shared" si="83"/>
        <v>1.2285154488740235</v>
      </c>
    </row>
    <row r="107" spans="1:26" s="24" customFormat="1" hidden="1" outlineLevel="2" x14ac:dyDescent="0.35">
      <c r="A107" s="27"/>
      <c r="B107" s="11" t="str">
        <f>CONCATENATE("          ", "6245", " - ", "PRINTING")</f>
        <v xml:space="preserve">          6245 - PRINTING</v>
      </c>
      <c r="C107" s="11"/>
      <c r="D107" s="7">
        <v>158.76</v>
      </c>
      <c r="E107" s="2"/>
      <c r="F107" s="6">
        <f t="shared" si="76"/>
        <v>9.4059203858394308E-4</v>
      </c>
      <c r="G107" s="2"/>
      <c r="H107" s="7"/>
      <c r="I107" s="2"/>
      <c r="J107" s="6">
        <f t="shared" si="77"/>
        <v>0</v>
      </c>
      <c r="K107" s="2"/>
      <c r="L107" s="7">
        <f t="shared" si="78"/>
        <v>158.76</v>
      </c>
      <c r="M107" s="2"/>
      <c r="N107" s="6">
        <f t="shared" si="79"/>
        <v>0</v>
      </c>
      <c r="O107" s="11"/>
      <c r="P107" s="7">
        <v>-370.22</v>
      </c>
      <c r="Q107" s="2"/>
      <c r="R107" s="6">
        <f t="shared" si="80"/>
        <v>-1.4770984271411325E-4</v>
      </c>
      <c r="S107" s="2"/>
      <c r="T107" s="7">
        <v>220.5</v>
      </c>
      <c r="U107" s="2"/>
      <c r="V107" s="6">
        <f t="shared" si="81"/>
        <v>6.9638143405282359E-5</v>
      </c>
      <c r="W107" s="2"/>
      <c r="X107" s="7">
        <f t="shared" si="82"/>
        <v>-590.72</v>
      </c>
      <c r="Y107" s="2"/>
      <c r="Z107" s="6">
        <f t="shared" si="83"/>
        <v>-2.6790022675736962</v>
      </c>
    </row>
    <row r="108" spans="1:26" s="24" customFormat="1" hidden="1" outlineLevel="2" x14ac:dyDescent="0.35">
      <c r="A108" s="27"/>
      <c r="B108" s="11" t="str">
        <f>CONCATENATE("          ", "6247", " - ", "STORE SUPPLIES")</f>
        <v xml:space="preserve">          6247 - STORE SUPPLIES</v>
      </c>
      <c r="C108" s="11"/>
      <c r="D108" s="7"/>
      <c r="E108" s="2"/>
      <c r="F108" s="6">
        <f t="shared" si="76"/>
        <v>0</v>
      </c>
      <c r="G108" s="2"/>
      <c r="H108" s="7">
        <v>284.77999999999997</v>
      </c>
      <c r="I108" s="2"/>
      <c r="J108" s="6">
        <f t="shared" si="77"/>
        <v>1.8876536527403984E-3</v>
      </c>
      <c r="K108" s="2"/>
      <c r="L108" s="7">
        <f t="shared" si="78"/>
        <v>-284.77999999999997</v>
      </c>
      <c r="M108" s="2"/>
      <c r="N108" s="6">
        <f t="shared" si="79"/>
        <v>-1</v>
      </c>
      <c r="O108" s="11"/>
      <c r="P108" s="7">
        <v>763.04</v>
      </c>
      <c r="Q108" s="2"/>
      <c r="R108" s="6">
        <f t="shared" si="80"/>
        <v>3.0443660089832253E-4</v>
      </c>
      <c r="S108" s="2"/>
      <c r="T108" s="7">
        <v>1532.73</v>
      </c>
      <c r="U108" s="2"/>
      <c r="V108" s="6">
        <f t="shared" si="81"/>
        <v>4.8406563057405179E-4</v>
      </c>
      <c r="W108" s="2"/>
      <c r="X108" s="7">
        <f t="shared" si="82"/>
        <v>-769.69</v>
      </c>
      <c r="Y108" s="2"/>
      <c r="Z108" s="6">
        <f t="shared" si="83"/>
        <v>-0.50216933184579149</v>
      </c>
    </row>
    <row r="109" spans="1:26" s="24" customFormat="1" hidden="1" outlineLevel="2" x14ac:dyDescent="0.35">
      <c r="A109" s="27"/>
      <c r="B109" s="11" t="str">
        <f>CONCATENATE("          ", "6248", " - ", "UNIFORMS")</f>
        <v xml:space="preserve">          6248 - UNIFORMS</v>
      </c>
      <c r="C109" s="11"/>
      <c r="D109" s="7"/>
      <c r="E109" s="2"/>
      <c r="F109" s="6">
        <f t="shared" si="76"/>
        <v>0</v>
      </c>
      <c r="G109" s="2"/>
      <c r="H109" s="7"/>
      <c r="I109" s="2"/>
      <c r="J109" s="6">
        <f t="shared" si="77"/>
        <v>0</v>
      </c>
      <c r="K109" s="2"/>
      <c r="L109" s="7">
        <f t="shared" si="78"/>
        <v>0</v>
      </c>
      <c r="M109" s="2"/>
      <c r="N109" s="6">
        <f t="shared" si="79"/>
        <v>0</v>
      </c>
      <c r="O109" s="11"/>
      <c r="P109" s="7"/>
      <c r="Q109" s="2"/>
      <c r="R109" s="6">
        <f t="shared" si="80"/>
        <v>0</v>
      </c>
      <c r="S109" s="2"/>
      <c r="T109" s="7">
        <v>575.28</v>
      </c>
      <c r="U109" s="2"/>
      <c r="V109" s="6">
        <f t="shared" si="81"/>
        <v>1.8168449495778154E-4</v>
      </c>
      <c r="W109" s="2"/>
      <c r="X109" s="7">
        <f t="shared" si="82"/>
        <v>-575.28</v>
      </c>
      <c r="Y109" s="2"/>
      <c r="Z109" s="6">
        <f t="shared" si="83"/>
        <v>-1</v>
      </c>
    </row>
    <row r="110" spans="1:26" s="25" customFormat="1" outlineLevel="1" collapsed="1" x14ac:dyDescent="0.35">
      <c r="A110" s="26"/>
      <c r="B110" s="12" t="str">
        <f>CONCATENATE("     ","Telephone/Data Lines                              ")</f>
        <v xml:space="preserve">     Telephone/Data Lines                              </v>
      </c>
      <c r="C110" s="12"/>
      <c r="D110" s="1">
        <f>SUM(OSRRefD22_13x_0)</f>
        <v>-15.36</v>
      </c>
      <c r="E110" s="1"/>
      <c r="F110" s="5">
        <f t="shared" ref="F110:F116" si="84">IF(D$12=0,0,D110/D$12)</f>
        <v>-9.1002101994516044E-5</v>
      </c>
      <c r="G110" s="1"/>
      <c r="H110" s="1">
        <f>SUM(OSRRefH22_13x_0)</f>
        <v>537.26</v>
      </c>
      <c r="I110" s="1"/>
      <c r="J110" s="5">
        <f t="shared" ref="J110:J116" si="85">IF(H$12=0,0,H110/H$12)</f>
        <v>3.5612079551629559E-3</v>
      </c>
      <c r="K110" s="1"/>
      <c r="L110" s="1">
        <f t="shared" ref="L110:L116" si="86">+D110-H110</f>
        <v>-552.62</v>
      </c>
      <c r="M110" s="1"/>
      <c r="N110" s="5">
        <f t="shared" ref="N110:N116" si="87">IF(H110=0,0,L110/H110)</f>
        <v>-1.0285895097345792</v>
      </c>
      <c r="O110" s="12"/>
      <c r="P110" s="1">
        <f>SUM(OSRRefP22_13x_0)</f>
        <v>5898.29</v>
      </c>
      <c r="Q110" s="1"/>
      <c r="R110" s="5">
        <f t="shared" ref="R110:R116" si="88">IF(P$12=0,0,P110/P$12)</f>
        <v>2.3532912543412754E-3</v>
      </c>
      <c r="S110" s="1"/>
      <c r="T110" s="1">
        <f>SUM(OSRRefT22_13x_0)</f>
        <v>6112.26</v>
      </c>
      <c r="U110" s="1"/>
      <c r="V110" s="5">
        <f t="shared" ref="V110:V116" si="89">IF(T$12=0,0,T110/T$12)</f>
        <v>1.9303693351944268E-3</v>
      </c>
      <c r="W110" s="1"/>
      <c r="X110" s="1">
        <f t="shared" ref="X110:X116" si="90">+P110-T110</f>
        <v>-213.97000000000025</v>
      </c>
      <c r="Y110" s="1"/>
      <c r="Z110" s="5">
        <f t="shared" ref="Z110:Z116" si="91">IF(T110=0,0,X110/T110)</f>
        <v>-3.5006691469276541E-2</v>
      </c>
    </row>
    <row r="111" spans="1:26" s="24" customFormat="1" hidden="1" outlineLevel="2" x14ac:dyDescent="0.35">
      <c r="A111" s="27"/>
      <c r="B111" s="11" t="str">
        <f>CONCATENATE("          ", "6309", " - ", "TELEPHONE")</f>
        <v xml:space="preserve">          6309 - TELEPHONE</v>
      </c>
      <c r="C111" s="11"/>
      <c r="D111" s="7">
        <v>-15.36</v>
      </c>
      <c r="E111" s="2"/>
      <c r="F111" s="6">
        <f t="shared" si="84"/>
        <v>-9.1002101994516044E-5</v>
      </c>
      <c r="G111" s="2"/>
      <c r="H111" s="7">
        <v>537.26</v>
      </c>
      <c r="I111" s="2"/>
      <c r="J111" s="6">
        <f t="shared" si="85"/>
        <v>3.5612079551629559E-3</v>
      </c>
      <c r="K111" s="2"/>
      <c r="L111" s="7">
        <f t="shared" si="86"/>
        <v>-552.62</v>
      </c>
      <c r="M111" s="2"/>
      <c r="N111" s="6">
        <f t="shared" si="87"/>
        <v>-1.0285895097345792</v>
      </c>
      <c r="O111" s="11"/>
      <c r="P111" s="7">
        <v>5898.29</v>
      </c>
      <c r="Q111" s="2"/>
      <c r="R111" s="6">
        <f t="shared" si="88"/>
        <v>2.3532912543412754E-3</v>
      </c>
      <c r="S111" s="2"/>
      <c r="T111" s="7">
        <v>6112.26</v>
      </c>
      <c r="U111" s="2"/>
      <c r="V111" s="6">
        <f t="shared" si="89"/>
        <v>1.9303693351944268E-3</v>
      </c>
      <c r="W111" s="2"/>
      <c r="X111" s="7">
        <f t="shared" si="90"/>
        <v>-213.97000000000025</v>
      </c>
      <c r="Y111" s="2"/>
      <c r="Z111" s="6">
        <f t="shared" si="91"/>
        <v>-3.5006691469276541E-2</v>
      </c>
    </row>
    <row r="112" spans="1:26" s="25" customFormat="1" outlineLevel="1" collapsed="1" x14ac:dyDescent="0.35">
      <c r="A112" s="26"/>
      <c r="B112" s="12" t="str">
        <f>CONCATENATE("     ","Training                                          ")</f>
        <v xml:space="preserve">     Training                                          </v>
      </c>
      <c r="C112" s="12"/>
      <c r="D112" s="1">
        <f>SUM(OSRRefD22_14x_0)</f>
        <v>0</v>
      </c>
      <c r="E112" s="1"/>
      <c r="F112" s="5">
        <f t="shared" si="84"/>
        <v>0</v>
      </c>
      <c r="G112" s="1"/>
      <c r="H112" s="1">
        <f>SUM(OSRRefH22_14x_0)</f>
        <v>0</v>
      </c>
      <c r="I112" s="1"/>
      <c r="J112" s="5">
        <f t="shared" si="85"/>
        <v>0</v>
      </c>
      <c r="K112" s="1"/>
      <c r="L112" s="1">
        <f t="shared" si="86"/>
        <v>0</v>
      </c>
      <c r="M112" s="1"/>
      <c r="N112" s="5">
        <f t="shared" si="87"/>
        <v>0</v>
      </c>
      <c r="O112" s="12"/>
      <c r="P112" s="1">
        <f>SUM(OSRRefP22_14x_0)</f>
        <v>3651.14</v>
      </c>
      <c r="Q112" s="1"/>
      <c r="R112" s="5">
        <f t="shared" si="88"/>
        <v>1.4567265818356853E-3</v>
      </c>
      <c r="S112" s="1"/>
      <c r="T112" s="1">
        <f>SUM(OSRRefT22_14x_0)</f>
        <v>3454.53</v>
      </c>
      <c r="U112" s="1"/>
      <c r="V112" s="5">
        <f t="shared" si="89"/>
        <v>1.0910070545934244E-3</v>
      </c>
      <c r="W112" s="1"/>
      <c r="X112" s="1">
        <f t="shared" si="90"/>
        <v>196.60999999999967</v>
      </c>
      <c r="Y112" s="1"/>
      <c r="Z112" s="5">
        <f t="shared" si="91"/>
        <v>5.6913675666443675E-2</v>
      </c>
    </row>
    <row r="113" spans="1:26" s="24" customFormat="1" hidden="1" outlineLevel="2" x14ac:dyDescent="0.35">
      <c r="A113" s="27"/>
      <c r="B113" s="11" t="str">
        <f>CONCATENATE("          ", "6376", " - ", "TRAINING")</f>
        <v xml:space="preserve">          6376 - TRAINING</v>
      </c>
      <c r="C113" s="11"/>
      <c r="D113" s="7"/>
      <c r="E113" s="2"/>
      <c r="F113" s="6">
        <f t="shared" si="84"/>
        <v>0</v>
      </c>
      <c r="G113" s="2"/>
      <c r="H113" s="7"/>
      <c r="I113" s="2"/>
      <c r="J113" s="6">
        <f t="shared" si="85"/>
        <v>0</v>
      </c>
      <c r="K113" s="2"/>
      <c r="L113" s="7">
        <f t="shared" si="86"/>
        <v>0</v>
      </c>
      <c r="M113" s="2"/>
      <c r="N113" s="6">
        <f t="shared" si="87"/>
        <v>0</v>
      </c>
      <c r="O113" s="11"/>
      <c r="P113" s="7">
        <v>3651.14</v>
      </c>
      <c r="Q113" s="2"/>
      <c r="R113" s="6">
        <f t="shared" si="88"/>
        <v>1.4567265818356853E-3</v>
      </c>
      <c r="S113" s="2"/>
      <c r="T113" s="7">
        <v>3454.53</v>
      </c>
      <c r="U113" s="2"/>
      <c r="V113" s="6">
        <f t="shared" si="89"/>
        <v>1.0910070545934244E-3</v>
      </c>
      <c r="W113" s="2"/>
      <c r="X113" s="7">
        <f t="shared" si="90"/>
        <v>196.60999999999967</v>
      </c>
      <c r="Y113" s="2"/>
      <c r="Z113" s="6">
        <f t="shared" si="91"/>
        <v>5.6913675666443675E-2</v>
      </c>
    </row>
    <row r="114" spans="1:26" s="25" customFormat="1" outlineLevel="1" collapsed="1" x14ac:dyDescent="0.35">
      <c r="A114" s="26"/>
      <c r="B114" s="12" t="str">
        <f>CONCATENATE("     ","Travel                                            ")</f>
        <v xml:space="preserve">     Travel                                            </v>
      </c>
      <c r="C114" s="12"/>
      <c r="D114" s="1">
        <f>SUM(OSRRefD22_15x_0)</f>
        <v>0</v>
      </c>
      <c r="E114" s="1"/>
      <c r="F114" s="5">
        <f t="shared" si="84"/>
        <v>0</v>
      </c>
      <c r="G114" s="1"/>
      <c r="H114" s="1">
        <f>SUM(OSRRefH22_15x_0)</f>
        <v>0</v>
      </c>
      <c r="I114" s="1"/>
      <c r="J114" s="5">
        <f t="shared" si="85"/>
        <v>0</v>
      </c>
      <c r="K114" s="1"/>
      <c r="L114" s="1">
        <f t="shared" si="86"/>
        <v>0</v>
      </c>
      <c r="M114" s="1"/>
      <c r="N114" s="5">
        <f t="shared" si="87"/>
        <v>0</v>
      </c>
      <c r="O114" s="12"/>
      <c r="P114" s="1">
        <f>SUM(OSRRefP22_15x_0)</f>
        <v>-99.159999999999982</v>
      </c>
      <c r="Q114" s="1"/>
      <c r="R114" s="5">
        <f t="shared" si="88"/>
        <v>-3.9562714071447966E-5</v>
      </c>
      <c r="S114" s="1"/>
      <c r="T114" s="1">
        <f>SUM(OSRRefT22_15x_0)</f>
        <v>109.35</v>
      </c>
      <c r="U114" s="1"/>
      <c r="V114" s="5">
        <f t="shared" si="89"/>
        <v>3.4534834382619615E-5</v>
      </c>
      <c r="W114" s="1"/>
      <c r="X114" s="1">
        <f t="shared" si="90"/>
        <v>-208.51</v>
      </c>
      <c r="Y114" s="1"/>
      <c r="Z114" s="5">
        <f t="shared" si="91"/>
        <v>-1.9068129858253315</v>
      </c>
    </row>
    <row r="115" spans="1:26" s="24" customFormat="1" hidden="1" outlineLevel="2" x14ac:dyDescent="0.35">
      <c r="A115" s="27"/>
      <c r="B115" s="11" t="str">
        <f>CONCATENATE("          ", "6292", " - ", "TRAVEL/CONFERENCE")</f>
        <v xml:space="preserve">          6292 - TRAVEL/CONFERENCE</v>
      </c>
      <c r="C115" s="11"/>
      <c r="D115" s="7"/>
      <c r="E115" s="2"/>
      <c r="F115" s="6">
        <f t="shared" si="84"/>
        <v>0</v>
      </c>
      <c r="G115" s="2"/>
      <c r="H115" s="7"/>
      <c r="I115" s="2"/>
      <c r="J115" s="6">
        <f t="shared" si="85"/>
        <v>0</v>
      </c>
      <c r="K115" s="2"/>
      <c r="L115" s="7">
        <f t="shared" si="86"/>
        <v>0</v>
      </c>
      <c r="M115" s="2"/>
      <c r="N115" s="6">
        <f t="shared" si="87"/>
        <v>0</v>
      </c>
      <c r="O115" s="11"/>
      <c r="P115" s="7">
        <v>107.04</v>
      </c>
      <c r="Q115" s="2"/>
      <c r="R115" s="6">
        <f t="shared" si="88"/>
        <v>4.2706665129162882E-5</v>
      </c>
      <c r="S115" s="2"/>
      <c r="T115" s="7"/>
      <c r="U115" s="2"/>
      <c r="V115" s="6">
        <f t="shared" si="89"/>
        <v>0</v>
      </c>
      <c r="W115" s="2"/>
      <c r="X115" s="7">
        <f t="shared" si="90"/>
        <v>107.04</v>
      </c>
      <c r="Y115" s="2"/>
      <c r="Z115" s="6">
        <f t="shared" si="91"/>
        <v>0</v>
      </c>
    </row>
    <row r="116" spans="1:26" s="24" customFormat="1" hidden="1" outlineLevel="2" x14ac:dyDescent="0.35">
      <c r="A116" s="27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84"/>
        <v>0</v>
      </c>
      <c r="G116" s="2"/>
      <c r="H116" s="7"/>
      <c r="I116" s="2"/>
      <c r="J116" s="6">
        <f t="shared" si="85"/>
        <v>0</v>
      </c>
      <c r="K116" s="2"/>
      <c r="L116" s="7">
        <f t="shared" si="86"/>
        <v>0</v>
      </c>
      <c r="M116" s="2"/>
      <c r="N116" s="6">
        <f t="shared" si="87"/>
        <v>0</v>
      </c>
      <c r="O116" s="11"/>
      <c r="P116" s="7">
        <v>-206.2</v>
      </c>
      <c r="Q116" s="2"/>
      <c r="R116" s="6">
        <f t="shared" si="88"/>
        <v>-8.2269379200610847E-5</v>
      </c>
      <c r="S116" s="2"/>
      <c r="T116" s="7">
        <v>109.35</v>
      </c>
      <c r="U116" s="2"/>
      <c r="V116" s="6">
        <f t="shared" si="89"/>
        <v>3.4534834382619615E-5</v>
      </c>
      <c r="W116" s="2"/>
      <c r="X116" s="7">
        <f t="shared" si="90"/>
        <v>-315.54999999999995</v>
      </c>
      <c r="Y116" s="2"/>
      <c r="Z116" s="6">
        <f t="shared" si="91"/>
        <v>-2.8856881572930955</v>
      </c>
    </row>
    <row r="117" spans="1:26" s="56" customFormat="1" x14ac:dyDescent="0.3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35">
      <c r="A118" s="10"/>
      <c r="B118" s="29" t="s">
        <v>0</v>
      </c>
      <c r="C118" s="10"/>
      <c r="D118" s="4">
        <f>SUM(OSRRefD25x_0)</f>
        <v>-7960.4</v>
      </c>
      <c r="E118" s="4"/>
      <c r="F118" s="13">
        <f t="shared" ref="F118:F119" si="92">IF(D$12=0,0,D118/D$12)</f>
        <v>-4.7162313327939159E-2</v>
      </c>
      <c r="G118" s="4"/>
      <c r="H118" s="4">
        <f>SUM(OSRRefH25x_0)</f>
        <v>22706.9</v>
      </c>
      <c r="I118" s="4"/>
      <c r="J118" s="13">
        <f t="shared" ref="J118:J119" si="93">IF(H$12=0,0,H118/H$12)</f>
        <v>0.15051184327344252</v>
      </c>
      <c r="K118" s="4"/>
      <c r="L118" s="4">
        <f t="shared" ref="L118:L119" si="94">+D118-H118</f>
        <v>-30667.300000000003</v>
      </c>
      <c r="M118" s="4"/>
      <c r="N118" s="13">
        <f t="shared" ref="N118:N119" si="95">IF(H118=0,0,L118/H118)</f>
        <v>-1.3505718526086785</v>
      </c>
      <c r="O118" s="10"/>
      <c r="P118" s="4">
        <f>SUM(OSRRefP25x_0)</f>
        <v>88944.49</v>
      </c>
      <c r="Q118" s="4"/>
      <c r="R118" s="13">
        <f t="shared" ref="R118:R119" si="96">IF(P$12=0,0,P118/P$12)</f>
        <v>3.5486944595610768E-2</v>
      </c>
      <c r="S118" s="4"/>
      <c r="T118" s="4">
        <f>SUM(OSRRefT25x_0)</f>
        <v>135294.13</v>
      </c>
      <c r="U118" s="4"/>
      <c r="V118" s="13">
        <f t="shared" ref="V118:V119" si="97">IF(T$12=0,0,T118/T$12)</f>
        <v>4.2728489917609587E-2</v>
      </c>
      <c r="W118" s="4"/>
      <c r="X118" s="4">
        <f t="shared" ref="X118:X119" si="98">+P118-T118</f>
        <v>-46349.64</v>
      </c>
      <c r="Y118" s="4"/>
      <c r="Z118" s="13">
        <f t="shared" ref="Z118:Z119" si="99">IF(T118=0,0,X118/T118)</f>
        <v>-0.34258426437274109</v>
      </c>
    </row>
    <row r="119" spans="1:26" s="24" customFormat="1" hidden="1" outlineLevel="1" x14ac:dyDescent="0.35">
      <c r="A119" s="44"/>
      <c r="B119" s="11" t="str">
        <f>CONCATENATE("          ", "9150", " - ", "MISC. INCOME")</f>
        <v xml:space="preserve">          9150 - MISC. INCOME</v>
      </c>
      <c r="C119" s="11"/>
      <c r="D119" s="2">
        <f>-7960.4</f>
        <v>-7960.4</v>
      </c>
      <c r="E119" s="2"/>
      <c r="F119" s="19">
        <f t="shared" si="92"/>
        <v>-4.7162313327939159E-2</v>
      </c>
      <c r="G119" s="2"/>
      <c r="H119" s="2">
        <f>--22706.9</f>
        <v>22706.9</v>
      </c>
      <c r="I119" s="2"/>
      <c r="J119" s="19">
        <f t="shared" si="93"/>
        <v>0.15051184327344252</v>
      </c>
      <c r="K119" s="2"/>
      <c r="L119" s="2">
        <f t="shared" si="94"/>
        <v>-30667.300000000003</v>
      </c>
      <c r="M119" s="2"/>
      <c r="N119" s="19">
        <f t="shared" si="95"/>
        <v>-1.3505718526086785</v>
      </c>
      <c r="O119" s="11"/>
      <c r="P119" s="2">
        <f>--88944.49</f>
        <v>88944.49</v>
      </c>
      <c r="Q119" s="2"/>
      <c r="R119" s="19">
        <f t="shared" si="96"/>
        <v>3.5486944595610768E-2</v>
      </c>
      <c r="S119" s="2"/>
      <c r="T119" s="2">
        <f>--135294.13</f>
        <v>135294.13</v>
      </c>
      <c r="U119" s="2"/>
      <c r="V119" s="19">
        <f t="shared" si="97"/>
        <v>4.2728489917609587E-2</v>
      </c>
      <c r="W119" s="2"/>
      <c r="X119" s="2">
        <f t="shared" si="98"/>
        <v>-46349.64</v>
      </c>
      <c r="Y119" s="2"/>
      <c r="Z119" s="19">
        <f t="shared" si="99"/>
        <v>-0.34258426437274109</v>
      </c>
    </row>
    <row r="120" spans="1:26" x14ac:dyDescent="0.3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35">
      <c r="A121" s="10"/>
      <c r="B121" s="28" t="s">
        <v>3</v>
      </c>
      <c r="C121" s="28"/>
      <c r="D121" s="22">
        <f>+D53-D55+D118</f>
        <v>-40361.819999999971</v>
      </c>
      <c r="E121" s="14"/>
      <c r="F121" s="21">
        <f>IF(D$12=0,0,D121/D$12)</f>
        <v>-0.23912828517736295</v>
      </c>
      <c r="G121" s="14"/>
      <c r="H121" s="22">
        <f>+H53-H55+H118</f>
        <v>79794.830000000016</v>
      </c>
      <c r="I121" s="14"/>
      <c r="J121" s="21">
        <f>IF(H$12=0,0,H121/H$12)</f>
        <v>0.5289170669263964</v>
      </c>
      <c r="K121" s="15"/>
      <c r="L121" s="22">
        <f>+D121-H121</f>
        <v>-120156.65</v>
      </c>
      <c r="M121" s="15"/>
      <c r="N121" s="21">
        <f>IF(H121=0,0,L121/H121)</f>
        <v>-1.5058199885882326</v>
      </c>
      <c r="O121" s="29"/>
      <c r="P121" s="22">
        <f>+P53-P55+P118</f>
        <v>613279.77000000014</v>
      </c>
      <c r="Q121" s="14"/>
      <c r="R121" s="21">
        <f>IF(P$12=0,0,P121/P$12)</f>
        <v>0.24468547989424549</v>
      </c>
      <c r="S121" s="14"/>
      <c r="T121" s="22">
        <f>+T53-T55+T118</f>
        <v>1219564.9599999995</v>
      </c>
      <c r="U121" s="14"/>
      <c r="V121" s="21">
        <f>IF(T$12=0,0,T121/T$12)</f>
        <v>0.38516208424733517</v>
      </c>
      <c r="W121" s="15"/>
      <c r="X121" s="22">
        <f>+P121-T121</f>
        <v>-606285.18999999936</v>
      </c>
      <c r="Y121" s="15"/>
      <c r="Z121" s="21">
        <f>IF(T121=0,0,X121/T121)</f>
        <v>-0.49713234627534691</v>
      </c>
    </row>
    <row r="122" spans="1:26" x14ac:dyDescent="0.3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35">
      <c r="A123" s="51"/>
      <c r="B123" s="10" t="s">
        <v>13</v>
      </c>
      <c r="C123" s="10"/>
      <c r="D123" s="4">
        <v>102744.65</v>
      </c>
      <c r="E123" s="4"/>
      <c r="F123" s="13">
        <f>IF(D$12=0,0,D123/D$12)</f>
        <v>0.60872259887310232</v>
      </c>
      <c r="G123" s="4"/>
      <c r="H123" s="4">
        <v>-87966.819999999992</v>
      </c>
      <c r="I123" s="4"/>
      <c r="J123" s="13">
        <f>IF(H$12=0,0,H123/H$12)</f>
        <v>-0.58308479911846733</v>
      </c>
      <c r="K123" s="4"/>
      <c r="L123" s="4">
        <f>+D123-H123</f>
        <v>190711.46999999997</v>
      </c>
      <c r="M123" s="4"/>
      <c r="N123" s="13">
        <f>IF(H123=0,0,L123/H123)</f>
        <v>-2.1679932274464395</v>
      </c>
      <c r="O123" s="10"/>
      <c r="P123" s="4">
        <v>379566.13</v>
      </c>
      <c r="Q123" s="4"/>
      <c r="R123" s="13">
        <f>IF(P$12=0,0,P123/P$12)</f>
        <v>0.1514387482089154</v>
      </c>
      <c r="S123" s="4"/>
      <c r="T123" s="4">
        <v>225689.51</v>
      </c>
      <c r="U123" s="4"/>
      <c r="V123" s="13">
        <f>IF(T$12=0,0,T123/T$12)</f>
        <v>7.1277090532643569E-2</v>
      </c>
      <c r="W123" s="4"/>
      <c r="X123" s="4">
        <f>+P123-T123</f>
        <v>153876.62</v>
      </c>
      <c r="Y123" s="4"/>
      <c r="Z123" s="13">
        <f>IF(T123=0,0,X123/T123)</f>
        <v>0.681806699832881</v>
      </c>
    </row>
    <row r="124" spans="1:26" x14ac:dyDescent="0.3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" thickBot="1" x14ac:dyDescent="0.4">
      <c r="A125" s="10"/>
      <c r="B125" s="28" t="s">
        <v>4</v>
      </c>
      <c r="C125" s="28"/>
      <c r="D125" s="34">
        <f>+D121-D123</f>
        <v>-143106.46999999997</v>
      </c>
      <c r="E125" s="14"/>
      <c r="F125" s="32">
        <f>IF(D$12=0,0,D125/D$12)</f>
        <v>-0.84785088405046538</v>
      </c>
      <c r="G125" s="14"/>
      <c r="H125" s="34">
        <f>+H121-H123</f>
        <v>167761.65000000002</v>
      </c>
      <c r="I125" s="14"/>
      <c r="J125" s="32">
        <f>IF(H$12=0,0,H125/H$12)</f>
        <v>1.1120018660448638</v>
      </c>
      <c r="K125" s="15"/>
      <c r="L125" s="34">
        <f>D125-H125</f>
        <v>-310868.12</v>
      </c>
      <c r="M125" s="15"/>
      <c r="N125" s="32">
        <f>IF(H125=0,0,L125/H125)</f>
        <v>-1.853034468843147</v>
      </c>
      <c r="O125" s="29"/>
      <c r="P125" s="34">
        <f>+P121-P123</f>
        <v>233713.64000000013</v>
      </c>
      <c r="Q125" s="14"/>
      <c r="R125" s="32">
        <f>IF(P$12=0,0,P125/P$12)</f>
        <v>9.3246731685330084E-2</v>
      </c>
      <c r="S125" s="14"/>
      <c r="T125" s="34">
        <f>+T121-T123</f>
        <v>993875.44999999949</v>
      </c>
      <c r="U125" s="14"/>
      <c r="V125" s="32">
        <f>IF(T$12=0,0,T125/T$12)</f>
        <v>0.31388499371469158</v>
      </c>
      <c r="W125" s="15"/>
      <c r="X125" s="34">
        <f>P125-T125</f>
        <v>-760161.80999999936</v>
      </c>
      <c r="Y125" s="15"/>
      <c r="Z125" s="32">
        <f>IF(T125=0,0,X125/T125)</f>
        <v>-0.76484614847866472</v>
      </c>
    </row>
    <row r="126" spans="1:26" ht="15" thickTop="1" x14ac:dyDescent="0.3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3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" thickBot="1" x14ac:dyDescent="0.4">
      <c r="A128" s="10"/>
      <c r="B128" s="28" t="s">
        <v>5</v>
      </c>
      <c r="C128" s="28"/>
      <c r="D128" s="35">
        <f>SUM(D125:D127)</f>
        <v>-143106.46999999997</v>
      </c>
      <c r="E128" s="14"/>
      <c r="F128" s="33">
        <f>IF(D$12=0,0,D128/D$12)</f>
        <v>-0.84785088405046538</v>
      </c>
      <c r="G128" s="14"/>
      <c r="H128" s="35">
        <f>SUM(H125:H127)</f>
        <v>167761.65000000002</v>
      </c>
      <c r="I128" s="14"/>
      <c r="J128" s="33">
        <f>IF(H$12=0,0,H128/H$12)</f>
        <v>1.1120018660448638</v>
      </c>
      <c r="K128" s="15"/>
      <c r="L128" s="35">
        <f>+D128-H128</f>
        <v>-310868.12</v>
      </c>
      <c r="M128" s="15"/>
      <c r="N128" s="33">
        <f>IF(H128=0,0,L128/H128)</f>
        <v>-1.853034468843147</v>
      </c>
      <c r="O128" s="29"/>
      <c r="P128" s="35">
        <f>SUM(P125:P127)</f>
        <v>233713.64000000013</v>
      </c>
      <c r="Q128" s="14"/>
      <c r="R128" s="33">
        <f>IF(P$12=0,0,P128/P$12)</f>
        <v>9.3246731685330084E-2</v>
      </c>
      <c r="S128" s="14"/>
      <c r="T128" s="35">
        <f>SUM(T125:T127)</f>
        <v>993875.44999999949</v>
      </c>
      <c r="U128" s="14"/>
      <c r="V128" s="33">
        <f>IF(T$12=0,0,T128/T$12)</f>
        <v>0.31388499371469158</v>
      </c>
      <c r="W128" s="15"/>
      <c r="X128" s="35">
        <f>+P128-T128</f>
        <v>-760161.80999999936</v>
      </c>
      <c r="Y128" s="15"/>
      <c r="Z128" s="33">
        <f>IF(T128=0,0,X128/T128)</f>
        <v>-0.76484614847866472</v>
      </c>
    </row>
    <row r="129" spans="1:24" ht="15" thickTop="1" x14ac:dyDescent="0.35">
      <c r="A129" s="9"/>
      <c r="C129" s="9"/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35">
      <c r="A130" s="9"/>
      <c r="B130" s="52">
        <v>44043.522897187497</v>
      </c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35">
      <c r="A131" s="9"/>
      <c r="B131" s="61" t="s">
        <v>313</v>
      </c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4" x14ac:dyDescent="0.35">
      <c r="A132" s="9"/>
      <c r="B132" s="54"/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4" x14ac:dyDescent="0.35"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5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","326", " - ", "2nd Street Store")</f>
        <v>Department 326 - 2nd Street Store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39459.779999999992</v>
      </c>
      <c r="I12" s="4"/>
      <c r="J12" s="13"/>
      <c r="K12" s="4"/>
      <c r="L12" s="4">
        <f t="shared" ref="L12:L36" si="0">+D12-H12</f>
        <v>-39459.779999999992</v>
      </c>
      <c r="M12" s="4"/>
      <c r="N12" s="13">
        <f t="shared" ref="N12:N36" si="1">IF(H12=0,0,L12/H12)</f>
        <v>-1</v>
      </c>
      <c r="O12" s="10"/>
      <c r="P12" s="4">
        <f>SUM(OSRRefP13x_0)</f>
        <v>429840.87</v>
      </c>
      <c r="Q12" s="4"/>
      <c r="R12" s="13"/>
      <c r="S12" s="4"/>
      <c r="T12" s="4">
        <f>SUM(OSRRefT13x_0)</f>
        <v>500275.34999999992</v>
      </c>
      <c r="U12" s="4"/>
      <c r="V12" s="13"/>
      <c r="W12" s="4"/>
      <c r="X12" s="4">
        <f t="shared" ref="X12:X36" si="2">+P12-T12</f>
        <v>-70434.479999999923</v>
      </c>
      <c r="Y12" s="4"/>
      <c r="Z12" s="13">
        <f t="shared" ref="Z12:Z36" si="3">IF(T12=0,0,X12/T12)</f>
        <v>-0.14079142616161266</v>
      </c>
    </row>
    <row r="13" spans="1:26" s="24" customFormat="1" hidden="1" outlineLevel="1" x14ac:dyDescent="0.3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36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3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>
        <f>--16.53</f>
        <v>16.53</v>
      </c>
      <c r="U14" s="2"/>
      <c r="V14" s="19"/>
      <c r="W14" s="2"/>
      <c r="X14" s="2">
        <f t="shared" si="2"/>
        <v>-2.9100000000000019</v>
      </c>
      <c r="Y14" s="2"/>
      <c r="Z14" s="19">
        <f t="shared" si="3"/>
        <v>-0.17604355716878414</v>
      </c>
    </row>
    <row r="15" spans="1:26" s="24" customFormat="1" hidden="1" outlineLevel="1" x14ac:dyDescent="0.3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>
        <f>--21.01</f>
        <v>21.01</v>
      </c>
      <c r="I15" s="2"/>
      <c r="J15" s="19"/>
      <c r="K15" s="2"/>
      <c r="L15" s="2">
        <f t="shared" si="0"/>
        <v>-21.01</v>
      </c>
      <c r="M15" s="2"/>
      <c r="N15" s="19">
        <f t="shared" si="1"/>
        <v>-1</v>
      </c>
      <c r="O15" s="11"/>
      <c r="P15" s="2">
        <f>--229.51</f>
        <v>229.51</v>
      </c>
      <c r="Q15" s="2"/>
      <c r="R15" s="19"/>
      <c r="S15" s="2"/>
      <c r="T15" s="2">
        <f>--534.9</f>
        <v>534.9</v>
      </c>
      <c r="U15" s="2"/>
      <c r="V15" s="19"/>
      <c r="W15" s="2"/>
      <c r="X15" s="2">
        <f t="shared" si="2"/>
        <v>-305.39</v>
      </c>
      <c r="Y15" s="2"/>
      <c r="Z15" s="19">
        <f t="shared" si="3"/>
        <v>-0.5709291456346981</v>
      </c>
    </row>
    <row r="16" spans="1:26" s="24" customFormat="1" hidden="1" outlineLevel="1" x14ac:dyDescent="0.3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-149.34</v>
      </c>
      <c r="Y16" s="2"/>
      <c r="Z16" s="19">
        <f t="shared" si="3"/>
        <v>-0.48030103238671085</v>
      </c>
    </row>
    <row r="17" spans="1:26" s="24" customFormat="1" hidden="1" outlineLevel="1" x14ac:dyDescent="0.3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3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 t="shared" si="4"/>
        <v>0</v>
      </c>
      <c r="E18" s="2"/>
      <c r="F18" s="19"/>
      <c r="G18" s="2"/>
      <c r="H18" s="2">
        <f>--32909.38</f>
        <v>32909.379999999997</v>
      </c>
      <c r="I18" s="2"/>
      <c r="J18" s="19"/>
      <c r="K18" s="2"/>
      <c r="L18" s="2">
        <f t="shared" si="0"/>
        <v>-32909.379999999997</v>
      </c>
      <c r="M18" s="2"/>
      <c r="N18" s="19">
        <f t="shared" si="1"/>
        <v>-1</v>
      </c>
      <c r="O18" s="11"/>
      <c r="P18" s="2">
        <f>--361873.67</f>
        <v>361873.67</v>
      </c>
      <c r="Q18" s="2"/>
      <c r="R18" s="19"/>
      <c r="S18" s="2"/>
      <c r="T18" s="2">
        <f>--417347.11</f>
        <v>417347.11</v>
      </c>
      <c r="U18" s="2"/>
      <c r="V18" s="19"/>
      <c r="W18" s="2"/>
      <c r="X18" s="2">
        <f t="shared" si="2"/>
        <v>-55473.440000000002</v>
      </c>
      <c r="Y18" s="2"/>
      <c r="Z18" s="19">
        <f t="shared" si="3"/>
        <v>-0.13291919045515854</v>
      </c>
    </row>
    <row r="19" spans="1:26" s="24" customFormat="1" hidden="1" outlineLevel="1" x14ac:dyDescent="0.3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 t="shared" si="4"/>
        <v>0</v>
      </c>
      <c r="E19" s="2"/>
      <c r="F19" s="19"/>
      <c r="G19" s="2"/>
      <c r="H19" s="2">
        <f>--6551.13</f>
        <v>6551.13</v>
      </c>
      <c r="I19" s="2"/>
      <c r="J19" s="19"/>
      <c r="K19" s="2"/>
      <c r="L19" s="2">
        <f t="shared" si="0"/>
        <v>-6551.13</v>
      </c>
      <c r="M19" s="2"/>
      <c r="N19" s="19">
        <f t="shared" si="1"/>
        <v>-1</v>
      </c>
      <c r="O19" s="11"/>
      <c r="P19" s="2">
        <f>--48550.34</f>
        <v>48550.34</v>
      </c>
      <c r="Q19" s="2"/>
      <c r="R19" s="19"/>
      <c r="S19" s="2"/>
      <c r="T19" s="2">
        <f>--66836.6</f>
        <v>66836.600000000006</v>
      </c>
      <c r="U19" s="2"/>
      <c r="V19" s="19"/>
      <c r="W19" s="2"/>
      <c r="X19" s="2">
        <f t="shared" si="2"/>
        <v>-18286.260000000009</v>
      </c>
      <c r="Y19" s="2"/>
      <c r="Z19" s="19">
        <f t="shared" si="3"/>
        <v>-0.27359650251508916</v>
      </c>
    </row>
    <row r="20" spans="1:26" s="24" customFormat="1" hidden="1" outlineLevel="1" x14ac:dyDescent="0.3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 t="shared" si="4"/>
        <v>0</v>
      </c>
      <c r="E20" s="2"/>
      <c r="F20" s="19"/>
      <c r="G20" s="2"/>
      <c r="H20" s="2">
        <f>--1090.95</f>
        <v>1090.95</v>
      </c>
      <c r="I20" s="2"/>
      <c r="J20" s="19"/>
      <c r="K20" s="2"/>
      <c r="L20" s="2">
        <f t="shared" si="0"/>
        <v>-1090.95</v>
      </c>
      <c r="M20" s="2"/>
      <c r="N20" s="19">
        <f t="shared" si="1"/>
        <v>-1</v>
      </c>
      <c r="O20" s="11"/>
      <c r="P20" s="2">
        <f>--30701.57</f>
        <v>30701.57</v>
      </c>
      <c r="Q20" s="2"/>
      <c r="R20" s="19"/>
      <c r="S20" s="2"/>
      <c r="T20" s="2">
        <f>--28499.73</f>
        <v>28499.73</v>
      </c>
      <c r="U20" s="2"/>
      <c r="V20" s="19"/>
      <c r="W20" s="2"/>
      <c r="X20" s="2">
        <f t="shared" si="2"/>
        <v>2201.84</v>
      </c>
      <c r="Y20" s="2"/>
      <c r="Z20" s="19">
        <f t="shared" si="3"/>
        <v>7.7258275780156524E-2</v>
      </c>
    </row>
    <row r="21" spans="1:26" s="24" customFormat="1" hidden="1" outlineLevel="1" x14ac:dyDescent="0.3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 t="shared" si="4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--1544.02</f>
        <v>1544.02</v>
      </c>
      <c r="Q21" s="2"/>
      <c r="R21" s="19"/>
      <c r="S21" s="2"/>
      <c r="T21" s="2">
        <f>--349.77</f>
        <v>349.77</v>
      </c>
      <c r="U21" s="2"/>
      <c r="V21" s="19"/>
      <c r="W21" s="2"/>
      <c r="X21" s="2">
        <f t="shared" si="2"/>
        <v>1194.25</v>
      </c>
      <c r="Y21" s="2"/>
      <c r="Z21" s="19">
        <f t="shared" si="3"/>
        <v>3.4143865969065388</v>
      </c>
    </row>
    <row r="22" spans="1:26" s="24" customFormat="1" hidden="1" outlineLevel="1" x14ac:dyDescent="0.3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 t="shared" si="4"/>
        <v>0</v>
      </c>
      <c r="E22" s="2"/>
      <c r="F22" s="19"/>
      <c r="G22" s="2"/>
      <c r="H22" s="2">
        <f>--294.5</f>
        <v>294.5</v>
      </c>
      <c r="I22" s="2"/>
      <c r="J22" s="19"/>
      <c r="K22" s="2"/>
      <c r="L22" s="2">
        <f t="shared" si="0"/>
        <v>-294.5</v>
      </c>
      <c r="M22" s="2"/>
      <c r="N22" s="19">
        <f t="shared" si="1"/>
        <v>-1</v>
      </c>
      <c r="O22" s="11"/>
      <c r="P22" s="2">
        <f>--4101.55</f>
        <v>4101.55</v>
      </c>
      <c r="Q22" s="2"/>
      <c r="R22" s="19"/>
      <c r="S22" s="2"/>
      <c r="T22" s="2">
        <f>--6112.31</f>
        <v>6112.31</v>
      </c>
      <c r="U22" s="2"/>
      <c r="V22" s="19"/>
      <c r="W22" s="2"/>
      <c r="X22" s="2">
        <f t="shared" si="2"/>
        <v>-2010.7600000000002</v>
      </c>
      <c r="Y22" s="2"/>
      <c r="Z22" s="19">
        <f t="shared" si="3"/>
        <v>-0.3289689168252265</v>
      </c>
    </row>
    <row r="23" spans="1:26" s="24" customFormat="1" hidden="1" outlineLevel="1" x14ac:dyDescent="0.3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 t="shared" si="4"/>
        <v>0</v>
      </c>
      <c r="E23" s="2"/>
      <c r="F23" s="19"/>
      <c r="G23" s="2"/>
      <c r="H23" s="2">
        <f>--244</f>
        <v>244</v>
      </c>
      <c r="I23" s="2"/>
      <c r="J23" s="19"/>
      <c r="K23" s="2"/>
      <c r="L23" s="2">
        <f t="shared" si="0"/>
        <v>-244</v>
      </c>
      <c r="M23" s="2"/>
      <c r="N23" s="19">
        <f t="shared" si="1"/>
        <v>-1</v>
      </c>
      <c r="O23" s="11"/>
      <c r="P23" s="2">
        <f>--467.6</f>
        <v>467.6</v>
      </c>
      <c r="Q23" s="2"/>
      <c r="R23" s="19"/>
      <c r="S23" s="2"/>
      <c r="T23" s="2">
        <f>--2405.69</f>
        <v>2405.69</v>
      </c>
      <c r="U23" s="2"/>
      <c r="V23" s="19"/>
      <c r="W23" s="2"/>
      <c r="X23" s="2">
        <f t="shared" si="2"/>
        <v>-1938.0900000000001</v>
      </c>
      <c r="Y23" s="2"/>
      <c r="Z23" s="19">
        <f t="shared" si="3"/>
        <v>-0.80562749148892843</v>
      </c>
    </row>
    <row r="24" spans="1:26" s="24" customFormat="1" hidden="1" outlineLevel="1" x14ac:dyDescent="0.3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si="4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-39.95</f>
        <v>-39.950000000000003</v>
      </c>
      <c r="Q24" s="2"/>
      <c r="R24" s="19"/>
      <c r="S24" s="2"/>
      <c r="T24" s="2">
        <f>--364.55</f>
        <v>364.55</v>
      </c>
      <c r="U24" s="2"/>
      <c r="V24" s="19"/>
      <c r="W24" s="2"/>
      <c r="X24" s="2">
        <f t="shared" si="2"/>
        <v>-404.5</v>
      </c>
      <c r="Y24" s="2"/>
      <c r="Z24" s="19">
        <f t="shared" si="3"/>
        <v>-1.1095871622548348</v>
      </c>
    </row>
    <row r="25" spans="1:26" s="24" customFormat="1" hidden="1" outlineLevel="1" x14ac:dyDescent="0.3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4"/>
        <v>0</v>
      </c>
      <c r="E25" s="2"/>
      <c r="F25" s="19"/>
      <c r="G25" s="2"/>
      <c r="H25" s="2">
        <f>--4.95</f>
        <v>4.95</v>
      </c>
      <c r="I25" s="2"/>
      <c r="J25" s="19"/>
      <c r="K25" s="2"/>
      <c r="L25" s="2">
        <f t="shared" si="0"/>
        <v>-4.95</v>
      </c>
      <c r="M25" s="2"/>
      <c r="N25" s="19">
        <f t="shared" si="1"/>
        <v>-1</v>
      </c>
      <c r="O25" s="11"/>
      <c r="P25" s="2">
        <f>--29.7</f>
        <v>29.7</v>
      </c>
      <c r="Q25" s="2"/>
      <c r="R25" s="19"/>
      <c r="S25" s="2"/>
      <c r="T25" s="2">
        <f>--52.47</f>
        <v>52.47</v>
      </c>
      <c r="U25" s="2"/>
      <c r="V25" s="19"/>
      <c r="W25" s="2"/>
      <c r="X25" s="2">
        <f t="shared" si="2"/>
        <v>-22.77</v>
      </c>
      <c r="Y25" s="2"/>
      <c r="Z25" s="19">
        <f t="shared" si="3"/>
        <v>-0.43396226415094341</v>
      </c>
    </row>
    <row r="26" spans="1:26" s="24" customFormat="1" hidden="1" outlineLevel="1" x14ac:dyDescent="0.3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 t="shared" si="4"/>
        <v>0</v>
      </c>
      <c r="E26" s="2"/>
      <c r="F26" s="19"/>
      <c r="G26" s="2"/>
      <c r="H26" s="2">
        <f>--9</f>
        <v>9</v>
      </c>
      <c r="I26" s="2"/>
      <c r="J26" s="19"/>
      <c r="K26" s="2"/>
      <c r="L26" s="2">
        <f t="shared" si="0"/>
        <v>-9</v>
      </c>
      <c r="M26" s="2"/>
      <c r="N26" s="19">
        <f t="shared" si="1"/>
        <v>-1</v>
      </c>
      <c r="O26" s="11"/>
      <c r="P26" s="2">
        <f>--123</f>
        <v>123</v>
      </c>
      <c r="Q26" s="2"/>
      <c r="R26" s="19"/>
      <c r="S26" s="2"/>
      <c r="T26" s="2">
        <f>--126</f>
        <v>126</v>
      </c>
      <c r="U26" s="2"/>
      <c r="V26" s="19"/>
      <c r="W26" s="2"/>
      <c r="X26" s="2">
        <f t="shared" si="2"/>
        <v>-3</v>
      </c>
      <c r="Y26" s="2"/>
      <c r="Z26" s="19">
        <f t="shared" si="3"/>
        <v>-2.3809523809523808E-2</v>
      </c>
    </row>
    <row r="27" spans="1:26" s="24" customFormat="1" hidden="1" outlineLevel="1" x14ac:dyDescent="0.3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 t="shared" si="4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--101.5</f>
        <v>101.5</v>
      </c>
      <c r="U27" s="2"/>
      <c r="V27" s="19"/>
      <c r="W27" s="2"/>
      <c r="X27" s="2">
        <f t="shared" si="2"/>
        <v>-101.5</v>
      </c>
      <c r="Y27" s="2"/>
      <c r="Z27" s="19">
        <f t="shared" si="3"/>
        <v>-1</v>
      </c>
    </row>
    <row r="28" spans="1:26" s="24" customFormat="1" hidden="1" outlineLevel="1" x14ac:dyDescent="0.3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 t="shared" si="4"/>
        <v>0</v>
      </c>
      <c r="E28" s="2"/>
      <c r="F28" s="19"/>
      <c r="G28" s="2"/>
      <c r="H28" s="2">
        <f>--11.5</f>
        <v>11.5</v>
      </c>
      <c r="I28" s="2"/>
      <c r="J28" s="19"/>
      <c r="K28" s="2"/>
      <c r="L28" s="2">
        <f t="shared" si="0"/>
        <v>-11.5</v>
      </c>
      <c r="M28" s="2"/>
      <c r="N28" s="19">
        <f t="shared" si="1"/>
        <v>-1</v>
      </c>
      <c r="O28" s="11"/>
      <c r="P28" s="2">
        <f>--591.86</f>
        <v>591.86</v>
      </c>
      <c r="Q28" s="2"/>
      <c r="R28" s="19"/>
      <c r="S28" s="2"/>
      <c r="T28" s="2">
        <f>--607.38</f>
        <v>607.38</v>
      </c>
      <c r="U28" s="2"/>
      <c r="V28" s="19"/>
      <c r="W28" s="2"/>
      <c r="X28" s="2">
        <f t="shared" si="2"/>
        <v>-15.519999999999982</v>
      </c>
      <c r="Y28" s="2"/>
      <c r="Z28" s="19">
        <f t="shared" si="3"/>
        <v>-2.5552372485099908E-2</v>
      </c>
    </row>
    <row r="29" spans="1:26" s="24" customFormat="1" hidden="1" outlineLevel="1" x14ac:dyDescent="0.3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4"/>
        <v>0</v>
      </c>
      <c r="E29" s="2"/>
      <c r="F29" s="19"/>
      <c r="G29" s="2"/>
      <c r="H29" s="2">
        <f>-0.79</f>
        <v>-0.79</v>
      </c>
      <c r="I29" s="2"/>
      <c r="J29" s="19"/>
      <c r="K29" s="2"/>
      <c r="L29" s="2">
        <f t="shared" si="0"/>
        <v>0.79</v>
      </c>
      <c r="M29" s="2"/>
      <c r="N29" s="19">
        <f t="shared" si="1"/>
        <v>-1</v>
      </c>
      <c r="O29" s="11"/>
      <c r="P29" s="2">
        <f>-134.8</f>
        <v>-134.80000000000001</v>
      </c>
      <c r="Q29" s="2"/>
      <c r="R29" s="19"/>
      <c r="S29" s="2"/>
      <c r="T29" s="2">
        <f>-5.86</f>
        <v>-5.86</v>
      </c>
      <c r="U29" s="2"/>
      <c r="V29" s="19"/>
      <c r="W29" s="2"/>
      <c r="X29" s="2">
        <f t="shared" si="2"/>
        <v>-128.94</v>
      </c>
      <c r="Y29" s="2"/>
      <c r="Z29" s="19">
        <f t="shared" si="3"/>
        <v>22.003412969283275</v>
      </c>
    </row>
    <row r="30" spans="1:26" s="24" customFormat="1" hidden="1" outlineLevel="1" x14ac:dyDescent="0.3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4"/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-4.99</f>
        <v>-4.99</v>
      </c>
      <c r="U30" s="2"/>
      <c r="V30" s="19"/>
      <c r="W30" s="2"/>
      <c r="X30" s="2">
        <f t="shared" si="2"/>
        <v>4.99</v>
      </c>
      <c r="Y30" s="2"/>
      <c r="Z30" s="19">
        <f t="shared" si="3"/>
        <v>-1</v>
      </c>
    </row>
    <row r="31" spans="1:26" s="24" customFormat="1" hidden="1" outlineLevel="1" x14ac:dyDescent="0.3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 t="shared" si="4"/>
        <v>0</v>
      </c>
      <c r="E31" s="2"/>
      <c r="F31" s="19"/>
      <c r="G31" s="2"/>
      <c r="H31" s="2">
        <f>-1451.4</f>
        <v>-1451.4</v>
      </c>
      <c r="I31" s="2"/>
      <c r="J31" s="19"/>
      <c r="K31" s="2"/>
      <c r="L31" s="2">
        <f t="shared" si="0"/>
        <v>1451.4</v>
      </c>
      <c r="M31" s="2"/>
      <c r="N31" s="19">
        <f t="shared" si="1"/>
        <v>-1</v>
      </c>
      <c r="O31" s="11"/>
      <c r="P31" s="2">
        <f>-16122.19</f>
        <v>-16122.19</v>
      </c>
      <c r="Q31" s="2"/>
      <c r="R31" s="19"/>
      <c r="S31" s="2"/>
      <c r="T31" s="2">
        <f>-21242.07</f>
        <v>-21242.07</v>
      </c>
      <c r="U31" s="2"/>
      <c r="V31" s="19"/>
      <c r="W31" s="2"/>
      <c r="X31" s="2">
        <f t="shared" si="2"/>
        <v>5119.8799999999992</v>
      </c>
      <c r="Y31" s="2"/>
      <c r="Z31" s="19">
        <f t="shared" si="3"/>
        <v>-0.24102547444764089</v>
      </c>
    </row>
    <row r="32" spans="1:26" s="24" customFormat="1" hidden="1" outlineLevel="1" x14ac:dyDescent="0.3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 t="shared" si="4"/>
        <v>0</v>
      </c>
      <c r="E32" s="2"/>
      <c r="F32" s="19"/>
      <c r="G32" s="2"/>
      <c r="H32" s="2">
        <f>-194.5</f>
        <v>-194.5</v>
      </c>
      <c r="I32" s="2"/>
      <c r="J32" s="19"/>
      <c r="K32" s="2"/>
      <c r="L32" s="2">
        <f t="shared" si="0"/>
        <v>194.5</v>
      </c>
      <c r="M32" s="2"/>
      <c r="N32" s="19">
        <f t="shared" si="1"/>
        <v>-1</v>
      </c>
      <c r="O32" s="11"/>
      <c r="P32" s="2">
        <f>-1260.11</f>
        <v>-1260.1099999999999</v>
      </c>
      <c r="Q32" s="2"/>
      <c r="R32" s="19"/>
      <c r="S32" s="2"/>
      <c r="T32" s="2">
        <f>-1336.19</f>
        <v>-1336.19</v>
      </c>
      <c r="U32" s="2"/>
      <c r="V32" s="19"/>
      <c r="W32" s="2"/>
      <c r="X32" s="2">
        <f t="shared" si="2"/>
        <v>76.080000000000155</v>
      </c>
      <c r="Y32" s="2"/>
      <c r="Z32" s="19">
        <f t="shared" si="3"/>
        <v>-5.6938010312904713E-2</v>
      </c>
    </row>
    <row r="33" spans="1:26" s="24" customFormat="1" hidden="1" outlineLevel="1" x14ac:dyDescent="0.3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 t="shared" si="4"/>
        <v>0</v>
      </c>
      <c r="E33" s="2"/>
      <c r="F33" s="19"/>
      <c r="G33" s="2"/>
      <c r="H33" s="2">
        <f>-29.95</f>
        <v>-29.95</v>
      </c>
      <c r="I33" s="2"/>
      <c r="J33" s="19"/>
      <c r="K33" s="2"/>
      <c r="L33" s="2">
        <f t="shared" si="0"/>
        <v>29.95</v>
      </c>
      <c r="M33" s="2"/>
      <c r="N33" s="19">
        <f t="shared" si="1"/>
        <v>-1</v>
      </c>
      <c r="O33" s="11"/>
      <c r="P33" s="2">
        <f>-850.31</f>
        <v>-850.31</v>
      </c>
      <c r="Q33" s="2"/>
      <c r="R33" s="19"/>
      <c r="S33" s="2"/>
      <c r="T33" s="2">
        <f>-505.75</f>
        <v>-505.75</v>
      </c>
      <c r="U33" s="2"/>
      <c r="V33" s="19"/>
      <c r="W33" s="2"/>
      <c r="X33" s="2">
        <f t="shared" si="2"/>
        <v>-344.55999999999995</v>
      </c>
      <c r="Y33" s="2"/>
      <c r="Z33" s="19">
        <f t="shared" si="3"/>
        <v>0.68128521997034097</v>
      </c>
    </row>
    <row r="34" spans="1:26" s="24" customFormat="1" hidden="1" outlineLevel="1" x14ac:dyDescent="0.35">
      <c r="A34" s="44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 t="shared" si="4"/>
        <v>0</v>
      </c>
      <c r="E34" s="2"/>
      <c r="F34" s="19"/>
      <c r="G34" s="2"/>
      <c r="H34" s="2">
        <f t="shared" ref="H34:H36" si="7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-130.8</f>
        <v>-130.80000000000001</v>
      </c>
      <c r="Q34" s="2"/>
      <c r="R34" s="19"/>
      <c r="S34" s="2"/>
      <c r="T34" s="2">
        <f>-229.85</f>
        <v>-229.85</v>
      </c>
      <c r="U34" s="2"/>
      <c r="V34" s="19"/>
      <c r="W34" s="2"/>
      <c r="X34" s="2">
        <f t="shared" si="2"/>
        <v>99.049999999999983</v>
      </c>
      <c r="Y34" s="2"/>
      <c r="Z34" s="19">
        <f t="shared" si="3"/>
        <v>-0.43093321731564055</v>
      </c>
    </row>
    <row r="35" spans="1:26" s="24" customFormat="1" hidden="1" outlineLevel="1" x14ac:dyDescent="0.35">
      <c r="A35" s="44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 t="shared" si="4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-9.99</f>
        <v>-9.99</v>
      </c>
      <c r="Q35" s="2"/>
      <c r="R35" s="19"/>
      <c r="S35" s="2"/>
      <c r="T35" s="2">
        <f>-135.9</f>
        <v>-135.9</v>
      </c>
      <c r="U35" s="2"/>
      <c r="V35" s="19"/>
      <c r="W35" s="2"/>
      <c r="X35" s="2">
        <f t="shared" si="2"/>
        <v>125.91000000000001</v>
      </c>
      <c r="Y35" s="2"/>
      <c r="Z35" s="19">
        <f t="shared" si="3"/>
        <v>-0.92649006622516561</v>
      </c>
    </row>
    <row r="36" spans="1:26" s="24" customFormat="1" hidden="1" outlineLevel="1" x14ac:dyDescent="0.35">
      <c r="A36" s="44"/>
      <c r="B36" s="11" t="str">
        <f>CONCATENATE("          ", "4295", " - ", "SALES RETURN TAXABLE-CUSTOMER")</f>
        <v xml:space="preserve">          4295 - SALES RETURN TAXABLE-CUSTOMER</v>
      </c>
      <c r="C36" s="11"/>
      <c r="D36" s="2">
        <f t="shared" si="4"/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--0.99</f>
        <v>0.99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0.99</v>
      </c>
      <c r="Y36" s="2"/>
      <c r="Z36" s="19">
        <f t="shared" si="3"/>
        <v>0</v>
      </c>
    </row>
    <row r="37" spans="1:26" x14ac:dyDescent="0.3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5">
      <c r="A38" s="10"/>
      <c r="B38" s="29" t="s">
        <v>8</v>
      </c>
      <c r="C38" s="10"/>
      <c r="D38" s="4">
        <f>SUM(OSRRefD16x_0)</f>
        <v>24096.500000000007</v>
      </c>
      <c r="E38" s="4"/>
      <c r="F38" s="13">
        <f t="shared" ref="F38:F56" si="8">IF(D$12=0,0,D38/D$12)</f>
        <v>0</v>
      </c>
      <c r="G38" s="4"/>
      <c r="H38" s="4">
        <f>SUM(OSRRefH16x_0)</f>
        <v>14860.580000000009</v>
      </c>
      <c r="I38" s="4"/>
      <c r="J38" s="13">
        <f t="shared" ref="J38:J56" si="9">IF(H$12=0,0,H38/H$12)</f>
        <v>0.37660068049036288</v>
      </c>
      <c r="K38" s="4"/>
      <c r="L38" s="4">
        <f t="shared" ref="L38:L56" si="10">+D38-H38</f>
        <v>9235.9199999999983</v>
      </c>
      <c r="M38" s="4"/>
      <c r="N38" s="13">
        <f t="shared" ref="N38:N56" si="11">IF(H38=0,0,L38/H38)</f>
        <v>0.62150467882141835</v>
      </c>
      <c r="O38" s="10"/>
      <c r="P38" s="4">
        <f>SUM(OSRRefP16x_0)</f>
        <v>211204.24999999997</v>
      </c>
      <c r="Q38" s="4"/>
      <c r="R38" s="13">
        <f t="shared" ref="R38:R56" si="12">IF(P$12=0,0,P38/P$12)</f>
        <v>0.49135450986780288</v>
      </c>
      <c r="S38" s="4"/>
      <c r="T38" s="4">
        <f>SUM(OSRRefT16x_0)</f>
        <v>209508.79999999996</v>
      </c>
      <c r="U38" s="4"/>
      <c r="V38" s="13">
        <f t="shared" ref="V38:V56" si="13">IF(T$12=0,0,T38/T$12)</f>
        <v>0.41878697401341081</v>
      </c>
      <c r="W38" s="4"/>
      <c r="X38" s="4">
        <f t="shared" ref="X38:X56" si="14">+P38-T38</f>
        <v>1695.4500000000116</v>
      </c>
      <c r="Y38" s="4"/>
      <c r="Z38" s="13">
        <f t="shared" ref="Z38:Z56" si="15">IF(T38=0,0,X38/T38)</f>
        <v>8.0925001718305488E-3</v>
      </c>
    </row>
    <row r="39" spans="1:26" s="24" customFormat="1" hidden="1" outlineLevel="1" x14ac:dyDescent="0.3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/>
      <c r="E39" s="2"/>
      <c r="F39" s="19">
        <f t="shared" si="8"/>
        <v>0</v>
      </c>
      <c r="G39" s="2"/>
      <c r="H39" s="2"/>
      <c r="I39" s="2"/>
      <c r="J39" s="19">
        <f t="shared" si="9"/>
        <v>0</v>
      </c>
      <c r="K39" s="2"/>
      <c r="L39" s="2">
        <f t="shared" si="10"/>
        <v>0</v>
      </c>
      <c r="M39" s="2"/>
      <c r="N39" s="19">
        <f t="shared" si="11"/>
        <v>0</v>
      </c>
      <c r="O39" s="11"/>
      <c r="P39" s="2">
        <v>6.06</v>
      </c>
      <c r="Q39" s="2"/>
      <c r="R39" s="19">
        <f t="shared" si="12"/>
        <v>1.4098240588429853E-5</v>
      </c>
      <c r="S39" s="2"/>
      <c r="T39" s="2">
        <v>19.149999999999999</v>
      </c>
      <c r="U39" s="2"/>
      <c r="V39" s="19">
        <f t="shared" si="13"/>
        <v>3.8278919798866767E-5</v>
      </c>
      <c r="W39" s="2"/>
      <c r="X39" s="2">
        <f t="shared" si="14"/>
        <v>-13.09</v>
      </c>
      <c r="Y39" s="2"/>
      <c r="Z39" s="19">
        <f t="shared" si="15"/>
        <v>-0.68355091383812017</v>
      </c>
    </row>
    <row r="40" spans="1:26" s="24" customFormat="1" hidden="1" outlineLevel="1" x14ac:dyDescent="0.3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/>
      <c r="E40" s="2"/>
      <c r="F40" s="19">
        <f t="shared" si="8"/>
        <v>0</v>
      </c>
      <c r="G40" s="2"/>
      <c r="H40" s="2">
        <v>-74.67</v>
      </c>
      <c r="I40" s="2"/>
      <c r="J40" s="19">
        <f t="shared" si="9"/>
        <v>-1.8923065460577839E-3</v>
      </c>
      <c r="K40" s="2"/>
      <c r="L40" s="2">
        <f t="shared" si="10"/>
        <v>74.67</v>
      </c>
      <c r="M40" s="2"/>
      <c r="N40" s="19">
        <f t="shared" si="11"/>
        <v>-1</v>
      </c>
      <c r="O40" s="11"/>
      <c r="P40" s="2">
        <v>1193.81</v>
      </c>
      <c r="Q40" s="2"/>
      <c r="R40" s="19">
        <f t="shared" si="12"/>
        <v>2.7773301314972677E-3</v>
      </c>
      <c r="S40" s="2"/>
      <c r="T40" s="2">
        <v>544.27</v>
      </c>
      <c r="U40" s="2"/>
      <c r="V40" s="19">
        <f t="shared" si="13"/>
        <v>1.0879408709623612E-3</v>
      </c>
      <c r="W40" s="2"/>
      <c r="X40" s="2">
        <f t="shared" si="14"/>
        <v>649.54</v>
      </c>
      <c r="Y40" s="2"/>
      <c r="Z40" s="19">
        <f t="shared" si="15"/>
        <v>1.1934150329799549</v>
      </c>
    </row>
    <row r="41" spans="1:26" s="24" customFormat="1" hidden="1" outlineLevel="1" x14ac:dyDescent="0.3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/>
      <c r="E41" s="2"/>
      <c r="F41" s="19">
        <f t="shared" si="8"/>
        <v>0</v>
      </c>
      <c r="G41" s="2"/>
      <c r="H41" s="2"/>
      <c r="I41" s="2"/>
      <c r="J41" s="19">
        <f t="shared" si="9"/>
        <v>0</v>
      </c>
      <c r="K41" s="2"/>
      <c r="L41" s="2">
        <f t="shared" si="10"/>
        <v>0</v>
      </c>
      <c r="M41" s="2"/>
      <c r="N41" s="19">
        <f t="shared" si="11"/>
        <v>0</v>
      </c>
      <c r="O41" s="11"/>
      <c r="P41" s="2">
        <v>305.64999999999998</v>
      </c>
      <c r="Q41" s="2"/>
      <c r="R41" s="19">
        <f t="shared" si="12"/>
        <v>7.1107710162600401E-4</v>
      </c>
      <c r="S41" s="2"/>
      <c r="T41" s="2">
        <v>569.59</v>
      </c>
      <c r="U41" s="2"/>
      <c r="V41" s="19">
        <f t="shared" si="13"/>
        <v>1.1385529988635261E-3</v>
      </c>
      <c r="W41" s="2"/>
      <c r="X41" s="2">
        <f t="shared" si="14"/>
        <v>-263.94000000000005</v>
      </c>
      <c r="Y41" s="2"/>
      <c r="Z41" s="19">
        <f t="shared" si="15"/>
        <v>-0.46338594427570717</v>
      </c>
    </row>
    <row r="42" spans="1:26" s="24" customFormat="1" hidden="1" outlineLevel="1" x14ac:dyDescent="0.35">
      <c r="A42" s="44"/>
      <c r="B42" s="11" t="str">
        <f>CONCATENATE("          ", "5034", " - ", "PURCHASES @ COST-SODA")</f>
        <v xml:space="preserve">          5034 - PURCHASES @ COST-SODA</v>
      </c>
      <c r="C42" s="11"/>
      <c r="D42" s="2"/>
      <c r="E42" s="2"/>
      <c r="F42" s="19">
        <f t="shared" si="8"/>
        <v>0</v>
      </c>
      <c r="G42" s="2"/>
      <c r="H42" s="2"/>
      <c r="I42" s="2"/>
      <c r="J42" s="19">
        <f t="shared" si="9"/>
        <v>0</v>
      </c>
      <c r="K42" s="2"/>
      <c r="L42" s="2">
        <f t="shared" si="10"/>
        <v>0</v>
      </c>
      <c r="M42" s="2"/>
      <c r="N42" s="19">
        <f t="shared" si="11"/>
        <v>0</v>
      </c>
      <c r="O42" s="11"/>
      <c r="P42" s="2"/>
      <c r="Q42" s="2"/>
      <c r="R42" s="19">
        <f t="shared" si="12"/>
        <v>0</v>
      </c>
      <c r="S42" s="2"/>
      <c r="T42" s="2">
        <v>18.54</v>
      </c>
      <c r="U42" s="2"/>
      <c r="V42" s="19">
        <f t="shared" si="13"/>
        <v>3.7059591283080412E-5</v>
      </c>
      <c r="W42" s="2"/>
      <c r="X42" s="2">
        <f t="shared" si="14"/>
        <v>-18.54</v>
      </c>
      <c r="Y42" s="2"/>
      <c r="Z42" s="19">
        <f t="shared" si="15"/>
        <v>-1</v>
      </c>
    </row>
    <row r="43" spans="1:26" s="24" customFormat="1" hidden="1" outlineLevel="1" x14ac:dyDescent="0.35">
      <c r="A43" s="44"/>
      <c r="B43" s="11" t="str">
        <f>CONCATENATE("          ", "5037", " - ", "PURCHASES @ COST-WATER")</f>
        <v xml:space="preserve">          5037 - PURCHASES @ COST-WATER</v>
      </c>
      <c r="C43" s="11"/>
      <c r="D43" s="2"/>
      <c r="E43" s="2"/>
      <c r="F43" s="19">
        <f t="shared" si="8"/>
        <v>0</v>
      </c>
      <c r="G43" s="2"/>
      <c r="H43" s="2"/>
      <c r="I43" s="2"/>
      <c r="J43" s="19">
        <f t="shared" si="9"/>
        <v>0</v>
      </c>
      <c r="K43" s="2"/>
      <c r="L43" s="2">
        <f t="shared" si="10"/>
        <v>0</v>
      </c>
      <c r="M43" s="2"/>
      <c r="N43" s="19">
        <f t="shared" si="11"/>
        <v>0</v>
      </c>
      <c r="O43" s="11"/>
      <c r="P43" s="2">
        <v>29.76</v>
      </c>
      <c r="Q43" s="2"/>
      <c r="R43" s="19">
        <f t="shared" si="12"/>
        <v>6.9234924077833738E-5</v>
      </c>
      <c r="S43" s="2"/>
      <c r="T43" s="2">
        <v>67.790000000000006</v>
      </c>
      <c r="U43" s="2"/>
      <c r="V43" s="19">
        <f t="shared" si="13"/>
        <v>1.3550537718878217E-4</v>
      </c>
      <c r="W43" s="2"/>
      <c r="X43" s="2">
        <f t="shared" si="14"/>
        <v>-38.03</v>
      </c>
      <c r="Y43" s="2"/>
      <c r="Z43" s="19">
        <f t="shared" si="15"/>
        <v>-0.56099719722672958</v>
      </c>
    </row>
    <row r="44" spans="1:26" s="24" customFormat="1" hidden="1" outlineLevel="1" x14ac:dyDescent="0.35">
      <c r="A44" s="44"/>
      <c r="B44" s="11" t="str">
        <f>CONCATENATE("          ", "5040", " - ", "PURCHASES @ COST-LOGO CLOTHING")</f>
        <v xml:space="preserve">          5040 - PURCHASES @ COST-LOGO CLOTHING</v>
      </c>
      <c r="C44" s="11"/>
      <c r="D44" s="2">
        <v>-19613.34</v>
      </c>
      <c r="E44" s="2"/>
      <c r="F44" s="19">
        <f t="shared" si="8"/>
        <v>0</v>
      </c>
      <c r="G44" s="2"/>
      <c r="H44" s="2">
        <v>17413.870000000003</v>
      </c>
      <c r="I44" s="2"/>
      <c r="J44" s="19">
        <f t="shared" si="9"/>
        <v>0.44130681924734516</v>
      </c>
      <c r="K44" s="2"/>
      <c r="L44" s="2">
        <f t="shared" si="10"/>
        <v>-37027.210000000006</v>
      </c>
      <c r="M44" s="2"/>
      <c r="N44" s="19">
        <f t="shared" si="11"/>
        <v>-2.1263056402741034</v>
      </c>
      <c r="O44" s="11"/>
      <c r="P44" s="2">
        <v>144045.49</v>
      </c>
      <c r="Q44" s="2"/>
      <c r="R44" s="19">
        <f t="shared" si="12"/>
        <v>0.33511352701291525</v>
      </c>
      <c r="S44" s="2"/>
      <c r="T44" s="2">
        <v>195063.16999999998</v>
      </c>
      <c r="U44" s="2"/>
      <c r="V44" s="19">
        <f t="shared" si="13"/>
        <v>0.38991161567324878</v>
      </c>
      <c r="W44" s="2"/>
      <c r="X44" s="2">
        <f t="shared" si="14"/>
        <v>-51017.679999999993</v>
      </c>
      <c r="Y44" s="2"/>
      <c r="Z44" s="19">
        <f t="shared" si="15"/>
        <v>-0.2615444012316625</v>
      </c>
    </row>
    <row r="45" spans="1:26" s="24" customFormat="1" hidden="1" outlineLevel="1" x14ac:dyDescent="0.35">
      <c r="A45" s="44"/>
      <c r="B45" s="11" t="str">
        <f>CONCATENATE("          ", "5041", " - ", "PURCHASES @ COST-LOGO GIFTS")</f>
        <v xml:space="preserve">          5041 - PURCHASES @ COST-LOGO GIFTS</v>
      </c>
      <c r="C45" s="11"/>
      <c r="D45" s="2">
        <v>-6368.68</v>
      </c>
      <c r="E45" s="2"/>
      <c r="F45" s="19">
        <f t="shared" si="8"/>
        <v>0</v>
      </c>
      <c r="G45" s="2"/>
      <c r="H45" s="2">
        <v>2860.5</v>
      </c>
      <c r="I45" s="2"/>
      <c r="J45" s="19">
        <f t="shared" si="9"/>
        <v>7.2491534418083439E-2</v>
      </c>
      <c r="K45" s="2"/>
      <c r="L45" s="2">
        <f t="shared" si="10"/>
        <v>-9229.18</v>
      </c>
      <c r="M45" s="2"/>
      <c r="N45" s="19">
        <f t="shared" si="11"/>
        <v>-3.2264219542038108</v>
      </c>
      <c r="O45" s="11"/>
      <c r="P45" s="2">
        <v>18398.5</v>
      </c>
      <c r="Q45" s="2"/>
      <c r="R45" s="19">
        <f t="shared" si="12"/>
        <v>4.2803049416869084E-2</v>
      </c>
      <c r="S45" s="2"/>
      <c r="T45" s="2">
        <v>30673.58</v>
      </c>
      <c r="U45" s="2"/>
      <c r="V45" s="19">
        <f t="shared" si="13"/>
        <v>6.1313394713531269E-2</v>
      </c>
      <c r="W45" s="2"/>
      <c r="X45" s="2">
        <f t="shared" si="14"/>
        <v>-12275.080000000002</v>
      </c>
      <c r="Y45" s="2"/>
      <c r="Z45" s="19">
        <f t="shared" si="15"/>
        <v>-0.40018413240319523</v>
      </c>
    </row>
    <row r="46" spans="1:26" s="24" customFormat="1" hidden="1" outlineLevel="1" x14ac:dyDescent="0.35">
      <c r="A46" s="44"/>
      <c r="B46" s="11" t="str">
        <f>CONCATENATE("          ", "5042", " - ", "PURCHASES @ COST-EVERYDAY GIFT")</f>
        <v xml:space="preserve">          5042 - PURCHASES @ COST-EVERYDAY GIFT</v>
      </c>
      <c r="C46" s="11"/>
      <c r="D46" s="2">
        <v>-712.23</v>
      </c>
      <c r="E46" s="2"/>
      <c r="F46" s="19">
        <f t="shared" si="8"/>
        <v>0</v>
      </c>
      <c r="G46" s="2"/>
      <c r="H46" s="2">
        <v>79.540000000000006</v>
      </c>
      <c r="I46" s="2"/>
      <c r="J46" s="19">
        <f t="shared" si="9"/>
        <v>2.0157233517267463E-3</v>
      </c>
      <c r="K46" s="2"/>
      <c r="L46" s="2">
        <f t="shared" si="10"/>
        <v>-791.77</v>
      </c>
      <c r="M46" s="2"/>
      <c r="N46" s="19">
        <f t="shared" si="11"/>
        <v>-9.9543625848629613</v>
      </c>
      <c r="O46" s="11"/>
      <c r="P46" s="2">
        <v>19640.47</v>
      </c>
      <c r="Q46" s="2"/>
      <c r="R46" s="19">
        <f t="shared" si="12"/>
        <v>4.569242101152457E-2</v>
      </c>
      <c r="S46" s="2"/>
      <c r="T46" s="2">
        <v>14090.97</v>
      </c>
      <c r="U46" s="2"/>
      <c r="V46" s="19">
        <f t="shared" si="13"/>
        <v>2.8166428747688651E-2</v>
      </c>
      <c r="W46" s="2"/>
      <c r="X46" s="2">
        <f t="shared" si="14"/>
        <v>5549.5000000000018</v>
      </c>
      <c r="Y46" s="2"/>
      <c r="Z46" s="19">
        <f t="shared" si="15"/>
        <v>0.39383378149268661</v>
      </c>
    </row>
    <row r="47" spans="1:26" s="24" customFormat="1" hidden="1" outlineLevel="1" x14ac:dyDescent="0.35">
      <c r="A47" s="44"/>
      <c r="B47" s="11" t="str">
        <f>CONCATENATE("          ", "5043", " - ", "PURCHASES @ COST-CARDS")</f>
        <v xml:space="preserve">          5043 - PURCHASES @ COST-CARDS</v>
      </c>
      <c r="C47" s="11"/>
      <c r="D47" s="2">
        <v>-6.51</v>
      </c>
      <c r="E47" s="2"/>
      <c r="F47" s="19">
        <f t="shared" si="8"/>
        <v>0</v>
      </c>
      <c r="G47" s="2"/>
      <c r="H47" s="2"/>
      <c r="I47" s="2"/>
      <c r="J47" s="19">
        <f t="shared" si="9"/>
        <v>0</v>
      </c>
      <c r="K47" s="2"/>
      <c r="L47" s="2">
        <f t="shared" si="10"/>
        <v>-6.51</v>
      </c>
      <c r="M47" s="2"/>
      <c r="N47" s="19">
        <f t="shared" si="11"/>
        <v>0</v>
      </c>
      <c r="O47" s="11"/>
      <c r="P47" s="2">
        <v>147.96</v>
      </c>
      <c r="Q47" s="2"/>
      <c r="R47" s="19">
        <f t="shared" si="12"/>
        <v>3.4422040882245566E-4</v>
      </c>
      <c r="S47" s="2"/>
      <c r="T47" s="2">
        <v>252.69</v>
      </c>
      <c r="U47" s="2"/>
      <c r="V47" s="19">
        <f t="shared" si="13"/>
        <v>5.051018404164827E-4</v>
      </c>
      <c r="W47" s="2"/>
      <c r="X47" s="2">
        <f t="shared" si="14"/>
        <v>-104.72999999999999</v>
      </c>
      <c r="Y47" s="2"/>
      <c r="Z47" s="19">
        <f t="shared" si="15"/>
        <v>-0.41446040603110529</v>
      </c>
    </row>
    <row r="48" spans="1:26" s="24" customFormat="1" hidden="1" outlineLevel="1" x14ac:dyDescent="0.35">
      <c r="A48" s="44"/>
      <c r="B48" s="11" t="str">
        <f>CONCATENATE("          ", "5044", " - ", "PURCHASES @ COST-ACCESSORIES")</f>
        <v xml:space="preserve">          5044 - PURCHASES @ COST-ACCESSORIES</v>
      </c>
      <c r="C48" s="11"/>
      <c r="D48" s="2">
        <v>-1263.75</v>
      </c>
      <c r="E48" s="2"/>
      <c r="F48" s="19">
        <f t="shared" si="8"/>
        <v>0</v>
      </c>
      <c r="G48" s="2"/>
      <c r="H48" s="2">
        <v>-651.69000000000005</v>
      </c>
      <c r="I48" s="2"/>
      <c r="J48" s="19">
        <f t="shared" si="9"/>
        <v>-1.6515297348337985E-2</v>
      </c>
      <c r="K48" s="2"/>
      <c r="L48" s="2">
        <f t="shared" si="10"/>
        <v>-612.05999999999995</v>
      </c>
      <c r="M48" s="2"/>
      <c r="N48" s="19">
        <f t="shared" si="11"/>
        <v>0.93918887814758534</v>
      </c>
      <c r="O48" s="11"/>
      <c r="P48" s="2">
        <v>-5736.6</v>
      </c>
      <c r="Q48" s="2"/>
      <c r="R48" s="19">
        <f t="shared" si="12"/>
        <v>-1.334586913524533E-2</v>
      </c>
      <c r="S48" s="2"/>
      <c r="T48" s="2">
        <v>1879.76</v>
      </c>
      <c r="U48" s="2"/>
      <c r="V48" s="19">
        <f t="shared" si="13"/>
        <v>3.7574507718599374E-3</v>
      </c>
      <c r="W48" s="2"/>
      <c r="X48" s="2">
        <f t="shared" si="14"/>
        <v>-7616.3600000000006</v>
      </c>
      <c r="Y48" s="2"/>
      <c r="Z48" s="19">
        <f t="shared" si="15"/>
        <v>-4.0517725667106443</v>
      </c>
    </row>
    <row r="49" spans="1:26" s="24" customFormat="1" hidden="1" outlineLevel="1" x14ac:dyDescent="0.35">
      <c r="A49" s="44"/>
      <c r="B49" s="11" t="str">
        <f>CONCATENATE("          ", "5045", " - ", "PURCHASES @ COST-SPECIAL ORDER")</f>
        <v xml:space="preserve">          5045 - PURCHASES @ COST-SPECIAL ORDER</v>
      </c>
      <c r="C49" s="11"/>
      <c r="D49" s="2"/>
      <c r="E49" s="2"/>
      <c r="F49" s="19">
        <f t="shared" si="8"/>
        <v>0</v>
      </c>
      <c r="G49" s="2"/>
      <c r="H49" s="2">
        <v>678</v>
      </c>
      <c r="I49" s="2"/>
      <c r="J49" s="19">
        <f t="shared" si="9"/>
        <v>1.7182052206069068E-2</v>
      </c>
      <c r="K49" s="2"/>
      <c r="L49" s="2">
        <f t="shared" si="10"/>
        <v>-678</v>
      </c>
      <c r="M49" s="2"/>
      <c r="N49" s="19">
        <f t="shared" si="11"/>
        <v>-1</v>
      </c>
      <c r="O49" s="11"/>
      <c r="P49" s="2">
        <v>-998.2</v>
      </c>
      <c r="Q49" s="2"/>
      <c r="R49" s="19">
        <f t="shared" si="12"/>
        <v>-2.3222547451106734E-3</v>
      </c>
      <c r="S49" s="2"/>
      <c r="T49" s="2">
        <v>1515.12</v>
      </c>
      <c r="U49" s="2"/>
      <c r="V49" s="19">
        <f t="shared" si="13"/>
        <v>3.0285721653085648E-3</v>
      </c>
      <c r="W49" s="2"/>
      <c r="X49" s="2">
        <f t="shared" si="14"/>
        <v>-2513.3199999999997</v>
      </c>
      <c r="Y49" s="2"/>
      <c r="Z49" s="19">
        <f t="shared" si="15"/>
        <v>-1.6588257035746343</v>
      </c>
    </row>
    <row r="50" spans="1:26" s="24" customFormat="1" hidden="1" outlineLevel="1" x14ac:dyDescent="0.35">
      <c r="A50" s="44"/>
      <c r="B50" s="11" t="str">
        <f>CONCATENATE("          ", "5083", " - ", "PURCHASES @ COST-COMPUTER EQUI")</f>
        <v xml:space="preserve">          5083 - PURCHASES @ COST-COMPUTER EQUI</v>
      </c>
      <c r="C50" s="11"/>
      <c r="D50" s="2"/>
      <c r="E50" s="2"/>
      <c r="F50" s="19">
        <f t="shared" si="8"/>
        <v>0</v>
      </c>
      <c r="G50" s="2"/>
      <c r="H50" s="2"/>
      <c r="I50" s="2"/>
      <c r="J50" s="19">
        <f t="shared" si="9"/>
        <v>0</v>
      </c>
      <c r="K50" s="2"/>
      <c r="L50" s="2">
        <f t="shared" si="10"/>
        <v>0</v>
      </c>
      <c r="M50" s="2"/>
      <c r="N50" s="19">
        <f t="shared" si="11"/>
        <v>0</v>
      </c>
      <c r="O50" s="11"/>
      <c r="P50" s="2">
        <v>90.35</v>
      </c>
      <c r="Q50" s="2"/>
      <c r="R50" s="19">
        <f t="shared" si="12"/>
        <v>2.1019406553871901E-4</v>
      </c>
      <c r="S50" s="2"/>
      <c r="T50" s="2">
        <v>15.8</v>
      </c>
      <c r="U50" s="2"/>
      <c r="V50" s="19">
        <f t="shared" si="13"/>
        <v>3.1582607458072847E-5</v>
      </c>
      <c r="W50" s="2"/>
      <c r="X50" s="2">
        <f t="shared" si="14"/>
        <v>74.55</v>
      </c>
      <c r="Y50" s="2"/>
      <c r="Z50" s="19">
        <f t="shared" si="15"/>
        <v>4.7183544303797467</v>
      </c>
    </row>
    <row r="51" spans="1:26" s="24" customFormat="1" hidden="1" outlineLevel="1" x14ac:dyDescent="0.35">
      <c r="A51" s="44"/>
      <c r="B51" s="11" t="str">
        <f>CONCATENATE("          ", "5092", " - ", "PURCHASES @ COST-GRAD MERCH")</f>
        <v xml:space="preserve">          5092 - PURCHASES @ COST-GRAD MERCH</v>
      </c>
      <c r="C51" s="11"/>
      <c r="D51" s="2"/>
      <c r="E51" s="2"/>
      <c r="F51" s="19">
        <f t="shared" si="8"/>
        <v>0</v>
      </c>
      <c r="G51" s="2"/>
      <c r="H51" s="2">
        <v>-11.85</v>
      </c>
      <c r="I51" s="2"/>
      <c r="J51" s="19">
        <f t="shared" si="9"/>
        <v>-3.0030577970784436E-4</v>
      </c>
      <c r="K51" s="2"/>
      <c r="L51" s="2">
        <f t="shared" si="10"/>
        <v>11.85</v>
      </c>
      <c r="M51" s="2"/>
      <c r="N51" s="19">
        <f t="shared" si="11"/>
        <v>-1</v>
      </c>
      <c r="O51" s="11"/>
      <c r="P51" s="2">
        <v>-60.35</v>
      </c>
      <c r="Q51" s="2"/>
      <c r="R51" s="19">
        <f t="shared" si="12"/>
        <v>-1.4040079529896728E-4</v>
      </c>
      <c r="S51" s="2"/>
      <c r="T51" s="2">
        <v>175.8</v>
      </c>
      <c r="U51" s="2"/>
      <c r="V51" s="19">
        <f t="shared" si="13"/>
        <v>3.5140648045121561E-4</v>
      </c>
      <c r="W51" s="2"/>
      <c r="X51" s="2">
        <f t="shared" si="14"/>
        <v>-236.15</v>
      </c>
      <c r="Y51" s="2"/>
      <c r="Z51" s="19">
        <f t="shared" si="15"/>
        <v>-1.343287827076223</v>
      </c>
    </row>
    <row r="52" spans="1:26" s="24" customFormat="1" hidden="1" outlineLevel="1" x14ac:dyDescent="0.35">
      <c r="A52" s="44"/>
      <c r="B52" s="11" t="str">
        <f>CONCATENATE("          ", "5095", " - ", "PURCHASES @ COST-CUSTOMER SERV")</f>
        <v xml:space="preserve">          5095 - PURCHASES @ COST-CUSTOMER SERV</v>
      </c>
      <c r="C52" s="11"/>
      <c r="D52" s="2">
        <v>-18.989999999999998</v>
      </c>
      <c r="E52" s="2"/>
      <c r="F52" s="19">
        <f t="shared" si="8"/>
        <v>0</v>
      </c>
      <c r="G52" s="2"/>
      <c r="H52" s="2">
        <v>2.88</v>
      </c>
      <c r="I52" s="2"/>
      <c r="J52" s="19">
        <f t="shared" si="9"/>
        <v>7.298570848595711E-5</v>
      </c>
      <c r="K52" s="2"/>
      <c r="L52" s="2">
        <f t="shared" si="10"/>
        <v>-21.869999999999997</v>
      </c>
      <c r="M52" s="2"/>
      <c r="N52" s="19">
        <f t="shared" si="11"/>
        <v>-7.5937499999999991</v>
      </c>
      <c r="O52" s="11"/>
      <c r="P52" s="2">
        <v>-30.84</v>
      </c>
      <c r="Q52" s="2"/>
      <c r="R52" s="19">
        <f t="shared" si="12"/>
        <v>-7.1747481806464804E-5</v>
      </c>
      <c r="S52" s="2"/>
      <c r="T52" s="2">
        <v>78.48</v>
      </c>
      <c r="U52" s="2"/>
      <c r="V52" s="19">
        <f t="shared" si="13"/>
        <v>1.568736097031365E-4</v>
      </c>
      <c r="W52" s="2"/>
      <c r="X52" s="2">
        <f t="shared" si="14"/>
        <v>-109.32000000000001</v>
      </c>
      <c r="Y52" s="2"/>
      <c r="Z52" s="19">
        <f t="shared" si="15"/>
        <v>-1.3929663608562692</v>
      </c>
    </row>
    <row r="53" spans="1:26" s="24" customFormat="1" hidden="1" outlineLevel="1" x14ac:dyDescent="0.35">
      <c r="A53" s="44"/>
      <c r="B53" s="11" t="str">
        <f>CONCATENATE("          ", "5200", " - ", "PURCHASES OFFSET")</f>
        <v xml:space="preserve">          5200 - PURCHASES OFFSET</v>
      </c>
      <c r="C53" s="11"/>
      <c r="D53" s="2">
        <v>-10135</v>
      </c>
      <c r="E53" s="2"/>
      <c r="F53" s="19">
        <f t="shared" si="8"/>
        <v>0</v>
      </c>
      <c r="G53" s="2"/>
      <c r="H53" s="2">
        <v>-20298</v>
      </c>
      <c r="I53" s="2"/>
      <c r="J53" s="19">
        <f t="shared" si="9"/>
        <v>-0.51439719126665184</v>
      </c>
      <c r="K53" s="2"/>
      <c r="L53" s="2">
        <f t="shared" si="10"/>
        <v>10163</v>
      </c>
      <c r="M53" s="2"/>
      <c r="N53" s="19">
        <f t="shared" si="11"/>
        <v>-0.50068972312543103</v>
      </c>
      <c r="O53" s="11"/>
      <c r="P53" s="2">
        <v>-177080</v>
      </c>
      <c r="Q53" s="2"/>
      <c r="R53" s="19">
        <f t="shared" si="12"/>
        <v>-0.41196640980184135</v>
      </c>
      <c r="S53" s="2"/>
      <c r="T53" s="2">
        <v>-245009</v>
      </c>
      <c r="U53" s="2"/>
      <c r="V53" s="19">
        <f t="shared" si="13"/>
        <v>-0.48974829561360567</v>
      </c>
      <c r="W53" s="2"/>
      <c r="X53" s="2">
        <f t="shared" si="14"/>
        <v>67929</v>
      </c>
      <c r="Y53" s="2"/>
      <c r="Z53" s="19">
        <f t="shared" si="15"/>
        <v>-0.27725103975772319</v>
      </c>
    </row>
    <row r="54" spans="1:26" s="24" customFormat="1" hidden="1" outlineLevel="1" x14ac:dyDescent="0.35">
      <c r="A54" s="44"/>
      <c r="B54" s="11" t="str">
        <f>CONCATENATE("          ", "5300", " - ", "COG$ OFFSET")</f>
        <v xml:space="preserve">          5300 - COG$ OFFSET</v>
      </c>
      <c r="C54" s="11"/>
      <c r="D54" s="2">
        <v>62215.000000000007</v>
      </c>
      <c r="E54" s="2"/>
      <c r="F54" s="19">
        <f t="shared" si="8"/>
        <v>0</v>
      </c>
      <c r="G54" s="2"/>
      <c r="H54" s="2">
        <v>14862</v>
      </c>
      <c r="I54" s="2"/>
      <c r="J54" s="19">
        <f t="shared" si="9"/>
        <v>0.37663666649940786</v>
      </c>
      <c r="K54" s="2"/>
      <c r="L54" s="2">
        <f t="shared" si="10"/>
        <v>47353.000000000007</v>
      </c>
      <c r="M54" s="2"/>
      <c r="N54" s="19">
        <f t="shared" si="11"/>
        <v>3.1861795182344239</v>
      </c>
      <c r="O54" s="11"/>
      <c r="P54" s="2">
        <v>211196</v>
      </c>
      <c r="Q54" s="2"/>
      <c r="R54" s="19">
        <f t="shared" si="12"/>
        <v>0.49133531671848701</v>
      </c>
      <c r="S54" s="2"/>
      <c r="T54" s="2">
        <v>209512</v>
      </c>
      <c r="U54" s="2"/>
      <c r="V54" s="19">
        <f t="shared" si="13"/>
        <v>0.41879337049087073</v>
      </c>
      <c r="W54" s="2"/>
      <c r="X54" s="2">
        <f t="shared" si="14"/>
        <v>1684</v>
      </c>
      <c r="Y54" s="2"/>
      <c r="Z54" s="19">
        <f t="shared" si="15"/>
        <v>8.0377257627248077E-3</v>
      </c>
    </row>
    <row r="55" spans="1:26" s="24" customFormat="1" hidden="1" outlineLevel="1" x14ac:dyDescent="0.35">
      <c r="A55" s="44"/>
      <c r="B55" s="11" t="str">
        <f>CONCATENATE("          ", "5540", " - ", "FREIGHT-IN-LOGO CLOTHING")</f>
        <v xml:space="preserve">          5540 - FREIGHT-IN-LOGO CLOTHING</v>
      </c>
      <c r="C55" s="11"/>
      <c r="D55" s="2"/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0</v>
      </c>
      <c r="M55" s="2"/>
      <c r="N55" s="19">
        <f t="shared" si="11"/>
        <v>0</v>
      </c>
      <c r="O55" s="11"/>
      <c r="P55" s="2">
        <v>56.19</v>
      </c>
      <c r="Q55" s="2"/>
      <c r="R55" s="19">
        <f t="shared" si="12"/>
        <v>1.3072279515905503E-4</v>
      </c>
      <c r="S55" s="2"/>
      <c r="T55" s="2">
        <v>11.96</v>
      </c>
      <c r="U55" s="2"/>
      <c r="V55" s="19">
        <f t="shared" si="13"/>
        <v>2.3906834506237419E-5</v>
      </c>
      <c r="W55" s="2"/>
      <c r="X55" s="2">
        <f t="shared" si="14"/>
        <v>44.23</v>
      </c>
      <c r="Y55" s="2"/>
      <c r="Z55" s="19">
        <f t="shared" si="15"/>
        <v>3.6981605351170561</v>
      </c>
    </row>
    <row r="56" spans="1:26" s="24" customFormat="1" hidden="1" outlineLevel="1" x14ac:dyDescent="0.35">
      <c r="A56" s="44"/>
      <c r="B56" s="11" t="str">
        <f>CONCATENATE("          ", "5542", " - ", "FREIGHT-IN-EVERYDAY GIFTS")</f>
        <v xml:space="preserve">          5542 - FREIGHT-IN-EVERYDAY GIFTS</v>
      </c>
      <c r="C56" s="11"/>
      <c r="D56" s="2"/>
      <c r="E56" s="2"/>
      <c r="F56" s="19">
        <f t="shared" si="8"/>
        <v>0</v>
      </c>
      <c r="G56" s="2"/>
      <c r="H56" s="2"/>
      <c r="I56" s="2"/>
      <c r="J56" s="19">
        <f t="shared" si="9"/>
        <v>0</v>
      </c>
      <c r="K56" s="2"/>
      <c r="L56" s="2">
        <f t="shared" si="10"/>
        <v>0</v>
      </c>
      <c r="M56" s="2"/>
      <c r="N56" s="19">
        <f t="shared" si="11"/>
        <v>0</v>
      </c>
      <c r="O56" s="11"/>
      <c r="P56" s="2"/>
      <c r="Q56" s="2"/>
      <c r="R56" s="19">
        <f t="shared" si="12"/>
        <v>0</v>
      </c>
      <c r="S56" s="2"/>
      <c r="T56" s="2">
        <v>29.13</v>
      </c>
      <c r="U56" s="2"/>
      <c r="V56" s="19">
        <f t="shared" si="13"/>
        <v>5.8227933876814045E-5</v>
      </c>
      <c r="W56" s="2"/>
      <c r="X56" s="2">
        <f t="shared" si="14"/>
        <v>-29.13</v>
      </c>
      <c r="Y56" s="2"/>
      <c r="Z56" s="19">
        <f t="shared" si="15"/>
        <v>-1</v>
      </c>
    </row>
    <row r="57" spans="1:26" x14ac:dyDescent="0.3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35">
      <c r="A58" s="10"/>
      <c r="B58" s="28" t="s">
        <v>6</v>
      </c>
      <c r="C58" s="28"/>
      <c r="D58" s="22">
        <f>D12-D38</f>
        <v>-24096.500000000007</v>
      </c>
      <c r="E58" s="14"/>
      <c r="F58" s="21">
        <f>IF(D$12=0,0,D58/D$12)</f>
        <v>0</v>
      </c>
      <c r="G58" s="14"/>
      <c r="H58" s="22">
        <f>H12-H38</f>
        <v>24599.199999999983</v>
      </c>
      <c r="I58" s="14"/>
      <c r="J58" s="21">
        <f>IF(H$12=0,0,H58/H$12)</f>
        <v>0.62339931950963712</v>
      </c>
      <c r="K58" s="15"/>
      <c r="L58" s="22">
        <f>+D58-H58</f>
        <v>-48695.69999999999</v>
      </c>
      <c r="M58" s="15"/>
      <c r="N58" s="21">
        <f>IF(H58=0,0,L58/H58)</f>
        <v>-1.9795643760772719</v>
      </c>
      <c r="O58" s="29"/>
      <c r="P58" s="22">
        <f>P12-P38</f>
        <v>218636.62000000002</v>
      </c>
      <c r="Q58" s="14"/>
      <c r="R58" s="21">
        <f>IF(P$12=0,0,P58/P$12)</f>
        <v>0.50864549013219718</v>
      </c>
      <c r="S58" s="14"/>
      <c r="T58" s="22">
        <f>T12-T38</f>
        <v>290766.54999999993</v>
      </c>
      <c r="U58" s="14"/>
      <c r="V58" s="21">
        <f>IF(T$12=0,0,T58/T$12)</f>
        <v>0.58121302598658919</v>
      </c>
      <c r="W58" s="15"/>
      <c r="X58" s="22">
        <f>+P58-T58</f>
        <v>-72129.929999999906</v>
      </c>
      <c r="Y58" s="15"/>
      <c r="Z58" s="21">
        <f>IF(T58=0,0,X58/T58)</f>
        <v>-0.24806818390904981</v>
      </c>
    </row>
    <row r="59" spans="1:26" x14ac:dyDescent="0.3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35">
      <c r="A60" s="10"/>
      <c r="B60" s="29" t="s">
        <v>9</v>
      </c>
      <c r="C60" s="10"/>
      <c r="D60" s="20">
        <f>SUM(OSRRefD22x_0)</f>
        <v>72596.52</v>
      </c>
      <c r="E60" s="20"/>
      <c r="F60" s="36">
        <f t="shared" ref="F60:F69" si="16">IF(D$12=0,0,D60/D$12)</f>
        <v>0</v>
      </c>
      <c r="G60" s="20"/>
      <c r="H60" s="20">
        <f>SUM(OSRRefH22x_0)</f>
        <v>18931.069999999992</v>
      </c>
      <c r="I60" s="20"/>
      <c r="J60" s="36">
        <f t="shared" ref="J60:J69" si="17">IF(H$12=0,0,H60/H$12)</f>
        <v>0.47975609595390539</v>
      </c>
      <c r="K60" s="4"/>
      <c r="L60" s="20">
        <f t="shared" ref="L60:L69" si="18">+D60-H60</f>
        <v>53665.450000000012</v>
      </c>
      <c r="M60" s="4"/>
      <c r="N60" s="36">
        <f t="shared" ref="N60:N69" si="19">IF(H60=0,0,L60/H60)</f>
        <v>2.8347816578777656</v>
      </c>
      <c r="O60" s="10"/>
      <c r="P60" s="20">
        <f>SUM(OSRRefP22x_0)</f>
        <v>388820.56000000011</v>
      </c>
      <c r="Q60" s="20"/>
      <c r="R60" s="36">
        <f t="shared" ref="R60:R69" si="20">IF(P$12=0,0,P60/P$12)</f>
        <v>0.90456861396172061</v>
      </c>
      <c r="S60" s="20"/>
      <c r="T60" s="20">
        <f>SUM(OSRRefT22x_0)</f>
        <v>291830.9200000001</v>
      </c>
      <c r="U60" s="20"/>
      <c r="V60" s="36">
        <f t="shared" ref="V60:V69" si="21">IF(T$12=0,0,T60/T$12)</f>
        <v>0.5833405943347002</v>
      </c>
      <c r="W60" s="4"/>
      <c r="X60" s="20">
        <f t="shared" ref="X60:X69" si="22">+P60-T60</f>
        <v>96989.640000000014</v>
      </c>
      <c r="Y60" s="4"/>
      <c r="Z60" s="36">
        <f t="shared" ref="Z60:Z69" si="23">IF(T60=0,0,X60/T60)</f>
        <v>0.33234874495135741</v>
      </c>
    </row>
    <row r="61" spans="1:26" s="25" customFormat="1" outlineLevel="1" collapsed="1" x14ac:dyDescent="0.35">
      <c r="A61" s="26"/>
      <c r="B61" s="12" t="str">
        <f>CONCATENATE("     ","*Benefits                                         ")</f>
        <v xml:space="preserve">     *Benefits                                         </v>
      </c>
      <c r="C61" s="12"/>
      <c r="D61" s="1">
        <f>SUM(OSRRefD22_0x_0)</f>
        <v>3061.7400000000007</v>
      </c>
      <c r="E61" s="1"/>
      <c r="F61" s="5">
        <f t="shared" si="16"/>
        <v>0</v>
      </c>
      <c r="G61" s="1"/>
      <c r="H61" s="1">
        <f>SUM(OSRRefH22_0x_0)</f>
        <v>1090.97</v>
      </c>
      <c r="I61" s="1"/>
      <c r="J61" s="5">
        <f t="shared" si="17"/>
        <v>2.7647645273237719E-2</v>
      </c>
      <c r="K61" s="1"/>
      <c r="L61" s="1">
        <f t="shared" si="18"/>
        <v>1970.7700000000007</v>
      </c>
      <c r="M61" s="1"/>
      <c r="N61" s="5">
        <f t="shared" si="19"/>
        <v>1.8064383071945156</v>
      </c>
      <c r="O61" s="12"/>
      <c r="P61" s="1">
        <f>SUM(OSRRefP22_0x_0)</f>
        <v>29767.670000000002</v>
      </c>
      <c r="Q61" s="1"/>
      <c r="R61" s="5">
        <f t="shared" si="20"/>
        <v>6.9252767890591704E-2</v>
      </c>
      <c r="S61" s="1"/>
      <c r="T61" s="1">
        <f>SUM(OSRRefT22_0x_0)</f>
        <v>23650.91</v>
      </c>
      <c r="U61" s="1"/>
      <c r="V61" s="5">
        <f t="shared" si="21"/>
        <v>4.7275785225076555E-2</v>
      </c>
      <c r="W61" s="1"/>
      <c r="X61" s="1">
        <f t="shared" si="22"/>
        <v>6116.760000000002</v>
      </c>
      <c r="Y61" s="1"/>
      <c r="Z61" s="5">
        <f t="shared" si="23"/>
        <v>0.25862683507738188</v>
      </c>
    </row>
    <row r="62" spans="1:26" s="24" customFormat="1" hidden="1" outlineLevel="2" x14ac:dyDescent="0.35">
      <c r="A62" s="27"/>
      <c r="B62" s="11" t="str">
        <f>CONCATENATE("          ", "6111", " - ", "F.I.C.A.")</f>
        <v xml:space="preserve">          6111 - F.I.C.A.</v>
      </c>
      <c r="C62" s="11"/>
      <c r="D62" s="7">
        <v>377.51</v>
      </c>
      <c r="E62" s="2"/>
      <c r="F62" s="6">
        <f t="shared" si="16"/>
        <v>0</v>
      </c>
      <c r="G62" s="2"/>
      <c r="H62" s="7">
        <v>852.27</v>
      </c>
      <c r="I62" s="2"/>
      <c r="J62" s="6">
        <f t="shared" si="17"/>
        <v>2.1598447837266204E-2</v>
      </c>
      <c r="K62" s="2"/>
      <c r="L62" s="7">
        <f t="shared" si="18"/>
        <v>-474.76</v>
      </c>
      <c r="M62" s="2"/>
      <c r="N62" s="6">
        <f t="shared" si="19"/>
        <v>-0.55705351590458418</v>
      </c>
      <c r="O62" s="11"/>
      <c r="P62" s="7">
        <v>5374.54</v>
      </c>
      <c r="Q62" s="2"/>
      <c r="R62" s="6">
        <f t="shared" si="20"/>
        <v>1.2503557421145178E-2</v>
      </c>
      <c r="S62" s="2"/>
      <c r="T62" s="7">
        <v>5763.78</v>
      </c>
      <c r="U62" s="2"/>
      <c r="V62" s="6">
        <f t="shared" si="21"/>
        <v>1.15212152667526E-2</v>
      </c>
      <c r="W62" s="2"/>
      <c r="X62" s="7">
        <f t="shared" si="22"/>
        <v>-389.23999999999978</v>
      </c>
      <c r="Y62" s="2"/>
      <c r="Z62" s="6">
        <f t="shared" si="23"/>
        <v>-6.7532070967316546E-2</v>
      </c>
    </row>
    <row r="63" spans="1:26" s="24" customFormat="1" hidden="1" outlineLevel="2" x14ac:dyDescent="0.35">
      <c r="A63" s="27"/>
      <c r="B63" s="11" t="str">
        <f>CONCATENATE("          ", "6112", " - ", "COMPENSATION INSURANCE")</f>
        <v xml:space="preserve">          6112 - COMPENSATION INSURANCE</v>
      </c>
      <c r="C63" s="11"/>
      <c r="D63" s="7">
        <v>125.82</v>
      </c>
      <c r="E63" s="2"/>
      <c r="F63" s="6">
        <f t="shared" si="16"/>
        <v>0</v>
      </c>
      <c r="G63" s="2"/>
      <c r="H63" s="7">
        <v>170.37</v>
      </c>
      <c r="I63" s="2"/>
      <c r="J63" s="6">
        <f t="shared" si="17"/>
        <v>4.3175608176224001E-3</v>
      </c>
      <c r="K63" s="2"/>
      <c r="L63" s="7">
        <f t="shared" si="18"/>
        <v>-44.550000000000011</v>
      </c>
      <c r="M63" s="2"/>
      <c r="N63" s="6">
        <f t="shared" si="19"/>
        <v>-0.26148969889064982</v>
      </c>
      <c r="O63" s="11"/>
      <c r="P63" s="7">
        <v>2105.52</v>
      </c>
      <c r="Q63" s="2"/>
      <c r="R63" s="6">
        <f t="shared" si="20"/>
        <v>4.898370878506737E-3</v>
      </c>
      <c r="S63" s="2"/>
      <c r="T63" s="7">
        <v>1490.27</v>
      </c>
      <c r="U63" s="2"/>
      <c r="V63" s="6">
        <f t="shared" si="21"/>
        <v>2.9788995200343174E-3</v>
      </c>
      <c r="W63" s="2"/>
      <c r="X63" s="7">
        <f t="shared" si="22"/>
        <v>615.25</v>
      </c>
      <c r="Y63" s="2"/>
      <c r="Z63" s="6">
        <f t="shared" si="23"/>
        <v>0.41284465231132617</v>
      </c>
    </row>
    <row r="64" spans="1:26" s="24" customFormat="1" hidden="1" outlineLevel="2" x14ac:dyDescent="0.35">
      <c r="A64" s="27"/>
      <c r="B64" s="11" t="str">
        <f>CONCATENATE("          ", "6113", " - ", "GROUP INSURANCE")</f>
        <v xml:space="preserve">          6113 - GROUP INSURANCE</v>
      </c>
      <c r="C64" s="11"/>
      <c r="D64" s="7">
        <v>2012.47</v>
      </c>
      <c r="E64" s="2"/>
      <c r="F64" s="6">
        <f t="shared" si="16"/>
        <v>0</v>
      </c>
      <c r="G64" s="2"/>
      <c r="H64" s="7">
        <v>31.11</v>
      </c>
      <c r="I64" s="2"/>
      <c r="J64" s="6">
        <f t="shared" si="17"/>
        <v>7.8839770520768254E-4</v>
      </c>
      <c r="K64" s="2"/>
      <c r="L64" s="7">
        <f t="shared" si="18"/>
        <v>1981.3600000000001</v>
      </c>
      <c r="M64" s="2"/>
      <c r="N64" s="6">
        <f t="shared" si="19"/>
        <v>63.688846030215373</v>
      </c>
      <c r="O64" s="11"/>
      <c r="P64" s="7">
        <v>14346.52</v>
      </c>
      <c r="Q64" s="2"/>
      <c r="R64" s="6">
        <f t="shared" si="20"/>
        <v>3.337635157866678E-2</v>
      </c>
      <c r="S64" s="2"/>
      <c r="T64" s="7">
        <v>8102.22</v>
      </c>
      <c r="U64" s="2"/>
      <c r="V64" s="6">
        <f t="shared" si="21"/>
        <v>1.6195521126515632E-2</v>
      </c>
      <c r="W64" s="2"/>
      <c r="X64" s="7">
        <f t="shared" si="22"/>
        <v>6244.3</v>
      </c>
      <c r="Y64" s="2"/>
      <c r="Z64" s="6">
        <f t="shared" si="23"/>
        <v>0.77069000841744606</v>
      </c>
    </row>
    <row r="65" spans="1:26" s="24" customFormat="1" hidden="1" outlineLevel="2" x14ac:dyDescent="0.35">
      <c r="A65" s="27"/>
      <c r="B65" s="11" t="str">
        <f>CONCATENATE("          ", "6114", " - ", "STATE UNEMPLOYMENT INSURANCE")</f>
        <v xml:space="preserve">          6114 - STATE UNEMPLOYMENT INSURANCE</v>
      </c>
      <c r="C65" s="11"/>
      <c r="D65" s="7">
        <v>-303.62</v>
      </c>
      <c r="E65" s="2"/>
      <c r="F65" s="6">
        <f t="shared" si="16"/>
        <v>0</v>
      </c>
      <c r="G65" s="2"/>
      <c r="H65" s="7">
        <v>37.22</v>
      </c>
      <c r="I65" s="2"/>
      <c r="J65" s="6">
        <f t="shared" si="17"/>
        <v>9.4323891314143182E-4</v>
      </c>
      <c r="K65" s="2"/>
      <c r="L65" s="7">
        <f t="shared" si="18"/>
        <v>-340.84000000000003</v>
      </c>
      <c r="M65" s="2"/>
      <c r="N65" s="6">
        <f t="shared" si="19"/>
        <v>-9.157442235357335</v>
      </c>
      <c r="O65" s="11"/>
      <c r="P65" s="7">
        <v>0</v>
      </c>
      <c r="Q65" s="2"/>
      <c r="R65" s="6">
        <f t="shared" si="20"/>
        <v>0</v>
      </c>
      <c r="S65" s="2"/>
      <c r="T65" s="7">
        <v>363.48</v>
      </c>
      <c r="U65" s="2"/>
      <c r="V65" s="6">
        <f t="shared" si="21"/>
        <v>7.2655988347217204E-4</v>
      </c>
      <c r="W65" s="2"/>
      <c r="X65" s="7">
        <f t="shared" si="22"/>
        <v>-363.48</v>
      </c>
      <c r="Y65" s="2"/>
      <c r="Z65" s="6">
        <f t="shared" si="23"/>
        <v>-1</v>
      </c>
    </row>
    <row r="66" spans="1:26" s="24" customFormat="1" hidden="1" outlineLevel="2" x14ac:dyDescent="0.35">
      <c r="A66" s="27"/>
      <c r="B66" s="11" t="str">
        <f>CONCATENATE("          ", "6115", " - ", "P.E.R.S.")</f>
        <v xml:space="preserve">          6115 - P.E.R.S.</v>
      </c>
      <c r="C66" s="11"/>
      <c r="D66" s="7">
        <v>327.22000000000003</v>
      </c>
      <c r="E66" s="2"/>
      <c r="F66" s="6">
        <f t="shared" si="16"/>
        <v>0</v>
      </c>
      <c r="G66" s="2"/>
      <c r="H66" s="7"/>
      <c r="I66" s="2"/>
      <c r="J66" s="6">
        <f t="shared" si="17"/>
        <v>0</v>
      </c>
      <c r="K66" s="2"/>
      <c r="L66" s="7">
        <f t="shared" si="18"/>
        <v>327.22000000000003</v>
      </c>
      <c r="M66" s="2"/>
      <c r="N66" s="6">
        <f t="shared" si="19"/>
        <v>0</v>
      </c>
      <c r="O66" s="11"/>
      <c r="P66" s="7">
        <v>2688.57</v>
      </c>
      <c r="Q66" s="2"/>
      <c r="R66" s="6">
        <f t="shared" si="20"/>
        <v>6.2548030856163124E-3</v>
      </c>
      <c r="S66" s="2"/>
      <c r="T66" s="7">
        <v>2471.2600000000002</v>
      </c>
      <c r="U66" s="2"/>
      <c r="V66" s="6">
        <f t="shared" si="21"/>
        <v>4.9397996523314622E-3</v>
      </c>
      <c r="W66" s="2"/>
      <c r="X66" s="7">
        <f t="shared" si="22"/>
        <v>217.30999999999995</v>
      </c>
      <c r="Y66" s="2"/>
      <c r="Z66" s="6">
        <f t="shared" si="23"/>
        <v>8.7934899605869046E-2</v>
      </c>
    </row>
    <row r="67" spans="1:26" s="24" customFormat="1" hidden="1" outlineLevel="2" x14ac:dyDescent="0.35">
      <c r="A67" s="27"/>
      <c r="B67" s="11" t="str">
        <f>CONCATENATE("          ", "6118", " - ", "VACATION")</f>
        <v xml:space="preserve">          6118 - VACATION</v>
      </c>
      <c r="C67" s="11"/>
      <c r="D67" s="7">
        <v>306.26</v>
      </c>
      <c r="E67" s="2"/>
      <c r="F67" s="6">
        <f t="shared" si="16"/>
        <v>0</v>
      </c>
      <c r="G67" s="2"/>
      <c r="H67" s="7"/>
      <c r="I67" s="2"/>
      <c r="J67" s="6">
        <f t="shared" si="17"/>
        <v>0</v>
      </c>
      <c r="K67" s="2"/>
      <c r="L67" s="7">
        <f t="shared" si="18"/>
        <v>306.26</v>
      </c>
      <c r="M67" s="2"/>
      <c r="N67" s="6">
        <f t="shared" si="19"/>
        <v>0</v>
      </c>
      <c r="O67" s="11"/>
      <c r="P67" s="7">
        <v>3174.96</v>
      </c>
      <c r="Q67" s="2"/>
      <c r="R67" s="6">
        <f t="shared" si="20"/>
        <v>7.3863613760134072E-3</v>
      </c>
      <c r="S67" s="2"/>
      <c r="T67" s="7">
        <v>2460.09</v>
      </c>
      <c r="U67" s="2"/>
      <c r="V67" s="6">
        <f t="shared" si="21"/>
        <v>4.9174719481981282E-3</v>
      </c>
      <c r="W67" s="2"/>
      <c r="X67" s="7">
        <f t="shared" si="22"/>
        <v>714.86999999999989</v>
      </c>
      <c r="Y67" s="2"/>
      <c r="Z67" s="6">
        <f t="shared" si="23"/>
        <v>0.29058692974647266</v>
      </c>
    </row>
    <row r="68" spans="1:26" s="24" customFormat="1" hidden="1" outlineLevel="2" x14ac:dyDescent="0.35">
      <c r="A68" s="27"/>
      <c r="B68" s="11" t="str">
        <f>CONCATENATE("          ", "6119", " - ", "SICK LEAVE")</f>
        <v xml:space="preserve">          6119 - SICK LEAVE</v>
      </c>
      <c r="C68" s="11"/>
      <c r="D68" s="7">
        <v>216.08</v>
      </c>
      <c r="E68" s="2"/>
      <c r="F68" s="6">
        <f t="shared" si="16"/>
        <v>0</v>
      </c>
      <c r="G68" s="2"/>
      <c r="H68" s="7"/>
      <c r="I68" s="2"/>
      <c r="J68" s="6">
        <f t="shared" si="17"/>
        <v>0</v>
      </c>
      <c r="K68" s="2"/>
      <c r="L68" s="7">
        <f t="shared" si="18"/>
        <v>216.08</v>
      </c>
      <c r="M68" s="2"/>
      <c r="N68" s="6">
        <f t="shared" si="19"/>
        <v>0</v>
      </c>
      <c r="O68" s="11"/>
      <c r="P68" s="7">
        <v>1588.06</v>
      </c>
      <c r="Q68" s="2"/>
      <c r="R68" s="6">
        <f t="shared" si="20"/>
        <v>3.694530024564672E-3</v>
      </c>
      <c r="S68" s="2"/>
      <c r="T68" s="7">
        <v>1516.76</v>
      </c>
      <c r="U68" s="2"/>
      <c r="V68" s="6">
        <f t="shared" si="21"/>
        <v>3.0318503600067449E-3</v>
      </c>
      <c r="W68" s="2"/>
      <c r="X68" s="7">
        <f t="shared" si="22"/>
        <v>71.299999999999955</v>
      </c>
      <c r="Y68" s="2"/>
      <c r="Z68" s="6">
        <f t="shared" si="23"/>
        <v>4.700809620506867E-2</v>
      </c>
    </row>
    <row r="69" spans="1:26" s="24" customFormat="1" hidden="1" outlineLevel="2" x14ac:dyDescent="0.35">
      <c r="A69" s="27"/>
      <c r="B69" s="11" t="str">
        <f>CONCATENATE("          ", "6156", " - ", "EMPLOYEE MEALS")</f>
        <v xml:space="preserve">          6156 - EMPLOYEE MEALS</v>
      </c>
      <c r="C69" s="11"/>
      <c r="D69" s="7"/>
      <c r="E69" s="2"/>
      <c r="F69" s="6">
        <f t="shared" si="16"/>
        <v>0</v>
      </c>
      <c r="G69" s="2"/>
      <c r="H69" s="7"/>
      <c r="I69" s="2"/>
      <c r="J69" s="6">
        <f t="shared" si="17"/>
        <v>0</v>
      </c>
      <c r="K69" s="2"/>
      <c r="L69" s="7">
        <f t="shared" si="18"/>
        <v>0</v>
      </c>
      <c r="M69" s="2"/>
      <c r="N69" s="6">
        <f t="shared" si="19"/>
        <v>0</v>
      </c>
      <c r="O69" s="11"/>
      <c r="P69" s="7">
        <v>489.5</v>
      </c>
      <c r="Q69" s="2"/>
      <c r="R69" s="6">
        <f t="shared" si="20"/>
        <v>1.1387935260786161E-3</v>
      </c>
      <c r="S69" s="2"/>
      <c r="T69" s="7">
        <v>1483.05</v>
      </c>
      <c r="U69" s="2"/>
      <c r="V69" s="6">
        <f t="shared" si="21"/>
        <v>2.9644674677655018E-3</v>
      </c>
      <c r="W69" s="2"/>
      <c r="X69" s="7">
        <f t="shared" si="22"/>
        <v>-993.55</v>
      </c>
      <c r="Y69" s="2"/>
      <c r="Z69" s="6">
        <f t="shared" si="23"/>
        <v>-0.66993695424968813</v>
      </c>
    </row>
    <row r="70" spans="1:26" s="25" customFormat="1" outlineLevel="1" collapsed="1" x14ac:dyDescent="0.35">
      <c r="A70" s="26"/>
      <c r="B70" s="12" t="str">
        <f>CONCATENATE("     ","*Payroll                                          ")</f>
        <v xml:space="preserve">     *Payroll                                          </v>
      </c>
      <c r="C70" s="12"/>
      <c r="D70" s="1">
        <f>SUM(OSRRefD22_1x_0)</f>
        <v>4720.17</v>
      </c>
      <c r="E70" s="1"/>
      <c r="F70" s="5">
        <f t="shared" ref="F70:F75" si="24">IF(D$12=0,0,D70/D$12)</f>
        <v>0</v>
      </c>
      <c r="G70" s="1"/>
      <c r="H70" s="1">
        <f>SUM(OSRRefH22_1x_0)</f>
        <v>10401.879999999999</v>
      </c>
      <c r="I70" s="1"/>
      <c r="J70" s="5">
        <f t="shared" ref="J70:J75" si="25">IF(H$12=0,0,H70/H$12)</f>
        <v>0.26360714631455123</v>
      </c>
      <c r="K70" s="1"/>
      <c r="L70" s="1">
        <f t="shared" ref="L70:L75" si="26">+D70-H70</f>
        <v>-5681.7099999999991</v>
      </c>
      <c r="M70" s="1"/>
      <c r="N70" s="5">
        <f t="shared" ref="N70:N75" si="27">IF(H70=0,0,L70/H70)</f>
        <v>-0.54621952954658193</v>
      </c>
      <c r="O70" s="12"/>
      <c r="P70" s="1">
        <f>SUM(OSRRefP22_1x_0)</f>
        <v>116110.76000000001</v>
      </c>
      <c r="Q70" s="1"/>
      <c r="R70" s="5">
        <f t="shared" ref="R70:R75" si="28">IF(P$12=0,0,P70/P$12)</f>
        <v>0.27012498834743193</v>
      </c>
      <c r="S70" s="1"/>
      <c r="T70" s="1">
        <f>SUM(OSRRefT22_1x_0)</f>
        <v>104059.27000000002</v>
      </c>
      <c r="U70" s="1"/>
      <c r="V70" s="5">
        <f t="shared" ref="V70:V75" si="29">IF(T$12=0,0,T70/T$12)</f>
        <v>0.20800399220149471</v>
      </c>
      <c r="W70" s="1"/>
      <c r="X70" s="1">
        <f t="shared" ref="X70:X75" si="30">+P70-T70</f>
        <v>12051.489999999991</v>
      </c>
      <c r="Y70" s="1"/>
      <c r="Z70" s="5">
        <f t="shared" ref="Z70:Z75" si="31">IF(T70=0,0,X70/T70)</f>
        <v>0.11581370886034457</v>
      </c>
    </row>
    <row r="71" spans="1:26" s="24" customFormat="1" hidden="1" outlineLevel="2" x14ac:dyDescent="0.35">
      <c r="A71" s="27"/>
      <c r="B71" s="11" t="str">
        <f>CONCATENATE("          ", "6002", " - ", "STAFF SALARIES")</f>
        <v xml:space="preserve">          6002 - STAFF SALARIES</v>
      </c>
      <c r="C71" s="11"/>
      <c r="D71" s="7">
        <v>4450.3900000000003</v>
      </c>
      <c r="E71" s="2"/>
      <c r="F71" s="6">
        <f t="shared" si="24"/>
        <v>0</v>
      </c>
      <c r="G71" s="2"/>
      <c r="H71" s="7">
        <v>738.36</v>
      </c>
      <c r="I71" s="2"/>
      <c r="J71" s="6">
        <f t="shared" si="25"/>
        <v>1.8711711013087256E-2</v>
      </c>
      <c r="K71" s="2"/>
      <c r="L71" s="7">
        <f t="shared" si="26"/>
        <v>3712.03</v>
      </c>
      <c r="M71" s="2"/>
      <c r="N71" s="6">
        <f t="shared" si="27"/>
        <v>5.0273985589685246</v>
      </c>
      <c r="O71" s="11"/>
      <c r="P71" s="7">
        <v>30947.070000000003</v>
      </c>
      <c r="Q71" s="2"/>
      <c r="R71" s="6">
        <f t="shared" si="28"/>
        <v>7.199657398795048E-2</v>
      </c>
      <c r="S71" s="2"/>
      <c r="T71" s="7">
        <v>-325.14999999999998</v>
      </c>
      <c r="U71" s="2"/>
      <c r="V71" s="6">
        <f t="shared" si="29"/>
        <v>-6.4994207689825223E-4</v>
      </c>
      <c r="W71" s="2"/>
      <c r="X71" s="7">
        <f t="shared" si="30"/>
        <v>31272.220000000005</v>
      </c>
      <c r="Y71" s="2"/>
      <c r="Z71" s="6">
        <f t="shared" si="31"/>
        <v>-96.177825618945121</v>
      </c>
    </row>
    <row r="72" spans="1:26" s="24" customFormat="1" hidden="1" outlineLevel="2" x14ac:dyDescent="0.35">
      <c r="A72" s="27"/>
      <c r="B72" s="11" t="str">
        <f>CONCATENATE("          ", "6005", " - ", "TEMPORARY WAGES-HOURLY")</f>
        <v xml:space="preserve">          6005 - TEMPORARY WAGES-HOURLY</v>
      </c>
      <c r="C72" s="11"/>
      <c r="D72" s="7">
        <v>269.77999999999997</v>
      </c>
      <c r="E72" s="2"/>
      <c r="F72" s="6">
        <f t="shared" si="24"/>
        <v>0</v>
      </c>
      <c r="G72" s="2"/>
      <c r="H72" s="7">
        <v>377.78</v>
      </c>
      <c r="I72" s="2"/>
      <c r="J72" s="6">
        <f t="shared" si="25"/>
        <v>9.5737989416058589E-3</v>
      </c>
      <c r="K72" s="2"/>
      <c r="L72" s="7">
        <f t="shared" si="26"/>
        <v>-108</v>
      </c>
      <c r="M72" s="2"/>
      <c r="N72" s="6">
        <f t="shared" si="27"/>
        <v>-0.28588067129016892</v>
      </c>
      <c r="O72" s="11"/>
      <c r="P72" s="7">
        <v>12951.61</v>
      </c>
      <c r="Q72" s="2"/>
      <c r="R72" s="6">
        <f t="shared" si="28"/>
        <v>3.0131173892329041E-2</v>
      </c>
      <c r="S72" s="2"/>
      <c r="T72" s="7">
        <v>15112.670000000002</v>
      </c>
      <c r="U72" s="2"/>
      <c r="V72" s="6">
        <f t="shared" si="29"/>
        <v>3.0208704066670495E-2</v>
      </c>
      <c r="W72" s="2"/>
      <c r="X72" s="7">
        <f t="shared" si="30"/>
        <v>-2161.0600000000013</v>
      </c>
      <c r="Y72" s="2"/>
      <c r="Z72" s="6">
        <f t="shared" si="31"/>
        <v>-0.14299657175072314</v>
      </c>
    </row>
    <row r="73" spans="1:26" s="24" customFormat="1" hidden="1" outlineLevel="2" x14ac:dyDescent="0.35">
      <c r="A73" s="27"/>
      <c r="B73" s="11" t="str">
        <f>CONCATENATE("          ", "6006", " - ", "TEMPORARY PART TIME")</f>
        <v xml:space="preserve">          6006 - TEMPORARY PART TIME</v>
      </c>
      <c r="C73" s="11"/>
      <c r="D73" s="7"/>
      <c r="E73" s="2"/>
      <c r="F73" s="6">
        <f t="shared" si="24"/>
        <v>0</v>
      </c>
      <c r="G73" s="2"/>
      <c r="H73" s="7">
        <v>108</v>
      </c>
      <c r="I73" s="2"/>
      <c r="J73" s="6">
        <f t="shared" si="25"/>
        <v>2.7369640682233915E-3</v>
      </c>
      <c r="K73" s="2"/>
      <c r="L73" s="7">
        <f t="shared" si="26"/>
        <v>-108</v>
      </c>
      <c r="M73" s="2"/>
      <c r="N73" s="6">
        <f t="shared" si="27"/>
        <v>-1</v>
      </c>
      <c r="O73" s="11"/>
      <c r="P73" s="7">
        <v>316.16000000000003</v>
      </c>
      <c r="Q73" s="2"/>
      <c r="R73" s="6">
        <f t="shared" si="28"/>
        <v>7.3552801063333053E-4</v>
      </c>
      <c r="S73" s="2"/>
      <c r="T73" s="7">
        <v>2972.13</v>
      </c>
      <c r="U73" s="2"/>
      <c r="V73" s="6">
        <f t="shared" si="29"/>
        <v>5.9409882977444336E-3</v>
      </c>
      <c r="W73" s="2"/>
      <c r="X73" s="7">
        <f t="shared" si="30"/>
        <v>-2655.9700000000003</v>
      </c>
      <c r="Y73" s="2"/>
      <c r="Z73" s="6">
        <f t="shared" si="31"/>
        <v>-0.89362511061090877</v>
      </c>
    </row>
    <row r="74" spans="1:26" s="24" customFormat="1" hidden="1" outlineLevel="2" x14ac:dyDescent="0.35">
      <c r="A74" s="27"/>
      <c r="B74" s="11" t="str">
        <f>CONCATENATE("          ", "6007", " - ", "STUDENT HOURLY")</f>
        <v xml:space="preserve">          6007 - STUDENT HOURLY</v>
      </c>
      <c r="C74" s="11"/>
      <c r="D74" s="7"/>
      <c r="E74" s="2"/>
      <c r="F74" s="6">
        <f t="shared" si="24"/>
        <v>0</v>
      </c>
      <c r="G74" s="2"/>
      <c r="H74" s="7">
        <v>9177.74</v>
      </c>
      <c r="I74" s="2"/>
      <c r="J74" s="6">
        <f t="shared" si="25"/>
        <v>0.23258467229163471</v>
      </c>
      <c r="K74" s="2"/>
      <c r="L74" s="7">
        <f t="shared" si="26"/>
        <v>-9177.74</v>
      </c>
      <c r="M74" s="2"/>
      <c r="N74" s="6">
        <f t="shared" si="27"/>
        <v>-1</v>
      </c>
      <c r="O74" s="11"/>
      <c r="P74" s="7">
        <v>71895.92</v>
      </c>
      <c r="Q74" s="2"/>
      <c r="R74" s="6">
        <f t="shared" si="28"/>
        <v>0.16726171245651908</v>
      </c>
      <c r="S74" s="2"/>
      <c r="T74" s="7">
        <v>86230.62000000001</v>
      </c>
      <c r="U74" s="2"/>
      <c r="V74" s="6">
        <f t="shared" si="29"/>
        <v>0.17236631786874973</v>
      </c>
      <c r="W74" s="2"/>
      <c r="X74" s="7">
        <f t="shared" si="30"/>
        <v>-14334.700000000012</v>
      </c>
      <c r="Y74" s="2"/>
      <c r="Z74" s="6">
        <f t="shared" si="31"/>
        <v>-0.16623677296997297</v>
      </c>
    </row>
    <row r="75" spans="1:26" s="24" customFormat="1" hidden="1" outlineLevel="2" x14ac:dyDescent="0.35">
      <c r="A75" s="27"/>
      <c r="B75" s="11" t="str">
        <f>CONCATENATE("          ", "6008", " - ", "STUDENT HOURLY-FICA EXEMPT")</f>
        <v xml:space="preserve">          6008 - STUDENT HOURLY-FICA EXEMPT</v>
      </c>
      <c r="C75" s="11"/>
      <c r="D75" s="7"/>
      <c r="E75" s="2"/>
      <c r="F75" s="6">
        <f t="shared" si="24"/>
        <v>0</v>
      </c>
      <c r="G75" s="2"/>
      <c r="H75" s="7"/>
      <c r="I75" s="2"/>
      <c r="J75" s="6">
        <f t="shared" si="25"/>
        <v>0</v>
      </c>
      <c r="K75" s="2"/>
      <c r="L75" s="7">
        <f t="shared" si="26"/>
        <v>0</v>
      </c>
      <c r="M75" s="2"/>
      <c r="N75" s="6">
        <f t="shared" si="27"/>
        <v>0</v>
      </c>
      <c r="O75" s="11"/>
      <c r="P75" s="7"/>
      <c r="Q75" s="2"/>
      <c r="R75" s="6">
        <f t="shared" si="28"/>
        <v>0</v>
      </c>
      <c r="S75" s="2"/>
      <c r="T75" s="7">
        <v>69</v>
      </c>
      <c r="U75" s="2"/>
      <c r="V75" s="6">
        <f t="shared" si="29"/>
        <v>1.3792404522829281E-4</v>
      </c>
      <c r="W75" s="2"/>
      <c r="X75" s="7">
        <f t="shared" si="30"/>
        <v>-69</v>
      </c>
      <c r="Y75" s="2"/>
      <c r="Z75" s="6">
        <f t="shared" si="31"/>
        <v>-1</v>
      </c>
    </row>
    <row r="76" spans="1:26" s="25" customFormat="1" outlineLevel="1" collapsed="1" x14ac:dyDescent="0.35">
      <c r="A76" s="26"/>
      <c r="B76" s="12" t="str">
        <f>CONCATENATE("     ","Advertising/Promo                                 ")</f>
        <v xml:space="preserve">     Advertising/Promo                                 </v>
      </c>
      <c r="C76" s="12"/>
      <c r="D76" s="1">
        <f>SUM(OSRRefD22_2x_0)</f>
        <v>0</v>
      </c>
      <c r="E76" s="1"/>
      <c r="F76" s="5">
        <f t="shared" ref="F76:F107" si="32">IF(D$12=0,0,D76/D$12)</f>
        <v>0</v>
      </c>
      <c r="G76" s="1"/>
      <c r="H76" s="1">
        <f>SUM(OSRRefH22_2x_0)</f>
        <v>0</v>
      </c>
      <c r="I76" s="1"/>
      <c r="J76" s="5">
        <f t="shared" ref="J76:J107" si="33">IF(H$12=0,0,H76/H$12)</f>
        <v>0</v>
      </c>
      <c r="K76" s="1"/>
      <c r="L76" s="1">
        <f t="shared" ref="L76:L107" si="34">+D76-H76</f>
        <v>0</v>
      </c>
      <c r="M76" s="1"/>
      <c r="N76" s="5">
        <f t="shared" ref="N76:N107" si="35">IF(H76=0,0,L76/H76)</f>
        <v>0</v>
      </c>
      <c r="O76" s="12"/>
      <c r="P76" s="1">
        <f>SUM(OSRRefP22_2x_0)</f>
        <v>3638.48</v>
      </c>
      <c r="Q76" s="1"/>
      <c r="R76" s="5">
        <f t="shared" ref="R76:R107" si="36">IF(P$12=0,0,P76/P$12)</f>
        <v>8.4647139300643975E-3</v>
      </c>
      <c r="S76" s="1"/>
      <c r="T76" s="1">
        <f>SUM(OSRRefT22_2x_0)</f>
        <v>7509.25</v>
      </c>
      <c r="U76" s="1"/>
      <c r="V76" s="5">
        <f t="shared" ref="V76:V107" si="37">IF(T$12=0,0,T76/T$12)</f>
        <v>1.5010233864210982E-2</v>
      </c>
      <c r="W76" s="1"/>
      <c r="X76" s="1">
        <f t="shared" ref="X76:X107" si="38">+P76-T76</f>
        <v>-3870.77</v>
      </c>
      <c r="Y76" s="1"/>
      <c r="Z76" s="5">
        <f t="shared" ref="Z76:Z107" si="39">IF(T76=0,0,X76/T76)</f>
        <v>-0.51546692412691009</v>
      </c>
    </row>
    <row r="77" spans="1:26" s="24" customFormat="1" hidden="1" outlineLevel="2" x14ac:dyDescent="0.35">
      <c r="A77" s="27"/>
      <c r="B77" s="11" t="str">
        <f>CONCATENATE("          ", "6362", " - ", "ADVERTISING EXPENSE")</f>
        <v xml:space="preserve">          6362 - ADVERTISING EXPENSE</v>
      </c>
      <c r="C77" s="11"/>
      <c r="D77" s="7"/>
      <c r="E77" s="2"/>
      <c r="F77" s="6">
        <f t="shared" si="32"/>
        <v>0</v>
      </c>
      <c r="G77" s="2"/>
      <c r="H77" s="7"/>
      <c r="I77" s="2"/>
      <c r="J77" s="6">
        <f t="shared" si="33"/>
        <v>0</v>
      </c>
      <c r="K77" s="2"/>
      <c r="L77" s="7">
        <f t="shared" si="34"/>
        <v>0</v>
      </c>
      <c r="M77" s="2"/>
      <c r="N77" s="6">
        <f t="shared" si="35"/>
        <v>0</v>
      </c>
      <c r="O77" s="11"/>
      <c r="P77" s="7">
        <v>3638.48</v>
      </c>
      <c r="Q77" s="2"/>
      <c r="R77" s="6">
        <f t="shared" si="36"/>
        <v>8.4647139300643975E-3</v>
      </c>
      <c r="S77" s="2"/>
      <c r="T77" s="7">
        <v>7509.25</v>
      </c>
      <c r="U77" s="2"/>
      <c r="V77" s="6">
        <f t="shared" si="37"/>
        <v>1.5010233864210982E-2</v>
      </c>
      <c r="W77" s="2"/>
      <c r="X77" s="7">
        <f t="shared" si="38"/>
        <v>-3870.77</v>
      </c>
      <c r="Y77" s="2"/>
      <c r="Z77" s="6">
        <f t="shared" si="39"/>
        <v>-0.51546692412691009</v>
      </c>
    </row>
    <row r="78" spans="1:26" s="25" customFormat="1" outlineLevel="1" collapsed="1" x14ac:dyDescent="0.35">
      <c r="A78" s="26"/>
      <c r="B78" s="12" t="str">
        <f>CONCATENATE("     ","Bad Debts/Over/Short                              ")</f>
        <v xml:space="preserve">     Bad Debts/Over/Short                              </v>
      </c>
      <c r="C78" s="12"/>
      <c r="D78" s="1">
        <f>SUM(OSRRefD22_3x_0)</f>
        <v>0</v>
      </c>
      <c r="E78" s="1"/>
      <c r="F78" s="5">
        <f t="shared" si="32"/>
        <v>0</v>
      </c>
      <c r="G78" s="1"/>
      <c r="H78" s="1">
        <f>SUM(OSRRefH22_3x_0)</f>
        <v>0.1</v>
      </c>
      <c r="I78" s="1"/>
      <c r="J78" s="5">
        <f t="shared" si="33"/>
        <v>2.5342259890957329E-6</v>
      </c>
      <c r="K78" s="1"/>
      <c r="L78" s="1">
        <f t="shared" si="34"/>
        <v>-0.1</v>
      </c>
      <c r="M78" s="1"/>
      <c r="N78" s="5">
        <f t="shared" si="35"/>
        <v>-1</v>
      </c>
      <c r="O78" s="12"/>
      <c r="P78" s="1">
        <f>SUM(OSRRefP22_3x_0)</f>
        <v>44.45</v>
      </c>
      <c r="Q78" s="1"/>
      <c r="R78" s="5">
        <f t="shared" si="36"/>
        <v>1.0341036207189884E-4</v>
      </c>
      <c r="S78" s="1"/>
      <c r="T78" s="1">
        <f>SUM(OSRRefT22_3x_0)</f>
        <v>165.54</v>
      </c>
      <c r="U78" s="1"/>
      <c r="V78" s="5">
        <f t="shared" si="37"/>
        <v>3.3089777459553027E-4</v>
      </c>
      <c r="W78" s="1"/>
      <c r="X78" s="1">
        <f t="shared" si="38"/>
        <v>-121.08999999999999</v>
      </c>
      <c r="Y78" s="1"/>
      <c r="Z78" s="5">
        <f t="shared" si="39"/>
        <v>-0.73148483750151017</v>
      </c>
    </row>
    <row r="79" spans="1:26" s="24" customFormat="1" hidden="1" outlineLevel="2" x14ac:dyDescent="0.35">
      <c r="A79" s="27"/>
      <c r="B79" s="11" t="str">
        <f>CONCATENATE("          ", "6272", " - ", "CASH (OVER/SHORT)")</f>
        <v xml:space="preserve">          6272 - CASH (OVER/SHORT)</v>
      </c>
      <c r="C79" s="11"/>
      <c r="D79" s="7"/>
      <c r="E79" s="2"/>
      <c r="F79" s="6">
        <f t="shared" si="32"/>
        <v>0</v>
      </c>
      <c r="G79" s="2"/>
      <c r="H79" s="7">
        <v>0.1</v>
      </c>
      <c r="I79" s="2"/>
      <c r="J79" s="6">
        <f t="shared" si="33"/>
        <v>2.5342259890957329E-6</v>
      </c>
      <c r="K79" s="2"/>
      <c r="L79" s="7">
        <f t="shared" si="34"/>
        <v>-0.1</v>
      </c>
      <c r="M79" s="2"/>
      <c r="N79" s="6">
        <f t="shared" si="35"/>
        <v>-1</v>
      </c>
      <c r="O79" s="11"/>
      <c r="P79" s="7">
        <v>44.45</v>
      </c>
      <c r="Q79" s="2"/>
      <c r="R79" s="6">
        <f t="shared" si="36"/>
        <v>1.0341036207189884E-4</v>
      </c>
      <c r="S79" s="2"/>
      <c r="T79" s="7">
        <v>165.54</v>
      </c>
      <c r="U79" s="2"/>
      <c r="V79" s="6">
        <f t="shared" si="37"/>
        <v>3.3089777459553027E-4</v>
      </c>
      <c r="W79" s="2"/>
      <c r="X79" s="7">
        <f t="shared" si="38"/>
        <v>-121.08999999999999</v>
      </c>
      <c r="Y79" s="2"/>
      <c r="Z79" s="6">
        <f t="shared" si="39"/>
        <v>-0.73148483750151017</v>
      </c>
    </row>
    <row r="80" spans="1:26" s="25" customFormat="1" outlineLevel="1" collapsed="1" x14ac:dyDescent="0.35">
      <c r="A80" s="26"/>
      <c r="B80" s="12" t="str">
        <f>CONCATENATE("     ","Bank/card Fees                                    ")</f>
        <v xml:space="preserve">     Bank/card Fees                                    </v>
      </c>
      <c r="C80" s="12"/>
      <c r="D80" s="1">
        <f>SUM(OSRRefD22_4x_0)</f>
        <v>5</v>
      </c>
      <c r="E80" s="1"/>
      <c r="F80" s="5">
        <f t="shared" si="32"/>
        <v>0</v>
      </c>
      <c r="G80" s="1"/>
      <c r="H80" s="1">
        <f>SUM(OSRRefH22_4x_0)</f>
        <v>635.9</v>
      </c>
      <c r="I80" s="1"/>
      <c r="J80" s="5">
        <f t="shared" si="33"/>
        <v>1.6115143064659766E-2</v>
      </c>
      <c r="K80" s="1"/>
      <c r="L80" s="1">
        <f t="shared" si="34"/>
        <v>-630.9</v>
      </c>
      <c r="M80" s="1"/>
      <c r="N80" s="5">
        <f t="shared" si="35"/>
        <v>-0.99213712847932067</v>
      </c>
      <c r="O80" s="12"/>
      <c r="P80" s="1">
        <f>SUM(OSRRefP22_4x_0)</f>
        <v>6184.92</v>
      </c>
      <c r="Q80" s="1"/>
      <c r="R80" s="5">
        <f t="shared" si="36"/>
        <v>1.438885976570818E-2</v>
      </c>
      <c r="S80" s="1"/>
      <c r="T80" s="1">
        <f>SUM(OSRRefT22_4x_0)</f>
        <v>7594.48</v>
      </c>
      <c r="U80" s="1"/>
      <c r="V80" s="5">
        <f t="shared" si="37"/>
        <v>1.5180600043556015E-2</v>
      </c>
      <c r="W80" s="1"/>
      <c r="X80" s="1">
        <f t="shared" si="38"/>
        <v>-1409.5599999999995</v>
      </c>
      <c r="Y80" s="1"/>
      <c r="Z80" s="5">
        <f t="shared" si="39"/>
        <v>-0.18560322760742007</v>
      </c>
    </row>
    <row r="81" spans="1:26" s="24" customFormat="1" hidden="1" outlineLevel="2" x14ac:dyDescent="0.35">
      <c r="A81" s="27"/>
      <c r="B81" s="11" t="str">
        <f>CONCATENATE("          ", "6381", " - ", "BANK/CREDIT CARD FEES")</f>
        <v xml:space="preserve">          6381 - BANK/CREDIT CARD FEES</v>
      </c>
      <c r="C81" s="11"/>
      <c r="D81" s="7">
        <v>5</v>
      </c>
      <c r="E81" s="2"/>
      <c r="F81" s="6">
        <f t="shared" si="32"/>
        <v>0</v>
      </c>
      <c r="G81" s="2"/>
      <c r="H81" s="7">
        <v>635.9</v>
      </c>
      <c r="I81" s="2"/>
      <c r="J81" s="6">
        <f t="shared" si="33"/>
        <v>1.6115143064659766E-2</v>
      </c>
      <c r="K81" s="2"/>
      <c r="L81" s="7">
        <f t="shared" si="34"/>
        <v>-630.9</v>
      </c>
      <c r="M81" s="2"/>
      <c r="N81" s="6">
        <f t="shared" si="35"/>
        <v>-0.99213712847932067</v>
      </c>
      <c r="O81" s="11"/>
      <c r="P81" s="7">
        <v>6184.92</v>
      </c>
      <c r="Q81" s="2"/>
      <c r="R81" s="6">
        <f t="shared" si="36"/>
        <v>1.438885976570818E-2</v>
      </c>
      <c r="S81" s="2"/>
      <c r="T81" s="7">
        <v>7594.48</v>
      </c>
      <c r="U81" s="2"/>
      <c r="V81" s="6">
        <f t="shared" si="37"/>
        <v>1.5180600043556015E-2</v>
      </c>
      <c r="W81" s="2"/>
      <c r="X81" s="7">
        <f t="shared" si="38"/>
        <v>-1409.5599999999995</v>
      </c>
      <c r="Y81" s="2"/>
      <c r="Z81" s="6">
        <f t="shared" si="39"/>
        <v>-0.18560322760742007</v>
      </c>
    </row>
    <row r="82" spans="1:26" s="25" customFormat="1" outlineLevel="1" collapsed="1" x14ac:dyDescent="0.35">
      <c r="A82" s="26"/>
      <c r="B82" s="12" t="str">
        <f>CONCATENATE("     ","Discounts and Markdowns                           ")</f>
        <v xml:space="preserve">     Discounts and Markdowns                           </v>
      </c>
      <c r="C82" s="12"/>
      <c r="D82" s="1">
        <f>SUM(OSRRefD22_5x_0)</f>
        <v>0</v>
      </c>
      <c r="E82" s="1"/>
      <c r="F82" s="5">
        <f t="shared" si="32"/>
        <v>0</v>
      </c>
      <c r="G82" s="1"/>
      <c r="H82" s="1">
        <f>SUM(OSRRefH22_5x_0)</f>
        <v>1348.96</v>
      </c>
      <c r="I82" s="1"/>
      <c r="J82" s="5">
        <f t="shared" si="33"/>
        <v>3.4185694902505802E-2</v>
      </c>
      <c r="K82" s="1"/>
      <c r="L82" s="1">
        <f t="shared" si="34"/>
        <v>-1348.96</v>
      </c>
      <c r="M82" s="1"/>
      <c r="N82" s="5">
        <f t="shared" si="35"/>
        <v>-1</v>
      </c>
      <c r="O82" s="12"/>
      <c r="P82" s="1">
        <f>SUM(OSRRefP22_5x_0)</f>
        <v>68571.64</v>
      </c>
      <c r="Q82" s="1"/>
      <c r="R82" s="5">
        <f t="shared" si="36"/>
        <v>0.15952796671009903</v>
      </c>
      <c r="S82" s="1"/>
      <c r="T82" s="1">
        <f>SUM(OSRRefT22_5x_0)</f>
        <v>42055.39</v>
      </c>
      <c r="U82" s="1"/>
      <c r="V82" s="5">
        <f t="shared" si="37"/>
        <v>8.4064485687731783E-2</v>
      </c>
      <c r="W82" s="1"/>
      <c r="X82" s="1">
        <f t="shared" si="38"/>
        <v>26516.25</v>
      </c>
      <c r="Y82" s="1"/>
      <c r="Z82" s="5">
        <f t="shared" si="39"/>
        <v>0.63050776606755998</v>
      </c>
    </row>
    <row r="83" spans="1:26" s="24" customFormat="1" hidden="1" outlineLevel="2" x14ac:dyDescent="0.35">
      <c r="A83" s="27"/>
      <c r="B83" s="11" t="str">
        <f>CONCATENATE("          ", "6382", " - ", "DISCOUNTS/MARK DOWNS")</f>
        <v xml:space="preserve">          6382 - DISCOUNTS/MARK DOWNS</v>
      </c>
      <c r="C83" s="11"/>
      <c r="D83" s="7"/>
      <c r="E83" s="2"/>
      <c r="F83" s="6">
        <f t="shared" si="32"/>
        <v>0</v>
      </c>
      <c r="G83" s="2"/>
      <c r="H83" s="7">
        <v>1348.96</v>
      </c>
      <c r="I83" s="2"/>
      <c r="J83" s="6">
        <f t="shared" si="33"/>
        <v>3.4185694902505802E-2</v>
      </c>
      <c r="K83" s="2"/>
      <c r="L83" s="7">
        <f t="shared" si="34"/>
        <v>-1348.96</v>
      </c>
      <c r="M83" s="2"/>
      <c r="N83" s="6">
        <f t="shared" si="35"/>
        <v>-1</v>
      </c>
      <c r="O83" s="11"/>
      <c r="P83" s="7">
        <v>68571.64</v>
      </c>
      <c r="Q83" s="2"/>
      <c r="R83" s="6">
        <f t="shared" si="36"/>
        <v>0.15952796671009903</v>
      </c>
      <c r="S83" s="2"/>
      <c r="T83" s="7">
        <v>42055.39</v>
      </c>
      <c r="U83" s="2"/>
      <c r="V83" s="6">
        <f t="shared" si="37"/>
        <v>8.4064485687731783E-2</v>
      </c>
      <c r="W83" s="2"/>
      <c r="X83" s="7">
        <f t="shared" si="38"/>
        <v>26516.25</v>
      </c>
      <c r="Y83" s="2"/>
      <c r="Z83" s="6">
        <f t="shared" si="39"/>
        <v>0.63050776606755998</v>
      </c>
    </row>
    <row r="84" spans="1:26" s="25" customFormat="1" outlineLevel="1" collapsed="1" x14ac:dyDescent="0.35">
      <c r="A84" s="26"/>
      <c r="B84" s="12" t="str">
        <f>CONCATENATE("     ","Donations                                         ")</f>
        <v xml:space="preserve">     Donations                                         </v>
      </c>
      <c r="C84" s="12"/>
      <c r="D84" s="1">
        <f>SUM(OSRRefD22_6x_0)</f>
        <v>0</v>
      </c>
      <c r="E84" s="1"/>
      <c r="F84" s="5">
        <f t="shared" si="32"/>
        <v>0</v>
      </c>
      <c r="G84" s="1"/>
      <c r="H84" s="1">
        <f>SUM(OSRRefH22_6x_0)</f>
        <v>0</v>
      </c>
      <c r="I84" s="1"/>
      <c r="J84" s="5">
        <f t="shared" si="33"/>
        <v>0</v>
      </c>
      <c r="K84" s="1"/>
      <c r="L84" s="1">
        <f t="shared" si="34"/>
        <v>0</v>
      </c>
      <c r="M84" s="1"/>
      <c r="N84" s="5">
        <f t="shared" si="35"/>
        <v>0</v>
      </c>
      <c r="O84" s="12"/>
      <c r="P84" s="1">
        <f>SUM(OSRRefP22_6x_0)</f>
        <v>0</v>
      </c>
      <c r="Q84" s="1"/>
      <c r="R84" s="5">
        <f t="shared" si="36"/>
        <v>0</v>
      </c>
      <c r="S84" s="1"/>
      <c r="T84" s="1">
        <f>SUM(OSRRefT22_6x_0)</f>
        <v>141.53</v>
      </c>
      <c r="U84" s="1"/>
      <c r="V84" s="5">
        <f t="shared" si="37"/>
        <v>2.829042046544968E-4</v>
      </c>
      <c r="W84" s="1"/>
      <c r="X84" s="1">
        <f t="shared" si="38"/>
        <v>-141.53</v>
      </c>
      <c r="Y84" s="1"/>
      <c r="Z84" s="5">
        <f t="shared" si="39"/>
        <v>-1</v>
      </c>
    </row>
    <row r="85" spans="1:26" s="24" customFormat="1" hidden="1" outlineLevel="2" x14ac:dyDescent="0.35">
      <c r="A85" s="27"/>
      <c r="B85" s="11" t="str">
        <f>CONCATENATE("          ", "6399", " - ", "DONATION-ON CAMPUS")</f>
        <v xml:space="preserve">          6399 - DONATION-ON CAMPUS</v>
      </c>
      <c r="C85" s="11"/>
      <c r="D85" s="7"/>
      <c r="E85" s="2"/>
      <c r="F85" s="6">
        <f t="shared" si="32"/>
        <v>0</v>
      </c>
      <c r="G85" s="2"/>
      <c r="H85" s="7"/>
      <c r="I85" s="2"/>
      <c r="J85" s="6">
        <f t="shared" si="33"/>
        <v>0</v>
      </c>
      <c r="K85" s="2"/>
      <c r="L85" s="7">
        <f t="shared" si="34"/>
        <v>0</v>
      </c>
      <c r="M85" s="2"/>
      <c r="N85" s="6">
        <f t="shared" si="35"/>
        <v>0</v>
      </c>
      <c r="O85" s="11"/>
      <c r="P85" s="7"/>
      <c r="Q85" s="2"/>
      <c r="R85" s="6">
        <f t="shared" si="36"/>
        <v>0</v>
      </c>
      <c r="S85" s="2"/>
      <c r="T85" s="7">
        <v>141.53</v>
      </c>
      <c r="U85" s="2"/>
      <c r="V85" s="6">
        <f t="shared" si="37"/>
        <v>2.829042046544968E-4</v>
      </c>
      <c r="W85" s="2"/>
      <c r="X85" s="7">
        <f t="shared" si="38"/>
        <v>-141.53</v>
      </c>
      <c r="Y85" s="2"/>
      <c r="Z85" s="6">
        <f t="shared" si="39"/>
        <v>-1</v>
      </c>
    </row>
    <row r="86" spans="1:26" s="25" customFormat="1" outlineLevel="1" collapsed="1" x14ac:dyDescent="0.35">
      <c r="A86" s="26"/>
      <c r="B86" s="12" t="str">
        <f>CONCATENATE("     ","Employees' Appreciation                           ")</f>
        <v xml:space="preserve">     Employees' Appreciation                           </v>
      </c>
      <c r="C86" s="12"/>
      <c r="D86" s="1">
        <f>SUM(OSRRefD22_7x_0)</f>
        <v>0</v>
      </c>
      <c r="E86" s="1"/>
      <c r="F86" s="5">
        <f t="shared" si="32"/>
        <v>0</v>
      </c>
      <c r="G86" s="1"/>
      <c r="H86" s="1">
        <f>SUM(OSRRefH22_7x_0)</f>
        <v>0</v>
      </c>
      <c r="I86" s="1"/>
      <c r="J86" s="5">
        <f t="shared" si="33"/>
        <v>0</v>
      </c>
      <c r="K86" s="1"/>
      <c r="L86" s="1">
        <f t="shared" si="34"/>
        <v>0</v>
      </c>
      <c r="M86" s="1"/>
      <c r="N86" s="5">
        <f t="shared" si="35"/>
        <v>0</v>
      </c>
      <c r="O86" s="12"/>
      <c r="P86" s="1">
        <f>SUM(OSRRefP22_7x_0)</f>
        <v>120.93</v>
      </c>
      <c r="Q86" s="1"/>
      <c r="R86" s="5">
        <f t="shared" si="36"/>
        <v>2.8133667233643932E-4</v>
      </c>
      <c r="S86" s="1"/>
      <c r="T86" s="1">
        <f>SUM(OSRRefT22_7x_0)</f>
        <v>75.53</v>
      </c>
      <c r="U86" s="1"/>
      <c r="V86" s="5">
        <f t="shared" si="37"/>
        <v>1.5097685704482545E-4</v>
      </c>
      <c r="W86" s="1"/>
      <c r="X86" s="1">
        <f t="shared" si="38"/>
        <v>45.400000000000006</v>
      </c>
      <c r="Y86" s="1"/>
      <c r="Z86" s="5">
        <f t="shared" si="39"/>
        <v>0.60108566132662522</v>
      </c>
    </row>
    <row r="87" spans="1:26" s="24" customFormat="1" hidden="1" outlineLevel="2" x14ac:dyDescent="0.35">
      <c r="A87" s="27"/>
      <c r="B87" s="11" t="str">
        <f>CONCATENATE("          ", "6277", " - ", "EMPLOYEE APPRECIATION")</f>
        <v xml:space="preserve">          6277 - EMPLOYEE APPRECIATION</v>
      </c>
      <c r="C87" s="11"/>
      <c r="D87" s="7"/>
      <c r="E87" s="2"/>
      <c r="F87" s="6">
        <f t="shared" si="32"/>
        <v>0</v>
      </c>
      <c r="G87" s="2"/>
      <c r="H87" s="7"/>
      <c r="I87" s="2"/>
      <c r="J87" s="6">
        <f t="shared" si="33"/>
        <v>0</v>
      </c>
      <c r="K87" s="2"/>
      <c r="L87" s="7">
        <f t="shared" si="34"/>
        <v>0</v>
      </c>
      <c r="M87" s="2"/>
      <c r="N87" s="6">
        <f t="shared" si="35"/>
        <v>0</v>
      </c>
      <c r="O87" s="11"/>
      <c r="P87" s="7">
        <v>120.93</v>
      </c>
      <c r="Q87" s="2"/>
      <c r="R87" s="6">
        <f t="shared" si="36"/>
        <v>2.8133667233643932E-4</v>
      </c>
      <c r="S87" s="2"/>
      <c r="T87" s="7">
        <v>75.53</v>
      </c>
      <c r="U87" s="2"/>
      <c r="V87" s="6">
        <f t="shared" si="37"/>
        <v>1.5097685704482545E-4</v>
      </c>
      <c r="W87" s="2"/>
      <c r="X87" s="7">
        <f t="shared" si="38"/>
        <v>45.400000000000006</v>
      </c>
      <c r="Y87" s="2"/>
      <c r="Z87" s="6">
        <f t="shared" si="39"/>
        <v>0.60108566132662522</v>
      </c>
    </row>
    <row r="88" spans="1:26" s="25" customFormat="1" outlineLevel="1" collapsed="1" x14ac:dyDescent="0.35">
      <c r="A88" s="26"/>
      <c r="B88" s="12" t="str">
        <f>CONCATENATE("     ","General                                           ")</f>
        <v xml:space="preserve">     General                                           </v>
      </c>
      <c r="C88" s="12"/>
      <c r="D88" s="1">
        <f>SUM(OSRRefD22_8x_0)</f>
        <v>0</v>
      </c>
      <c r="E88" s="1"/>
      <c r="F88" s="5">
        <f t="shared" si="32"/>
        <v>0</v>
      </c>
      <c r="G88" s="1"/>
      <c r="H88" s="1">
        <f>SUM(OSRRefH22_8x_0)</f>
        <v>0</v>
      </c>
      <c r="I88" s="1"/>
      <c r="J88" s="5">
        <f t="shared" si="33"/>
        <v>0</v>
      </c>
      <c r="K88" s="1"/>
      <c r="L88" s="1">
        <f t="shared" si="34"/>
        <v>0</v>
      </c>
      <c r="M88" s="1"/>
      <c r="N88" s="5">
        <f t="shared" si="35"/>
        <v>0</v>
      </c>
      <c r="O88" s="12"/>
      <c r="P88" s="1">
        <f>SUM(OSRRefP22_8x_0)</f>
        <v>1392.43</v>
      </c>
      <c r="Q88" s="1"/>
      <c r="R88" s="5">
        <f t="shared" si="36"/>
        <v>3.2394081093312511E-3</v>
      </c>
      <c r="S88" s="1"/>
      <c r="T88" s="1">
        <f>SUM(OSRRefT22_8x_0)</f>
        <v>1494.38</v>
      </c>
      <c r="U88" s="1"/>
      <c r="V88" s="5">
        <f t="shared" si="37"/>
        <v>2.9871149957718291E-3</v>
      </c>
      <c r="W88" s="1"/>
      <c r="X88" s="1">
        <f t="shared" si="38"/>
        <v>-101.95000000000005</v>
      </c>
      <c r="Y88" s="1"/>
      <c r="Z88" s="5">
        <f t="shared" si="39"/>
        <v>-6.8222272782023335E-2</v>
      </c>
    </row>
    <row r="89" spans="1:26" s="24" customFormat="1" hidden="1" outlineLevel="2" x14ac:dyDescent="0.35">
      <c r="A89" s="27"/>
      <c r="B89" s="11" t="str">
        <f>CONCATENATE("          ", "6279", " - ", "GENERAL EXPENSE")</f>
        <v xml:space="preserve">          6279 - GENERAL EXPENSE</v>
      </c>
      <c r="C89" s="11"/>
      <c r="D89" s="7"/>
      <c r="E89" s="2"/>
      <c r="F89" s="6">
        <f t="shared" si="32"/>
        <v>0</v>
      </c>
      <c r="G89" s="2"/>
      <c r="H89" s="7"/>
      <c r="I89" s="2"/>
      <c r="J89" s="6">
        <f t="shared" si="33"/>
        <v>0</v>
      </c>
      <c r="K89" s="2"/>
      <c r="L89" s="7">
        <f t="shared" si="34"/>
        <v>0</v>
      </c>
      <c r="M89" s="2"/>
      <c r="N89" s="6">
        <f t="shared" si="35"/>
        <v>0</v>
      </c>
      <c r="O89" s="11"/>
      <c r="P89" s="7">
        <v>1392.43</v>
      </c>
      <c r="Q89" s="2"/>
      <c r="R89" s="6">
        <f t="shared" si="36"/>
        <v>3.2394081093312511E-3</v>
      </c>
      <c r="S89" s="2"/>
      <c r="T89" s="7">
        <v>1494.38</v>
      </c>
      <c r="U89" s="2"/>
      <c r="V89" s="6">
        <f t="shared" si="37"/>
        <v>2.9871149957718291E-3</v>
      </c>
      <c r="W89" s="2"/>
      <c r="X89" s="7">
        <f t="shared" si="38"/>
        <v>-101.95000000000005</v>
      </c>
      <c r="Y89" s="2"/>
      <c r="Z89" s="6">
        <f t="shared" si="39"/>
        <v>-6.8222272782023335E-2</v>
      </c>
    </row>
    <row r="90" spans="1:26" s="25" customFormat="1" outlineLevel="1" collapsed="1" x14ac:dyDescent="0.35">
      <c r="A90" s="26"/>
      <c r="B90" s="12" t="str">
        <f>CONCATENATE("     ","Insurance                                         ")</f>
        <v xml:space="preserve">     Insurance                                         </v>
      </c>
      <c r="C90" s="12"/>
      <c r="D90" s="1">
        <f>SUM(OSRRefD22_9x_0)</f>
        <v>161.18</v>
      </c>
      <c r="E90" s="1"/>
      <c r="F90" s="5">
        <f t="shared" si="32"/>
        <v>0</v>
      </c>
      <c r="G90" s="1"/>
      <c r="H90" s="1">
        <f>SUM(OSRRefH22_9x_0)</f>
        <v>151.85</v>
      </c>
      <c r="I90" s="1"/>
      <c r="J90" s="5">
        <f t="shared" si="33"/>
        <v>3.8482221644418704E-3</v>
      </c>
      <c r="K90" s="1"/>
      <c r="L90" s="1">
        <f t="shared" si="34"/>
        <v>9.3300000000000125</v>
      </c>
      <c r="M90" s="1"/>
      <c r="N90" s="5">
        <f t="shared" si="35"/>
        <v>6.1442212709911181E-2</v>
      </c>
      <c r="O90" s="12"/>
      <c r="P90" s="1">
        <f>SUM(OSRRefP22_9x_0)</f>
        <v>1934.16</v>
      </c>
      <c r="Q90" s="1"/>
      <c r="R90" s="5">
        <f t="shared" si="36"/>
        <v>4.499711718897275E-3</v>
      </c>
      <c r="S90" s="1"/>
      <c r="T90" s="1">
        <f>SUM(OSRRefT22_9x_0)</f>
        <v>1551.25</v>
      </c>
      <c r="U90" s="1"/>
      <c r="V90" s="5">
        <f t="shared" si="37"/>
        <v>3.100792393628829E-3</v>
      </c>
      <c r="W90" s="1"/>
      <c r="X90" s="1">
        <f t="shared" si="38"/>
        <v>382.91000000000008</v>
      </c>
      <c r="Y90" s="1"/>
      <c r="Z90" s="5">
        <f t="shared" si="39"/>
        <v>0.24683964544722004</v>
      </c>
    </row>
    <row r="91" spans="1:26" s="24" customFormat="1" hidden="1" outlineLevel="2" x14ac:dyDescent="0.35">
      <c r="A91" s="27"/>
      <c r="B91" s="11" t="str">
        <f>CONCATENATE("          ", "6314", " - ", "LIABILITY INSURANCE")</f>
        <v xml:space="preserve">          6314 - LIABILITY INSURANCE</v>
      </c>
      <c r="C91" s="11"/>
      <c r="D91" s="7">
        <v>161.18</v>
      </c>
      <c r="E91" s="2"/>
      <c r="F91" s="6">
        <f t="shared" si="32"/>
        <v>0</v>
      </c>
      <c r="G91" s="2"/>
      <c r="H91" s="7">
        <v>151.85</v>
      </c>
      <c r="I91" s="2"/>
      <c r="J91" s="6">
        <f t="shared" si="33"/>
        <v>3.8482221644418704E-3</v>
      </c>
      <c r="K91" s="2"/>
      <c r="L91" s="7">
        <f t="shared" si="34"/>
        <v>9.3300000000000125</v>
      </c>
      <c r="M91" s="2"/>
      <c r="N91" s="6">
        <f t="shared" si="35"/>
        <v>6.1442212709911181E-2</v>
      </c>
      <c r="O91" s="11"/>
      <c r="P91" s="7">
        <v>1934.16</v>
      </c>
      <c r="Q91" s="2"/>
      <c r="R91" s="6">
        <f t="shared" si="36"/>
        <v>4.499711718897275E-3</v>
      </c>
      <c r="S91" s="2"/>
      <c r="T91" s="7">
        <v>1551.25</v>
      </c>
      <c r="U91" s="2"/>
      <c r="V91" s="6">
        <f t="shared" si="37"/>
        <v>3.100792393628829E-3</v>
      </c>
      <c r="W91" s="2"/>
      <c r="X91" s="7">
        <f t="shared" si="38"/>
        <v>382.91000000000008</v>
      </c>
      <c r="Y91" s="2"/>
      <c r="Z91" s="6">
        <f t="shared" si="39"/>
        <v>0.24683964544722004</v>
      </c>
    </row>
    <row r="92" spans="1:26" s="25" customFormat="1" outlineLevel="1" collapsed="1" x14ac:dyDescent="0.35">
      <c r="A92" s="26"/>
      <c r="B92" s="12" t="str">
        <f>CONCATENATE("     ","Inventory Adjustment                              ")</f>
        <v xml:space="preserve">     Inventory Adjustment                              </v>
      </c>
      <c r="C92" s="12"/>
      <c r="D92" s="1">
        <f>SUM(OSRRefD22_10x_0)</f>
        <v>57306</v>
      </c>
      <c r="E92" s="1"/>
      <c r="F92" s="5">
        <f t="shared" si="32"/>
        <v>0</v>
      </c>
      <c r="G92" s="1"/>
      <c r="H92" s="1">
        <f>SUM(OSRRefH22_10x_0)</f>
        <v>-2825</v>
      </c>
      <c r="I92" s="1"/>
      <c r="J92" s="5">
        <f t="shared" si="33"/>
        <v>-7.1591884191954461E-2</v>
      </c>
      <c r="K92" s="1"/>
      <c r="L92" s="1">
        <f t="shared" si="34"/>
        <v>60131</v>
      </c>
      <c r="M92" s="1"/>
      <c r="N92" s="5">
        <f t="shared" si="35"/>
        <v>-21.285309734513273</v>
      </c>
      <c r="O92" s="12"/>
      <c r="P92" s="1">
        <f>SUM(OSRRefP22_10x_0)</f>
        <v>61506</v>
      </c>
      <c r="Q92" s="1"/>
      <c r="R92" s="5">
        <f t="shared" si="36"/>
        <v>0.14309016264553903</v>
      </c>
      <c r="S92" s="1"/>
      <c r="T92" s="1">
        <f>SUM(OSRRefT22_10x_0)</f>
        <v>1375</v>
      </c>
      <c r="U92" s="1"/>
      <c r="V92" s="5">
        <f t="shared" si="37"/>
        <v>2.7484864085348202E-3</v>
      </c>
      <c r="W92" s="1"/>
      <c r="X92" s="1">
        <f t="shared" si="38"/>
        <v>60131</v>
      </c>
      <c r="Y92" s="1"/>
      <c r="Z92" s="5">
        <f t="shared" si="39"/>
        <v>43.731636363636362</v>
      </c>
    </row>
    <row r="93" spans="1:26" s="24" customFormat="1" hidden="1" outlineLevel="2" x14ac:dyDescent="0.35">
      <c r="A93" s="27"/>
      <c r="B93" s="11" t="str">
        <f>CONCATENATE("          ", "6408", " - ", "INVENTORY ADJUSTMENT")</f>
        <v xml:space="preserve">          6408 - INVENTORY ADJUSTMENT</v>
      </c>
      <c r="C93" s="11"/>
      <c r="D93" s="7">
        <v>-4200</v>
      </c>
      <c r="E93" s="2"/>
      <c r="F93" s="6">
        <f t="shared" si="32"/>
        <v>0</v>
      </c>
      <c r="G93" s="2"/>
      <c r="H93" s="7">
        <v>-4200</v>
      </c>
      <c r="I93" s="2"/>
      <c r="J93" s="6">
        <f t="shared" si="33"/>
        <v>-0.10643749154202078</v>
      </c>
      <c r="K93" s="2"/>
      <c r="L93" s="7">
        <f t="shared" si="34"/>
        <v>0</v>
      </c>
      <c r="M93" s="2"/>
      <c r="N93" s="6">
        <f t="shared" si="35"/>
        <v>0</v>
      </c>
      <c r="O93" s="11"/>
      <c r="P93" s="7">
        <v>0</v>
      </c>
      <c r="Q93" s="2"/>
      <c r="R93" s="6">
        <f t="shared" si="36"/>
        <v>0</v>
      </c>
      <c r="S93" s="2"/>
      <c r="T93" s="7">
        <v>0</v>
      </c>
      <c r="U93" s="2"/>
      <c r="V93" s="6">
        <f t="shared" si="37"/>
        <v>0</v>
      </c>
      <c r="W93" s="2"/>
      <c r="X93" s="7">
        <f t="shared" si="38"/>
        <v>0</v>
      </c>
      <c r="Y93" s="2"/>
      <c r="Z93" s="6">
        <f t="shared" si="39"/>
        <v>0</v>
      </c>
    </row>
    <row r="94" spans="1:26" s="24" customFormat="1" hidden="1" outlineLevel="2" x14ac:dyDescent="0.35">
      <c r="A94" s="27"/>
      <c r="B94" s="11" t="str">
        <f>CONCATENATE("          ", "7725", " - ", "INV. SHRINKAGE-TEST FORMS")</f>
        <v xml:space="preserve">          7725 - INV. SHRINKAGE-TEST FORMS</v>
      </c>
      <c r="C94" s="11"/>
      <c r="D94" s="7"/>
      <c r="E94" s="2"/>
      <c r="F94" s="6">
        <f t="shared" si="32"/>
        <v>0</v>
      </c>
      <c r="G94" s="2"/>
      <c r="H94" s="7">
        <v>33</v>
      </c>
      <c r="I94" s="2"/>
      <c r="J94" s="6">
        <f t="shared" si="33"/>
        <v>8.3629457640159183E-4</v>
      </c>
      <c r="K94" s="2"/>
      <c r="L94" s="7">
        <f t="shared" si="34"/>
        <v>-33</v>
      </c>
      <c r="M94" s="2"/>
      <c r="N94" s="6">
        <f t="shared" si="35"/>
        <v>-1</v>
      </c>
      <c r="O94" s="11"/>
      <c r="P94" s="7"/>
      <c r="Q94" s="2"/>
      <c r="R94" s="6">
        <f t="shared" si="36"/>
        <v>0</v>
      </c>
      <c r="S94" s="2"/>
      <c r="T94" s="7">
        <v>33</v>
      </c>
      <c r="U94" s="2"/>
      <c r="V94" s="6">
        <f t="shared" si="37"/>
        <v>6.596367380483569E-5</v>
      </c>
      <c r="W94" s="2"/>
      <c r="X94" s="7">
        <f t="shared" si="38"/>
        <v>-33</v>
      </c>
      <c r="Y94" s="2"/>
      <c r="Z94" s="6">
        <f t="shared" si="39"/>
        <v>-1</v>
      </c>
    </row>
    <row r="95" spans="1:26" s="24" customFormat="1" hidden="1" outlineLevel="2" x14ac:dyDescent="0.35">
      <c r="A95" s="27"/>
      <c r="B95" s="11" t="str">
        <f>CONCATENATE("          ", "7726", " - ", "INV. SHRINKAGE-WRITING INSTRUM")</f>
        <v xml:space="preserve">          7726 - INV. SHRINKAGE-WRITING INSTRUM</v>
      </c>
      <c r="C95" s="11"/>
      <c r="D95" s="7">
        <v>2342</v>
      </c>
      <c r="E95" s="2"/>
      <c r="F95" s="6">
        <f t="shared" si="32"/>
        <v>0</v>
      </c>
      <c r="G95" s="2"/>
      <c r="H95" s="7">
        <v>480</v>
      </c>
      <c r="I95" s="2"/>
      <c r="J95" s="6">
        <f t="shared" si="33"/>
        <v>1.2164284747659519E-2</v>
      </c>
      <c r="K95" s="2"/>
      <c r="L95" s="7">
        <f t="shared" si="34"/>
        <v>1862</v>
      </c>
      <c r="M95" s="2"/>
      <c r="N95" s="6">
        <f t="shared" si="35"/>
        <v>3.8791666666666669</v>
      </c>
      <c r="O95" s="11"/>
      <c r="P95" s="7">
        <v>2342</v>
      </c>
      <c r="Q95" s="2"/>
      <c r="R95" s="6">
        <f t="shared" si="36"/>
        <v>5.4485279633832862E-3</v>
      </c>
      <c r="S95" s="2"/>
      <c r="T95" s="7">
        <v>480</v>
      </c>
      <c r="U95" s="2"/>
      <c r="V95" s="6">
        <f t="shared" si="37"/>
        <v>9.5947161897942819E-4</v>
      </c>
      <c r="W95" s="2"/>
      <c r="X95" s="7">
        <f t="shared" si="38"/>
        <v>1862</v>
      </c>
      <c r="Y95" s="2"/>
      <c r="Z95" s="6">
        <f t="shared" si="39"/>
        <v>3.8791666666666669</v>
      </c>
    </row>
    <row r="96" spans="1:26" s="24" customFormat="1" hidden="1" outlineLevel="2" x14ac:dyDescent="0.35">
      <c r="A96" s="27"/>
      <c r="B96" s="11" t="str">
        <f>CONCATENATE("          ", "7727", " - ", "INV. SHRINKAGE-SCHOOL SUPPLIES")</f>
        <v xml:space="preserve">          7727 - INV. SHRINKAGE-SCHOOL SUPPLIES</v>
      </c>
      <c r="C96" s="11"/>
      <c r="D96" s="7">
        <v>384</v>
      </c>
      <c r="E96" s="2"/>
      <c r="F96" s="6">
        <f t="shared" si="32"/>
        <v>0</v>
      </c>
      <c r="G96" s="2"/>
      <c r="H96" s="7">
        <v>799</v>
      </c>
      <c r="I96" s="2"/>
      <c r="J96" s="6">
        <f t="shared" si="33"/>
        <v>2.0248465652874907E-2</v>
      </c>
      <c r="K96" s="2"/>
      <c r="L96" s="7">
        <f t="shared" si="34"/>
        <v>-415</v>
      </c>
      <c r="M96" s="2"/>
      <c r="N96" s="6">
        <f t="shared" si="35"/>
        <v>-0.51939924906132662</v>
      </c>
      <c r="O96" s="11"/>
      <c r="P96" s="7">
        <v>384</v>
      </c>
      <c r="Q96" s="2"/>
      <c r="R96" s="6">
        <f t="shared" si="36"/>
        <v>8.9335385906882242E-4</v>
      </c>
      <c r="S96" s="2"/>
      <c r="T96" s="7">
        <v>799</v>
      </c>
      <c r="U96" s="2"/>
      <c r="V96" s="6">
        <f t="shared" si="37"/>
        <v>1.5971204657595065E-3</v>
      </c>
      <c r="W96" s="2"/>
      <c r="X96" s="7">
        <f t="shared" si="38"/>
        <v>-415</v>
      </c>
      <c r="Y96" s="2"/>
      <c r="Z96" s="6">
        <f t="shared" si="39"/>
        <v>-0.51939924906132662</v>
      </c>
    </row>
    <row r="97" spans="1:26" s="24" customFormat="1" hidden="1" outlineLevel="2" x14ac:dyDescent="0.35">
      <c r="A97" s="27"/>
      <c r="B97" s="11" t="str">
        <f>CONCATENATE("          ", "7734", " - ", "INV. SHRINKAGE-SODA")</f>
        <v xml:space="preserve">          7734 - INV. SHRINKAGE-SODA</v>
      </c>
      <c r="C97" s="11"/>
      <c r="D97" s="7"/>
      <c r="E97" s="2"/>
      <c r="F97" s="6">
        <f t="shared" si="32"/>
        <v>0</v>
      </c>
      <c r="G97" s="2"/>
      <c r="H97" s="7">
        <v>4</v>
      </c>
      <c r="I97" s="2"/>
      <c r="J97" s="6">
        <f t="shared" si="33"/>
        <v>1.0136903956382932E-4</v>
      </c>
      <c r="K97" s="2"/>
      <c r="L97" s="7">
        <f t="shared" si="34"/>
        <v>-4</v>
      </c>
      <c r="M97" s="2"/>
      <c r="N97" s="6">
        <f t="shared" si="35"/>
        <v>-1</v>
      </c>
      <c r="O97" s="11"/>
      <c r="P97" s="7"/>
      <c r="Q97" s="2"/>
      <c r="R97" s="6">
        <f t="shared" si="36"/>
        <v>0</v>
      </c>
      <c r="S97" s="2"/>
      <c r="T97" s="7">
        <v>4</v>
      </c>
      <c r="U97" s="2"/>
      <c r="V97" s="6">
        <f t="shared" si="37"/>
        <v>7.995596824828569E-6</v>
      </c>
      <c r="W97" s="2"/>
      <c r="X97" s="7">
        <f t="shared" si="38"/>
        <v>-4</v>
      </c>
      <c r="Y97" s="2"/>
      <c r="Z97" s="6">
        <f t="shared" si="39"/>
        <v>-1</v>
      </c>
    </row>
    <row r="98" spans="1:26" s="24" customFormat="1" hidden="1" outlineLevel="2" x14ac:dyDescent="0.35">
      <c r="A98" s="27"/>
      <c r="B98" s="11" t="str">
        <f>CONCATENATE("          ", "7737", " - ", "INV. SHRINKAGE-WATER")</f>
        <v xml:space="preserve">          7737 - INV. SHRINKAGE-WATER</v>
      </c>
      <c r="C98" s="11"/>
      <c r="D98" s="7">
        <v>-69</v>
      </c>
      <c r="E98" s="2"/>
      <c r="F98" s="6">
        <f t="shared" si="32"/>
        <v>0</v>
      </c>
      <c r="G98" s="2"/>
      <c r="H98" s="7">
        <v>33</v>
      </c>
      <c r="I98" s="2"/>
      <c r="J98" s="6">
        <f t="shared" si="33"/>
        <v>8.3629457640159183E-4</v>
      </c>
      <c r="K98" s="2"/>
      <c r="L98" s="7">
        <f t="shared" si="34"/>
        <v>-102</v>
      </c>
      <c r="M98" s="2"/>
      <c r="N98" s="6">
        <f t="shared" si="35"/>
        <v>-3.0909090909090908</v>
      </c>
      <c r="O98" s="11"/>
      <c r="P98" s="7">
        <v>-69</v>
      </c>
      <c r="Q98" s="2"/>
      <c r="R98" s="6">
        <f t="shared" si="36"/>
        <v>-1.6052452155142902E-4</v>
      </c>
      <c r="S98" s="2"/>
      <c r="T98" s="7">
        <v>33</v>
      </c>
      <c r="U98" s="2"/>
      <c r="V98" s="6">
        <f t="shared" si="37"/>
        <v>6.596367380483569E-5</v>
      </c>
      <c r="W98" s="2"/>
      <c r="X98" s="7">
        <f t="shared" si="38"/>
        <v>-102</v>
      </c>
      <c r="Y98" s="2"/>
      <c r="Z98" s="6">
        <f t="shared" si="39"/>
        <v>-3.0909090909090908</v>
      </c>
    </row>
    <row r="99" spans="1:26" s="24" customFormat="1" hidden="1" outlineLevel="2" x14ac:dyDescent="0.35">
      <c r="A99" s="27"/>
      <c r="B99" s="11" t="str">
        <f>CONCATENATE("          ", "7740", " - ", "INV. SHRINKAGE-LOGO CLOTHING")</f>
        <v xml:space="preserve">          7740 - INV. SHRINKAGE-LOGO CLOTHING</v>
      </c>
      <c r="C99" s="11"/>
      <c r="D99" s="7">
        <v>74974</v>
      </c>
      <c r="E99" s="2"/>
      <c r="F99" s="6">
        <f t="shared" si="32"/>
        <v>0</v>
      </c>
      <c r="G99" s="2"/>
      <c r="H99" s="7">
        <v>-6110</v>
      </c>
      <c r="I99" s="2"/>
      <c r="J99" s="6">
        <f t="shared" si="33"/>
        <v>-0.15484120793374928</v>
      </c>
      <c r="K99" s="2"/>
      <c r="L99" s="7">
        <f t="shared" si="34"/>
        <v>81084</v>
      </c>
      <c r="M99" s="2"/>
      <c r="N99" s="6">
        <f t="shared" si="35"/>
        <v>-13.270703764320785</v>
      </c>
      <c r="O99" s="11"/>
      <c r="P99" s="7">
        <v>74974</v>
      </c>
      <c r="Q99" s="2"/>
      <c r="R99" s="6">
        <f t="shared" si="36"/>
        <v>0.17442268809850492</v>
      </c>
      <c r="S99" s="2"/>
      <c r="T99" s="7">
        <v>-6110</v>
      </c>
      <c r="U99" s="2"/>
      <c r="V99" s="6">
        <f t="shared" si="37"/>
        <v>-1.2213274149925638E-2</v>
      </c>
      <c r="W99" s="2"/>
      <c r="X99" s="7">
        <f t="shared" si="38"/>
        <v>81084</v>
      </c>
      <c r="Y99" s="2"/>
      <c r="Z99" s="6">
        <f t="shared" si="39"/>
        <v>-13.270703764320785</v>
      </c>
    </row>
    <row r="100" spans="1:26" s="24" customFormat="1" hidden="1" outlineLevel="2" x14ac:dyDescent="0.35">
      <c r="A100" s="27"/>
      <c r="B100" s="11" t="str">
        <f>CONCATENATE("          ", "7741", " - ", "INV. SHRINKAGE-LOGO GIFTS")</f>
        <v xml:space="preserve">          7741 - INV. SHRINKAGE-LOGO GIFTS</v>
      </c>
      <c r="C100" s="11"/>
      <c r="D100" s="7">
        <v>-2162</v>
      </c>
      <c r="E100" s="2"/>
      <c r="F100" s="6">
        <f t="shared" si="32"/>
        <v>0</v>
      </c>
      <c r="G100" s="2"/>
      <c r="H100" s="7">
        <v>7406</v>
      </c>
      <c r="I100" s="2"/>
      <c r="J100" s="6">
        <f t="shared" si="33"/>
        <v>0.18768477675242998</v>
      </c>
      <c r="K100" s="2"/>
      <c r="L100" s="7">
        <f t="shared" si="34"/>
        <v>-9568</v>
      </c>
      <c r="M100" s="2"/>
      <c r="N100" s="6">
        <f t="shared" si="35"/>
        <v>-1.2919254658385093</v>
      </c>
      <c r="O100" s="11"/>
      <c r="P100" s="7">
        <v>-2162</v>
      </c>
      <c r="Q100" s="2"/>
      <c r="R100" s="6">
        <f t="shared" si="36"/>
        <v>-5.0297683419447759E-3</v>
      </c>
      <c r="S100" s="2"/>
      <c r="T100" s="7">
        <v>7406</v>
      </c>
      <c r="U100" s="2"/>
      <c r="V100" s="6">
        <f t="shared" si="37"/>
        <v>1.4803847521170093E-2</v>
      </c>
      <c r="W100" s="2"/>
      <c r="X100" s="7">
        <f t="shared" si="38"/>
        <v>-9568</v>
      </c>
      <c r="Y100" s="2"/>
      <c r="Z100" s="6">
        <f t="shared" si="39"/>
        <v>-1.2919254658385093</v>
      </c>
    </row>
    <row r="101" spans="1:26" s="24" customFormat="1" hidden="1" outlineLevel="2" x14ac:dyDescent="0.35">
      <c r="A101" s="27"/>
      <c r="B101" s="11" t="str">
        <f>CONCATENATE("          ", "7742", " - ", "INV. SHRINKAGE-EVERYDAY GIFTS")</f>
        <v xml:space="preserve">          7742 - INV. SHRINKAGE-EVERYDAY GIFTS</v>
      </c>
      <c r="C101" s="11"/>
      <c r="D101" s="7">
        <v>2520</v>
      </c>
      <c r="E101" s="2"/>
      <c r="F101" s="6">
        <f t="shared" si="32"/>
        <v>0</v>
      </c>
      <c r="G101" s="2"/>
      <c r="H101" s="7">
        <v>-1578</v>
      </c>
      <c r="I101" s="2"/>
      <c r="J101" s="6">
        <f t="shared" si="33"/>
        <v>-3.9990086107930665E-2</v>
      </c>
      <c r="K101" s="2"/>
      <c r="L101" s="7">
        <f t="shared" si="34"/>
        <v>4098</v>
      </c>
      <c r="M101" s="2"/>
      <c r="N101" s="6">
        <f t="shared" si="35"/>
        <v>-2.5969581749049429</v>
      </c>
      <c r="O101" s="11"/>
      <c r="P101" s="7">
        <v>2520</v>
      </c>
      <c r="Q101" s="2"/>
      <c r="R101" s="6">
        <f t="shared" si="36"/>
        <v>5.8626347001391466E-3</v>
      </c>
      <c r="S101" s="2"/>
      <c r="T101" s="7">
        <v>-1578</v>
      </c>
      <c r="U101" s="2"/>
      <c r="V101" s="6">
        <f t="shared" si="37"/>
        <v>-3.1542629473948701E-3</v>
      </c>
      <c r="W101" s="2"/>
      <c r="X101" s="7">
        <f t="shared" si="38"/>
        <v>4098</v>
      </c>
      <c r="Y101" s="2"/>
      <c r="Z101" s="6">
        <f t="shared" si="39"/>
        <v>-2.5969581749049429</v>
      </c>
    </row>
    <row r="102" spans="1:26" s="24" customFormat="1" hidden="1" outlineLevel="2" x14ac:dyDescent="0.35">
      <c r="A102" s="27"/>
      <c r="B102" s="11" t="str">
        <f>CONCATENATE("          ", "7743", " - ", "INV. SHRINKAGE-CARDS")</f>
        <v xml:space="preserve">          7743 - INV. SHRINKAGE-CARDS</v>
      </c>
      <c r="C102" s="11"/>
      <c r="D102" s="7">
        <v>-1289</v>
      </c>
      <c r="E102" s="2"/>
      <c r="F102" s="6">
        <f t="shared" si="32"/>
        <v>0</v>
      </c>
      <c r="G102" s="2"/>
      <c r="H102" s="7">
        <v>-222</v>
      </c>
      <c r="I102" s="2"/>
      <c r="J102" s="6">
        <f t="shared" si="33"/>
        <v>-5.6259816957925273E-3</v>
      </c>
      <c r="K102" s="2"/>
      <c r="L102" s="7">
        <f t="shared" si="34"/>
        <v>-1067</v>
      </c>
      <c r="M102" s="2"/>
      <c r="N102" s="6">
        <f t="shared" si="35"/>
        <v>4.8063063063063067</v>
      </c>
      <c r="O102" s="11"/>
      <c r="P102" s="7">
        <v>-1289</v>
      </c>
      <c r="Q102" s="2"/>
      <c r="R102" s="6">
        <f t="shared" si="36"/>
        <v>-2.9987841779680001E-3</v>
      </c>
      <c r="S102" s="2"/>
      <c r="T102" s="7">
        <v>-222</v>
      </c>
      <c r="U102" s="2"/>
      <c r="V102" s="6">
        <f t="shared" si="37"/>
        <v>-4.4375562377798553E-4</v>
      </c>
      <c r="W102" s="2"/>
      <c r="X102" s="7">
        <f t="shared" si="38"/>
        <v>-1067</v>
      </c>
      <c r="Y102" s="2"/>
      <c r="Z102" s="6">
        <f t="shared" si="39"/>
        <v>4.8063063063063067</v>
      </c>
    </row>
    <row r="103" spans="1:26" s="24" customFormat="1" hidden="1" outlineLevel="2" x14ac:dyDescent="0.35">
      <c r="A103" s="27"/>
      <c r="B103" s="11" t="str">
        <f>CONCATENATE("          ", "7744", " - ", "INV. SHRINKAGE-ACCESSORIES")</f>
        <v xml:space="preserve">          7744 - INV. SHRINKAGE-ACCESSORIES</v>
      </c>
      <c r="C103" s="11"/>
      <c r="D103" s="7">
        <v>-16849</v>
      </c>
      <c r="E103" s="2"/>
      <c r="F103" s="6">
        <f t="shared" si="32"/>
        <v>0</v>
      </c>
      <c r="G103" s="2"/>
      <c r="H103" s="7">
        <v>1465</v>
      </c>
      <c r="I103" s="2"/>
      <c r="J103" s="6">
        <f t="shared" si="33"/>
        <v>3.712641074025249E-2</v>
      </c>
      <c r="K103" s="2"/>
      <c r="L103" s="7">
        <f t="shared" si="34"/>
        <v>-18314</v>
      </c>
      <c r="M103" s="2"/>
      <c r="N103" s="6">
        <f t="shared" si="35"/>
        <v>-12.501023890784984</v>
      </c>
      <c r="O103" s="11"/>
      <c r="P103" s="7">
        <v>-16849</v>
      </c>
      <c r="Q103" s="2"/>
      <c r="R103" s="6">
        <f t="shared" si="36"/>
        <v>-3.9198227008985904E-2</v>
      </c>
      <c r="S103" s="2"/>
      <c r="T103" s="7">
        <v>1465</v>
      </c>
      <c r="U103" s="2"/>
      <c r="V103" s="6">
        <f t="shared" si="37"/>
        <v>2.9283873370934631E-3</v>
      </c>
      <c r="W103" s="2"/>
      <c r="X103" s="7">
        <f t="shared" si="38"/>
        <v>-18314</v>
      </c>
      <c r="Y103" s="2"/>
      <c r="Z103" s="6">
        <f t="shared" si="39"/>
        <v>-12.501023890784984</v>
      </c>
    </row>
    <row r="104" spans="1:26" s="24" customFormat="1" hidden="1" outlineLevel="2" x14ac:dyDescent="0.35">
      <c r="A104" s="27"/>
      <c r="B104" s="11" t="str">
        <f>CONCATENATE("          ", "7745", " - ", "INV. SHRINKAGE-SPECIAL ORDERS")</f>
        <v xml:space="preserve">          7745 - INV. SHRINKAGE-SPECIAL ORDERS</v>
      </c>
      <c r="C104" s="11"/>
      <c r="D104" s="7">
        <v>1445</v>
      </c>
      <c r="E104" s="2"/>
      <c r="F104" s="6">
        <f t="shared" si="32"/>
        <v>0</v>
      </c>
      <c r="G104" s="2"/>
      <c r="H104" s="7">
        <v>-961</v>
      </c>
      <c r="I104" s="2"/>
      <c r="J104" s="6">
        <f t="shared" si="33"/>
        <v>-2.4353911755209994E-2</v>
      </c>
      <c r="K104" s="2"/>
      <c r="L104" s="7">
        <f t="shared" si="34"/>
        <v>2406</v>
      </c>
      <c r="M104" s="2"/>
      <c r="N104" s="6">
        <f t="shared" si="35"/>
        <v>-2.5036420395421435</v>
      </c>
      <c r="O104" s="11"/>
      <c r="P104" s="7">
        <v>1445</v>
      </c>
      <c r="Q104" s="2"/>
      <c r="R104" s="6">
        <f t="shared" si="36"/>
        <v>3.3617091832147091E-3</v>
      </c>
      <c r="S104" s="2"/>
      <c r="T104" s="7">
        <v>-961</v>
      </c>
      <c r="U104" s="2"/>
      <c r="V104" s="6">
        <f t="shared" si="37"/>
        <v>-1.9209421371650635E-3</v>
      </c>
      <c r="W104" s="2"/>
      <c r="X104" s="7">
        <f t="shared" si="38"/>
        <v>2406</v>
      </c>
      <c r="Y104" s="2"/>
      <c r="Z104" s="6">
        <f t="shared" si="39"/>
        <v>-2.5036420395421435</v>
      </c>
    </row>
    <row r="105" spans="1:26" s="24" customFormat="1" hidden="1" outlineLevel="2" x14ac:dyDescent="0.35">
      <c r="A105" s="27"/>
      <c r="B105" s="11" t="str">
        <f>CONCATENATE("          ", "7783", " - ", "INV. SHRINKAGE-COMPUTER EQUIPM")</f>
        <v xml:space="preserve">          7783 - INV. SHRINKAGE-COMPUTER EQUIPM</v>
      </c>
      <c r="C105" s="11"/>
      <c r="D105" s="7">
        <v>176</v>
      </c>
      <c r="E105" s="2"/>
      <c r="F105" s="6">
        <f t="shared" si="32"/>
        <v>0</v>
      </c>
      <c r="G105" s="2"/>
      <c r="H105" s="7">
        <v>30</v>
      </c>
      <c r="I105" s="2"/>
      <c r="J105" s="6">
        <f t="shared" si="33"/>
        <v>7.6026779672871991E-4</v>
      </c>
      <c r="K105" s="2"/>
      <c r="L105" s="7">
        <f t="shared" si="34"/>
        <v>146</v>
      </c>
      <c r="M105" s="2"/>
      <c r="N105" s="6">
        <f t="shared" si="35"/>
        <v>4.8666666666666663</v>
      </c>
      <c r="O105" s="11"/>
      <c r="P105" s="7">
        <v>176</v>
      </c>
      <c r="Q105" s="2"/>
      <c r="R105" s="6">
        <f t="shared" si="36"/>
        <v>4.0945385207321027E-4</v>
      </c>
      <c r="S105" s="2"/>
      <c r="T105" s="7">
        <v>30</v>
      </c>
      <c r="U105" s="2"/>
      <c r="V105" s="6">
        <f t="shared" si="37"/>
        <v>5.9966976186214262E-5</v>
      </c>
      <c r="W105" s="2"/>
      <c r="X105" s="7">
        <f t="shared" si="38"/>
        <v>146</v>
      </c>
      <c r="Y105" s="2"/>
      <c r="Z105" s="6">
        <f t="shared" si="39"/>
        <v>4.8666666666666663</v>
      </c>
    </row>
    <row r="106" spans="1:26" s="24" customFormat="1" hidden="1" outlineLevel="2" x14ac:dyDescent="0.35">
      <c r="A106" s="27"/>
      <c r="B106" s="11" t="str">
        <f>CONCATENATE("          ", "7792", " - ", "INV. SHRINKAGE-GRAD MERCH")</f>
        <v xml:space="preserve">          7792 - INV. SHRINKAGE-GRAD MERCH</v>
      </c>
      <c r="C106" s="11"/>
      <c r="D106" s="7">
        <v>40</v>
      </c>
      <c r="E106" s="2"/>
      <c r="F106" s="6">
        <f t="shared" si="32"/>
        <v>0</v>
      </c>
      <c r="G106" s="2"/>
      <c r="H106" s="7">
        <v>-5</v>
      </c>
      <c r="I106" s="2"/>
      <c r="J106" s="6">
        <f t="shared" si="33"/>
        <v>-1.2671129945478665E-4</v>
      </c>
      <c r="K106" s="2"/>
      <c r="L106" s="7">
        <f t="shared" si="34"/>
        <v>45</v>
      </c>
      <c r="M106" s="2"/>
      <c r="N106" s="6">
        <f t="shared" si="35"/>
        <v>-9</v>
      </c>
      <c r="O106" s="11"/>
      <c r="P106" s="7">
        <v>40</v>
      </c>
      <c r="Q106" s="2"/>
      <c r="R106" s="6">
        <f t="shared" si="36"/>
        <v>9.3057693653002333E-5</v>
      </c>
      <c r="S106" s="2"/>
      <c r="T106" s="7">
        <v>-5</v>
      </c>
      <c r="U106" s="2"/>
      <c r="V106" s="6">
        <f t="shared" si="37"/>
        <v>-9.9944960310357104E-6</v>
      </c>
      <c r="W106" s="2"/>
      <c r="X106" s="7">
        <f t="shared" si="38"/>
        <v>45</v>
      </c>
      <c r="Y106" s="2"/>
      <c r="Z106" s="6">
        <f t="shared" si="39"/>
        <v>-9</v>
      </c>
    </row>
    <row r="107" spans="1:26" s="24" customFormat="1" hidden="1" outlineLevel="2" x14ac:dyDescent="0.35">
      <c r="A107" s="27"/>
      <c r="B107" s="11" t="str">
        <f>CONCATENATE("          ", "7795", " - ", "INV. SHRINKAGE-CUSTOMER SERVIC")</f>
        <v xml:space="preserve">          7795 - INV. SHRINKAGE-CUSTOMER SERVIC</v>
      </c>
      <c r="C107" s="11"/>
      <c r="D107" s="7">
        <v>-6</v>
      </c>
      <c r="E107" s="2"/>
      <c r="F107" s="6">
        <f t="shared" si="32"/>
        <v>0</v>
      </c>
      <c r="G107" s="2"/>
      <c r="H107" s="7">
        <v>1</v>
      </c>
      <c r="I107" s="2"/>
      <c r="J107" s="6">
        <f t="shared" si="33"/>
        <v>2.5342259890957329E-5</v>
      </c>
      <c r="K107" s="2"/>
      <c r="L107" s="7">
        <f t="shared" si="34"/>
        <v>-7</v>
      </c>
      <c r="M107" s="2"/>
      <c r="N107" s="6">
        <f t="shared" si="35"/>
        <v>-7</v>
      </c>
      <c r="O107" s="11"/>
      <c r="P107" s="7">
        <v>-6</v>
      </c>
      <c r="Q107" s="2"/>
      <c r="R107" s="6">
        <f t="shared" si="36"/>
        <v>-1.395865404795035E-5</v>
      </c>
      <c r="S107" s="2"/>
      <c r="T107" s="7">
        <v>1</v>
      </c>
      <c r="U107" s="2"/>
      <c r="V107" s="6">
        <f t="shared" si="37"/>
        <v>1.9988992062071422E-6</v>
      </c>
      <c r="W107" s="2"/>
      <c r="X107" s="7">
        <f t="shared" si="38"/>
        <v>-7</v>
      </c>
      <c r="Y107" s="2"/>
      <c r="Z107" s="6">
        <f t="shared" si="39"/>
        <v>-7</v>
      </c>
    </row>
    <row r="108" spans="1:26" s="25" customFormat="1" outlineLevel="1" collapsed="1" x14ac:dyDescent="0.35">
      <c r="A108" s="26"/>
      <c r="B108" s="12" t="str">
        <f>CONCATENATE("     ","Professional Services                             ")</f>
        <v xml:space="preserve">     Professional Services                             </v>
      </c>
      <c r="C108" s="12"/>
      <c r="D108" s="1">
        <f>SUM(OSRRefD22_11x_0)</f>
        <v>383.95</v>
      </c>
      <c r="E108" s="1"/>
      <c r="F108" s="5">
        <f t="shared" ref="F108:F114" si="40">IF(D$12=0,0,D108/D$12)</f>
        <v>0</v>
      </c>
      <c r="G108" s="1"/>
      <c r="H108" s="1">
        <f>SUM(OSRRefH22_11x_0)</f>
        <v>0</v>
      </c>
      <c r="I108" s="1"/>
      <c r="J108" s="5">
        <f t="shared" ref="J108:J114" si="41">IF(H$12=0,0,H108/H$12)</f>
        <v>0</v>
      </c>
      <c r="K108" s="1"/>
      <c r="L108" s="1">
        <f t="shared" ref="L108:L114" si="42">+D108-H108</f>
        <v>383.95</v>
      </c>
      <c r="M108" s="1"/>
      <c r="N108" s="5">
        <f t="shared" ref="N108:N114" si="43">IF(H108=0,0,L108/H108)</f>
        <v>0</v>
      </c>
      <c r="O108" s="12"/>
      <c r="P108" s="1">
        <f>SUM(OSRRefP22_11x_0)</f>
        <v>1133.95</v>
      </c>
      <c r="Q108" s="1"/>
      <c r="R108" s="5">
        <f t="shared" ref="R108:R114" si="44">IF(P$12=0,0,P108/P$12)</f>
        <v>2.63806929294555E-3</v>
      </c>
      <c r="S108" s="1"/>
      <c r="T108" s="1">
        <f>SUM(OSRRefT22_11x_0)</f>
        <v>750</v>
      </c>
      <c r="U108" s="1"/>
      <c r="V108" s="5">
        <f t="shared" ref="V108:V114" si="45">IF(T$12=0,0,T108/T$12)</f>
        <v>1.4991744046553566E-3</v>
      </c>
      <c r="W108" s="1"/>
      <c r="X108" s="1">
        <f t="shared" ref="X108:X114" si="46">+P108-T108</f>
        <v>383.95000000000005</v>
      </c>
      <c r="Y108" s="1"/>
      <c r="Z108" s="5">
        <f t="shared" ref="Z108:Z114" si="47">IF(T108=0,0,X108/T108)</f>
        <v>0.51193333333333335</v>
      </c>
    </row>
    <row r="109" spans="1:26" s="24" customFormat="1" hidden="1" outlineLevel="2" x14ac:dyDescent="0.35">
      <c r="A109" s="27"/>
      <c r="B109" s="11" t="str">
        <f>CONCATENATE("          ", "6336", " - ", "PROFESSIONAL SERVICES")</f>
        <v xml:space="preserve">          6336 - PROFESSIONAL SERVICES</v>
      </c>
      <c r="C109" s="11"/>
      <c r="D109" s="7">
        <v>383.95</v>
      </c>
      <c r="E109" s="2"/>
      <c r="F109" s="6">
        <f t="shared" si="40"/>
        <v>0</v>
      </c>
      <c r="G109" s="2"/>
      <c r="H109" s="7"/>
      <c r="I109" s="2"/>
      <c r="J109" s="6">
        <f t="shared" si="41"/>
        <v>0</v>
      </c>
      <c r="K109" s="2"/>
      <c r="L109" s="7">
        <f t="shared" si="42"/>
        <v>383.95</v>
      </c>
      <c r="M109" s="2"/>
      <c r="N109" s="6">
        <f t="shared" si="43"/>
        <v>0</v>
      </c>
      <c r="O109" s="11"/>
      <c r="P109" s="7">
        <v>1133.95</v>
      </c>
      <c r="Q109" s="2"/>
      <c r="R109" s="6">
        <f t="shared" si="44"/>
        <v>2.63806929294555E-3</v>
      </c>
      <c r="S109" s="2"/>
      <c r="T109" s="7">
        <v>750</v>
      </c>
      <c r="U109" s="2"/>
      <c r="V109" s="6">
        <f t="shared" si="45"/>
        <v>1.4991744046553566E-3</v>
      </c>
      <c r="W109" s="2"/>
      <c r="X109" s="7">
        <f t="shared" si="46"/>
        <v>383.95000000000005</v>
      </c>
      <c r="Y109" s="2"/>
      <c r="Z109" s="6">
        <f t="shared" si="47"/>
        <v>0.51193333333333335</v>
      </c>
    </row>
    <row r="110" spans="1:26" s="25" customFormat="1" outlineLevel="1" collapsed="1" x14ac:dyDescent="0.35">
      <c r="A110" s="26"/>
      <c r="B110" s="12" t="str">
        <f>CONCATENATE("     ","Rent                                              ")</f>
        <v xml:space="preserve">     Rent                                              </v>
      </c>
      <c r="C110" s="12"/>
      <c r="D110" s="1">
        <f>SUM(OSRRefD22_12x_0)</f>
        <v>6900</v>
      </c>
      <c r="E110" s="1"/>
      <c r="F110" s="5">
        <f t="shared" si="40"/>
        <v>0</v>
      </c>
      <c r="G110" s="1"/>
      <c r="H110" s="1">
        <f>SUM(OSRRefH22_12x_0)</f>
        <v>6900</v>
      </c>
      <c r="I110" s="1"/>
      <c r="J110" s="5">
        <f t="shared" si="41"/>
        <v>0.17486159324760558</v>
      </c>
      <c r="K110" s="1"/>
      <c r="L110" s="1">
        <f t="shared" si="42"/>
        <v>0</v>
      </c>
      <c r="M110" s="1"/>
      <c r="N110" s="5">
        <f t="shared" si="43"/>
        <v>0</v>
      </c>
      <c r="O110" s="12"/>
      <c r="P110" s="1">
        <f>SUM(OSRRefP22_12x_0)</f>
        <v>82800</v>
      </c>
      <c r="Q110" s="1"/>
      <c r="R110" s="5">
        <f t="shared" si="44"/>
        <v>0.19262942586171483</v>
      </c>
      <c r="S110" s="1"/>
      <c r="T110" s="1">
        <f>SUM(OSRRefT22_12x_0)</f>
        <v>82800</v>
      </c>
      <c r="U110" s="1"/>
      <c r="V110" s="5">
        <f t="shared" si="45"/>
        <v>0.16550885427395137</v>
      </c>
      <c r="W110" s="1"/>
      <c r="X110" s="1">
        <f t="shared" si="46"/>
        <v>0</v>
      </c>
      <c r="Y110" s="1"/>
      <c r="Z110" s="5">
        <f t="shared" si="47"/>
        <v>0</v>
      </c>
    </row>
    <row r="111" spans="1:26" s="24" customFormat="1" hidden="1" outlineLevel="2" x14ac:dyDescent="0.35">
      <c r="A111" s="27"/>
      <c r="B111" s="11" t="str">
        <f>CONCATENATE("          ", "6273", " - ", "RENT")</f>
        <v xml:space="preserve">          6273 - RENT</v>
      </c>
      <c r="C111" s="11"/>
      <c r="D111" s="7">
        <v>6900</v>
      </c>
      <c r="E111" s="2"/>
      <c r="F111" s="6">
        <f t="shared" si="40"/>
        <v>0</v>
      </c>
      <c r="G111" s="2"/>
      <c r="H111" s="7">
        <v>6900</v>
      </c>
      <c r="I111" s="2"/>
      <c r="J111" s="6">
        <f t="shared" si="41"/>
        <v>0.17486159324760558</v>
      </c>
      <c r="K111" s="2"/>
      <c r="L111" s="7">
        <f t="shared" si="42"/>
        <v>0</v>
      </c>
      <c r="M111" s="2"/>
      <c r="N111" s="6">
        <f t="shared" si="43"/>
        <v>0</v>
      </c>
      <c r="O111" s="11"/>
      <c r="P111" s="7">
        <v>82800</v>
      </c>
      <c r="Q111" s="2"/>
      <c r="R111" s="6">
        <f t="shared" si="44"/>
        <v>0.19262942586171483</v>
      </c>
      <c r="S111" s="2"/>
      <c r="T111" s="7">
        <v>82800</v>
      </c>
      <c r="U111" s="2"/>
      <c r="V111" s="6">
        <f t="shared" si="45"/>
        <v>0.16550885427395137</v>
      </c>
      <c r="W111" s="2"/>
      <c r="X111" s="7">
        <f t="shared" si="46"/>
        <v>0</v>
      </c>
      <c r="Y111" s="2"/>
      <c r="Z111" s="6">
        <f t="shared" si="47"/>
        <v>0</v>
      </c>
    </row>
    <row r="112" spans="1:26" s="25" customFormat="1" outlineLevel="1" collapsed="1" x14ac:dyDescent="0.35">
      <c r="A112" s="26"/>
      <c r="B112" s="12" t="str">
        <f>CONCATENATE("     ","Repair and Maintenance                            ")</f>
        <v xml:space="preserve">     Repair and Maintenance                            </v>
      </c>
      <c r="C112" s="12"/>
      <c r="D112" s="1">
        <f>SUM(OSRRefD22_13x_0)</f>
        <v>48.23</v>
      </c>
      <c r="E112" s="1"/>
      <c r="F112" s="5">
        <f t="shared" si="40"/>
        <v>0</v>
      </c>
      <c r="G112" s="1"/>
      <c r="H112" s="1">
        <f>SUM(OSRRefH22_13x_0)</f>
        <v>75.77</v>
      </c>
      <c r="I112" s="1"/>
      <c r="J112" s="5">
        <f t="shared" si="41"/>
        <v>1.9201830319378367E-3</v>
      </c>
      <c r="K112" s="1"/>
      <c r="L112" s="1">
        <f t="shared" si="42"/>
        <v>-27.54</v>
      </c>
      <c r="M112" s="1"/>
      <c r="N112" s="5">
        <f t="shared" si="43"/>
        <v>-0.36346839118384588</v>
      </c>
      <c r="O112" s="12"/>
      <c r="P112" s="1">
        <f>SUM(OSRRefP22_13x_0)</f>
        <v>372.21000000000004</v>
      </c>
      <c r="Q112" s="1"/>
      <c r="R112" s="5">
        <f t="shared" si="44"/>
        <v>8.659251038646E-4</v>
      </c>
      <c r="S112" s="1"/>
      <c r="T112" s="1">
        <f>SUM(OSRRefT22_13x_0)</f>
        <v>730.34999999999991</v>
      </c>
      <c r="U112" s="1"/>
      <c r="V112" s="5">
        <f t="shared" si="45"/>
        <v>1.459896035253386E-3</v>
      </c>
      <c r="W112" s="1"/>
      <c r="X112" s="1">
        <f t="shared" si="46"/>
        <v>-358.13999999999987</v>
      </c>
      <c r="Y112" s="1"/>
      <c r="Z112" s="5">
        <f t="shared" si="47"/>
        <v>-0.49036763195728067</v>
      </c>
    </row>
    <row r="113" spans="1:26" s="24" customFormat="1" hidden="1" outlineLevel="2" x14ac:dyDescent="0.35">
      <c r="A113" s="27"/>
      <c r="B113" s="11" t="str">
        <f>CONCATENATE("          ", "6373", " - ", "MAINTENANCE CONTRACTS")</f>
        <v xml:space="preserve">          6373 - MAINTENANCE CONTRACTS</v>
      </c>
      <c r="C113" s="11"/>
      <c r="D113" s="7">
        <v>48.23</v>
      </c>
      <c r="E113" s="2"/>
      <c r="F113" s="6">
        <f t="shared" si="40"/>
        <v>0</v>
      </c>
      <c r="G113" s="2"/>
      <c r="H113" s="7">
        <v>44.98</v>
      </c>
      <c r="I113" s="2"/>
      <c r="J113" s="6">
        <f t="shared" si="41"/>
        <v>1.1398948498952605E-3</v>
      </c>
      <c r="K113" s="2"/>
      <c r="L113" s="7">
        <f t="shared" si="42"/>
        <v>3.25</v>
      </c>
      <c r="M113" s="2"/>
      <c r="N113" s="6">
        <f t="shared" si="43"/>
        <v>7.2254335260115612E-2</v>
      </c>
      <c r="O113" s="11"/>
      <c r="P113" s="7">
        <v>189.68</v>
      </c>
      <c r="Q113" s="2"/>
      <c r="R113" s="6">
        <f t="shared" si="44"/>
        <v>4.4127958330253706E-4</v>
      </c>
      <c r="S113" s="2"/>
      <c r="T113" s="7">
        <v>179.92</v>
      </c>
      <c r="U113" s="2"/>
      <c r="V113" s="6">
        <f t="shared" si="45"/>
        <v>3.5964194518078895E-4</v>
      </c>
      <c r="W113" s="2"/>
      <c r="X113" s="7">
        <f t="shared" si="46"/>
        <v>9.7600000000000193</v>
      </c>
      <c r="Y113" s="2"/>
      <c r="Z113" s="6">
        <f t="shared" si="47"/>
        <v>5.4246331702979211E-2</v>
      </c>
    </row>
    <row r="114" spans="1:26" s="24" customFormat="1" hidden="1" outlineLevel="2" x14ac:dyDescent="0.35">
      <c r="A114" s="27"/>
      <c r="B114" s="11" t="str">
        <f>CONCATENATE("          ", "6375", " - ", "OUTSIDE REPAIRS &amp; MAINTENANCE")</f>
        <v xml:space="preserve">          6375 - OUTSIDE REPAIRS &amp; MAINTENANCE</v>
      </c>
      <c r="C114" s="11"/>
      <c r="D114" s="7"/>
      <c r="E114" s="2"/>
      <c r="F114" s="6">
        <f t="shared" si="40"/>
        <v>0</v>
      </c>
      <c r="G114" s="2"/>
      <c r="H114" s="7">
        <v>30.79</v>
      </c>
      <c r="I114" s="2"/>
      <c r="J114" s="6">
        <f t="shared" si="41"/>
        <v>7.8028818204257618E-4</v>
      </c>
      <c r="K114" s="2"/>
      <c r="L114" s="7">
        <f t="shared" si="42"/>
        <v>-30.79</v>
      </c>
      <c r="M114" s="2"/>
      <c r="N114" s="6">
        <f t="shared" si="43"/>
        <v>-1</v>
      </c>
      <c r="O114" s="11"/>
      <c r="P114" s="7">
        <v>182.53</v>
      </c>
      <c r="Q114" s="2"/>
      <c r="R114" s="6">
        <f t="shared" si="44"/>
        <v>4.2464552056206288E-4</v>
      </c>
      <c r="S114" s="2"/>
      <c r="T114" s="7">
        <v>550.42999999999995</v>
      </c>
      <c r="U114" s="2"/>
      <c r="V114" s="6">
        <f t="shared" si="45"/>
        <v>1.1002540900725971E-3</v>
      </c>
      <c r="W114" s="2"/>
      <c r="X114" s="7">
        <f t="shared" si="46"/>
        <v>-367.9</v>
      </c>
      <c r="Y114" s="2"/>
      <c r="Z114" s="6">
        <f t="shared" si="47"/>
        <v>-0.66838653416419891</v>
      </c>
    </row>
    <row r="115" spans="1:26" s="25" customFormat="1" outlineLevel="1" collapsed="1" x14ac:dyDescent="0.35">
      <c r="A115" s="26"/>
      <c r="B115" s="12" t="str">
        <f>CONCATENATE("     ","Services                                          ")</f>
        <v xml:space="preserve">     Services                                          </v>
      </c>
      <c r="C115" s="12"/>
      <c r="D115" s="1">
        <f>SUM(OSRRefD22_14x_0)</f>
        <v>189.45</v>
      </c>
      <c r="E115" s="1"/>
      <c r="F115" s="5">
        <f t="shared" ref="F115:F118" si="48">IF(D$12=0,0,D115/D$12)</f>
        <v>0</v>
      </c>
      <c r="G115" s="1"/>
      <c r="H115" s="1">
        <f>SUM(OSRRefH22_14x_0)</f>
        <v>228.01</v>
      </c>
      <c r="I115" s="1"/>
      <c r="J115" s="5">
        <f t="shared" ref="J115:J118" si="49">IF(H$12=0,0,H115/H$12)</f>
        <v>5.7782886777371801E-3</v>
      </c>
      <c r="K115" s="1"/>
      <c r="L115" s="1">
        <f t="shared" ref="L115:L118" si="50">+D115-H115</f>
        <v>-38.56</v>
      </c>
      <c r="M115" s="1"/>
      <c r="N115" s="5">
        <f t="shared" ref="N115:N118" si="51">IF(H115=0,0,L115/H115)</f>
        <v>-0.16911538967589143</v>
      </c>
      <c r="O115" s="12"/>
      <c r="P115" s="1">
        <f>SUM(OSRRefP22_14x_0)</f>
        <v>3138.98</v>
      </c>
      <c r="Q115" s="1"/>
      <c r="R115" s="5">
        <f t="shared" ref="R115:R118" si="52">IF(P$12=0,0,P115/P$12)</f>
        <v>7.3026559805725319E-3</v>
      </c>
      <c r="S115" s="1"/>
      <c r="T115" s="1">
        <f>SUM(OSRRefT22_14x_0)</f>
        <v>2603.5199999999995</v>
      </c>
      <c r="U115" s="1"/>
      <c r="V115" s="5">
        <f t="shared" ref="V115:V118" si="53">IF(T$12=0,0,T115/T$12)</f>
        <v>5.2041740613444172E-3</v>
      </c>
      <c r="W115" s="1"/>
      <c r="X115" s="1">
        <f t="shared" ref="X115:X118" si="54">+P115-T115</f>
        <v>535.46000000000049</v>
      </c>
      <c r="Y115" s="1"/>
      <c r="Z115" s="5">
        <f t="shared" ref="Z115:Z118" si="55">IF(T115=0,0,X115/T115)</f>
        <v>0.20566771140609658</v>
      </c>
    </row>
    <row r="116" spans="1:26" s="24" customFormat="1" hidden="1" outlineLevel="2" x14ac:dyDescent="0.35">
      <c r="A116" s="27"/>
      <c r="B116" s="11" t="str">
        <f>CONCATENATE("          ", "6283", " - ", "PLANT SERVICE")</f>
        <v xml:space="preserve">          6283 - PLANT SERVICE</v>
      </c>
      <c r="C116" s="11"/>
      <c r="D116" s="7"/>
      <c r="E116" s="2"/>
      <c r="F116" s="6">
        <f t="shared" si="48"/>
        <v>0</v>
      </c>
      <c r="G116" s="2"/>
      <c r="H116" s="7">
        <v>59.55</v>
      </c>
      <c r="I116" s="2"/>
      <c r="J116" s="6">
        <f t="shared" si="49"/>
        <v>1.5091315765065089E-3</v>
      </c>
      <c r="K116" s="2"/>
      <c r="L116" s="7">
        <f t="shared" si="50"/>
        <v>-59.55</v>
      </c>
      <c r="M116" s="2"/>
      <c r="N116" s="6">
        <f t="shared" si="51"/>
        <v>-1</v>
      </c>
      <c r="O116" s="11"/>
      <c r="P116" s="7">
        <v>178.65</v>
      </c>
      <c r="Q116" s="2"/>
      <c r="R116" s="6">
        <f t="shared" si="52"/>
        <v>4.1561892427772166E-4</v>
      </c>
      <c r="S116" s="2"/>
      <c r="T116" s="7">
        <v>675.55</v>
      </c>
      <c r="U116" s="2"/>
      <c r="V116" s="6">
        <f t="shared" si="53"/>
        <v>1.3503563587532346E-3</v>
      </c>
      <c r="W116" s="2"/>
      <c r="X116" s="7">
        <f t="shared" si="54"/>
        <v>-496.9</v>
      </c>
      <c r="Y116" s="2"/>
      <c r="Z116" s="6">
        <f t="shared" si="55"/>
        <v>-0.73554881207904677</v>
      </c>
    </row>
    <row r="117" spans="1:26" s="24" customFormat="1" hidden="1" outlineLevel="2" x14ac:dyDescent="0.35">
      <c r="A117" s="27"/>
      <c r="B117" s="11" t="str">
        <f>CONCATENATE("          ", "6284", " - ", "TRASH REMOVAL EXPENSE")</f>
        <v xml:space="preserve">          6284 - TRASH REMOVAL EXPENSE</v>
      </c>
      <c r="C117" s="11"/>
      <c r="D117" s="7">
        <v>134.82</v>
      </c>
      <c r="E117" s="2"/>
      <c r="F117" s="6">
        <f t="shared" si="48"/>
        <v>0</v>
      </c>
      <c r="G117" s="2"/>
      <c r="H117" s="7">
        <v>121.46</v>
      </c>
      <c r="I117" s="2"/>
      <c r="J117" s="6">
        <f t="shared" si="49"/>
        <v>3.0780708863556772E-3</v>
      </c>
      <c r="K117" s="2"/>
      <c r="L117" s="7">
        <f t="shared" si="50"/>
        <v>13.36</v>
      </c>
      <c r="M117" s="2"/>
      <c r="N117" s="6">
        <f t="shared" si="51"/>
        <v>0.10999506010209123</v>
      </c>
      <c r="O117" s="11"/>
      <c r="P117" s="7">
        <v>1617.84</v>
      </c>
      <c r="Q117" s="2"/>
      <c r="R117" s="6">
        <f t="shared" si="52"/>
        <v>3.7638114774893321E-3</v>
      </c>
      <c r="S117" s="2"/>
      <c r="T117" s="7">
        <v>1457.52</v>
      </c>
      <c r="U117" s="2"/>
      <c r="V117" s="6">
        <f t="shared" si="53"/>
        <v>2.9134355710310335E-3</v>
      </c>
      <c r="W117" s="2"/>
      <c r="X117" s="7">
        <f t="shared" si="54"/>
        <v>160.31999999999994</v>
      </c>
      <c r="Y117" s="2"/>
      <c r="Z117" s="6">
        <f t="shared" si="55"/>
        <v>0.10999506010209117</v>
      </c>
    </row>
    <row r="118" spans="1:26" s="24" customFormat="1" hidden="1" outlineLevel="2" x14ac:dyDescent="0.35">
      <c r="A118" s="27"/>
      <c r="B118" s="11" t="str">
        <f>CONCATENATE("          ", "6285", " - ", "JANITORIAL SERVICES")</f>
        <v xml:space="preserve">          6285 - JANITORIAL SERVICES</v>
      </c>
      <c r="C118" s="11"/>
      <c r="D118" s="7">
        <v>54.63</v>
      </c>
      <c r="E118" s="2"/>
      <c r="F118" s="6">
        <f t="shared" si="48"/>
        <v>0</v>
      </c>
      <c r="G118" s="2"/>
      <c r="H118" s="7">
        <v>47</v>
      </c>
      <c r="I118" s="2"/>
      <c r="J118" s="6">
        <f t="shared" si="49"/>
        <v>1.1910862148749946E-3</v>
      </c>
      <c r="K118" s="2"/>
      <c r="L118" s="7">
        <f t="shared" si="50"/>
        <v>7.6300000000000026</v>
      </c>
      <c r="M118" s="2"/>
      <c r="N118" s="6">
        <f t="shared" si="51"/>
        <v>0.16234042553191494</v>
      </c>
      <c r="O118" s="11"/>
      <c r="P118" s="7">
        <v>1342.49</v>
      </c>
      <c r="Q118" s="2"/>
      <c r="R118" s="6">
        <f t="shared" si="52"/>
        <v>3.1232255788054774E-3</v>
      </c>
      <c r="S118" s="2"/>
      <c r="T118" s="7">
        <v>470.45</v>
      </c>
      <c r="U118" s="2"/>
      <c r="V118" s="6">
        <f t="shared" si="53"/>
        <v>9.4038213156014995E-4</v>
      </c>
      <c r="W118" s="2"/>
      <c r="X118" s="7">
        <f t="shared" si="54"/>
        <v>872.04</v>
      </c>
      <c r="Y118" s="2"/>
      <c r="Z118" s="6">
        <f t="shared" si="55"/>
        <v>1.8536295036667021</v>
      </c>
    </row>
    <row r="119" spans="1:26" s="25" customFormat="1" outlineLevel="1" collapsed="1" x14ac:dyDescent="0.35">
      <c r="A119" s="26"/>
      <c r="B119" s="12" t="str">
        <f>CONCATENATE("     ","Subscriptions &amp; Dues                              ")</f>
        <v xml:space="preserve">     Subscriptions &amp; Dues                              </v>
      </c>
      <c r="C119" s="12"/>
      <c r="D119" s="1">
        <f>SUM(OSRRefD22_15x_0)</f>
        <v>0</v>
      </c>
      <c r="E119" s="1"/>
      <c r="F119" s="5">
        <f t="shared" ref="F119:F121" si="56">IF(D$12=0,0,D119/D$12)</f>
        <v>0</v>
      </c>
      <c r="G119" s="1"/>
      <c r="H119" s="1">
        <f>SUM(OSRRefH22_15x_0)</f>
        <v>131.97999999999999</v>
      </c>
      <c r="I119" s="1"/>
      <c r="J119" s="5">
        <f t="shared" ref="J119:J121" si="57">IF(H$12=0,0,H119/H$12)</f>
        <v>3.3446714604085481E-3</v>
      </c>
      <c r="K119" s="1"/>
      <c r="L119" s="1">
        <f t="shared" ref="L119:L121" si="58">+D119-H119</f>
        <v>-131.97999999999999</v>
      </c>
      <c r="M119" s="1"/>
      <c r="N119" s="5">
        <f t="shared" ref="N119:N121" si="59">IF(H119=0,0,L119/H119)</f>
        <v>-1</v>
      </c>
      <c r="O119" s="12"/>
      <c r="P119" s="1">
        <f>SUM(OSRRefP22_15x_0)</f>
        <v>268.40999999999997</v>
      </c>
      <c r="Q119" s="1"/>
      <c r="R119" s="5">
        <f t="shared" ref="R119:R121" si="60">IF(P$12=0,0,P119/P$12)</f>
        <v>6.2444038883505886E-4</v>
      </c>
      <c r="S119" s="1"/>
      <c r="T119" s="1">
        <f>SUM(OSRRefT22_15x_0)</f>
        <v>1875.14</v>
      </c>
      <c r="U119" s="1"/>
      <c r="V119" s="5">
        <f t="shared" ref="V119:V121" si="61">IF(T$12=0,0,T119/T$12)</f>
        <v>3.7482158575272606E-3</v>
      </c>
      <c r="W119" s="1"/>
      <c r="X119" s="1">
        <f t="shared" ref="X119:X121" si="62">+P119-T119</f>
        <v>-1606.73</v>
      </c>
      <c r="Y119" s="1"/>
      <c r="Z119" s="5">
        <f t="shared" ref="Z119:Z121" si="63">IF(T119=0,0,X119/T119)</f>
        <v>-0.85685868788463793</v>
      </c>
    </row>
    <row r="120" spans="1:26" s="24" customFormat="1" hidden="1" outlineLevel="2" x14ac:dyDescent="0.35">
      <c r="A120" s="27"/>
      <c r="B120" s="11" t="str">
        <f>CONCATENATE("          ", "6258", " - ", "MEMBERSHIP DUES")</f>
        <v xml:space="preserve">          6258 - MEMBERSHIP DUES</v>
      </c>
      <c r="C120" s="11"/>
      <c r="D120" s="7"/>
      <c r="E120" s="2"/>
      <c r="F120" s="6">
        <f t="shared" si="56"/>
        <v>0</v>
      </c>
      <c r="G120" s="2"/>
      <c r="H120" s="7"/>
      <c r="I120" s="2"/>
      <c r="J120" s="6">
        <f t="shared" si="57"/>
        <v>0</v>
      </c>
      <c r="K120" s="2"/>
      <c r="L120" s="7">
        <f t="shared" si="58"/>
        <v>0</v>
      </c>
      <c r="M120" s="2"/>
      <c r="N120" s="6">
        <f t="shared" si="59"/>
        <v>0</v>
      </c>
      <c r="O120" s="11"/>
      <c r="P120" s="7">
        <v>29.99</v>
      </c>
      <c r="Q120" s="2"/>
      <c r="R120" s="6">
        <f t="shared" si="60"/>
        <v>6.9770005816338491E-5</v>
      </c>
      <c r="S120" s="2"/>
      <c r="T120" s="7"/>
      <c r="U120" s="2"/>
      <c r="V120" s="6">
        <f t="shared" si="61"/>
        <v>0</v>
      </c>
      <c r="W120" s="2"/>
      <c r="X120" s="7">
        <f t="shared" si="62"/>
        <v>29.99</v>
      </c>
      <c r="Y120" s="2"/>
      <c r="Z120" s="6">
        <f t="shared" si="63"/>
        <v>0</v>
      </c>
    </row>
    <row r="121" spans="1:26" s="24" customFormat="1" hidden="1" outlineLevel="2" x14ac:dyDescent="0.35">
      <c r="A121" s="27"/>
      <c r="B121" s="11" t="str">
        <f>CONCATENATE("          ", "6275", " - ", "SUBSCRIPTIONS")</f>
        <v xml:space="preserve">          6275 - SUBSCRIPTIONS</v>
      </c>
      <c r="C121" s="11"/>
      <c r="D121" s="7"/>
      <c r="E121" s="2"/>
      <c r="F121" s="6">
        <f t="shared" si="56"/>
        <v>0</v>
      </c>
      <c r="G121" s="2"/>
      <c r="H121" s="7">
        <v>131.97999999999999</v>
      </c>
      <c r="I121" s="2"/>
      <c r="J121" s="6">
        <f t="shared" si="57"/>
        <v>3.3446714604085481E-3</v>
      </c>
      <c r="K121" s="2"/>
      <c r="L121" s="7">
        <f t="shared" si="58"/>
        <v>-131.97999999999999</v>
      </c>
      <c r="M121" s="2"/>
      <c r="N121" s="6">
        <f t="shared" si="59"/>
        <v>-1</v>
      </c>
      <c r="O121" s="11"/>
      <c r="P121" s="7">
        <v>238.42</v>
      </c>
      <c r="Q121" s="2"/>
      <c r="R121" s="6">
        <f t="shared" si="60"/>
        <v>5.5467038301872042E-4</v>
      </c>
      <c r="S121" s="2"/>
      <c r="T121" s="7">
        <v>1875.14</v>
      </c>
      <c r="U121" s="2"/>
      <c r="V121" s="6">
        <f t="shared" si="61"/>
        <v>3.7482158575272606E-3</v>
      </c>
      <c r="W121" s="2"/>
      <c r="X121" s="7">
        <f t="shared" si="62"/>
        <v>-1636.72</v>
      </c>
      <c r="Y121" s="2"/>
      <c r="Z121" s="6">
        <f t="shared" si="63"/>
        <v>-0.87285216037202551</v>
      </c>
    </row>
    <row r="122" spans="1:26" s="25" customFormat="1" outlineLevel="1" collapsed="1" x14ac:dyDescent="0.35">
      <c r="A122" s="26"/>
      <c r="B122" s="12" t="str">
        <f>CONCATENATE("     ","Supplies                                          ")</f>
        <v xml:space="preserve">     Supplies                                          </v>
      </c>
      <c r="C122" s="12"/>
      <c r="D122" s="1">
        <f>SUM(OSRRefD22_16x_0)</f>
        <v>3.96</v>
      </c>
      <c r="E122" s="1"/>
      <c r="F122" s="5">
        <f t="shared" ref="F122:F127" si="64">IF(D$12=0,0,D122/D$12)</f>
        <v>0</v>
      </c>
      <c r="G122" s="1"/>
      <c r="H122" s="1">
        <f>SUM(OSRRefH22_16x_0)</f>
        <v>94.2</v>
      </c>
      <c r="I122" s="1"/>
      <c r="J122" s="5">
        <f t="shared" ref="J122:J127" si="65">IF(H$12=0,0,H122/H$12)</f>
        <v>2.3872408817281806E-3</v>
      </c>
      <c r="K122" s="1"/>
      <c r="L122" s="1">
        <f t="shared" ref="L122:L127" si="66">+D122-H122</f>
        <v>-90.240000000000009</v>
      </c>
      <c r="M122" s="1"/>
      <c r="N122" s="5">
        <f t="shared" ref="N122:N127" si="67">IF(H122=0,0,L122/H122)</f>
        <v>-0.95796178343949057</v>
      </c>
      <c r="O122" s="12"/>
      <c r="P122" s="1">
        <f>SUM(OSRRefP22_16x_0)</f>
        <v>3815.02</v>
      </c>
      <c r="Q122" s="1"/>
      <c r="R122" s="5">
        <f t="shared" ref="R122:R127" si="68">IF(P$12=0,0,P122/P$12)</f>
        <v>8.8754240610019238E-3</v>
      </c>
      <c r="S122" s="1"/>
      <c r="T122" s="1">
        <f>SUM(OSRRefT22_16x_0)</f>
        <v>4364.4400000000005</v>
      </c>
      <c r="U122" s="1"/>
      <c r="V122" s="5">
        <f t="shared" ref="V122:V127" si="69">IF(T$12=0,0,T122/T$12)</f>
        <v>8.7240756515386993E-3</v>
      </c>
      <c r="W122" s="1"/>
      <c r="X122" s="1">
        <f t="shared" ref="X122:X127" si="70">+P122-T122</f>
        <v>-549.42000000000053</v>
      </c>
      <c r="Y122" s="1"/>
      <c r="Z122" s="5">
        <f t="shared" ref="Z122:Z127" si="71">IF(T122=0,0,X122/T122)</f>
        <v>-0.12588556607491463</v>
      </c>
    </row>
    <row r="123" spans="1:26" s="24" customFormat="1" hidden="1" outlineLevel="2" x14ac:dyDescent="0.35">
      <c r="A123" s="27"/>
      <c r="B123" s="11" t="str">
        <f>CONCATENATE("          ", "6234", " - ", "EXPENDABLE SUPPLIES &amp; EQUIPMEN")</f>
        <v xml:space="preserve">          6234 - EXPENDABLE SUPPLIES &amp; EQUIPMEN</v>
      </c>
      <c r="C123" s="11"/>
      <c r="D123" s="7"/>
      <c r="E123" s="2"/>
      <c r="F123" s="6">
        <f t="shared" si="64"/>
        <v>0</v>
      </c>
      <c r="G123" s="2"/>
      <c r="H123" s="7">
        <v>32.909999999999997</v>
      </c>
      <c r="I123" s="2"/>
      <c r="J123" s="6">
        <f t="shared" si="65"/>
        <v>8.3401377301140563E-4</v>
      </c>
      <c r="K123" s="2"/>
      <c r="L123" s="7">
        <f t="shared" si="66"/>
        <v>-32.909999999999997</v>
      </c>
      <c r="M123" s="2"/>
      <c r="N123" s="6">
        <f t="shared" si="67"/>
        <v>-1</v>
      </c>
      <c r="O123" s="11"/>
      <c r="P123" s="7">
        <v>303.86</v>
      </c>
      <c r="Q123" s="2"/>
      <c r="R123" s="6">
        <f t="shared" si="68"/>
        <v>7.0691276983503228E-4</v>
      </c>
      <c r="S123" s="2"/>
      <c r="T123" s="7">
        <v>396.77</v>
      </c>
      <c r="U123" s="2"/>
      <c r="V123" s="6">
        <f t="shared" si="69"/>
        <v>7.9310323804680772E-4</v>
      </c>
      <c r="W123" s="2"/>
      <c r="X123" s="7">
        <f t="shared" si="70"/>
        <v>-92.909999999999968</v>
      </c>
      <c r="Y123" s="2"/>
      <c r="Z123" s="6">
        <f t="shared" si="71"/>
        <v>-0.23416588955818227</v>
      </c>
    </row>
    <row r="124" spans="1:26" s="24" customFormat="1" hidden="1" outlineLevel="2" x14ac:dyDescent="0.35">
      <c r="A124" s="27"/>
      <c r="B124" s="11" t="str">
        <f>CONCATENATE("          ", "6237", " - ", "JANITORIAL SUPPLIES")</f>
        <v xml:space="preserve">          6237 - JANITORIAL SUPPLIES</v>
      </c>
      <c r="C124" s="11"/>
      <c r="D124" s="7"/>
      <c r="E124" s="2"/>
      <c r="F124" s="6">
        <f t="shared" si="64"/>
        <v>0</v>
      </c>
      <c r="G124" s="2"/>
      <c r="H124" s="7"/>
      <c r="I124" s="2"/>
      <c r="J124" s="6">
        <f t="shared" si="65"/>
        <v>0</v>
      </c>
      <c r="K124" s="2"/>
      <c r="L124" s="7">
        <f t="shared" si="66"/>
        <v>0</v>
      </c>
      <c r="M124" s="2"/>
      <c r="N124" s="6">
        <f t="shared" si="67"/>
        <v>0</v>
      </c>
      <c r="O124" s="11"/>
      <c r="P124" s="7">
        <v>670.42</v>
      </c>
      <c r="Q124" s="2"/>
      <c r="R124" s="6">
        <f t="shared" si="68"/>
        <v>1.5596934744711455E-3</v>
      </c>
      <c r="S124" s="2"/>
      <c r="T124" s="7">
        <v>641.32000000000005</v>
      </c>
      <c r="U124" s="2"/>
      <c r="V124" s="6">
        <f t="shared" si="69"/>
        <v>1.2819340389247644E-3</v>
      </c>
      <c r="W124" s="2"/>
      <c r="X124" s="7">
        <f t="shared" si="70"/>
        <v>29.099999999999909</v>
      </c>
      <c r="Y124" s="2"/>
      <c r="Z124" s="6">
        <f t="shared" si="71"/>
        <v>4.5375163724817417E-2</v>
      </c>
    </row>
    <row r="125" spans="1:26" s="24" customFormat="1" hidden="1" outlineLevel="2" x14ac:dyDescent="0.35">
      <c r="A125" s="27"/>
      <c r="B125" s="11" t="str">
        <f>CONCATENATE("          ", "6241", " - ", "OFFICE EXPENSE")</f>
        <v xml:space="preserve">          6241 - OFFICE EXPENSE</v>
      </c>
      <c r="C125" s="11"/>
      <c r="D125" s="7">
        <v>3.96</v>
      </c>
      <c r="E125" s="2"/>
      <c r="F125" s="6">
        <f t="shared" si="64"/>
        <v>0</v>
      </c>
      <c r="G125" s="2"/>
      <c r="H125" s="7">
        <v>24.12</v>
      </c>
      <c r="I125" s="2"/>
      <c r="J125" s="6">
        <f t="shared" si="65"/>
        <v>6.1125530856989078E-4</v>
      </c>
      <c r="K125" s="2"/>
      <c r="L125" s="7">
        <f t="shared" si="66"/>
        <v>-20.16</v>
      </c>
      <c r="M125" s="2"/>
      <c r="N125" s="6">
        <f t="shared" si="67"/>
        <v>-0.83582089552238803</v>
      </c>
      <c r="O125" s="11"/>
      <c r="P125" s="7">
        <v>2342.37</v>
      </c>
      <c r="Q125" s="2"/>
      <c r="R125" s="6">
        <f t="shared" si="68"/>
        <v>5.4493887470495762E-3</v>
      </c>
      <c r="S125" s="2"/>
      <c r="T125" s="7">
        <v>1811.84</v>
      </c>
      <c r="U125" s="2"/>
      <c r="V125" s="6">
        <f t="shared" si="69"/>
        <v>3.621685537774348E-3</v>
      </c>
      <c r="W125" s="2"/>
      <c r="X125" s="7">
        <f t="shared" si="70"/>
        <v>530.53</v>
      </c>
      <c r="Y125" s="2"/>
      <c r="Z125" s="6">
        <f t="shared" si="71"/>
        <v>0.2928128311550689</v>
      </c>
    </row>
    <row r="126" spans="1:26" s="24" customFormat="1" hidden="1" outlineLevel="2" x14ac:dyDescent="0.35">
      <c r="A126" s="27"/>
      <c r="B126" s="11" t="str">
        <f>CONCATENATE("          ", "6245", " - ", "PRINTING")</f>
        <v xml:space="preserve">          6245 - PRINTING</v>
      </c>
      <c r="C126" s="11"/>
      <c r="D126" s="7"/>
      <c r="E126" s="2"/>
      <c r="F126" s="6">
        <f t="shared" si="64"/>
        <v>0</v>
      </c>
      <c r="G126" s="2"/>
      <c r="H126" s="7"/>
      <c r="I126" s="2"/>
      <c r="J126" s="6">
        <f t="shared" si="65"/>
        <v>0</v>
      </c>
      <c r="K126" s="2"/>
      <c r="L126" s="7">
        <f t="shared" si="66"/>
        <v>0</v>
      </c>
      <c r="M126" s="2"/>
      <c r="N126" s="6">
        <f t="shared" si="67"/>
        <v>0</v>
      </c>
      <c r="O126" s="11"/>
      <c r="P126" s="7">
        <v>22.05</v>
      </c>
      <c r="Q126" s="2"/>
      <c r="R126" s="6">
        <f t="shared" si="68"/>
        <v>5.1298053626217537E-5</v>
      </c>
      <c r="S126" s="2"/>
      <c r="T126" s="7">
        <v>750.25</v>
      </c>
      <c r="U126" s="2"/>
      <c r="V126" s="6">
        <f t="shared" si="69"/>
        <v>1.4996741294569084E-3</v>
      </c>
      <c r="W126" s="2"/>
      <c r="X126" s="7">
        <f t="shared" si="70"/>
        <v>-728.2</v>
      </c>
      <c r="Y126" s="2"/>
      <c r="Z126" s="6">
        <f t="shared" si="71"/>
        <v>-0.97060979673442194</v>
      </c>
    </row>
    <row r="127" spans="1:26" s="24" customFormat="1" hidden="1" outlineLevel="2" x14ac:dyDescent="0.35">
      <c r="A127" s="27"/>
      <c r="B127" s="11" t="str">
        <f>CONCATENATE("          ", "6247", " - ", "STORE SUPPLIES")</f>
        <v xml:space="preserve">          6247 - STORE SUPPLIES</v>
      </c>
      <c r="C127" s="11"/>
      <c r="D127" s="7"/>
      <c r="E127" s="2"/>
      <c r="F127" s="6">
        <f t="shared" si="64"/>
        <v>0</v>
      </c>
      <c r="G127" s="2"/>
      <c r="H127" s="7">
        <v>37.17</v>
      </c>
      <c r="I127" s="2"/>
      <c r="J127" s="6">
        <f t="shared" si="65"/>
        <v>9.4197180014688397E-4</v>
      </c>
      <c r="K127" s="2"/>
      <c r="L127" s="7">
        <f t="shared" si="66"/>
        <v>-37.17</v>
      </c>
      <c r="M127" s="2"/>
      <c r="N127" s="6">
        <f t="shared" si="67"/>
        <v>-1</v>
      </c>
      <c r="O127" s="11"/>
      <c r="P127" s="7">
        <v>476.32</v>
      </c>
      <c r="Q127" s="2"/>
      <c r="R127" s="6">
        <f t="shared" si="68"/>
        <v>1.1081310160199517E-3</v>
      </c>
      <c r="S127" s="2"/>
      <c r="T127" s="7">
        <v>764.26</v>
      </c>
      <c r="U127" s="2"/>
      <c r="V127" s="6">
        <f t="shared" si="69"/>
        <v>1.5276787073358704E-3</v>
      </c>
      <c r="W127" s="2"/>
      <c r="X127" s="7">
        <f t="shared" si="70"/>
        <v>-287.94</v>
      </c>
      <c r="Y127" s="2"/>
      <c r="Z127" s="6">
        <f t="shared" si="71"/>
        <v>-0.37675660115667442</v>
      </c>
    </row>
    <row r="128" spans="1:26" s="25" customFormat="1" outlineLevel="1" collapsed="1" x14ac:dyDescent="0.35">
      <c r="A128" s="26"/>
      <c r="B128" s="12" t="str">
        <f>CONCATENATE("     ","Telephone/Data Lines                              ")</f>
        <v xml:space="preserve">     Telephone/Data Lines                              </v>
      </c>
      <c r="C128" s="12"/>
      <c r="D128" s="1">
        <f>SUM(OSRRefD22_17x_0)</f>
        <v>-210.96</v>
      </c>
      <c r="E128" s="1"/>
      <c r="F128" s="5">
        <f t="shared" ref="F128:F135" si="72">IF(D$12=0,0,D128/D$12)</f>
        <v>0</v>
      </c>
      <c r="G128" s="1"/>
      <c r="H128" s="1">
        <f>SUM(OSRRefH22_17x_0)</f>
        <v>565.66999999999996</v>
      </c>
      <c r="I128" s="1"/>
      <c r="J128" s="5">
        <f t="shared" ref="J128:J135" si="73">IF(H$12=0,0,H128/H$12)</f>
        <v>1.4335356152517832E-2</v>
      </c>
      <c r="K128" s="1"/>
      <c r="L128" s="1">
        <f t="shared" ref="L128:L135" si="74">+D128-H128</f>
        <v>-776.63</v>
      </c>
      <c r="M128" s="1"/>
      <c r="N128" s="5">
        <f t="shared" ref="N128:N135" si="75">IF(H128=0,0,L128/H128)</f>
        <v>-1.3729382855728607</v>
      </c>
      <c r="O128" s="12"/>
      <c r="P128" s="1">
        <f>SUM(OSRRefP22_17x_0)</f>
        <v>2707.43</v>
      </c>
      <c r="Q128" s="1"/>
      <c r="R128" s="5">
        <f t="shared" ref="R128:R135" si="76">IF(P$12=0,0,P128/P$12)</f>
        <v>6.2986797881737023E-3</v>
      </c>
      <c r="S128" s="1"/>
      <c r="T128" s="1">
        <f>SUM(OSRRefT22_17x_0)</f>
        <v>4913.79</v>
      </c>
      <c r="U128" s="1"/>
      <c r="V128" s="5">
        <f t="shared" ref="V128:V135" si="77">IF(T$12=0,0,T128/T$12)</f>
        <v>9.8221709304685927E-3</v>
      </c>
      <c r="W128" s="1"/>
      <c r="X128" s="1">
        <f t="shared" ref="X128:X135" si="78">+P128-T128</f>
        <v>-2206.36</v>
      </c>
      <c r="Y128" s="1"/>
      <c r="Z128" s="5">
        <f t="shared" ref="Z128:Z135" si="79">IF(T128=0,0,X128/T128)</f>
        <v>-0.44901389762281257</v>
      </c>
    </row>
    <row r="129" spans="1:26" s="24" customFormat="1" hidden="1" outlineLevel="2" x14ac:dyDescent="0.35">
      <c r="A129" s="27"/>
      <c r="B129" s="11" t="str">
        <f>CONCATENATE("          ", "6309", " - ", "TELEPHONE")</f>
        <v xml:space="preserve">          6309 - TELEPHONE</v>
      </c>
      <c r="C129" s="11"/>
      <c r="D129" s="7">
        <v>-210.96</v>
      </c>
      <c r="E129" s="2"/>
      <c r="F129" s="6">
        <f t="shared" si="72"/>
        <v>0</v>
      </c>
      <c r="G129" s="2"/>
      <c r="H129" s="7">
        <v>565.66999999999996</v>
      </c>
      <c r="I129" s="2"/>
      <c r="J129" s="6">
        <f t="shared" si="73"/>
        <v>1.4335356152517832E-2</v>
      </c>
      <c r="K129" s="2"/>
      <c r="L129" s="7">
        <f t="shared" si="74"/>
        <v>-776.63</v>
      </c>
      <c r="M129" s="2"/>
      <c r="N129" s="6">
        <f t="shared" si="75"/>
        <v>-1.3729382855728607</v>
      </c>
      <c r="O129" s="11"/>
      <c r="P129" s="7">
        <v>2707.43</v>
      </c>
      <c r="Q129" s="2"/>
      <c r="R129" s="6">
        <f t="shared" si="76"/>
        <v>6.2986797881737023E-3</v>
      </c>
      <c r="S129" s="2"/>
      <c r="T129" s="7">
        <v>4913.79</v>
      </c>
      <c r="U129" s="2"/>
      <c r="V129" s="6">
        <f t="shared" si="77"/>
        <v>9.8221709304685927E-3</v>
      </c>
      <c r="W129" s="2"/>
      <c r="X129" s="7">
        <f t="shared" si="78"/>
        <v>-2206.36</v>
      </c>
      <c r="Y129" s="2"/>
      <c r="Z129" s="6">
        <f t="shared" si="79"/>
        <v>-0.44901389762281257</v>
      </c>
    </row>
    <row r="130" spans="1:26" s="25" customFormat="1" outlineLevel="1" collapsed="1" x14ac:dyDescent="0.35">
      <c r="A130" s="26"/>
      <c r="B130" s="12" t="str">
        <f>CONCATENATE("     ","Training                                          ")</f>
        <v xml:space="preserve">     Training                                          </v>
      </c>
      <c r="C130" s="12"/>
      <c r="D130" s="1">
        <f>SUM(OSRRefD22_18x_0)</f>
        <v>0</v>
      </c>
      <c r="E130" s="1"/>
      <c r="F130" s="5">
        <f t="shared" si="72"/>
        <v>0</v>
      </c>
      <c r="G130" s="1"/>
      <c r="H130" s="1">
        <f>SUM(OSRRefH22_18x_0)</f>
        <v>0</v>
      </c>
      <c r="I130" s="1"/>
      <c r="J130" s="5">
        <f t="shared" si="73"/>
        <v>0</v>
      </c>
      <c r="K130" s="1"/>
      <c r="L130" s="1">
        <f t="shared" si="74"/>
        <v>0</v>
      </c>
      <c r="M130" s="1"/>
      <c r="N130" s="5">
        <f t="shared" si="75"/>
        <v>0</v>
      </c>
      <c r="O130" s="12"/>
      <c r="P130" s="1">
        <f>SUM(OSRRefP22_18x_0)</f>
        <v>1613.4</v>
      </c>
      <c r="Q130" s="1"/>
      <c r="R130" s="5">
        <f t="shared" si="76"/>
        <v>3.7534820734938493E-3</v>
      </c>
      <c r="S130" s="1"/>
      <c r="T130" s="1">
        <f>SUM(OSRRefT22_18x_0)</f>
        <v>0</v>
      </c>
      <c r="U130" s="1"/>
      <c r="V130" s="5">
        <f t="shared" si="77"/>
        <v>0</v>
      </c>
      <c r="W130" s="1"/>
      <c r="X130" s="1">
        <f t="shared" si="78"/>
        <v>1613.4</v>
      </c>
      <c r="Y130" s="1"/>
      <c r="Z130" s="5">
        <f t="shared" si="79"/>
        <v>0</v>
      </c>
    </row>
    <row r="131" spans="1:26" s="24" customFormat="1" hidden="1" outlineLevel="2" x14ac:dyDescent="0.35">
      <c r="A131" s="27"/>
      <c r="B131" s="11" t="str">
        <f>CONCATENATE("          ", "6376", " - ", "TRAINING")</f>
        <v xml:space="preserve">          6376 - TRAINING</v>
      </c>
      <c r="C131" s="11"/>
      <c r="D131" s="7"/>
      <c r="E131" s="2"/>
      <c r="F131" s="6">
        <f t="shared" si="72"/>
        <v>0</v>
      </c>
      <c r="G131" s="2"/>
      <c r="H131" s="7"/>
      <c r="I131" s="2"/>
      <c r="J131" s="6">
        <f t="shared" si="73"/>
        <v>0</v>
      </c>
      <c r="K131" s="2"/>
      <c r="L131" s="7">
        <f t="shared" si="74"/>
        <v>0</v>
      </c>
      <c r="M131" s="2"/>
      <c r="N131" s="6">
        <f t="shared" si="75"/>
        <v>0</v>
      </c>
      <c r="O131" s="11"/>
      <c r="P131" s="7">
        <v>1613.4</v>
      </c>
      <c r="Q131" s="2"/>
      <c r="R131" s="6">
        <f t="shared" si="76"/>
        <v>3.7534820734938493E-3</v>
      </c>
      <c r="S131" s="2"/>
      <c r="T131" s="7"/>
      <c r="U131" s="2"/>
      <c r="V131" s="6">
        <f t="shared" si="77"/>
        <v>0</v>
      </c>
      <c r="W131" s="2"/>
      <c r="X131" s="7">
        <f t="shared" si="78"/>
        <v>1613.4</v>
      </c>
      <c r="Y131" s="2"/>
      <c r="Z131" s="6">
        <f t="shared" si="79"/>
        <v>0</v>
      </c>
    </row>
    <row r="132" spans="1:26" s="25" customFormat="1" outlineLevel="1" collapsed="1" x14ac:dyDescent="0.35">
      <c r="A132" s="26"/>
      <c r="B132" s="12" t="str">
        <f>CONCATENATE("     ","Travel                                            ")</f>
        <v xml:space="preserve">     Travel                                            </v>
      </c>
      <c r="C132" s="12"/>
      <c r="D132" s="1">
        <f>SUM(OSRRefD22_19x_0)</f>
        <v>0</v>
      </c>
      <c r="E132" s="1"/>
      <c r="F132" s="5">
        <f t="shared" si="72"/>
        <v>0</v>
      </c>
      <c r="G132" s="1"/>
      <c r="H132" s="1">
        <f>SUM(OSRRefH22_19x_0)</f>
        <v>98.54</v>
      </c>
      <c r="I132" s="1"/>
      <c r="J132" s="5">
        <f t="shared" si="73"/>
        <v>2.4972262896549354E-3</v>
      </c>
      <c r="K132" s="1"/>
      <c r="L132" s="1">
        <f t="shared" si="74"/>
        <v>-98.54</v>
      </c>
      <c r="M132" s="1"/>
      <c r="N132" s="5">
        <f t="shared" si="75"/>
        <v>-1</v>
      </c>
      <c r="O132" s="12"/>
      <c r="P132" s="1">
        <f>SUM(OSRRefP22_19x_0)</f>
        <v>712.14</v>
      </c>
      <c r="Q132" s="1"/>
      <c r="R132" s="5">
        <f t="shared" si="76"/>
        <v>1.656752648951227E-3</v>
      </c>
      <c r="S132" s="1"/>
      <c r="T132" s="1">
        <f>SUM(OSRRefT22_19x_0)</f>
        <v>568.59</v>
      </c>
      <c r="U132" s="1"/>
      <c r="V132" s="5">
        <f t="shared" si="77"/>
        <v>1.136554099657319E-3</v>
      </c>
      <c r="W132" s="1"/>
      <c r="X132" s="1">
        <f t="shared" si="78"/>
        <v>143.54999999999995</v>
      </c>
      <c r="Y132" s="1"/>
      <c r="Z132" s="5">
        <f t="shared" si="79"/>
        <v>0.25246662797446306</v>
      </c>
    </row>
    <row r="133" spans="1:26" s="24" customFormat="1" hidden="1" outlineLevel="2" x14ac:dyDescent="0.35">
      <c r="A133" s="27"/>
      <c r="B133" s="11" t="str">
        <f>CONCATENATE("          ", "6294", " - ", "TRAVEL OPERATIONAL")</f>
        <v xml:space="preserve">          6294 - TRAVEL OPERATIONAL</v>
      </c>
      <c r="C133" s="11"/>
      <c r="D133" s="7"/>
      <c r="E133" s="2"/>
      <c r="F133" s="6">
        <f t="shared" si="72"/>
        <v>0</v>
      </c>
      <c r="G133" s="2"/>
      <c r="H133" s="7">
        <v>98.54</v>
      </c>
      <c r="I133" s="2"/>
      <c r="J133" s="6">
        <f t="shared" si="73"/>
        <v>2.4972262896549354E-3</v>
      </c>
      <c r="K133" s="2"/>
      <c r="L133" s="7">
        <f t="shared" si="74"/>
        <v>-98.54</v>
      </c>
      <c r="M133" s="2"/>
      <c r="N133" s="6">
        <f t="shared" si="75"/>
        <v>-1</v>
      </c>
      <c r="O133" s="11"/>
      <c r="P133" s="7">
        <v>712.14</v>
      </c>
      <c r="Q133" s="2"/>
      <c r="R133" s="6">
        <f t="shared" si="76"/>
        <v>1.656752648951227E-3</v>
      </c>
      <c r="S133" s="2"/>
      <c r="T133" s="7">
        <v>568.59</v>
      </c>
      <c r="U133" s="2"/>
      <c r="V133" s="6">
        <f t="shared" si="77"/>
        <v>1.136554099657319E-3</v>
      </c>
      <c r="W133" s="2"/>
      <c r="X133" s="7">
        <f t="shared" si="78"/>
        <v>143.54999999999995</v>
      </c>
      <c r="Y133" s="2"/>
      <c r="Z133" s="6">
        <f t="shared" si="79"/>
        <v>0.25246662797446306</v>
      </c>
    </row>
    <row r="134" spans="1:26" s="25" customFormat="1" outlineLevel="1" collapsed="1" x14ac:dyDescent="0.35">
      <c r="A134" s="26"/>
      <c r="B134" s="12" t="str">
        <f>CONCATENATE("     ","Utilities                                         ")</f>
        <v xml:space="preserve">     Utilities                                         </v>
      </c>
      <c r="C134" s="12"/>
      <c r="D134" s="1">
        <f>SUM(OSRRefD22_20x_0)</f>
        <v>27.8</v>
      </c>
      <c r="E134" s="1"/>
      <c r="F134" s="5">
        <f t="shared" si="72"/>
        <v>0</v>
      </c>
      <c r="G134" s="1"/>
      <c r="H134" s="1">
        <f>SUM(OSRRefH22_20x_0)</f>
        <v>32.24</v>
      </c>
      <c r="I134" s="1"/>
      <c r="J134" s="5">
        <f t="shared" si="73"/>
        <v>8.170344588844644E-4</v>
      </c>
      <c r="K134" s="1"/>
      <c r="L134" s="1">
        <f t="shared" si="74"/>
        <v>-4.4400000000000013</v>
      </c>
      <c r="M134" s="1"/>
      <c r="N134" s="5">
        <f t="shared" si="75"/>
        <v>-0.13771712158808935</v>
      </c>
      <c r="O134" s="12"/>
      <c r="P134" s="1">
        <f>SUM(OSRRefP22_20x_0)</f>
        <v>2987.58</v>
      </c>
      <c r="Q134" s="1"/>
      <c r="R134" s="5">
        <f t="shared" si="76"/>
        <v>6.9504326100959177E-3</v>
      </c>
      <c r="S134" s="1"/>
      <c r="T134" s="1">
        <f>SUM(OSRRefT22_20x_0)</f>
        <v>3552.56</v>
      </c>
      <c r="U134" s="1"/>
      <c r="V134" s="5">
        <f t="shared" si="77"/>
        <v>7.101209364003244E-3</v>
      </c>
      <c r="W134" s="1"/>
      <c r="X134" s="1">
        <f t="shared" si="78"/>
        <v>-564.98</v>
      </c>
      <c r="Y134" s="1"/>
      <c r="Z134" s="5">
        <f t="shared" si="79"/>
        <v>-0.15903461166032384</v>
      </c>
    </row>
    <row r="135" spans="1:26" s="24" customFormat="1" hidden="1" outlineLevel="2" x14ac:dyDescent="0.35">
      <c r="A135" s="27"/>
      <c r="B135" s="11" t="str">
        <f>CONCATENATE("          ", "6274", " - ", "UTILITIES")</f>
        <v xml:space="preserve">          6274 - UTILITIES</v>
      </c>
      <c r="C135" s="11"/>
      <c r="D135" s="7">
        <v>27.8</v>
      </c>
      <c r="E135" s="2"/>
      <c r="F135" s="6">
        <f t="shared" si="72"/>
        <v>0</v>
      </c>
      <c r="G135" s="2"/>
      <c r="H135" s="7">
        <v>32.24</v>
      </c>
      <c r="I135" s="2"/>
      <c r="J135" s="6">
        <f t="shared" si="73"/>
        <v>8.170344588844644E-4</v>
      </c>
      <c r="K135" s="2"/>
      <c r="L135" s="7">
        <f t="shared" si="74"/>
        <v>-4.4400000000000013</v>
      </c>
      <c r="M135" s="2"/>
      <c r="N135" s="6">
        <f t="shared" si="75"/>
        <v>-0.13771712158808935</v>
      </c>
      <c r="O135" s="11"/>
      <c r="P135" s="7">
        <v>2987.58</v>
      </c>
      <c r="Q135" s="2"/>
      <c r="R135" s="6">
        <f t="shared" si="76"/>
        <v>6.9504326100959177E-3</v>
      </c>
      <c r="S135" s="2"/>
      <c r="T135" s="7">
        <v>3552.56</v>
      </c>
      <c r="U135" s="2"/>
      <c r="V135" s="6">
        <f t="shared" si="77"/>
        <v>7.101209364003244E-3</v>
      </c>
      <c r="W135" s="2"/>
      <c r="X135" s="7">
        <f t="shared" si="78"/>
        <v>-564.98</v>
      </c>
      <c r="Y135" s="2"/>
      <c r="Z135" s="6">
        <f t="shared" si="79"/>
        <v>-0.15903461166032384</v>
      </c>
    </row>
    <row r="136" spans="1:26" s="56" customFormat="1" x14ac:dyDescent="0.35">
      <c r="A136" s="37"/>
      <c r="B136" s="37"/>
      <c r="C136" s="37"/>
      <c r="D136" s="1"/>
      <c r="E136" s="1"/>
      <c r="F136" s="5"/>
      <c r="G136" s="1"/>
      <c r="H136" s="1"/>
      <c r="I136" s="1"/>
      <c r="J136" s="5"/>
      <c r="K136" s="1"/>
      <c r="L136" s="1"/>
      <c r="M136" s="1"/>
      <c r="N136" s="5"/>
      <c r="O136" s="37"/>
      <c r="P136" s="1"/>
      <c r="Q136" s="1"/>
      <c r="R136" s="5"/>
      <c r="S136" s="1"/>
      <c r="T136" s="1"/>
      <c r="U136" s="1"/>
      <c r="V136" s="5"/>
      <c r="W136" s="1"/>
      <c r="X136" s="1"/>
      <c r="Y136" s="1"/>
      <c r="Z136" s="5"/>
    </row>
    <row r="137" spans="1:26" s="23" customFormat="1" x14ac:dyDescent="0.35">
      <c r="A137" s="10"/>
      <c r="B137" s="29" t="s">
        <v>0</v>
      </c>
      <c r="C137" s="10"/>
      <c r="D137" s="4">
        <f>SUM(0)</f>
        <v>0</v>
      </c>
      <c r="E137" s="4"/>
      <c r="F137" s="13">
        <f>IF(D$12=0,0,D137/D$12)</f>
        <v>0</v>
      </c>
      <c r="G137" s="4"/>
      <c r="H137" s="4">
        <f>SUM(0)</f>
        <v>0</v>
      </c>
      <c r="I137" s="4"/>
      <c r="J137" s="13">
        <f>IF(H$12=0,0,H137/H$12)</f>
        <v>0</v>
      </c>
      <c r="K137" s="4"/>
      <c r="L137" s="4">
        <f>+D137-H137</f>
        <v>0</v>
      </c>
      <c r="M137" s="4"/>
      <c r="N137" s="13">
        <f>IF(H137=0,0,L137/H137)</f>
        <v>0</v>
      </c>
      <c r="O137" s="10"/>
      <c r="P137" s="4">
        <f>SUM(0)</f>
        <v>0</v>
      </c>
      <c r="Q137" s="4"/>
      <c r="R137" s="13">
        <f>IF(P$12=0,0,P137/P$12)</f>
        <v>0</v>
      </c>
      <c r="S137" s="4"/>
      <c r="T137" s="4">
        <f>SUM(0)</f>
        <v>0</v>
      </c>
      <c r="U137" s="4"/>
      <c r="V137" s="13">
        <f>IF(T$12=0,0,T137/T$12)</f>
        <v>0</v>
      </c>
      <c r="W137" s="4"/>
      <c r="X137" s="4">
        <f>+P137-T137</f>
        <v>0</v>
      </c>
      <c r="Y137" s="4"/>
      <c r="Z137" s="13">
        <f>IF(T137=0,0,X137/T137)</f>
        <v>0</v>
      </c>
    </row>
    <row r="138" spans="1:26" x14ac:dyDescent="0.35">
      <c r="A138" s="9"/>
      <c r="B138" s="10"/>
      <c r="C138" s="10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O138" s="10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35">
      <c r="A139" s="10"/>
      <c r="B139" s="28" t="s">
        <v>3</v>
      </c>
      <c r="C139" s="28"/>
      <c r="D139" s="22">
        <f>+D58-D60+D137</f>
        <v>-96693.020000000019</v>
      </c>
      <c r="E139" s="14"/>
      <c r="F139" s="21">
        <f>IF(D$12=0,0,D139/D$12)</f>
        <v>0</v>
      </c>
      <c r="G139" s="14"/>
      <c r="H139" s="22">
        <f>+H58-H60+H137</f>
        <v>5668.1299999999901</v>
      </c>
      <c r="I139" s="14"/>
      <c r="J139" s="21">
        <f>IF(H$12=0,0,H139/H$12)</f>
        <v>0.14364322355573172</v>
      </c>
      <c r="K139" s="15"/>
      <c r="L139" s="22">
        <f>+D139-H139</f>
        <v>-102361.15000000001</v>
      </c>
      <c r="M139" s="15"/>
      <c r="N139" s="21">
        <f>IF(H139=0,0,L139/H139)</f>
        <v>-18.059068863981629</v>
      </c>
      <c r="O139" s="29"/>
      <c r="P139" s="22">
        <f>+P58-P60+P137</f>
        <v>-170183.94000000009</v>
      </c>
      <c r="Q139" s="14"/>
      <c r="R139" s="21">
        <f>IF(P$12=0,0,P139/P$12)</f>
        <v>-0.39592312382952344</v>
      </c>
      <c r="S139" s="14"/>
      <c r="T139" s="22">
        <f>+T58-T60+T137</f>
        <v>-1064.37000000017</v>
      </c>
      <c r="U139" s="14"/>
      <c r="V139" s="21">
        <f>IF(T$12=0,0,T139/T$12)</f>
        <v>-2.1275683481110355E-3</v>
      </c>
      <c r="W139" s="15"/>
      <c r="X139" s="22">
        <f>+P139-T139</f>
        <v>-169119.56999999992</v>
      </c>
      <c r="Y139" s="15"/>
      <c r="Z139" s="21">
        <f>IF(T139=0,0,X139/T139)</f>
        <v>158.89171058933726</v>
      </c>
    </row>
    <row r="140" spans="1:26" x14ac:dyDescent="0.35">
      <c r="A140" s="9"/>
      <c r="B140" s="10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x14ac:dyDescent="0.35">
      <c r="A141" s="51"/>
      <c r="B141" s="10" t="s">
        <v>13</v>
      </c>
      <c r="C141" s="10"/>
      <c r="D141" s="4">
        <v>14192.56</v>
      </c>
      <c r="E141" s="4"/>
      <c r="F141" s="13">
        <f>IF(D$12=0,0,D141/D$12)</f>
        <v>0</v>
      </c>
      <c r="G141" s="4"/>
      <c r="H141" s="4">
        <v>-12273.37</v>
      </c>
      <c r="I141" s="4"/>
      <c r="J141" s="13">
        <f>IF(H$12=0,0,H141/H$12)</f>
        <v>-0.31103493227787898</v>
      </c>
      <c r="K141" s="4"/>
      <c r="L141" s="4">
        <f>+D141-H141</f>
        <v>26465.93</v>
      </c>
      <c r="M141" s="4"/>
      <c r="N141" s="13">
        <f>IF(H141=0,0,L141/H141)</f>
        <v>-2.1563702552762605</v>
      </c>
      <c r="O141" s="10"/>
      <c r="P141" s="4">
        <v>65094.559999999998</v>
      </c>
      <c r="Q141" s="4"/>
      <c r="R141" s="13">
        <f>IF(P$12=0,0,P141/P$12)</f>
        <v>0.15143874057392448</v>
      </c>
      <c r="S141" s="4"/>
      <c r="T141" s="4">
        <v>35658.17</v>
      </c>
      <c r="U141" s="4"/>
      <c r="V141" s="13">
        <f>IF(T$12=0,0,T141/T$12)</f>
        <v>7.1277087707799322E-2</v>
      </c>
      <c r="W141" s="4"/>
      <c r="X141" s="4">
        <f>+P141-T141</f>
        <v>29436.39</v>
      </c>
      <c r="Y141" s="4"/>
      <c r="Z141" s="13">
        <f>IF(T141=0,0,X141/T141)</f>
        <v>0.82551600376575696</v>
      </c>
    </row>
    <row r="142" spans="1:26" x14ac:dyDescent="0.3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" thickBot="1" x14ac:dyDescent="0.4">
      <c r="A143" s="10"/>
      <c r="B143" s="28" t="s">
        <v>4</v>
      </c>
      <c r="C143" s="28"/>
      <c r="D143" s="34">
        <f>+D139-D141</f>
        <v>-110885.58000000002</v>
      </c>
      <c r="E143" s="14"/>
      <c r="F143" s="32">
        <f>IF(D$12=0,0,D143/D$12)</f>
        <v>0</v>
      </c>
      <c r="G143" s="14"/>
      <c r="H143" s="34">
        <f>+H139-H141</f>
        <v>17941.499999999993</v>
      </c>
      <c r="I143" s="14"/>
      <c r="J143" s="32">
        <f>IF(H$12=0,0,H143/H$12)</f>
        <v>0.45467815583361076</v>
      </c>
      <c r="K143" s="15"/>
      <c r="L143" s="34">
        <f>D143-H143</f>
        <v>-128827.08000000002</v>
      </c>
      <c r="M143" s="15"/>
      <c r="N143" s="32">
        <f>IF(H143=0,0,L143/H143)</f>
        <v>-7.1803962879357952</v>
      </c>
      <c r="O143" s="29"/>
      <c r="P143" s="34">
        <f>+P139-P141</f>
        <v>-235278.50000000009</v>
      </c>
      <c r="Q143" s="14"/>
      <c r="R143" s="32">
        <f>IF(P$12=0,0,P143/P$12)</f>
        <v>-0.54736186440344792</v>
      </c>
      <c r="S143" s="14"/>
      <c r="T143" s="34">
        <f>+T139-T141</f>
        <v>-36722.540000000168</v>
      </c>
      <c r="U143" s="14"/>
      <c r="V143" s="32">
        <f>IF(T$12=0,0,T143/T$12)</f>
        <v>-7.3404656055910358E-2</v>
      </c>
      <c r="W143" s="15"/>
      <c r="X143" s="34">
        <f>P143-T143</f>
        <v>-198555.9599999999</v>
      </c>
      <c r="Y143" s="15"/>
      <c r="Z143" s="32">
        <f>IF(T143=0,0,X143/T143)</f>
        <v>5.4069233773044836</v>
      </c>
    </row>
    <row r="144" spans="1:26" ht="15" thickTop="1" x14ac:dyDescent="0.35">
      <c r="A144" s="9"/>
      <c r="B144" s="9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x14ac:dyDescent="0.35">
      <c r="A145" s="9"/>
      <c r="B145" s="9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" thickBot="1" x14ac:dyDescent="0.4">
      <c r="A146" s="10"/>
      <c r="B146" s="28" t="s">
        <v>5</v>
      </c>
      <c r="C146" s="28"/>
      <c r="D146" s="35">
        <f>SUM(D143:D145)</f>
        <v>-110885.58000000002</v>
      </c>
      <c r="E146" s="14"/>
      <c r="F146" s="33">
        <f>IF(D$12=0,0,D146/D$12)</f>
        <v>0</v>
      </c>
      <c r="G146" s="14"/>
      <c r="H146" s="35">
        <f>SUM(H143:H145)</f>
        <v>17941.499999999993</v>
      </c>
      <c r="I146" s="14"/>
      <c r="J146" s="33">
        <f>IF(H$12=0,0,H146/H$12)</f>
        <v>0.45467815583361076</v>
      </c>
      <c r="K146" s="15"/>
      <c r="L146" s="35">
        <f>+D146-H146</f>
        <v>-128827.08000000002</v>
      </c>
      <c r="M146" s="15"/>
      <c r="N146" s="33">
        <f>IF(H146=0,0,L146/H146)</f>
        <v>-7.1803962879357952</v>
      </c>
      <c r="O146" s="29"/>
      <c r="P146" s="35">
        <f>SUM(P143:P145)</f>
        <v>-235278.50000000009</v>
      </c>
      <c r="Q146" s="14"/>
      <c r="R146" s="33">
        <f>IF(P$12=0,0,P146/P$12)</f>
        <v>-0.54736186440344792</v>
      </c>
      <c r="S146" s="14"/>
      <c r="T146" s="35">
        <f>SUM(T143:T145)</f>
        <v>-36722.540000000168</v>
      </c>
      <c r="U146" s="14"/>
      <c r="V146" s="33">
        <f>IF(T$12=0,0,T146/T$12)</f>
        <v>-7.3404656055910358E-2</v>
      </c>
      <c r="W146" s="15"/>
      <c r="X146" s="35">
        <f>+P146-T146</f>
        <v>-198555.9599999999</v>
      </c>
      <c r="Y146" s="15"/>
      <c r="Z146" s="33">
        <f>IF(T146=0,0,X146/T146)</f>
        <v>5.4069233773044836</v>
      </c>
    </row>
    <row r="147" spans="1:26" ht="15" thickTop="1" x14ac:dyDescent="0.35">
      <c r="A147" s="9"/>
      <c r="C147" s="9"/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6" x14ac:dyDescent="0.35">
      <c r="A148" s="9"/>
      <c r="B148" s="52">
        <v>44043.523073645832</v>
      </c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  <row r="149" spans="1:26" x14ac:dyDescent="0.35">
      <c r="A149" s="9"/>
      <c r="B149" s="61" t="s">
        <v>313</v>
      </c>
      <c r="D149" s="17"/>
      <c r="E149" s="17"/>
      <c r="G149" s="17"/>
      <c r="H149" s="17"/>
      <c r="I149" s="17"/>
      <c r="J149" s="42"/>
      <c r="K149" s="17"/>
      <c r="L149" s="17"/>
      <c r="M149" s="17"/>
      <c r="P149" s="17"/>
      <c r="Q149" s="17"/>
      <c r="R149" s="42"/>
      <c r="S149" s="17"/>
      <c r="T149" s="17"/>
      <c r="U149" s="17"/>
      <c r="V149" s="42"/>
      <c r="W149" s="17"/>
      <c r="X149" s="17"/>
    </row>
    <row r="150" spans="1:26" x14ac:dyDescent="0.35">
      <c r="A150" s="9"/>
      <c r="B150" s="54"/>
      <c r="D150" s="17"/>
      <c r="E150" s="17"/>
      <c r="G150" s="17"/>
      <c r="H150" s="17"/>
      <c r="I150" s="17"/>
      <c r="J150" s="42"/>
      <c r="K150" s="17"/>
      <c r="L150" s="17"/>
      <c r="M150" s="17"/>
      <c r="P150" s="17"/>
      <c r="Q150" s="17"/>
      <c r="R150" s="42"/>
      <c r="S150" s="17"/>
      <c r="T150" s="17"/>
      <c r="U150" s="17"/>
      <c r="V150" s="42"/>
      <c r="W150" s="17"/>
      <c r="X150" s="17"/>
    </row>
    <row r="151" spans="1:26" x14ac:dyDescent="0.35">
      <c r="D151" s="17"/>
      <c r="E151" s="17"/>
      <c r="G151" s="17"/>
      <c r="H151" s="17"/>
      <c r="I151" s="17"/>
      <c r="J151" s="42"/>
      <c r="K151" s="17"/>
      <c r="L151" s="17"/>
      <c r="M151" s="17"/>
      <c r="P151" s="17"/>
      <c r="Q151" s="17"/>
      <c r="R151" s="42"/>
      <c r="S151" s="17"/>
      <c r="T151" s="17"/>
      <c r="U151" s="17"/>
      <c r="V151" s="42"/>
      <c r="W151" s="17"/>
      <c r="X151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303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6866.2099999999991</v>
      </c>
      <c r="E12" s="4"/>
      <c r="F12" s="13"/>
      <c r="G12" s="4"/>
      <c r="H12" s="4">
        <f>SUM(OSRRefH13x_0)</f>
        <v>5352.8899999999994</v>
      </c>
      <c r="I12" s="4"/>
      <c r="J12" s="13"/>
      <c r="K12" s="4"/>
      <c r="L12" s="4">
        <f t="shared" ref="L12:L33" si="0">+D12-H12</f>
        <v>1513.3199999999997</v>
      </c>
      <c r="M12" s="4"/>
      <c r="N12" s="13">
        <f t="shared" ref="N12:N33" si="1">IF(H12=0,0,L12/H12)</f>
        <v>0.28271083470798014</v>
      </c>
      <c r="O12" s="10"/>
      <c r="P12" s="4">
        <f>SUM(OSRRefP13x_0)</f>
        <v>515238.01</v>
      </c>
      <c r="Q12" s="4"/>
      <c r="R12" s="13"/>
      <c r="S12" s="4"/>
      <c r="T12" s="4">
        <f>SUM(OSRRefT13x_0)</f>
        <v>821369.80999999994</v>
      </c>
      <c r="U12" s="4"/>
      <c r="V12" s="13"/>
      <c r="W12" s="4"/>
      <c r="X12" s="4">
        <f t="shared" ref="X12:X33" si="2">+P12-T12</f>
        <v>-306131.79999999993</v>
      </c>
      <c r="Y12" s="4"/>
      <c r="Z12" s="13">
        <f t="shared" ref="Z12:Z33" si="3">IF(T12=0,0,X12/T12)</f>
        <v>-0.37270885327523778</v>
      </c>
    </row>
    <row r="13" spans="1:26" s="24" customFormat="1" hidden="1" outlineLevel="1" x14ac:dyDescent="0.3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--558.25</f>
        <v>558.25</v>
      </c>
      <c r="E13" s="2"/>
      <c r="F13" s="19"/>
      <c r="G13" s="2"/>
      <c r="H13" s="2">
        <f>--725.65</f>
        <v>725.65</v>
      </c>
      <c r="I13" s="2"/>
      <c r="J13" s="19"/>
      <c r="K13" s="2"/>
      <c r="L13" s="2">
        <f t="shared" si="0"/>
        <v>-167.39999999999998</v>
      </c>
      <c r="M13" s="2"/>
      <c r="N13" s="19">
        <f t="shared" si="1"/>
        <v>-0.23068972645214633</v>
      </c>
      <c r="O13" s="11"/>
      <c r="P13" s="2">
        <f>--175578.6</f>
        <v>175578.6</v>
      </c>
      <c r="Q13" s="2"/>
      <c r="R13" s="19"/>
      <c r="S13" s="2"/>
      <c r="T13" s="2">
        <f>--196490.35</f>
        <v>196490.35</v>
      </c>
      <c r="U13" s="2"/>
      <c r="V13" s="19"/>
      <c r="W13" s="2"/>
      <c r="X13" s="2">
        <f t="shared" si="2"/>
        <v>-20911.75</v>
      </c>
      <c r="Y13" s="2"/>
      <c r="Z13" s="19">
        <f t="shared" si="3"/>
        <v>-0.10642634612844855</v>
      </c>
    </row>
    <row r="14" spans="1:26" s="24" customFormat="1" hidden="1" outlineLevel="1" x14ac:dyDescent="0.3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--83.91</f>
        <v>83.91</v>
      </c>
      <c r="E14" s="2"/>
      <c r="F14" s="19"/>
      <c r="G14" s="2"/>
      <c r="H14" s="2">
        <f>--2034.26</f>
        <v>2034.26</v>
      </c>
      <c r="I14" s="2"/>
      <c r="J14" s="19"/>
      <c r="K14" s="2"/>
      <c r="L14" s="2">
        <f t="shared" si="0"/>
        <v>-1950.35</v>
      </c>
      <c r="M14" s="2"/>
      <c r="N14" s="19">
        <f t="shared" si="1"/>
        <v>-0.95875158534307314</v>
      </c>
      <c r="O14" s="11"/>
      <c r="P14" s="2">
        <f>--76606.57</f>
        <v>76606.570000000007</v>
      </c>
      <c r="Q14" s="2"/>
      <c r="R14" s="19"/>
      <c r="S14" s="2"/>
      <c r="T14" s="2">
        <f>--97735.89</f>
        <v>97735.89</v>
      </c>
      <c r="U14" s="2"/>
      <c r="V14" s="19"/>
      <c r="W14" s="2"/>
      <c r="X14" s="2">
        <f t="shared" si="2"/>
        <v>-21129.319999999992</v>
      </c>
      <c r="Y14" s="2"/>
      <c r="Z14" s="19">
        <f t="shared" si="3"/>
        <v>-0.21618793260080807</v>
      </c>
    </row>
    <row r="15" spans="1:26" s="24" customFormat="1" hidden="1" outlineLevel="1" x14ac:dyDescent="0.3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 t="shared" ref="D15:D18" si="4">0</f>
        <v>0</v>
      </c>
      <c r="E15" s="2"/>
      <c r="F15" s="19"/>
      <c r="G15" s="2"/>
      <c r="H15" s="2">
        <f>--6.65</f>
        <v>6.65</v>
      </c>
      <c r="I15" s="2"/>
      <c r="J15" s="19"/>
      <c r="K15" s="2"/>
      <c r="L15" s="2">
        <f t="shared" si="0"/>
        <v>-6.65</v>
      </c>
      <c r="M15" s="2"/>
      <c r="N15" s="19">
        <f t="shared" si="1"/>
        <v>-1</v>
      </c>
      <c r="O15" s="11"/>
      <c r="P15" s="2">
        <f>--921.72</f>
        <v>921.72</v>
      </c>
      <c r="Q15" s="2"/>
      <c r="R15" s="19"/>
      <c r="S15" s="2"/>
      <c r="T15" s="2">
        <f>--1124.87</f>
        <v>1124.8699999999999</v>
      </c>
      <c r="U15" s="2"/>
      <c r="V15" s="19"/>
      <c r="W15" s="2"/>
      <c r="X15" s="2">
        <f t="shared" si="2"/>
        <v>-203.14999999999986</v>
      </c>
      <c r="Y15" s="2"/>
      <c r="Z15" s="19">
        <f t="shared" si="3"/>
        <v>-0.18059864695475911</v>
      </c>
    </row>
    <row r="16" spans="1:26" s="24" customFormat="1" hidden="1" outlineLevel="1" x14ac:dyDescent="0.35">
      <c r="A16" s="44"/>
      <c r="B16" s="11" t="str">
        <f>CONCATENATE("          ", "4044", " - ", "TAXABLE SALES-ACCESSORIES")</f>
        <v xml:space="preserve">          4044 - TAXABLE SALES-ACCESSORIES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--235.18</f>
        <v>235.18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235.18</v>
      </c>
      <c r="Y16" s="2"/>
      <c r="Z16" s="19">
        <f t="shared" si="3"/>
        <v>0</v>
      </c>
    </row>
    <row r="17" spans="1:26" s="24" customFormat="1" hidden="1" outlineLevel="1" x14ac:dyDescent="0.3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si="4"/>
        <v>0</v>
      </c>
      <c r="E17" s="2"/>
      <c r="F17" s="19"/>
      <c r="G17" s="2"/>
      <c r="H17" s="2">
        <f>--245.97</f>
        <v>245.97</v>
      </c>
      <c r="I17" s="2"/>
      <c r="J17" s="19"/>
      <c r="K17" s="2"/>
      <c r="L17" s="2">
        <f t="shared" si="0"/>
        <v>-245.97</v>
      </c>
      <c r="M17" s="2"/>
      <c r="N17" s="19">
        <f t="shared" si="1"/>
        <v>-1</v>
      </c>
      <c r="O17" s="11"/>
      <c r="P17" s="2">
        <f>--2676.14</f>
        <v>2676.14</v>
      </c>
      <c r="Q17" s="2"/>
      <c r="R17" s="19"/>
      <c r="S17" s="2"/>
      <c r="T17" s="2">
        <f>--5818.6</f>
        <v>5818.6</v>
      </c>
      <c r="U17" s="2"/>
      <c r="V17" s="19"/>
      <c r="W17" s="2"/>
      <c r="X17" s="2">
        <f t="shared" si="2"/>
        <v>-3142.4600000000005</v>
      </c>
      <c r="Y17" s="2"/>
      <c r="Z17" s="19">
        <f t="shared" si="3"/>
        <v>-0.5400714948613069</v>
      </c>
    </row>
    <row r="18" spans="1:26" s="24" customFormat="1" hidden="1" outlineLevel="1" x14ac:dyDescent="0.35">
      <c r="A18" s="44"/>
      <c r="B18" s="11" t="str">
        <f>CONCATENATE("          ", "4091", " - ", "TAXABLE SALES-GRAD ANNOUNCEMEN")</f>
        <v xml:space="preserve">          4091 - TAXABLE SALES-GRAD ANNOUNCEMEN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35">
      <c r="A19" s="44"/>
      <c r="B19" s="11" t="str">
        <f>CONCATENATE("          ", "4092", " - ", "TAXABLE SALES-GRAD MERCH")</f>
        <v xml:space="preserve">          4092 - TAXABLE SALES-GRAD MERCH</v>
      </c>
      <c r="C19" s="11"/>
      <c r="D19" s="2">
        <f>--6332.23</f>
        <v>6332.23</v>
      </c>
      <c r="E19" s="2"/>
      <c r="F19" s="19"/>
      <c r="G19" s="2"/>
      <c r="H19" s="2">
        <f>--466.49</f>
        <v>466.49</v>
      </c>
      <c r="I19" s="2"/>
      <c r="J19" s="19"/>
      <c r="K19" s="2"/>
      <c r="L19" s="2">
        <f t="shared" si="0"/>
        <v>5865.74</v>
      </c>
      <c r="M19" s="2"/>
      <c r="N19" s="19">
        <f t="shared" si="1"/>
        <v>12.574203091170228</v>
      </c>
      <c r="O19" s="11"/>
      <c r="P19" s="2">
        <f>--41725.89</f>
        <v>41725.89</v>
      </c>
      <c r="Q19" s="2"/>
      <c r="R19" s="19"/>
      <c r="S19" s="2"/>
      <c r="T19" s="2">
        <f>--222939.36</f>
        <v>222939.36</v>
      </c>
      <c r="U19" s="2"/>
      <c r="V19" s="19"/>
      <c r="W19" s="2"/>
      <c r="X19" s="2">
        <f t="shared" si="2"/>
        <v>-181213.46999999997</v>
      </c>
      <c r="Y19" s="2"/>
      <c r="Z19" s="19">
        <f t="shared" si="3"/>
        <v>-0.81283749087644275</v>
      </c>
    </row>
    <row r="20" spans="1:26" s="24" customFormat="1" hidden="1" outlineLevel="1" x14ac:dyDescent="0.35">
      <c r="A20" s="44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>0</f>
        <v>0</v>
      </c>
      <c r="E20" s="2"/>
      <c r="F20" s="19"/>
      <c r="G20" s="2"/>
      <c r="H20" s="2">
        <f>--12.87</f>
        <v>12.87</v>
      </c>
      <c r="I20" s="2"/>
      <c r="J20" s="19"/>
      <c r="K20" s="2"/>
      <c r="L20" s="2">
        <f t="shared" si="0"/>
        <v>-12.87</v>
      </c>
      <c r="M20" s="2"/>
      <c r="N20" s="19">
        <f t="shared" si="1"/>
        <v>-1</v>
      </c>
      <c r="O20" s="11"/>
      <c r="P20" s="2">
        <f>--279.56</f>
        <v>279.56</v>
      </c>
      <c r="Q20" s="2"/>
      <c r="R20" s="19"/>
      <c r="S20" s="2"/>
      <c r="T20" s="2">
        <f>--2182.65</f>
        <v>2182.65</v>
      </c>
      <c r="U20" s="2"/>
      <c r="V20" s="19"/>
      <c r="W20" s="2"/>
      <c r="X20" s="2">
        <f t="shared" si="2"/>
        <v>-1903.0900000000001</v>
      </c>
      <c r="Y20" s="2"/>
      <c r="Z20" s="19">
        <f t="shared" si="3"/>
        <v>-0.87191716491420979</v>
      </c>
    </row>
    <row r="21" spans="1:26" s="24" customFormat="1" hidden="1" outlineLevel="1" x14ac:dyDescent="0.3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--106.5</f>
        <v>106.5</v>
      </c>
      <c r="E21" s="2"/>
      <c r="F21" s="19"/>
      <c r="G21" s="2"/>
      <c r="H21" s="2">
        <f>--14.5</f>
        <v>14.5</v>
      </c>
      <c r="I21" s="2"/>
      <c r="J21" s="19"/>
      <c r="K21" s="2"/>
      <c r="L21" s="2">
        <f t="shared" si="0"/>
        <v>92</v>
      </c>
      <c r="M21" s="2"/>
      <c r="N21" s="19">
        <f t="shared" si="1"/>
        <v>6.3448275862068968</v>
      </c>
      <c r="O21" s="11"/>
      <c r="P21" s="2">
        <f>--1028.1</f>
        <v>1028.0999999999999</v>
      </c>
      <c r="Q21" s="2"/>
      <c r="R21" s="19"/>
      <c r="S21" s="2"/>
      <c r="T21" s="2">
        <f>--1966.2</f>
        <v>1966.2</v>
      </c>
      <c r="U21" s="2"/>
      <c r="V21" s="19"/>
      <c r="W21" s="2"/>
      <c r="X21" s="2">
        <f t="shared" si="2"/>
        <v>-938.10000000000014</v>
      </c>
      <c r="Y21" s="2"/>
      <c r="Z21" s="19">
        <f t="shared" si="3"/>
        <v>-0.47711321330485207</v>
      </c>
    </row>
    <row r="22" spans="1:26" s="24" customFormat="1" hidden="1" outlineLevel="1" x14ac:dyDescent="0.3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 t="shared" ref="D22:D27" si="5">0</f>
        <v>0</v>
      </c>
      <c r="E22" s="2"/>
      <c r="F22" s="19"/>
      <c r="G22" s="2"/>
      <c r="H22" s="2">
        <f>--69</f>
        <v>69</v>
      </c>
      <c r="I22" s="2"/>
      <c r="J22" s="19"/>
      <c r="K22" s="2"/>
      <c r="L22" s="2">
        <f t="shared" si="0"/>
        <v>-69</v>
      </c>
      <c r="M22" s="2"/>
      <c r="N22" s="19">
        <f t="shared" si="1"/>
        <v>-1</v>
      </c>
      <c r="O22" s="11"/>
      <c r="P22" s="2">
        <f>--8924.02</f>
        <v>8924.02</v>
      </c>
      <c r="Q22" s="2"/>
      <c r="R22" s="19"/>
      <c r="S22" s="2"/>
      <c r="T22" s="2">
        <f>--13802</f>
        <v>13802</v>
      </c>
      <c r="U22" s="2"/>
      <c r="V22" s="19"/>
      <c r="W22" s="2"/>
      <c r="X22" s="2">
        <f t="shared" si="2"/>
        <v>-4877.9799999999996</v>
      </c>
      <c r="Y22" s="2"/>
      <c r="Z22" s="19">
        <f t="shared" si="3"/>
        <v>-0.35342559049413125</v>
      </c>
    </row>
    <row r="23" spans="1:26" s="24" customFormat="1" hidden="1" outlineLevel="1" x14ac:dyDescent="0.35">
      <c r="A23" s="44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 t="shared" si="5"/>
        <v>0</v>
      </c>
      <c r="E23" s="2"/>
      <c r="F23" s="19"/>
      <c r="G23" s="2"/>
      <c r="H23" s="2">
        <f>--2296.45</f>
        <v>2296.4499999999998</v>
      </c>
      <c r="I23" s="2"/>
      <c r="J23" s="19"/>
      <c r="K23" s="2"/>
      <c r="L23" s="2">
        <f t="shared" si="0"/>
        <v>-2296.4499999999998</v>
      </c>
      <c r="M23" s="2"/>
      <c r="N23" s="19">
        <f t="shared" si="1"/>
        <v>-1</v>
      </c>
      <c r="O23" s="11"/>
      <c r="P23" s="2">
        <f>--205908.65</f>
        <v>205908.65</v>
      </c>
      <c r="Q23" s="2"/>
      <c r="R23" s="19"/>
      <c r="S23" s="2"/>
      <c r="T23" s="2">
        <f>--288251.29</f>
        <v>288251.28999999998</v>
      </c>
      <c r="U23" s="2"/>
      <c r="V23" s="19"/>
      <c r="W23" s="2"/>
      <c r="X23" s="2">
        <f t="shared" si="2"/>
        <v>-82342.639999999985</v>
      </c>
      <c r="Y23" s="2"/>
      <c r="Z23" s="19">
        <f t="shared" si="3"/>
        <v>-0.28566269382523835</v>
      </c>
    </row>
    <row r="24" spans="1:26" s="24" customFormat="1" hidden="1" outlineLevel="1" x14ac:dyDescent="0.35">
      <c r="A24" s="44"/>
      <c r="B24" s="11" t="str">
        <f>CONCATENATE("          ", "4147", " - ", "NON-TAXABLE SALES-MISC")</f>
        <v xml:space="preserve">          4147 - NON-TAXABLE SALES-MISC</v>
      </c>
      <c r="C24" s="11"/>
      <c r="D24" s="2">
        <f t="shared" si="5"/>
        <v>0</v>
      </c>
      <c r="E24" s="2"/>
      <c r="F24" s="19"/>
      <c r="G24" s="2"/>
      <c r="H24" s="2">
        <f>--31</f>
        <v>31</v>
      </c>
      <c r="I24" s="2"/>
      <c r="J24" s="19"/>
      <c r="K24" s="2"/>
      <c r="L24" s="2">
        <f t="shared" si="0"/>
        <v>-31</v>
      </c>
      <c r="M24" s="2"/>
      <c r="N24" s="19">
        <f t="shared" si="1"/>
        <v>-1</v>
      </c>
      <c r="O24" s="11"/>
      <c r="P24" s="2">
        <f>--3446.37</f>
        <v>3446.37</v>
      </c>
      <c r="Q24" s="2"/>
      <c r="R24" s="19"/>
      <c r="S24" s="2"/>
      <c r="T24" s="2">
        <f>--959.73</f>
        <v>959.73</v>
      </c>
      <c r="U24" s="2"/>
      <c r="V24" s="19"/>
      <c r="W24" s="2"/>
      <c r="X24" s="2">
        <f t="shared" si="2"/>
        <v>2486.64</v>
      </c>
      <c r="Y24" s="2"/>
      <c r="Z24" s="19">
        <f t="shared" si="3"/>
        <v>2.5909787127629644</v>
      </c>
    </row>
    <row r="25" spans="1:26" s="24" customFormat="1" hidden="1" outlineLevel="1" x14ac:dyDescent="0.35">
      <c r="A25" s="44"/>
      <c r="B25" s="11" t="str">
        <f>CONCATENATE("          ", "4192", " - ", "NON-TAXABLE SALES-GRAD MERCH")</f>
        <v xml:space="preserve">          4192 - NON-TAXABLE SALES-GRAD MERCH</v>
      </c>
      <c r="C25" s="11"/>
      <c r="D25" s="2">
        <f t="shared" si="5"/>
        <v>0</v>
      </c>
      <c r="E25" s="2"/>
      <c r="F25" s="19"/>
      <c r="G25" s="2"/>
      <c r="H25" s="2">
        <f>-510</f>
        <v>-510</v>
      </c>
      <c r="I25" s="2"/>
      <c r="J25" s="19"/>
      <c r="K25" s="2"/>
      <c r="L25" s="2">
        <f t="shared" si="0"/>
        <v>510</v>
      </c>
      <c r="M25" s="2"/>
      <c r="N25" s="19">
        <f t="shared" si="1"/>
        <v>-1</v>
      </c>
      <c r="O25" s="11"/>
      <c r="P25" s="2">
        <f>--119.4</f>
        <v>119.4</v>
      </c>
      <c r="Q25" s="2"/>
      <c r="R25" s="19"/>
      <c r="S25" s="2"/>
      <c r="T25" s="2">
        <f>--21.25</f>
        <v>21.25</v>
      </c>
      <c r="U25" s="2"/>
      <c r="V25" s="19"/>
      <c r="W25" s="2"/>
      <c r="X25" s="2">
        <f t="shared" si="2"/>
        <v>98.15</v>
      </c>
      <c r="Y25" s="2"/>
      <c r="Z25" s="19">
        <f t="shared" si="3"/>
        <v>4.618823529411765</v>
      </c>
    </row>
    <row r="26" spans="1:26" s="24" customFormat="1" hidden="1" outlineLevel="1" x14ac:dyDescent="0.3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 t="shared" si="5"/>
        <v>0</v>
      </c>
      <c r="E26" s="2"/>
      <c r="F26" s="19"/>
      <c r="G26" s="2"/>
      <c r="H26" s="2">
        <f t="shared" ref="H26:H27" si="6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-1059.4</f>
        <v>-1059.4000000000001</v>
      </c>
      <c r="Q26" s="2"/>
      <c r="R26" s="19"/>
      <c r="S26" s="2"/>
      <c r="T26" s="2">
        <f>-1119.05</f>
        <v>-1119.05</v>
      </c>
      <c r="U26" s="2"/>
      <c r="V26" s="19"/>
      <c r="W26" s="2"/>
      <c r="X26" s="2">
        <f t="shared" si="2"/>
        <v>59.649999999999864</v>
      </c>
      <c r="Y26" s="2"/>
      <c r="Z26" s="19">
        <f t="shared" si="3"/>
        <v>-5.3304141906080932E-2</v>
      </c>
    </row>
    <row r="27" spans="1:26" s="24" customFormat="1" hidden="1" outlineLevel="1" x14ac:dyDescent="0.3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 t="shared" si="5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-227.7</f>
        <v>-227.7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-227.7</v>
      </c>
      <c r="Y27" s="2"/>
      <c r="Z27" s="19">
        <f t="shared" si="3"/>
        <v>0</v>
      </c>
    </row>
    <row r="28" spans="1:26" s="24" customFormat="1" hidden="1" outlineLevel="1" x14ac:dyDescent="0.35">
      <c r="A28" s="44"/>
      <c r="B28" s="11" t="str">
        <f>CONCATENATE("          ", "4292", " - ", "SALES RETURN TAXABLE-GRAD MERC")</f>
        <v xml:space="preserve">          4292 - SALES RETURN TAXABLE-GRAD MERC</v>
      </c>
      <c r="C28" s="11"/>
      <c r="D28" s="2">
        <f>-214.68</f>
        <v>-214.68</v>
      </c>
      <c r="E28" s="2"/>
      <c r="F28" s="19"/>
      <c r="G28" s="2"/>
      <c r="H28" s="2">
        <f>-39.95</f>
        <v>-39.950000000000003</v>
      </c>
      <c r="I28" s="2"/>
      <c r="J28" s="19"/>
      <c r="K28" s="2"/>
      <c r="L28" s="2">
        <f t="shared" si="0"/>
        <v>-174.73000000000002</v>
      </c>
      <c r="M28" s="2"/>
      <c r="N28" s="19">
        <f t="shared" si="1"/>
        <v>4.3737171464330418</v>
      </c>
      <c r="O28" s="11"/>
      <c r="P28" s="2">
        <f>-793.52</f>
        <v>-793.52</v>
      </c>
      <c r="Q28" s="2"/>
      <c r="R28" s="19"/>
      <c r="S28" s="2"/>
      <c r="T28" s="2">
        <f>-8552.26</f>
        <v>-8552.26</v>
      </c>
      <c r="U28" s="2"/>
      <c r="V28" s="19"/>
      <c r="W28" s="2"/>
      <c r="X28" s="2">
        <f t="shared" si="2"/>
        <v>7758.74</v>
      </c>
      <c r="Y28" s="2"/>
      <c r="Z28" s="19">
        <f t="shared" si="3"/>
        <v>-0.90721516885595144</v>
      </c>
    </row>
    <row r="29" spans="1:26" s="24" customFormat="1" hidden="1" outlineLevel="1" x14ac:dyDescent="0.35">
      <c r="A29" s="44"/>
      <c r="B29" s="11" t="str">
        <f>CONCATENATE("          ", "4295", " - ", "SALES RETURN TAXABLE-CUSTOMER")</f>
        <v xml:space="preserve">          4295 - SALES RETURN TAXABLE-CUSTOMER</v>
      </c>
      <c r="C29" s="11"/>
      <c r="D29" s="2">
        <f t="shared" ref="D29:D33" si="7">0</f>
        <v>0</v>
      </c>
      <c r="E29" s="2"/>
      <c r="F29" s="19"/>
      <c r="G29" s="2"/>
      <c r="H29" s="2">
        <f t="shared" ref="H29:H33" si="8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ref="P29:P30" si="9">0</f>
        <v>0</v>
      </c>
      <c r="Q29" s="2"/>
      <c r="R29" s="19"/>
      <c r="S29" s="2"/>
      <c r="T29" s="2">
        <f>-126.72</f>
        <v>-126.72</v>
      </c>
      <c r="U29" s="2"/>
      <c r="V29" s="19"/>
      <c r="W29" s="2"/>
      <c r="X29" s="2">
        <f t="shared" si="2"/>
        <v>126.72</v>
      </c>
      <c r="Y29" s="2"/>
      <c r="Z29" s="19">
        <f t="shared" si="3"/>
        <v>-1</v>
      </c>
    </row>
    <row r="30" spans="1:26" s="24" customFormat="1" hidden="1" outlineLevel="1" x14ac:dyDescent="0.35">
      <c r="A30" s="44"/>
      <c r="B30" s="11" t="str">
        <f>CONCATENATE("          ", "4341", " - ", "SALES RETURN NON TAXABLE-LOGO")</f>
        <v xml:space="preserve">          4341 - SALES RETURN NON TAXABLE-LOGO</v>
      </c>
      <c r="C30" s="11"/>
      <c r="D30" s="2">
        <f t="shared" si="7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9"/>
        <v>0</v>
      </c>
      <c r="Q30" s="2"/>
      <c r="R30" s="19"/>
      <c r="S30" s="2"/>
      <c r="T30" s="2">
        <f>-124.35</f>
        <v>-124.35</v>
      </c>
      <c r="U30" s="2"/>
      <c r="V30" s="19"/>
      <c r="W30" s="2"/>
      <c r="X30" s="2">
        <f t="shared" si="2"/>
        <v>124.35</v>
      </c>
      <c r="Y30" s="2"/>
      <c r="Z30" s="19">
        <f t="shared" si="3"/>
        <v>-1</v>
      </c>
    </row>
    <row r="31" spans="1:26" s="24" customFormat="1" hidden="1" outlineLevel="1" x14ac:dyDescent="0.35">
      <c r="A31" s="44"/>
      <c r="B31" s="11" t="str">
        <f>CONCATENATE("          ", "4342", " - ", "SALES RETURN NON TAXABLE-EVERY")</f>
        <v xml:space="preserve">          4342 - SALES RETURN NON TAXABLE-EVERY</v>
      </c>
      <c r="C31" s="11"/>
      <c r="D31" s="2">
        <f t="shared" si="7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-39.42</f>
        <v>-39.42</v>
      </c>
      <c r="Q31" s="2"/>
      <c r="R31" s="19"/>
      <c r="S31" s="2"/>
      <c r="T31" s="2">
        <f t="shared" ref="T31:T33" si="10">0</f>
        <v>0</v>
      </c>
      <c r="U31" s="2"/>
      <c r="V31" s="19"/>
      <c r="W31" s="2"/>
      <c r="X31" s="2">
        <f t="shared" si="2"/>
        <v>-39.42</v>
      </c>
      <c r="Y31" s="2"/>
      <c r="Z31" s="19">
        <f t="shared" si="3"/>
        <v>0</v>
      </c>
    </row>
    <row r="32" spans="1:26" s="24" customFormat="1" hidden="1" outlineLevel="1" x14ac:dyDescent="0.35">
      <c r="A32" s="44"/>
      <c r="B32" s="11" t="str">
        <f>CONCATENATE("          ", "4346", " - ", "SALES RETURN NON TAXABLE-COIN-")</f>
        <v xml:space="preserve">          4346 - SALES RETURN NON TAXABLE-COIN-</v>
      </c>
      <c r="C32" s="11"/>
      <c r="D32" s="2">
        <f t="shared" si="7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-8.15</f>
        <v>-8.15</v>
      </c>
      <c r="Q32" s="2"/>
      <c r="R32" s="19"/>
      <c r="S32" s="2"/>
      <c r="T32" s="2">
        <f t="shared" si="10"/>
        <v>0</v>
      </c>
      <c r="U32" s="2"/>
      <c r="V32" s="19"/>
      <c r="W32" s="2"/>
      <c r="X32" s="2">
        <f t="shared" si="2"/>
        <v>-8.15</v>
      </c>
      <c r="Y32" s="2"/>
      <c r="Z32" s="19">
        <f t="shared" si="3"/>
        <v>0</v>
      </c>
    </row>
    <row r="33" spans="1:26" s="24" customFormat="1" hidden="1" outlineLevel="1" x14ac:dyDescent="0.35">
      <c r="A33" s="44"/>
      <c r="B33" s="11" t="str">
        <f>CONCATENATE("          ", "4347", " - ", "SALES RETURN NON TAXABLE-MISC")</f>
        <v xml:space="preserve">          4347 - SALES RETURN NON TAXABLE-MISC</v>
      </c>
      <c r="C33" s="11"/>
      <c r="D33" s="2">
        <f t="shared" si="7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-84</f>
        <v>-84</v>
      </c>
      <c r="Q33" s="2"/>
      <c r="R33" s="19"/>
      <c r="S33" s="2"/>
      <c r="T33" s="2">
        <f t="shared" si="10"/>
        <v>0</v>
      </c>
      <c r="U33" s="2"/>
      <c r="V33" s="19"/>
      <c r="W33" s="2"/>
      <c r="X33" s="2">
        <f t="shared" si="2"/>
        <v>-84</v>
      </c>
      <c r="Y33" s="2"/>
      <c r="Z33" s="19">
        <f t="shared" si="3"/>
        <v>0</v>
      </c>
    </row>
    <row r="34" spans="1:26" x14ac:dyDescent="0.3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5">
      <c r="A35" s="10"/>
      <c r="B35" s="29" t="s">
        <v>8</v>
      </c>
      <c r="C35" s="10"/>
      <c r="D35" s="4">
        <f>SUM(OSRRefD16x_0)</f>
        <v>-898.07999999999981</v>
      </c>
      <c r="E35" s="4"/>
      <c r="F35" s="13">
        <f t="shared" ref="F35:F40" si="11">IF(D$12=0,0,D35/D$12)</f>
        <v>-0.13079704815320242</v>
      </c>
      <c r="G35" s="4"/>
      <c r="H35" s="4">
        <f>SUM(OSRRefH16x_0)</f>
        <v>18842.409999999993</v>
      </c>
      <c r="I35" s="4"/>
      <c r="J35" s="13">
        <f t="shared" ref="J35:J40" si="12">IF(H$12=0,0,H35/H$12)</f>
        <v>3.5200443125115584</v>
      </c>
      <c r="K35" s="4"/>
      <c r="L35" s="4">
        <f t="shared" ref="L35:L40" si="13">+D35-H35</f>
        <v>-19740.489999999991</v>
      </c>
      <c r="M35" s="4"/>
      <c r="N35" s="13">
        <f t="shared" ref="N35:N40" si="14">IF(H35=0,0,L35/H35)</f>
        <v>-1.0476626928296326</v>
      </c>
      <c r="O35" s="10"/>
      <c r="P35" s="4">
        <f>SUM(OSRRefP16x_0)</f>
        <v>13729.05</v>
      </c>
      <c r="Q35" s="4"/>
      <c r="R35" s="13">
        <f t="shared" ref="R35:R40" si="15">IF(P$12=0,0,P35/P$12)</f>
        <v>2.6646034907246069E-2</v>
      </c>
      <c r="S35" s="4"/>
      <c r="T35" s="4">
        <f>SUM(OSRRefT16x_0)</f>
        <v>117842.95</v>
      </c>
      <c r="U35" s="4"/>
      <c r="V35" s="13">
        <f t="shared" ref="V35:V40" si="16">IF(T$12=0,0,T35/T$12)</f>
        <v>0.14347124591784061</v>
      </c>
      <c r="W35" s="4"/>
      <c r="X35" s="4">
        <f t="shared" ref="X35:X40" si="17">+P35-T35</f>
        <v>-104113.9</v>
      </c>
      <c r="Y35" s="4"/>
      <c r="Z35" s="13">
        <f t="shared" ref="Z35:Z40" si="18">IF(T35=0,0,X35/T35)</f>
        <v>-0.8834970611309374</v>
      </c>
    </row>
    <row r="36" spans="1:26" s="24" customFormat="1" hidden="1" outlineLevel="1" x14ac:dyDescent="0.35">
      <c r="A36" s="44"/>
      <c r="B36" s="11" t="str">
        <f>CONCATENATE("          ", "5092", " - ", "PURCHASES @ COST-GRAD MERCH")</f>
        <v xml:space="preserve">          5092 - PURCHASES @ COST-GRAD MERCH</v>
      </c>
      <c r="C36" s="11"/>
      <c r="D36" s="2">
        <v>9354.1</v>
      </c>
      <c r="E36" s="2"/>
      <c r="F36" s="19">
        <f t="shared" si="11"/>
        <v>1.3623381749174583</v>
      </c>
      <c r="G36" s="2"/>
      <c r="H36" s="2">
        <v>72092.59</v>
      </c>
      <c r="I36" s="2"/>
      <c r="J36" s="19">
        <f t="shared" si="12"/>
        <v>13.467975243279799</v>
      </c>
      <c r="K36" s="2"/>
      <c r="L36" s="2">
        <f t="shared" si="13"/>
        <v>-62738.49</v>
      </c>
      <c r="M36" s="2"/>
      <c r="N36" s="19">
        <f t="shared" si="14"/>
        <v>-0.87024880088230983</v>
      </c>
      <c r="O36" s="11"/>
      <c r="P36" s="2">
        <v>13900.33</v>
      </c>
      <c r="Q36" s="2"/>
      <c r="R36" s="19">
        <f t="shared" si="15"/>
        <v>2.697846379773107E-2</v>
      </c>
      <c r="S36" s="2"/>
      <c r="T36" s="2">
        <v>96740</v>
      </c>
      <c r="U36" s="2"/>
      <c r="V36" s="19">
        <f t="shared" si="16"/>
        <v>0.11777886017018328</v>
      </c>
      <c r="W36" s="2"/>
      <c r="X36" s="2">
        <f t="shared" si="17"/>
        <v>-82839.67</v>
      </c>
      <c r="Y36" s="2"/>
      <c r="Z36" s="19">
        <f t="shared" si="18"/>
        <v>-0.85631248707876784</v>
      </c>
    </row>
    <row r="37" spans="1:26" s="24" customFormat="1" hidden="1" outlineLevel="1" x14ac:dyDescent="0.35">
      <c r="A37" s="44"/>
      <c r="B37" s="11" t="str">
        <f>CONCATENATE("          ", "5095", " - ", "PURCHASES @ COST-CUSTOMER SERV")</f>
        <v xml:space="preserve">          5095 - PURCHASES @ COST-CUSTOMER SERV</v>
      </c>
      <c r="C37" s="11"/>
      <c r="D37" s="2">
        <v>18.989999999999998</v>
      </c>
      <c r="E37" s="2"/>
      <c r="F37" s="19">
        <f t="shared" si="11"/>
        <v>2.7657179142496369E-3</v>
      </c>
      <c r="G37" s="2"/>
      <c r="H37" s="2">
        <v>-2.88</v>
      </c>
      <c r="I37" s="2"/>
      <c r="J37" s="19">
        <f t="shared" si="12"/>
        <v>-5.3802712179775792E-4</v>
      </c>
      <c r="K37" s="2"/>
      <c r="L37" s="2">
        <f t="shared" si="13"/>
        <v>21.869999999999997</v>
      </c>
      <c r="M37" s="2"/>
      <c r="N37" s="19">
        <f t="shared" si="14"/>
        <v>-7.5937499999999991</v>
      </c>
      <c r="O37" s="11"/>
      <c r="P37" s="2">
        <v>30.84</v>
      </c>
      <c r="Q37" s="2"/>
      <c r="R37" s="19">
        <f t="shared" si="15"/>
        <v>5.9855832453044372E-5</v>
      </c>
      <c r="S37" s="2"/>
      <c r="T37" s="2">
        <v>-78.48</v>
      </c>
      <c r="U37" s="2"/>
      <c r="V37" s="19">
        <f t="shared" si="16"/>
        <v>-9.5547704632582017E-5</v>
      </c>
      <c r="W37" s="2"/>
      <c r="X37" s="2">
        <f t="shared" si="17"/>
        <v>109.32000000000001</v>
      </c>
      <c r="Y37" s="2"/>
      <c r="Z37" s="19">
        <f t="shared" si="18"/>
        <v>-1.3929663608562692</v>
      </c>
    </row>
    <row r="38" spans="1:26" s="24" customFormat="1" hidden="1" outlineLevel="1" x14ac:dyDescent="0.35">
      <c r="A38" s="44"/>
      <c r="B38" s="11" t="str">
        <f>CONCATENATE("          ", "5200", " - ", "PURCHASES OFFSET")</f>
        <v xml:space="preserve">          5200 - PURCHASES OFFSET</v>
      </c>
      <c r="C38" s="11"/>
      <c r="D38" s="2">
        <v>-9384</v>
      </c>
      <c r="E38" s="2"/>
      <c r="F38" s="19">
        <f t="shared" si="11"/>
        <v>-1.3666928334554289</v>
      </c>
      <c r="G38" s="2"/>
      <c r="H38" s="2">
        <v>-72198</v>
      </c>
      <c r="I38" s="2"/>
      <c r="J38" s="19">
        <f t="shared" si="12"/>
        <v>-13.487667409567543</v>
      </c>
      <c r="K38" s="2"/>
      <c r="L38" s="2">
        <f t="shared" si="13"/>
        <v>62814</v>
      </c>
      <c r="M38" s="2"/>
      <c r="N38" s="19">
        <f t="shared" si="14"/>
        <v>-0.87002410039059253</v>
      </c>
      <c r="O38" s="11"/>
      <c r="P38" s="2">
        <v>-14103</v>
      </c>
      <c r="Q38" s="2"/>
      <c r="R38" s="19">
        <f t="shared" si="15"/>
        <v>-2.7371815988498208E-2</v>
      </c>
      <c r="S38" s="2"/>
      <c r="T38" s="2">
        <v>-99112</v>
      </c>
      <c r="U38" s="2"/>
      <c r="V38" s="19">
        <f t="shared" si="16"/>
        <v>-0.12066671892895602</v>
      </c>
      <c r="W38" s="2"/>
      <c r="X38" s="2">
        <f t="shared" si="17"/>
        <v>85009</v>
      </c>
      <c r="Y38" s="2"/>
      <c r="Z38" s="19">
        <f t="shared" si="18"/>
        <v>-0.85770643312616035</v>
      </c>
    </row>
    <row r="39" spans="1:26" s="24" customFormat="1" hidden="1" outlineLevel="1" x14ac:dyDescent="0.35">
      <c r="A39" s="44"/>
      <c r="B39" s="11" t="str">
        <f>CONCATENATE("          ", "5300", " - ", "COG$ OFFSET")</f>
        <v xml:space="preserve">          5300 - COG$ OFFSET</v>
      </c>
      <c r="C39" s="11"/>
      <c r="D39" s="2">
        <v>-898</v>
      </c>
      <c r="E39" s="2"/>
      <c r="F39" s="19">
        <f t="shared" si="11"/>
        <v>-0.13078539689290017</v>
      </c>
      <c r="G39" s="2"/>
      <c r="H39" s="2">
        <v>18842</v>
      </c>
      <c r="I39" s="2"/>
      <c r="J39" s="19">
        <f t="shared" si="12"/>
        <v>3.5199677183726927</v>
      </c>
      <c r="K39" s="2"/>
      <c r="L39" s="2">
        <f t="shared" si="13"/>
        <v>-19740</v>
      </c>
      <c r="M39" s="2"/>
      <c r="N39" s="19">
        <f t="shared" si="14"/>
        <v>-1.0476594841311964</v>
      </c>
      <c r="O39" s="11"/>
      <c r="P39" s="2">
        <v>13730</v>
      </c>
      <c r="Q39" s="2"/>
      <c r="R39" s="19">
        <f t="shared" si="15"/>
        <v>2.6647878715314502E-2</v>
      </c>
      <c r="S39" s="2"/>
      <c r="T39" s="2">
        <v>117842</v>
      </c>
      <c r="U39" s="2"/>
      <c r="V39" s="19">
        <f t="shared" si="16"/>
        <v>0.14347008931336303</v>
      </c>
      <c r="W39" s="2"/>
      <c r="X39" s="2">
        <f t="shared" si="17"/>
        <v>-104112</v>
      </c>
      <c r="Y39" s="2"/>
      <c r="Z39" s="19">
        <f t="shared" si="18"/>
        <v>-0.8834880602841092</v>
      </c>
    </row>
    <row r="40" spans="1:26" s="24" customFormat="1" hidden="1" outlineLevel="1" x14ac:dyDescent="0.35">
      <c r="A40" s="44"/>
      <c r="B40" s="11" t="str">
        <f>CONCATENATE("          ", "5592", " - ", "FREIGHT-IN-GRAD MERCH")</f>
        <v xml:space="preserve">          5592 - FREIGHT-IN-GRAD MERCH</v>
      </c>
      <c r="C40" s="11"/>
      <c r="D40" s="2">
        <v>10.83</v>
      </c>
      <c r="E40" s="2"/>
      <c r="F40" s="19">
        <f t="shared" si="11"/>
        <v>1.5772893634188295E-3</v>
      </c>
      <c r="G40" s="2"/>
      <c r="H40" s="2">
        <v>108.7</v>
      </c>
      <c r="I40" s="2"/>
      <c r="J40" s="19">
        <f t="shared" si="12"/>
        <v>2.0306787548408433E-2</v>
      </c>
      <c r="K40" s="2"/>
      <c r="L40" s="2">
        <f t="shared" si="13"/>
        <v>-97.87</v>
      </c>
      <c r="M40" s="2"/>
      <c r="N40" s="19">
        <f t="shared" si="14"/>
        <v>-0.90036798528058881</v>
      </c>
      <c r="O40" s="11"/>
      <c r="P40" s="2">
        <v>170.88</v>
      </c>
      <c r="Q40" s="2"/>
      <c r="R40" s="19">
        <f t="shared" si="15"/>
        <v>3.3165255024566217E-4</v>
      </c>
      <c r="S40" s="2"/>
      <c r="T40" s="2">
        <v>2451.4299999999998</v>
      </c>
      <c r="U40" s="2"/>
      <c r="V40" s="19">
        <f t="shared" si="16"/>
        <v>2.9845630678829063E-3</v>
      </c>
      <c r="W40" s="2"/>
      <c r="X40" s="2">
        <f t="shared" si="17"/>
        <v>-2280.5499999999997</v>
      </c>
      <c r="Y40" s="2"/>
      <c r="Z40" s="19">
        <f t="shared" si="18"/>
        <v>-0.93029374691506583</v>
      </c>
    </row>
    <row r="41" spans="1:26" x14ac:dyDescent="0.3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35">
      <c r="A42" s="10"/>
      <c r="B42" s="28" t="s">
        <v>6</v>
      </c>
      <c r="C42" s="28"/>
      <c r="D42" s="22">
        <f>D12-D35</f>
        <v>7764.2899999999991</v>
      </c>
      <c r="E42" s="14"/>
      <c r="F42" s="21">
        <f>IF(D$12=0,0,D42/D$12)</f>
        <v>1.1307970481532024</v>
      </c>
      <c r="G42" s="14"/>
      <c r="H42" s="22">
        <f>H12-H35</f>
        <v>-13489.519999999993</v>
      </c>
      <c r="I42" s="14"/>
      <c r="J42" s="21">
        <f>IF(H$12=0,0,H42/H$12)</f>
        <v>-2.5200443125115584</v>
      </c>
      <c r="K42" s="15"/>
      <c r="L42" s="22">
        <f>+D42-H42</f>
        <v>21253.80999999999</v>
      </c>
      <c r="M42" s="15"/>
      <c r="N42" s="21">
        <f>IF(H42=0,0,L42/H42)</f>
        <v>-1.5755794127589418</v>
      </c>
      <c r="O42" s="29"/>
      <c r="P42" s="22">
        <f>P12-P35</f>
        <v>501508.96</v>
      </c>
      <c r="Q42" s="14"/>
      <c r="R42" s="21">
        <f>IF(P$12=0,0,P42/P$12)</f>
        <v>0.97335396509275396</v>
      </c>
      <c r="S42" s="14"/>
      <c r="T42" s="22">
        <f>T12-T35</f>
        <v>703526.86</v>
      </c>
      <c r="U42" s="14"/>
      <c r="V42" s="21">
        <f>IF(T$12=0,0,T42/T$12)</f>
        <v>0.85652875408215945</v>
      </c>
      <c r="W42" s="15"/>
      <c r="X42" s="22">
        <f>+P42-T42</f>
        <v>-202017.89999999997</v>
      </c>
      <c r="Y42" s="15"/>
      <c r="Z42" s="21">
        <f>IF(T42=0,0,X42/T42)</f>
        <v>-0.28715023048302657</v>
      </c>
    </row>
    <row r="43" spans="1:26" x14ac:dyDescent="0.35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5">
      <c r="A44" s="10"/>
      <c r="B44" s="29" t="s">
        <v>9</v>
      </c>
      <c r="C44" s="10"/>
      <c r="D44" s="20">
        <f>SUM(OSRRefD22x_0)</f>
        <v>51826.539999999994</v>
      </c>
      <c r="E44" s="20"/>
      <c r="F44" s="36">
        <f t="shared" ref="F44:F53" si="19">IF(D$12=0,0,D44/D$12)</f>
        <v>7.5480563513204517</v>
      </c>
      <c r="G44" s="20"/>
      <c r="H44" s="20">
        <f>SUM(OSRRefH22x_0)</f>
        <v>26206.95</v>
      </c>
      <c r="I44" s="20"/>
      <c r="J44" s="36">
        <f t="shared" ref="J44:J53" si="20">IF(H$12=0,0,H44/H$12)</f>
        <v>4.8958506526381083</v>
      </c>
      <c r="K44" s="4"/>
      <c r="L44" s="20">
        <f t="shared" ref="L44:L53" si="21">+D44-H44</f>
        <v>25619.589999999993</v>
      </c>
      <c r="M44" s="4"/>
      <c r="N44" s="36">
        <f t="shared" ref="N44:N53" si="22">IF(H44=0,0,L44/H44)</f>
        <v>0.97758762465681781</v>
      </c>
      <c r="O44" s="10"/>
      <c r="P44" s="20">
        <f>SUM(OSRRefP22x_0)</f>
        <v>529919.16999999993</v>
      </c>
      <c r="Q44" s="20"/>
      <c r="R44" s="36">
        <f t="shared" ref="R44:R53" si="23">IF(P$12=0,0,P44/P$12)</f>
        <v>1.0284939381704388</v>
      </c>
      <c r="S44" s="20"/>
      <c r="T44" s="20">
        <f>SUM(OSRRefT22x_0)</f>
        <v>584514.84000000008</v>
      </c>
      <c r="U44" s="20"/>
      <c r="V44" s="36">
        <f t="shared" ref="V44:V53" si="24">IF(T$12=0,0,T44/T$12)</f>
        <v>0.71163419069420164</v>
      </c>
      <c r="W44" s="4"/>
      <c r="X44" s="20">
        <f t="shared" ref="X44:X53" si="25">+P44-T44</f>
        <v>-54595.670000000158</v>
      </c>
      <c r="Y44" s="4"/>
      <c r="Z44" s="36">
        <f t="shared" ref="Z44:Z53" si="26">IF(T44=0,0,X44/T44)</f>
        <v>-9.3403394172165324E-2</v>
      </c>
    </row>
    <row r="45" spans="1:26" s="25" customFormat="1" outlineLevel="1" collapsed="1" x14ac:dyDescent="0.35">
      <c r="A45" s="26"/>
      <c r="B45" s="12" t="str">
        <f>CONCATENATE("     ","*Benefits                                         ")</f>
        <v xml:space="preserve">     *Benefits                                         </v>
      </c>
      <c r="C45" s="12"/>
      <c r="D45" s="1">
        <f>SUM(OSRRefD22_0x_0)</f>
        <v>6119.46</v>
      </c>
      <c r="E45" s="1"/>
      <c r="F45" s="5">
        <f t="shared" si="19"/>
        <v>0.89124276711606565</v>
      </c>
      <c r="G45" s="1"/>
      <c r="H45" s="1">
        <f>SUM(OSRRefH22_0x_0)</f>
        <v>5872.1900000000005</v>
      </c>
      <c r="I45" s="1"/>
      <c r="J45" s="5">
        <f t="shared" si="20"/>
        <v>1.0970130153991584</v>
      </c>
      <c r="K45" s="1"/>
      <c r="L45" s="1">
        <f t="shared" si="21"/>
        <v>247.26999999999953</v>
      </c>
      <c r="M45" s="1"/>
      <c r="N45" s="5">
        <f t="shared" si="22"/>
        <v>4.2108651116533953E-2</v>
      </c>
      <c r="O45" s="12"/>
      <c r="P45" s="1">
        <f>SUM(OSRRefP22_0x_0)</f>
        <v>95960.94</v>
      </c>
      <c r="Q45" s="1"/>
      <c r="R45" s="5">
        <f t="shared" si="23"/>
        <v>0.18624584781701178</v>
      </c>
      <c r="S45" s="1"/>
      <c r="T45" s="1">
        <f>SUM(OSRRefT22_0x_0)</f>
        <v>87336.739999999991</v>
      </c>
      <c r="U45" s="1"/>
      <c r="V45" s="5">
        <f t="shared" si="24"/>
        <v>0.10633059425449298</v>
      </c>
      <c r="W45" s="1"/>
      <c r="X45" s="1">
        <f t="shared" si="25"/>
        <v>8624.2000000000116</v>
      </c>
      <c r="Y45" s="1"/>
      <c r="Z45" s="5">
        <f t="shared" si="26"/>
        <v>9.8746529810936526E-2</v>
      </c>
    </row>
    <row r="46" spans="1:26" s="24" customFormat="1" hidden="1" outlineLevel="2" x14ac:dyDescent="0.35">
      <c r="A46" s="27"/>
      <c r="B46" s="11" t="str">
        <f>CONCATENATE("          ", "6111", " - ", "F.I.C.A.")</f>
        <v xml:space="preserve">          6111 - F.I.C.A.</v>
      </c>
      <c r="C46" s="11"/>
      <c r="D46" s="7">
        <v>870.7</v>
      </c>
      <c r="E46" s="2"/>
      <c r="F46" s="6">
        <f t="shared" si="19"/>
        <v>0.12680940431475299</v>
      </c>
      <c r="G46" s="2"/>
      <c r="H46" s="7">
        <v>1080.45</v>
      </c>
      <c r="I46" s="2"/>
      <c r="J46" s="6">
        <f t="shared" si="20"/>
        <v>0.20184423741194013</v>
      </c>
      <c r="K46" s="2"/>
      <c r="L46" s="7">
        <f t="shared" si="21"/>
        <v>-209.75</v>
      </c>
      <c r="M46" s="2"/>
      <c r="N46" s="6">
        <f t="shared" si="22"/>
        <v>-0.19413207459854689</v>
      </c>
      <c r="O46" s="11"/>
      <c r="P46" s="7">
        <v>14893.729999999998</v>
      </c>
      <c r="Q46" s="2"/>
      <c r="R46" s="6">
        <f t="shared" si="23"/>
        <v>2.8906504782129715E-2</v>
      </c>
      <c r="S46" s="2"/>
      <c r="T46" s="7">
        <v>15592.910000000002</v>
      </c>
      <c r="U46" s="2"/>
      <c r="V46" s="6">
        <f t="shared" si="24"/>
        <v>1.8984031078522357E-2</v>
      </c>
      <c r="W46" s="2"/>
      <c r="X46" s="7">
        <f t="shared" si="25"/>
        <v>-699.18000000000393</v>
      </c>
      <c r="Y46" s="2"/>
      <c r="Z46" s="6">
        <f t="shared" si="26"/>
        <v>-4.4839609797016969E-2</v>
      </c>
    </row>
    <row r="47" spans="1:26" s="24" customFormat="1" hidden="1" outlineLevel="2" x14ac:dyDescent="0.35">
      <c r="A47" s="27"/>
      <c r="B47" s="11" t="str">
        <f>CONCATENATE("          ", "6112", " - ", "COMPENSATION INSURANCE")</f>
        <v xml:space="preserve">          6112 - COMPENSATION INSURANCE</v>
      </c>
      <c r="C47" s="11"/>
      <c r="D47" s="7">
        <v>216.26</v>
      </c>
      <c r="E47" s="2"/>
      <c r="F47" s="6">
        <f t="shared" si="19"/>
        <v>3.1496269412091972E-2</v>
      </c>
      <c r="G47" s="2"/>
      <c r="H47" s="7">
        <v>178.81</v>
      </c>
      <c r="I47" s="2"/>
      <c r="J47" s="6">
        <f t="shared" si="20"/>
        <v>3.3404385294672601E-2</v>
      </c>
      <c r="K47" s="2"/>
      <c r="L47" s="7">
        <f t="shared" si="21"/>
        <v>37.449999999999989</v>
      </c>
      <c r="M47" s="2"/>
      <c r="N47" s="6">
        <f t="shared" si="22"/>
        <v>0.20944018790895358</v>
      </c>
      <c r="O47" s="11"/>
      <c r="P47" s="7">
        <v>2657.11</v>
      </c>
      <c r="Q47" s="2"/>
      <c r="R47" s="6">
        <f t="shared" si="23"/>
        <v>5.1570535333757698E-3</v>
      </c>
      <c r="S47" s="2"/>
      <c r="T47" s="7">
        <v>2170.77</v>
      </c>
      <c r="U47" s="2"/>
      <c r="V47" s="6">
        <f t="shared" si="24"/>
        <v>2.6428655808520647E-3</v>
      </c>
      <c r="W47" s="2"/>
      <c r="X47" s="7">
        <f t="shared" si="25"/>
        <v>486.34000000000015</v>
      </c>
      <c r="Y47" s="2"/>
      <c r="Z47" s="6">
        <f t="shared" si="26"/>
        <v>0.2240403174910286</v>
      </c>
    </row>
    <row r="48" spans="1:26" s="24" customFormat="1" hidden="1" outlineLevel="2" x14ac:dyDescent="0.35">
      <c r="A48" s="27"/>
      <c r="B48" s="11" t="str">
        <f>CONCATENATE("          ", "6113", " - ", "GROUP INSURANCE")</f>
        <v xml:space="preserve">          6113 - GROUP INSURANCE</v>
      </c>
      <c r="C48" s="11"/>
      <c r="D48" s="7">
        <v>2724.48</v>
      </c>
      <c r="E48" s="2"/>
      <c r="F48" s="6">
        <f t="shared" si="19"/>
        <v>0.39679532085386265</v>
      </c>
      <c r="G48" s="2"/>
      <c r="H48" s="7">
        <v>2741.79</v>
      </c>
      <c r="I48" s="2"/>
      <c r="J48" s="6">
        <f t="shared" si="20"/>
        <v>0.51220742440065092</v>
      </c>
      <c r="K48" s="2"/>
      <c r="L48" s="7">
        <f t="shared" si="21"/>
        <v>-17.309999999999945</v>
      </c>
      <c r="M48" s="2"/>
      <c r="N48" s="6">
        <f t="shared" si="22"/>
        <v>-6.3133938047771516E-3</v>
      </c>
      <c r="O48" s="11"/>
      <c r="P48" s="7">
        <v>35516.230000000003</v>
      </c>
      <c r="Q48" s="2"/>
      <c r="R48" s="6">
        <f t="shared" si="23"/>
        <v>6.893169624655604E-2</v>
      </c>
      <c r="S48" s="2"/>
      <c r="T48" s="7">
        <v>31422.739999999998</v>
      </c>
      <c r="U48" s="2"/>
      <c r="V48" s="6">
        <f t="shared" si="24"/>
        <v>3.8256507138970691E-2</v>
      </c>
      <c r="W48" s="2"/>
      <c r="X48" s="7">
        <f t="shared" si="25"/>
        <v>4093.4900000000052</v>
      </c>
      <c r="Y48" s="2"/>
      <c r="Z48" s="6">
        <f t="shared" si="26"/>
        <v>0.13027158039050718</v>
      </c>
    </row>
    <row r="49" spans="1:26" s="24" customFormat="1" hidden="1" outlineLevel="2" x14ac:dyDescent="0.35">
      <c r="A49" s="27"/>
      <c r="B49" s="11" t="str">
        <f>CONCATENATE("          ", "6114", " - ", "STATE UNEMPLOYMENT INSURANCE")</f>
        <v xml:space="preserve">          6114 - STATE UNEMPLOYMENT INSURANCE</v>
      </c>
      <c r="C49" s="11"/>
      <c r="D49" s="7">
        <v>-528.47</v>
      </c>
      <c r="E49" s="2"/>
      <c r="F49" s="6">
        <f t="shared" si="19"/>
        <v>-7.6966769149210426E-2</v>
      </c>
      <c r="G49" s="2"/>
      <c r="H49" s="7">
        <v>57.9</v>
      </c>
      <c r="I49" s="2"/>
      <c r="J49" s="6">
        <f t="shared" si="20"/>
        <v>1.0816586927809091E-2</v>
      </c>
      <c r="K49" s="2"/>
      <c r="L49" s="7">
        <f t="shared" si="21"/>
        <v>-586.37</v>
      </c>
      <c r="M49" s="2"/>
      <c r="N49" s="6">
        <f t="shared" si="22"/>
        <v>-10.127288428324698</v>
      </c>
      <c r="O49" s="11"/>
      <c r="P49" s="7">
        <v>0</v>
      </c>
      <c r="Q49" s="2"/>
      <c r="R49" s="6">
        <f t="shared" si="23"/>
        <v>0</v>
      </c>
      <c r="S49" s="2"/>
      <c r="T49" s="7">
        <v>587.28</v>
      </c>
      <c r="U49" s="2"/>
      <c r="V49" s="6">
        <f t="shared" si="24"/>
        <v>7.1500071325971922E-4</v>
      </c>
      <c r="W49" s="2"/>
      <c r="X49" s="7">
        <f t="shared" si="25"/>
        <v>-587.28</v>
      </c>
      <c r="Y49" s="2"/>
      <c r="Z49" s="6">
        <f t="shared" si="26"/>
        <v>-1</v>
      </c>
    </row>
    <row r="50" spans="1:26" s="24" customFormat="1" hidden="1" outlineLevel="2" x14ac:dyDescent="0.35">
      <c r="A50" s="27"/>
      <c r="B50" s="11" t="str">
        <f>CONCATENATE("          ", "6115", " - ", "P.E.R.S.")</f>
        <v xml:space="preserve">          6115 - P.E.R.S.</v>
      </c>
      <c r="C50" s="11"/>
      <c r="D50" s="7">
        <v>1166.77</v>
      </c>
      <c r="E50" s="2"/>
      <c r="F50" s="6">
        <f t="shared" si="19"/>
        <v>0.16992926228588989</v>
      </c>
      <c r="G50" s="2"/>
      <c r="H50" s="7"/>
      <c r="I50" s="2"/>
      <c r="J50" s="6">
        <f t="shared" si="20"/>
        <v>0</v>
      </c>
      <c r="K50" s="2"/>
      <c r="L50" s="7">
        <f t="shared" si="21"/>
        <v>1166.77</v>
      </c>
      <c r="M50" s="2"/>
      <c r="N50" s="6">
        <f t="shared" si="22"/>
        <v>0</v>
      </c>
      <c r="O50" s="11"/>
      <c r="P50" s="7">
        <v>15553.42</v>
      </c>
      <c r="Q50" s="2"/>
      <c r="R50" s="6">
        <f t="shared" si="23"/>
        <v>3.0186864513353742E-2</v>
      </c>
      <c r="S50" s="2"/>
      <c r="T50" s="7">
        <v>13421.77</v>
      </c>
      <c r="U50" s="2"/>
      <c r="V50" s="6">
        <f t="shared" si="24"/>
        <v>1.6340715030663231E-2</v>
      </c>
      <c r="W50" s="2"/>
      <c r="X50" s="7">
        <f t="shared" si="25"/>
        <v>2131.6499999999996</v>
      </c>
      <c r="Y50" s="2"/>
      <c r="Z50" s="6">
        <f t="shared" si="26"/>
        <v>0.15882033442683041</v>
      </c>
    </row>
    <row r="51" spans="1:26" s="24" customFormat="1" hidden="1" outlineLevel="2" x14ac:dyDescent="0.35">
      <c r="A51" s="27"/>
      <c r="B51" s="11" t="str">
        <f>CONCATENATE("          ", "6118", " - ", "VACATION")</f>
        <v xml:space="preserve">          6118 - VACATION</v>
      </c>
      <c r="C51" s="11"/>
      <c r="D51" s="7">
        <v>1039.18</v>
      </c>
      <c r="E51" s="2"/>
      <c r="F51" s="6">
        <f t="shared" si="19"/>
        <v>0.15134695851131849</v>
      </c>
      <c r="G51" s="2"/>
      <c r="H51" s="7">
        <v>1006.74</v>
      </c>
      <c r="I51" s="2"/>
      <c r="J51" s="6">
        <f t="shared" si="20"/>
        <v>0.18807410576342876</v>
      </c>
      <c r="K51" s="2"/>
      <c r="L51" s="7">
        <f t="shared" si="21"/>
        <v>32.440000000000055</v>
      </c>
      <c r="M51" s="2"/>
      <c r="N51" s="6">
        <f t="shared" si="22"/>
        <v>3.2222818205296357E-2</v>
      </c>
      <c r="O51" s="11"/>
      <c r="P51" s="7">
        <v>15532.1</v>
      </c>
      <c r="Q51" s="2"/>
      <c r="R51" s="6">
        <f t="shared" si="23"/>
        <v>3.0145485578596969E-2</v>
      </c>
      <c r="S51" s="2"/>
      <c r="T51" s="7">
        <v>12832.23</v>
      </c>
      <c r="U51" s="2"/>
      <c r="V51" s="6">
        <f t="shared" si="24"/>
        <v>1.5622962816225253E-2</v>
      </c>
      <c r="W51" s="2"/>
      <c r="X51" s="7">
        <f t="shared" si="25"/>
        <v>2699.8700000000008</v>
      </c>
      <c r="Y51" s="2"/>
      <c r="Z51" s="6">
        <f t="shared" si="26"/>
        <v>0.21039756924556377</v>
      </c>
    </row>
    <row r="52" spans="1:26" s="24" customFormat="1" hidden="1" outlineLevel="2" x14ac:dyDescent="0.35">
      <c r="A52" s="27"/>
      <c r="B52" s="11" t="str">
        <f>CONCATENATE("          ", "6119", " - ", "SICK LEAVE")</f>
        <v xml:space="preserve">          6119 - SICK LEAVE</v>
      </c>
      <c r="C52" s="11"/>
      <c r="D52" s="7">
        <v>526.54</v>
      </c>
      <c r="E52" s="2"/>
      <c r="F52" s="6">
        <f t="shared" si="19"/>
        <v>7.6685682494418317E-2</v>
      </c>
      <c r="G52" s="2"/>
      <c r="H52" s="7">
        <v>527</v>
      </c>
      <c r="I52" s="2"/>
      <c r="J52" s="6">
        <f t="shared" si="20"/>
        <v>9.8451490690075832E-2</v>
      </c>
      <c r="K52" s="2"/>
      <c r="L52" s="7">
        <f t="shared" si="21"/>
        <v>-0.46000000000003638</v>
      </c>
      <c r="M52" s="2"/>
      <c r="N52" s="6">
        <f t="shared" si="22"/>
        <v>-8.7286527514238404E-4</v>
      </c>
      <c r="O52" s="11"/>
      <c r="P52" s="7">
        <v>9221.84</v>
      </c>
      <c r="Q52" s="2"/>
      <c r="R52" s="6">
        <f t="shared" si="23"/>
        <v>1.7898213681867142E-2</v>
      </c>
      <c r="S52" s="2"/>
      <c r="T52" s="7">
        <v>7828.09</v>
      </c>
      <c r="U52" s="2"/>
      <c r="V52" s="6">
        <f t="shared" si="24"/>
        <v>9.530530468364792E-3</v>
      </c>
      <c r="W52" s="2"/>
      <c r="X52" s="7">
        <f t="shared" si="25"/>
        <v>1393.75</v>
      </c>
      <c r="Y52" s="2"/>
      <c r="Z52" s="6">
        <f t="shared" si="26"/>
        <v>0.17804470822384516</v>
      </c>
    </row>
    <row r="53" spans="1:26" s="24" customFormat="1" hidden="1" outlineLevel="2" x14ac:dyDescent="0.35">
      <c r="A53" s="27"/>
      <c r="B53" s="11" t="str">
        <f>CONCATENATE("          ", "6156", " - ", "EMPLOYEE MEALS")</f>
        <v xml:space="preserve">          6156 - EMPLOYEE MEALS</v>
      </c>
      <c r="C53" s="11"/>
      <c r="D53" s="7">
        <v>104</v>
      </c>
      <c r="E53" s="2"/>
      <c r="F53" s="6">
        <f t="shared" si="19"/>
        <v>1.5146638392941669E-2</v>
      </c>
      <c r="G53" s="2"/>
      <c r="H53" s="7">
        <v>279.5</v>
      </c>
      <c r="I53" s="2"/>
      <c r="J53" s="6">
        <f t="shared" si="20"/>
        <v>5.2214784910581021E-2</v>
      </c>
      <c r="K53" s="2"/>
      <c r="L53" s="7">
        <f t="shared" si="21"/>
        <v>-175.5</v>
      </c>
      <c r="M53" s="2"/>
      <c r="N53" s="6">
        <f t="shared" si="22"/>
        <v>-0.62790697674418605</v>
      </c>
      <c r="O53" s="11"/>
      <c r="P53" s="7">
        <v>2586.5100000000002</v>
      </c>
      <c r="Q53" s="2"/>
      <c r="R53" s="6">
        <f t="shared" si="23"/>
        <v>5.0200294811324191E-3</v>
      </c>
      <c r="S53" s="2"/>
      <c r="T53" s="7">
        <v>3480.95</v>
      </c>
      <c r="U53" s="2"/>
      <c r="V53" s="6">
        <f t="shared" si="24"/>
        <v>4.2379814276348919E-3</v>
      </c>
      <c r="W53" s="2"/>
      <c r="X53" s="7">
        <f t="shared" si="25"/>
        <v>-894.4399999999996</v>
      </c>
      <c r="Y53" s="2"/>
      <c r="Z53" s="6">
        <f t="shared" si="26"/>
        <v>-0.25695284333299806</v>
      </c>
    </row>
    <row r="54" spans="1:26" s="25" customFormat="1" outlineLevel="1" collapsed="1" x14ac:dyDescent="0.35">
      <c r="A54" s="26"/>
      <c r="B54" s="12" t="str">
        <f>CONCATENATE("     ","*Payroll                                          ")</f>
        <v xml:space="preserve">     *Payroll                                          </v>
      </c>
      <c r="C54" s="12"/>
      <c r="D54" s="1">
        <f>SUM(OSRRefD22_1x_0)</f>
        <v>9110.02</v>
      </c>
      <c r="E54" s="1"/>
      <c r="F54" s="5">
        <f t="shared" ref="F54:F60" si="27">IF(D$12=0,0,D54/D$12)</f>
        <v>1.3267901797352544</v>
      </c>
      <c r="G54" s="1"/>
      <c r="H54" s="1">
        <f>SUM(OSRRefH22_1x_0)</f>
        <v>12611.92</v>
      </c>
      <c r="I54" s="1"/>
      <c r="J54" s="5">
        <f t="shared" ref="J54:J60" si="28">IF(H$12=0,0,H54/H$12)</f>
        <v>2.3560954923415203</v>
      </c>
      <c r="K54" s="1"/>
      <c r="L54" s="1">
        <f t="shared" ref="L54:L60" si="29">+D54-H54</f>
        <v>-3501.8999999999996</v>
      </c>
      <c r="M54" s="1"/>
      <c r="N54" s="5">
        <f t="shared" ref="N54:N60" si="30">IF(H54=0,0,L54/H54)</f>
        <v>-0.27766589068119679</v>
      </c>
      <c r="O54" s="12"/>
      <c r="P54" s="1">
        <f>SUM(OSRRefP22_1x_0)</f>
        <v>187988.82</v>
      </c>
      <c r="Q54" s="1"/>
      <c r="R54" s="5">
        <f t="shared" ref="R54:R60" si="31">IF(P$12=0,0,P54/P$12)</f>
        <v>0.36485821377968602</v>
      </c>
      <c r="S54" s="1"/>
      <c r="T54" s="1">
        <f>SUM(OSRRefT22_1x_0)</f>
        <v>222423.47</v>
      </c>
      <c r="U54" s="1"/>
      <c r="V54" s="5">
        <f t="shared" ref="V54:V60" si="32">IF(T$12=0,0,T54/T$12)</f>
        <v>0.27079576981286907</v>
      </c>
      <c r="W54" s="1"/>
      <c r="X54" s="1">
        <f t="shared" ref="X54:X60" si="33">+P54-T54</f>
        <v>-34434.649999999994</v>
      </c>
      <c r="Y54" s="1"/>
      <c r="Z54" s="5">
        <f t="shared" ref="Z54:Z60" si="34">IF(T54=0,0,X54/T54)</f>
        <v>-0.15481572156031911</v>
      </c>
    </row>
    <row r="55" spans="1:26" s="24" customFormat="1" hidden="1" outlineLevel="2" x14ac:dyDescent="0.35">
      <c r="A55" s="27"/>
      <c r="B55" s="11" t="str">
        <f>CONCATENATE("          ", "6002", " - ", "STAFF SALARIES")</f>
        <v xml:space="preserve">          6002 - STAFF SALARIES</v>
      </c>
      <c r="C55" s="11"/>
      <c r="D55" s="7">
        <v>9110.02</v>
      </c>
      <c r="E55" s="2"/>
      <c r="F55" s="6">
        <f t="shared" si="27"/>
        <v>1.3267901797352544</v>
      </c>
      <c r="G55" s="2"/>
      <c r="H55" s="7">
        <v>9930.67</v>
      </c>
      <c r="I55" s="2"/>
      <c r="J55" s="6">
        <f t="shared" si="28"/>
        <v>1.8551978463969931</v>
      </c>
      <c r="K55" s="2"/>
      <c r="L55" s="7">
        <f t="shared" si="29"/>
        <v>-820.64999999999964</v>
      </c>
      <c r="M55" s="2"/>
      <c r="N55" s="6">
        <f t="shared" si="30"/>
        <v>-8.2637928760093696E-2</v>
      </c>
      <c r="O55" s="11"/>
      <c r="P55" s="7">
        <v>131327.66</v>
      </c>
      <c r="Q55" s="2"/>
      <c r="R55" s="6">
        <f t="shared" si="31"/>
        <v>0.25488736749060886</v>
      </c>
      <c r="S55" s="2"/>
      <c r="T55" s="7">
        <v>134152.09</v>
      </c>
      <c r="U55" s="2"/>
      <c r="V55" s="6">
        <f t="shared" si="32"/>
        <v>0.163327271548975</v>
      </c>
      <c r="W55" s="2"/>
      <c r="X55" s="7">
        <f t="shared" si="33"/>
        <v>-2824.429999999993</v>
      </c>
      <c r="Y55" s="2"/>
      <c r="Z55" s="6">
        <f t="shared" si="34"/>
        <v>-2.1053939599450094E-2</v>
      </c>
    </row>
    <row r="56" spans="1:26" s="24" customFormat="1" hidden="1" outlineLevel="2" x14ac:dyDescent="0.35">
      <c r="A56" s="27"/>
      <c r="B56" s="11" t="str">
        <f>CONCATENATE("          ", "6004", " - ", "STAFF HOURLY")</f>
        <v xml:space="preserve">          6004 - STAFF HOURLY</v>
      </c>
      <c r="C56" s="11"/>
      <c r="D56" s="7"/>
      <c r="E56" s="2"/>
      <c r="F56" s="6">
        <f t="shared" si="27"/>
        <v>0</v>
      </c>
      <c r="G56" s="2"/>
      <c r="H56" s="7"/>
      <c r="I56" s="2"/>
      <c r="J56" s="6">
        <f t="shared" si="28"/>
        <v>0</v>
      </c>
      <c r="K56" s="2"/>
      <c r="L56" s="7">
        <f t="shared" si="29"/>
        <v>0</v>
      </c>
      <c r="M56" s="2"/>
      <c r="N56" s="6">
        <f t="shared" si="30"/>
        <v>0</v>
      </c>
      <c r="O56" s="11"/>
      <c r="P56" s="7">
        <v>491.67</v>
      </c>
      <c r="Q56" s="2"/>
      <c r="R56" s="6">
        <f t="shared" si="31"/>
        <v>9.5425801368963442E-4</v>
      </c>
      <c r="S56" s="2"/>
      <c r="T56" s="7">
        <v>142.5</v>
      </c>
      <c r="U56" s="2"/>
      <c r="V56" s="6">
        <f t="shared" si="32"/>
        <v>1.7349067163790693E-4</v>
      </c>
      <c r="W56" s="2"/>
      <c r="X56" s="7">
        <f t="shared" si="33"/>
        <v>349.17</v>
      </c>
      <c r="Y56" s="2"/>
      <c r="Z56" s="6">
        <f t="shared" si="34"/>
        <v>2.4503157894736844</v>
      </c>
    </row>
    <row r="57" spans="1:26" s="24" customFormat="1" hidden="1" outlineLevel="2" x14ac:dyDescent="0.35">
      <c r="A57" s="27"/>
      <c r="B57" s="11" t="str">
        <f>CONCATENATE("          ", "6005", " - ", "TEMPORARY WAGES-HOURLY")</f>
        <v xml:space="preserve">          6005 - TEMPORARY WAGES-HOURLY</v>
      </c>
      <c r="C57" s="11"/>
      <c r="D57" s="7"/>
      <c r="E57" s="2"/>
      <c r="F57" s="6">
        <f t="shared" si="27"/>
        <v>0</v>
      </c>
      <c r="G57" s="2"/>
      <c r="H57" s="7">
        <v>950.25</v>
      </c>
      <c r="I57" s="2"/>
      <c r="J57" s="6">
        <f t="shared" si="28"/>
        <v>0.17752092794733315</v>
      </c>
      <c r="K57" s="2"/>
      <c r="L57" s="7">
        <f t="shared" si="29"/>
        <v>-950.25</v>
      </c>
      <c r="M57" s="2"/>
      <c r="N57" s="6">
        <f t="shared" si="30"/>
        <v>-1</v>
      </c>
      <c r="O57" s="11"/>
      <c r="P57" s="7">
        <v>18251.969999999998</v>
      </c>
      <c r="Q57" s="2"/>
      <c r="R57" s="6">
        <f t="shared" si="31"/>
        <v>3.5424346895525038E-2</v>
      </c>
      <c r="S57" s="2"/>
      <c r="T57" s="7">
        <v>20003.099999999999</v>
      </c>
      <c r="U57" s="2"/>
      <c r="V57" s="6">
        <f t="shared" si="32"/>
        <v>2.4353342132212043E-2</v>
      </c>
      <c r="W57" s="2"/>
      <c r="X57" s="7">
        <f t="shared" si="33"/>
        <v>-1751.130000000001</v>
      </c>
      <c r="Y57" s="2"/>
      <c r="Z57" s="6">
        <f t="shared" si="34"/>
        <v>-8.7542930845718972E-2</v>
      </c>
    </row>
    <row r="58" spans="1:26" s="24" customFormat="1" hidden="1" outlineLevel="2" x14ac:dyDescent="0.35">
      <c r="A58" s="27"/>
      <c r="B58" s="11" t="str">
        <f>CONCATENATE("          ", "6006", " - ", "TEMPORARY PART TIME")</f>
        <v xml:space="preserve">          6006 - TEMPORARY PART TIME</v>
      </c>
      <c r="C58" s="11"/>
      <c r="D58" s="7"/>
      <c r="E58" s="2"/>
      <c r="F58" s="6">
        <f t="shared" si="27"/>
        <v>0</v>
      </c>
      <c r="G58" s="2"/>
      <c r="H58" s="7">
        <v>54</v>
      </c>
      <c r="I58" s="2"/>
      <c r="J58" s="6">
        <f t="shared" si="28"/>
        <v>1.0088008533707961E-2</v>
      </c>
      <c r="K58" s="2"/>
      <c r="L58" s="7">
        <f t="shared" si="29"/>
        <v>-54</v>
      </c>
      <c r="M58" s="2"/>
      <c r="N58" s="6">
        <f t="shared" si="30"/>
        <v>-1</v>
      </c>
      <c r="O58" s="11"/>
      <c r="P58" s="7">
        <v>2571.56</v>
      </c>
      <c r="Q58" s="2"/>
      <c r="R58" s="6">
        <f t="shared" si="31"/>
        <v>4.9910137646871199E-3</v>
      </c>
      <c r="S58" s="2"/>
      <c r="T58" s="7">
        <v>10463.209999999999</v>
      </c>
      <c r="U58" s="2"/>
      <c r="V58" s="6">
        <f t="shared" si="32"/>
        <v>1.2738732143076942E-2</v>
      </c>
      <c r="W58" s="2"/>
      <c r="X58" s="7">
        <f t="shared" si="33"/>
        <v>-7891.65</v>
      </c>
      <c r="Y58" s="2"/>
      <c r="Z58" s="6">
        <f t="shared" si="34"/>
        <v>-0.75422838689082994</v>
      </c>
    </row>
    <row r="59" spans="1:26" s="24" customFormat="1" hidden="1" outlineLevel="2" x14ac:dyDescent="0.35">
      <c r="A59" s="27"/>
      <c r="B59" s="11" t="str">
        <f>CONCATENATE("          ", "6007", " - ", "STUDENT HOURLY")</f>
        <v xml:space="preserve">          6007 - STUDENT HOURLY</v>
      </c>
      <c r="C59" s="11"/>
      <c r="D59" s="7"/>
      <c r="E59" s="2"/>
      <c r="F59" s="6">
        <f t="shared" si="27"/>
        <v>0</v>
      </c>
      <c r="G59" s="2"/>
      <c r="H59" s="7">
        <v>1677</v>
      </c>
      <c r="I59" s="2"/>
      <c r="J59" s="6">
        <f t="shared" si="28"/>
        <v>0.31328870946348614</v>
      </c>
      <c r="K59" s="2"/>
      <c r="L59" s="7">
        <f t="shared" si="29"/>
        <v>-1677</v>
      </c>
      <c r="M59" s="2"/>
      <c r="N59" s="6">
        <f t="shared" si="30"/>
        <v>-1</v>
      </c>
      <c r="O59" s="11"/>
      <c r="P59" s="7">
        <v>35345.96</v>
      </c>
      <c r="Q59" s="2"/>
      <c r="R59" s="6">
        <f t="shared" si="31"/>
        <v>6.8601227615175356E-2</v>
      </c>
      <c r="S59" s="2"/>
      <c r="T59" s="7">
        <v>55943.57</v>
      </c>
      <c r="U59" s="2"/>
      <c r="V59" s="6">
        <f t="shared" si="32"/>
        <v>6.8110087951735163E-2</v>
      </c>
      <c r="W59" s="2"/>
      <c r="X59" s="7">
        <f t="shared" si="33"/>
        <v>-20597.61</v>
      </c>
      <c r="Y59" s="2"/>
      <c r="Z59" s="6">
        <f t="shared" si="34"/>
        <v>-0.36818547690109876</v>
      </c>
    </row>
    <row r="60" spans="1:26" s="24" customFormat="1" hidden="1" outlineLevel="2" x14ac:dyDescent="0.35">
      <c r="A60" s="27"/>
      <c r="B60" s="11" t="str">
        <f>CONCATENATE("          ", "6008", " - ", "STUDENT HOURLY-FICA EXEMPT")</f>
        <v xml:space="preserve">          6008 - STUDENT HOURLY-FICA EXEMPT</v>
      </c>
      <c r="C60" s="11"/>
      <c r="D60" s="7"/>
      <c r="E60" s="2"/>
      <c r="F60" s="6">
        <f t="shared" si="27"/>
        <v>0</v>
      </c>
      <c r="G60" s="2"/>
      <c r="H60" s="7"/>
      <c r="I60" s="2"/>
      <c r="J60" s="6">
        <f t="shared" si="28"/>
        <v>0</v>
      </c>
      <c r="K60" s="2"/>
      <c r="L60" s="7">
        <f t="shared" si="29"/>
        <v>0</v>
      </c>
      <c r="M60" s="2"/>
      <c r="N60" s="6">
        <f t="shared" si="30"/>
        <v>0</v>
      </c>
      <c r="O60" s="11"/>
      <c r="P60" s="7"/>
      <c r="Q60" s="2"/>
      <c r="R60" s="6">
        <f t="shared" si="31"/>
        <v>0</v>
      </c>
      <c r="S60" s="2"/>
      <c r="T60" s="7">
        <v>1719</v>
      </c>
      <c r="U60" s="2"/>
      <c r="V60" s="6">
        <f t="shared" si="32"/>
        <v>2.0928453652320142E-3</v>
      </c>
      <c r="W60" s="2"/>
      <c r="X60" s="7">
        <f t="shared" si="33"/>
        <v>-1719</v>
      </c>
      <c r="Y60" s="2"/>
      <c r="Z60" s="6">
        <f t="shared" si="34"/>
        <v>-1</v>
      </c>
    </row>
    <row r="61" spans="1:26" s="25" customFormat="1" outlineLevel="1" collapsed="1" x14ac:dyDescent="0.35">
      <c r="A61" s="26"/>
      <c r="B61" s="12" t="str">
        <f>CONCATENATE("     ","Advertising/Promo                                 ")</f>
        <v xml:space="preserve">     Advertising/Promo                                 </v>
      </c>
      <c r="C61" s="12"/>
      <c r="D61" s="1">
        <f>SUM(OSRRefD22_2x_0)</f>
        <v>0</v>
      </c>
      <c r="E61" s="1"/>
      <c r="F61" s="5">
        <f t="shared" ref="F61:F71" si="35">IF(D$12=0,0,D61/D$12)</f>
        <v>0</v>
      </c>
      <c r="G61" s="1"/>
      <c r="H61" s="1">
        <f>SUM(OSRRefH22_2x_0)</f>
        <v>4050.49</v>
      </c>
      <c r="I61" s="1"/>
      <c r="J61" s="5">
        <f t="shared" ref="J61:J71" si="36">IF(H$12=0,0,H61/H$12)</f>
        <v>0.75669217936479172</v>
      </c>
      <c r="K61" s="1"/>
      <c r="L61" s="1">
        <f t="shared" ref="L61:L71" si="37">+D61-H61</f>
        <v>-4050.49</v>
      </c>
      <c r="M61" s="1"/>
      <c r="N61" s="5">
        <f t="shared" ref="N61:N71" si="38">IF(H61=0,0,L61/H61)</f>
        <v>-1</v>
      </c>
      <c r="O61" s="12"/>
      <c r="P61" s="1">
        <f>SUM(OSRRefP22_2x_0)</f>
        <v>1915.77</v>
      </c>
      <c r="Q61" s="1"/>
      <c r="R61" s="5">
        <f t="shared" ref="R61:R71" si="39">IF(P$12=0,0,P61/P$12)</f>
        <v>3.718223350796654E-3</v>
      </c>
      <c r="S61" s="1"/>
      <c r="T61" s="1">
        <f>SUM(OSRRefT22_2x_0)</f>
        <v>9682.83</v>
      </c>
      <c r="U61" s="1"/>
      <c r="V61" s="5">
        <f t="shared" ref="V61:V71" si="40">IF(T$12=0,0,T61/T$12)</f>
        <v>1.1788636351267891E-2</v>
      </c>
      <c r="W61" s="1"/>
      <c r="X61" s="1">
        <f t="shared" ref="X61:X71" si="41">+P61-T61</f>
        <v>-7767.0599999999995</v>
      </c>
      <c r="Y61" s="1"/>
      <c r="Z61" s="5">
        <f t="shared" ref="Z61:Z71" si="42">IF(T61=0,0,X61/T61)</f>
        <v>-0.80214771921018957</v>
      </c>
    </row>
    <row r="62" spans="1:26" s="24" customFormat="1" hidden="1" outlineLevel="2" x14ac:dyDescent="0.35">
      <c r="A62" s="27"/>
      <c r="B62" s="11" t="str">
        <f>CONCATENATE("          ", "6362", " - ", "ADVERTISING EXPENSE")</f>
        <v xml:space="preserve">          6362 - ADVERTISING EXPENSE</v>
      </c>
      <c r="C62" s="11"/>
      <c r="D62" s="7"/>
      <c r="E62" s="2"/>
      <c r="F62" s="6">
        <f t="shared" si="35"/>
        <v>0</v>
      </c>
      <c r="G62" s="2"/>
      <c r="H62" s="7">
        <v>4050.49</v>
      </c>
      <c r="I62" s="2"/>
      <c r="J62" s="6">
        <f t="shared" si="36"/>
        <v>0.75669217936479172</v>
      </c>
      <c r="K62" s="2"/>
      <c r="L62" s="7">
        <f t="shared" si="37"/>
        <v>-4050.49</v>
      </c>
      <c r="M62" s="2"/>
      <c r="N62" s="6">
        <f t="shared" si="38"/>
        <v>-1</v>
      </c>
      <c r="O62" s="11"/>
      <c r="P62" s="7">
        <v>1915.77</v>
      </c>
      <c r="Q62" s="2"/>
      <c r="R62" s="6">
        <f t="shared" si="39"/>
        <v>3.718223350796654E-3</v>
      </c>
      <c r="S62" s="2"/>
      <c r="T62" s="7">
        <v>9682.83</v>
      </c>
      <c r="U62" s="2"/>
      <c r="V62" s="6">
        <f t="shared" si="40"/>
        <v>1.1788636351267891E-2</v>
      </c>
      <c r="W62" s="2"/>
      <c r="X62" s="7">
        <f t="shared" si="41"/>
        <v>-7767.0599999999995</v>
      </c>
      <c r="Y62" s="2"/>
      <c r="Z62" s="6">
        <f t="shared" si="42"/>
        <v>-0.80214771921018957</v>
      </c>
    </row>
    <row r="63" spans="1:26" s="25" customFormat="1" outlineLevel="1" collapsed="1" x14ac:dyDescent="0.35">
      <c r="A63" s="26"/>
      <c r="B63" s="12" t="str">
        <f>CONCATENATE("     ","Depreciation                                      ")</f>
        <v xml:space="preserve">     Depreciation                                      </v>
      </c>
      <c r="C63" s="12"/>
      <c r="D63" s="1">
        <f>SUM(OSRRefD22_3x_0)</f>
        <v>169.9</v>
      </c>
      <c r="E63" s="1"/>
      <c r="F63" s="5">
        <f t="shared" si="35"/>
        <v>2.4744364066930667E-2</v>
      </c>
      <c r="G63" s="1"/>
      <c r="H63" s="1">
        <f>SUM(OSRRefH22_3x_0)</f>
        <v>0</v>
      </c>
      <c r="I63" s="1"/>
      <c r="J63" s="5">
        <f t="shared" si="36"/>
        <v>0</v>
      </c>
      <c r="K63" s="1"/>
      <c r="L63" s="1">
        <f t="shared" si="37"/>
        <v>169.9</v>
      </c>
      <c r="M63" s="1"/>
      <c r="N63" s="5">
        <f t="shared" si="38"/>
        <v>0</v>
      </c>
      <c r="O63" s="12"/>
      <c r="P63" s="1">
        <f>SUM(OSRRefP22_3x_0)</f>
        <v>1189.18</v>
      </c>
      <c r="Q63" s="1"/>
      <c r="R63" s="5">
        <f t="shared" si="39"/>
        <v>2.3080207145431682E-3</v>
      </c>
      <c r="S63" s="1"/>
      <c r="T63" s="1">
        <f>SUM(OSRRefT22_3x_0)</f>
        <v>0</v>
      </c>
      <c r="U63" s="1"/>
      <c r="V63" s="5">
        <f t="shared" si="40"/>
        <v>0</v>
      </c>
      <c r="W63" s="1"/>
      <c r="X63" s="1">
        <f t="shared" si="41"/>
        <v>1189.18</v>
      </c>
      <c r="Y63" s="1"/>
      <c r="Z63" s="5">
        <f t="shared" si="42"/>
        <v>0</v>
      </c>
    </row>
    <row r="64" spans="1:26" s="24" customFormat="1" hidden="1" outlineLevel="2" x14ac:dyDescent="0.35">
      <c r="A64" s="27"/>
      <c r="B64" s="11" t="str">
        <f>CONCATENATE("          ", "6322", " - ", "EQUIPMENT DEPRECIATION EXPENSE")</f>
        <v xml:space="preserve">          6322 - EQUIPMENT DEPRECIATION EXPENSE</v>
      </c>
      <c r="C64" s="11"/>
      <c r="D64" s="7">
        <v>169.9</v>
      </c>
      <c r="E64" s="2"/>
      <c r="F64" s="6">
        <f t="shared" si="35"/>
        <v>2.4744364066930667E-2</v>
      </c>
      <c r="G64" s="2"/>
      <c r="H64" s="7"/>
      <c r="I64" s="2"/>
      <c r="J64" s="6">
        <f t="shared" si="36"/>
        <v>0</v>
      </c>
      <c r="K64" s="2"/>
      <c r="L64" s="7">
        <f t="shared" si="37"/>
        <v>169.9</v>
      </c>
      <c r="M64" s="2"/>
      <c r="N64" s="6">
        <f t="shared" si="38"/>
        <v>0</v>
      </c>
      <c r="O64" s="11"/>
      <c r="P64" s="7">
        <v>1189.18</v>
      </c>
      <c r="Q64" s="2"/>
      <c r="R64" s="6">
        <f t="shared" si="39"/>
        <v>2.3080207145431682E-3</v>
      </c>
      <c r="S64" s="2"/>
      <c r="T64" s="7"/>
      <c r="U64" s="2"/>
      <c r="V64" s="6">
        <f t="shared" si="40"/>
        <v>0</v>
      </c>
      <c r="W64" s="2"/>
      <c r="X64" s="7">
        <f t="shared" si="41"/>
        <v>1189.18</v>
      </c>
      <c r="Y64" s="2"/>
      <c r="Z64" s="6">
        <f t="shared" si="42"/>
        <v>0</v>
      </c>
    </row>
    <row r="65" spans="1:26" s="25" customFormat="1" outlineLevel="1" collapsed="1" x14ac:dyDescent="0.35">
      <c r="A65" s="26"/>
      <c r="B65" s="12" t="str">
        <f>CONCATENATE("     ","Discounts and Markdowns                           ")</f>
        <v xml:space="preserve">     Discounts and Markdowns                           </v>
      </c>
      <c r="C65" s="12"/>
      <c r="D65" s="1">
        <f>SUM(OSRRefD22_4x_0)</f>
        <v>7.99</v>
      </c>
      <c r="E65" s="1"/>
      <c r="F65" s="5">
        <f t="shared" si="35"/>
        <v>1.1636696226884993E-3</v>
      </c>
      <c r="G65" s="1"/>
      <c r="H65" s="1">
        <f>SUM(OSRRefH22_4x_0)</f>
        <v>77.05</v>
      </c>
      <c r="I65" s="1"/>
      <c r="J65" s="5">
        <f t="shared" si="36"/>
        <v>1.4394093657818487E-2</v>
      </c>
      <c r="K65" s="1"/>
      <c r="L65" s="1">
        <f t="shared" si="37"/>
        <v>-69.06</v>
      </c>
      <c r="M65" s="1"/>
      <c r="N65" s="5">
        <f t="shared" si="38"/>
        <v>-0.89630110317975342</v>
      </c>
      <c r="O65" s="12"/>
      <c r="P65" s="1">
        <f>SUM(OSRRefP22_4x_0)</f>
        <v>1289.18</v>
      </c>
      <c r="Q65" s="1"/>
      <c r="R65" s="5">
        <f t="shared" si="39"/>
        <v>2.5021057743779425E-3</v>
      </c>
      <c r="S65" s="1"/>
      <c r="T65" s="1">
        <f>SUM(OSRRefT22_4x_0)</f>
        <v>8725.18</v>
      </c>
      <c r="U65" s="1"/>
      <c r="V65" s="5">
        <f t="shared" si="40"/>
        <v>1.0622718163941284E-2</v>
      </c>
      <c r="W65" s="1"/>
      <c r="X65" s="1">
        <f t="shared" si="41"/>
        <v>-7436</v>
      </c>
      <c r="Y65" s="1"/>
      <c r="Z65" s="5">
        <f t="shared" si="42"/>
        <v>-0.85224602816216966</v>
      </c>
    </row>
    <row r="66" spans="1:26" s="24" customFormat="1" hidden="1" outlineLevel="2" x14ac:dyDescent="0.35">
      <c r="A66" s="27"/>
      <c r="B66" s="11" t="str">
        <f>CONCATENATE("          ", "6382", " - ", "DISCOUNTS/MARK DOWNS")</f>
        <v xml:space="preserve">          6382 - DISCOUNTS/MARK DOWNS</v>
      </c>
      <c r="C66" s="11"/>
      <c r="D66" s="7">
        <v>7.99</v>
      </c>
      <c r="E66" s="2"/>
      <c r="F66" s="6">
        <f t="shared" si="35"/>
        <v>1.1636696226884993E-3</v>
      </c>
      <c r="G66" s="2"/>
      <c r="H66" s="7">
        <v>77.05</v>
      </c>
      <c r="I66" s="2"/>
      <c r="J66" s="6">
        <f t="shared" si="36"/>
        <v>1.4394093657818487E-2</v>
      </c>
      <c r="K66" s="2"/>
      <c r="L66" s="7">
        <f t="shared" si="37"/>
        <v>-69.06</v>
      </c>
      <c r="M66" s="2"/>
      <c r="N66" s="6">
        <f t="shared" si="38"/>
        <v>-0.89630110317975342</v>
      </c>
      <c r="O66" s="11"/>
      <c r="P66" s="7">
        <v>1289.18</v>
      </c>
      <c r="Q66" s="2"/>
      <c r="R66" s="6">
        <f t="shared" si="39"/>
        <v>2.5021057743779425E-3</v>
      </c>
      <c r="S66" s="2"/>
      <c r="T66" s="7">
        <v>8725.18</v>
      </c>
      <c r="U66" s="2"/>
      <c r="V66" s="6">
        <f t="shared" si="40"/>
        <v>1.0622718163941284E-2</v>
      </c>
      <c r="W66" s="2"/>
      <c r="X66" s="7">
        <f t="shared" si="41"/>
        <v>-7436</v>
      </c>
      <c r="Y66" s="2"/>
      <c r="Z66" s="6">
        <f t="shared" si="42"/>
        <v>-0.85224602816216966</v>
      </c>
    </row>
    <row r="67" spans="1:26" s="25" customFormat="1" outlineLevel="1" collapsed="1" x14ac:dyDescent="0.35">
      <c r="A67" s="26"/>
      <c r="B67" s="12" t="str">
        <f>CONCATENATE("     ","Equipment Rental                                  ")</f>
        <v xml:space="preserve">     Equipment Rental                                  </v>
      </c>
      <c r="C67" s="12"/>
      <c r="D67" s="1">
        <f>SUM(OSRRefD22_5x_0)</f>
        <v>1205.6400000000001</v>
      </c>
      <c r="E67" s="1"/>
      <c r="F67" s="5">
        <f t="shared" si="35"/>
        <v>0.17559031838525188</v>
      </c>
      <c r="G67" s="1"/>
      <c r="H67" s="1">
        <f>SUM(OSRRefH22_5x_0)</f>
        <v>3171.9</v>
      </c>
      <c r="I67" s="1"/>
      <c r="J67" s="5">
        <f t="shared" si="36"/>
        <v>0.59255841237163487</v>
      </c>
      <c r="K67" s="1"/>
      <c r="L67" s="1">
        <f t="shared" si="37"/>
        <v>-1966.26</v>
      </c>
      <c r="M67" s="1"/>
      <c r="N67" s="5">
        <f t="shared" si="38"/>
        <v>-0.61989974463255459</v>
      </c>
      <c r="O67" s="12"/>
      <c r="P67" s="1">
        <f>SUM(OSRRefP22_5x_0)</f>
        <v>17287.350000000002</v>
      </c>
      <c r="Q67" s="1"/>
      <c r="R67" s="5">
        <f t="shared" si="39"/>
        <v>3.3552163591346842E-2</v>
      </c>
      <c r="S67" s="1"/>
      <c r="T67" s="1">
        <f>SUM(OSRRefT22_5x_0)</f>
        <v>38555.11</v>
      </c>
      <c r="U67" s="1"/>
      <c r="V67" s="5">
        <f t="shared" si="40"/>
        <v>4.6940013536655313E-2</v>
      </c>
      <c r="W67" s="1"/>
      <c r="X67" s="1">
        <f t="shared" si="41"/>
        <v>-21267.759999999998</v>
      </c>
      <c r="Y67" s="1"/>
      <c r="Z67" s="5">
        <f t="shared" si="42"/>
        <v>-0.55161974638381261</v>
      </c>
    </row>
    <row r="68" spans="1:26" s="24" customFormat="1" hidden="1" outlineLevel="2" x14ac:dyDescent="0.35">
      <c r="A68" s="27"/>
      <c r="B68" s="11" t="str">
        <f>CONCATENATE("          ", "6351", " - ", "EQUIPMENT RENTAL")</f>
        <v xml:space="preserve">          6351 - EQUIPMENT RENTAL</v>
      </c>
      <c r="C68" s="11"/>
      <c r="D68" s="7">
        <v>1205.6400000000001</v>
      </c>
      <c r="E68" s="2"/>
      <c r="F68" s="6">
        <f t="shared" si="35"/>
        <v>0.17559031838525188</v>
      </c>
      <c r="G68" s="2"/>
      <c r="H68" s="7">
        <v>3171.9</v>
      </c>
      <c r="I68" s="2"/>
      <c r="J68" s="6">
        <f t="shared" si="36"/>
        <v>0.59255841237163487</v>
      </c>
      <c r="K68" s="2"/>
      <c r="L68" s="7">
        <f t="shared" si="37"/>
        <v>-1966.26</v>
      </c>
      <c r="M68" s="2"/>
      <c r="N68" s="6">
        <f t="shared" si="38"/>
        <v>-0.61989974463255459</v>
      </c>
      <c r="O68" s="11"/>
      <c r="P68" s="7">
        <v>17287.350000000002</v>
      </c>
      <c r="Q68" s="2"/>
      <c r="R68" s="6">
        <f t="shared" si="39"/>
        <v>3.3552163591346842E-2</v>
      </c>
      <c r="S68" s="2"/>
      <c r="T68" s="7">
        <v>38555.11</v>
      </c>
      <c r="U68" s="2"/>
      <c r="V68" s="6">
        <f t="shared" si="40"/>
        <v>4.6940013536655313E-2</v>
      </c>
      <c r="W68" s="2"/>
      <c r="X68" s="7">
        <f t="shared" si="41"/>
        <v>-21267.759999999998</v>
      </c>
      <c r="Y68" s="2"/>
      <c r="Z68" s="6">
        <f t="shared" si="42"/>
        <v>-0.55161974638381261</v>
      </c>
    </row>
    <row r="69" spans="1:26" s="25" customFormat="1" outlineLevel="1" collapsed="1" x14ac:dyDescent="0.35">
      <c r="A69" s="26"/>
      <c r="B69" s="12" t="str">
        <f>CONCATENATE("     ","Freight out/Postage                               ")</f>
        <v xml:space="preserve">     Freight out/Postage                               </v>
      </c>
      <c r="C69" s="12"/>
      <c r="D69" s="1">
        <f>SUM(OSRRefD22_6x_0)</f>
        <v>18433.239999999998</v>
      </c>
      <c r="E69" s="1"/>
      <c r="F69" s="5">
        <f t="shared" si="35"/>
        <v>2.6846309681760387</v>
      </c>
      <c r="G69" s="1"/>
      <c r="H69" s="1">
        <f>SUM(OSRRefH22_6x_0)</f>
        <v>-3561.85</v>
      </c>
      <c r="I69" s="1"/>
      <c r="J69" s="5">
        <f t="shared" si="36"/>
        <v>-0.66540691103310556</v>
      </c>
      <c r="K69" s="1"/>
      <c r="L69" s="1">
        <f t="shared" si="37"/>
        <v>21995.089999999997</v>
      </c>
      <c r="M69" s="1"/>
      <c r="N69" s="5">
        <f t="shared" si="38"/>
        <v>-6.1751870516725846</v>
      </c>
      <c r="O69" s="12"/>
      <c r="P69" s="1">
        <f>SUM(OSRRefP22_6x_0)</f>
        <v>6172.25</v>
      </c>
      <c r="Q69" s="1"/>
      <c r="R69" s="5">
        <f t="shared" si="39"/>
        <v>1.1979415105651852E-2</v>
      </c>
      <c r="S69" s="1"/>
      <c r="T69" s="1">
        <f>SUM(OSRRefT22_6x_0)</f>
        <v>-35068.07</v>
      </c>
      <c r="U69" s="1"/>
      <c r="V69" s="5">
        <f t="shared" si="40"/>
        <v>-4.2694617665579894E-2</v>
      </c>
      <c r="W69" s="1"/>
      <c r="X69" s="1">
        <f t="shared" si="41"/>
        <v>41240.32</v>
      </c>
      <c r="Y69" s="1"/>
      <c r="Z69" s="5">
        <f t="shared" si="42"/>
        <v>-1.1760076901865428</v>
      </c>
    </row>
    <row r="70" spans="1:26" s="24" customFormat="1" hidden="1" outlineLevel="2" x14ac:dyDescent="0.35">
      <c r="A70" s="27"/>
      <c r="B70" s="11" t="str">
        <f>CONCATENATE("          ", "6305", " - ", "FREIGHT OUT")</f>
        <v xml:space="preserve">          6305 - FREIGHT OUT</v>
      </c>
      <c r="C70" s="11"/>
      <c r="D70" s="7">
        <v>26023.289999999997</v>
      </c>
      <c r="E70" s="2"/>
      <c r="F70" s="6">
        <f t="shared" si="35"/>
        <v>3.7900515713909129</v>
      </c>
      <c r="G70" s="2"/>
      <c r="H70" s="7">
        <v>3655.53</v>
      </c>
      <c r="I70" s="2"/>
      <c r="J70" s="6">
        <f t="shared" si="36"/>
        <v>0.68290773768936042</v>
      </c>
      <c r="K70" s="2"/>
      <c r="L70" s="7">
        <f t="shared" si="37"/>
        <v>22367.759999999998</v>
      </c>
      <c r="M70" s="2"/>
      <c r="N70" s="6">
        <f t="shared" si="38"/>
        <v>6.1188828979655474</v>
      </c>
      <c r="O70" s="11"/>
      <c r="P70" s="7">
        <v>71942.320000000007</v>
      </c>
      <c r="Q70" s="2"/>
      <c r="R70" s="6">
        <f t="shared" si="39"/>
        <v>0.13962929481852476</v>
      </c>
      <c r="S70" s="2"/>
      <c r="T70" s="7">
        <v>46287.590000000004</v>
      </c>
      <c r="U70" s="2"/>
      <c r="V70" s="6">
        <f t="shared" si="40"/>
        <v>5.6354140895439053E-2</v>
      </c>
      <c r="W70" s="2"/>
      <c r="X70" s="7">
        <f t="shared" si="41"/>
        <v>25654.730000000003</v>
      </c>
      <c r="Y70" s="2"/>
      <c r="Z70" s="6">
        <f t="shared" si="42"/>
        <v>0.55424639736050207</v>
      </c>
    </row>
    <row r="71" spans="1:26" s="24" customFormat="1" hidden="1" outlineLevel="2" x14ac:dyDescent="0.35">
      <c r="A71" s="27"/>
      <c r="B71" s="11" t="str">
        <f>CONCATENATE("          ", "6307", " - ", "POSTAGE")</f>
        <v xml:space="preserve">          6307 - POSTAGE</v>
      </c>
      <c r="C71" s="11"/>
      <c r="D71" s="7">
        <v>-7590.05</v>
      </c>
      <c r="E71" s="2"/>
      <c r="F71" s="6">
        <f t="shared" si="35"/>
        <v>-1.1054206032148741</v>
      </c>
      <c r="G71" s="2"/>
      <c r="H71" s="7">
        <v>-7217.38</v>
      </c>
      <c r="I71" s="2"/>
      <c r="J71" s="6">
        <f t="shared" si="36"/>
        <v>-1.348314648722466</v>
      </c>
      <c r="K71" s="2"/>
      <c r="L71" s="7">
        <f t="shared" si="37"/>
        <v>-372.67000000000007</v>
      </c>
      <c r="M71" s="2"/>
      <c r="N71" s="6">
        <f t="shared" si="38"/>
        <v>5.1635080874223062E-2</v>
      </c>
      <c r="O71" s="11"/>
      <c r="P71" s="7">
        <v>-65770.070000000007</v>
      </c>
      <c r="Q71" s="2"/>
      <c r="R71" s="6">
        <f t="shared" si="39"/>
        <v>-0.12764987971287289</v>
      </c>
      <c r="S71" s="2"/>
      <c r="T71" s="7">
        <v>-81355.66</v>
      </c>
      <c r="U71" s="2"/>
      <c r="V71" s="6">
        <f t="shared" si="40"/>
        <v>-9.9048758561018954E-2</v>
      </c>
      <c r="W71" s="2"/>
      <c r="X71" s="7">
        <f t="shared" si="41"/>
        <v>15585.589999999997</v>
      </c>
      <c r="Y71" s="2"/>
      <c r="Z71" s="6">
        <f t="shared" si="42"/>
        <v>-0.19157351805639578</v>
      </c>
    </row>
    <row r="72" spans="1:26" s="25" customFormat="1" outlineLevel="1" collapsed="1" x14ac:dyDescent="0.35">
      <c r="A72" s="26"/>
      <c r="B72" s="12" t="str">
        <f>CONCATENATE("     ","General                                           ")</f>
        <v xml:space="preserve">     General                                           </v>
      </c>
      <c r="C72" s="12"/>
      <c r="D72" s="1">
        <f>SUM(OSRRefD22_7x_0)</f>
        <v>0</v>
      </c>
      <c r="E72" s="1"/>
      <c r="F72" s="5">
        <f t="shared" ref="F72:F77" si="43">IF(D$12=0,0,D72/D$12)</f>
        <v>0</v>
      </c>
      <c r="G72" s="1"/>
      <c r="H72" s="1">
        <f>SUM(OSRRefH22_7x_0)</f>
        <v>182.31</v>
      </c>
      <c r="I72" s="1"/>
      <c r="J72" s="5">
        <f t="shared" ref="J72:J77" si="44">IF(H$12=0,0,H72/H$12)</f>
        <v>3.4058237699635154E-2</v>
      </c>
      <c r="K72" s="1"/>
      <c r="L72" s="1">
        <f t="shared" ref="L72:L77" si="45">+D72-H72</f>
        <v>-182.31</v>
      </c>
      <c r="M72" s="1"/>
      <c r="N72" s="5">
        <f t="shared" ref="N72:N77" si="46">IF(H72=0,0,L72/H72)</f>
        <v>-1</v>
      </c>
      <c r="O72" s="12"/>
      <c r="P72" s="1">
        <f>SUM(OSRRefP22_7x_0)</f>
        <v>155.16999999999999</v>
      </c>
      <c r="Q72" s="1"/>
      <c r="R72" s="5">
        <f t="shared" ref="R72:R77" si="47">IF(P$12=0,0,P72/P$12)</f>
        <v>3.0116178734561913E-4</v>
      </c>
      <c r="S72" s="1"/>
      <c r="T72" s="1">
        <f>SUM(OSRRefT22_7x_0)</f>
        <v>473.64</v>
      </c>
      <c r="U72" s="1"/>
      <c r="V72" s="5">
        <f t="shared" ref="V72:V77" si="48">IF(T$12=0,0,T72/T$12)</f>
        <v>5.7664646817247886E-4</v>
      </c>
      <c r="W72" s="1"/>
      <c r="X72" s="1">
        <f t="shared" ref="X72:X77" si="49">+P72-T72</f>
        <v>-318.47000000000003</v>
      </c>
      <c r="Y72" s="1"/>
      <c r="Z72" s="5">
        <f t="shared" ref="Z72:Z77" si="50">IF(T72=0,0,X72/T72)</f>
        <v>-0.67238831179799008</v>
      </c>
    </row>
    <row r="73" spans="1:26" s="24" customFormat="1" hidden="1" outlineLevel="2" x14ac:dyDescent="0.35">
      <c r="A73" s="27"/>
      <c r="B73" s="11" t="str">
        <f>CONCATENATE("          ", "6279", " - ", "GENERAL EXPENSE")</f>
        <v xml:space="preserve">          6279 - GENERAL EXPENSE</v>
      </c>
      <c r="C73" s="11"/>
      <c r="D73" s="7"/>
      <c r="E73" s="2"/>
      <c r="F73" s="6">
        <f t="shared" si="43"/>
        <v>0</v>
      </c>
      <c r="G73" s="2"/>
      <c r="H73" s="7">
        <v>182.31</v>
      </c>
      <c r="I73" s="2"/>
      <c r="J73" s="6">
        <f t="shared" si="44"/>
        <v>3.4058237699635154E-2</v>
      </c>
      <c r="K73" s="2"/>
      <c r="L73" s="7">
        <f t="shared" si="45"/>
        <v>-182.31</v>
      </c>
      <c r="M73" s="2"/>
      <c r="N73" s="6">
        <f t="shared" si="46"/>
        <v>-1</v>
      </c>
      <c r="O73" s="11"/>
      <c r="P73" s="7">
        <v>155.16999999999999</v>
      </c>
      <c r="Q73" s="2"/>
      <c r="R73" s="6">
        <f t="shared" si="47"/>
        <v>3.0116178734561913E-4</v>
      </c>
      <c r="S73" s="2"/>
      <c r="T73" s="7">
        <v>473.64</v>
      </c>
      <c r="U73" s="2"/>
      <c r="V73" s="6">
        <f t="shared" si="48"/>
        <v>5.7664646817247886E-4</v>
      </c>
      <c r="W73" s="2"/>
      <c r="X73" s="7">
        <f t="shared" si="49"/>
        <v>-318.47000000000003</v>
      </c>
      <c r="Y73" s="2"/>
      <c r="Z73" s="6">
        <f t="shared" si="50"/>
        <v>-0.67238831179799008</v>
      </c>
    </row>
    <row r="74" spans="1:26" s="25" customFormat="1" outlineLevel="1" collapsed="1" x14ac:dyDescent="0.35">
      <c r="A74" s="26"/>
      <c r="B74" s="12" t="str">
        <f>CONCATENATE("     ","Inventory Adjustment                              ")</f>
        <v xml:space="preserve">     Inventory Adjustment                              </v>
      </c>
      <c r="C74" s="12"/>
      <c r="D74" s="1">
        <f>SUM(OSRRefD22_8x_0)</f>
        <v>-631</v>
      </c>
      <c r="E74" s="1"/>
      <c r="F74" s="5">
        <f t="shared" si="43"/>
        <v>-9.1899315634098006E-2</v>
      </c>
      <c r="G74" s="1"/>
      <c r="H74" s="1">
        <f>SUM(OSRRefH22_8x_0)</f>
        <v>-5167</v>
      </c>
      <c r="I74" s="1"/>
      <c r="J74" s="5">
        <f t="shared" si="44"/>
        <v>-0.96527296469757473</v>
      </c>
      <c r="K74" s="1"/>
      <c r="L74" s="1">
        <f t="shared" si="45"/>
        <v>4536</v>
      </c>
      <c r="M74" s="1"/>
      <c r="N74" s="5">
        <f t="shared" si="46"/>
        <v>-0.87787884652603054</v>
      </c>
      <c r="O74" s="12"/>
      <c r="P74" s="1">
        <f>SUM(OSRRefP22_8x_0)</f>
        <v>369</v>
      </c>
      <c r="Q74" s="1"/>
      <c r="R74" s="5">
        <f t="shared" si="47"/>
        <v>7.1617387079031688E-4</v>
      </c>
      <c r="S74" s="1"/>
      <c r="T74" s="1">
        <f>SUM(OSRRefT22_8x_0)</f>
        <v>-4067</v>
      </c>
      <c r="U74" s="1"/>
      <c r="V74" s="5">
        <f t="shared" si="48"/>
        <v>-4.9514846424657368E-3</v>
      </c>
      <c r="W74" s="1"/>
      <c r="X74" s="1">
        <f t="shared" si="49"/>
        <v>4436</v>
      </c>
      <c r="Y74" s="1"/>
      <c r="Z74" s="5">
        <f t="shared" si="50"/>
        <v>-1.0907302680108188</v>
      </c>
    </row>
    <row r="75" spans="1:26" s="24" customFormat="1" hidden="1" outlineLevel="2" x14ac:dyDescent="0.35">
      <c r="A75" s="27"/>
      <c r="B75" s="11" t="str">
        <f>CONCATENATE("          ", "6408", " - ", "INVENTORY ADJUSTMENT")</f>
        <v xml:space="preserve">          6408 - INVENTORY ADJUSTMENT</v>
      </c>
      <c r="C75" s="11"/>
      <c r="D75" s="7">
        <v>-1000</v>
      </c>
      <c r="E75" s="2"/>
      <c r="F75" s="6">
        <f t="shared" si="43"/>
        <v>-0.14564075377828528</v>
      </c>
      <c r="G75" s="2"/>
      <c r="H75" s="7">
        <v>-1100</v>
      </c>
      <c r="I75" s="2"/>
      <c r="J75" s="6">
        <f t="shared" si="44"/>
        <v>-0.2054964701310881</v>
      </c>
      <c r="K75" s="2"/>
      <c r="L75" s="7">
        <f t="shared" si="45"/>
        <v>100</v>
      </c>
      <c r="M75" s="2"/>
      <c r="N75" s="6">
        <f t="shared" si="46"/>
        <v>-9.0909090909090912E-2</v>
      </c>
      <c r="O75" s="11"/>
      <c r="P75" s="7">
        <v>0</v>
      </c>
      <c r="Q75" s="2"/>
      <c r="R75" s="6">
        <f t="shared" si="47"/>
        <v>0</v>
      </c>
      <c r="S75" s="2"/>
      <c r="T75" s="7">
        <v>0</v>
      </c>
      <c r="U75" s="2"/>
      <c r="V75" s="6">
        <f t="shared" si="48"/>
        <v>0</v>
      </c>
      <c r="W75" s="2"/>
      <c r="X75" s="7">
        <f t="shared" si="49"/>
        <v>0</v>
      </c>
      <c r="Y75" s="2"/>
      <c r="Z75" s="6">
        <f t="shared" si="50"/>
        <v>0</v>
      </c>
    </row>
    <row r="76" spans="1:26" s="24" customFormat="1" hidden="1" outlineLevel="2" x14ac:dyDescent="0.35">
      <c r="A76" s="27"/>
      <c r="B76" s="11" t="str">
        <f>CONCATENATE("          ", "7792", " - ", "INV. SHRINKAGE-GRAD MERCH")</f>
        <v xml:space="preserve">          7792 - INV. SHRINKAGE-GRAD MERCH</v>
      </c>
      <c r="C76" s="11"/>
      <c r="D76" s="7">
        <v>495</v>
      </c>
      <c r="E76" s="2"/>
      <c r="F76" s="6">
        <f t="shared" si="43"/>
        <v>7.2092173120251207E-2</v>
      </c>
      <c r="G76" s="2"/>
      <c r="H76" s="7">
        <v>-3920</v>
      </c>
      <c r="I76" s="2"/>
      <c r="J76" s="6">
        <f t="shared" si="44"/>
        <v>-0.73231469355805934</v>
      </c>
      <c r="K76" s="2"/>
      <c r="L76" s="7">
        <f t="shared" si="45"/>
        <v>4415</v>
      </c>
      <c r="M76" s="2"/>
      <c r="N76" s="6">
        <f t="shared" si="46"/>
        <v>-1.1262755102040816</v>
      </c>
      <c r="O76" s="11"/>
      <c r="P76" s="7">
        <v>495</v>
      </c>
      <c r="Q76" s="2"/>
      <c r="R76" s="6">
        <f t="shared" si="47"/>
        <v>9.6072104618213244E-4</v>
      </c>
      <c r="S76" s="2"/>
      <c r="T76" s="7">
        <v>-3920</v>
      </c>
      <c r="U76" s="2"/>
      <c r="V76" s="6">
        <f t="shared" si="48"/>
        <v>-4.7725153180392648E-3</v>
      </c>
      <c r="W76" s="2"/>
      <c r="X76" s="7">
        <f t="shared" si="49"/>
        <v>4415</v>
      </c>
      <c r="Y76" s="2"/>
      <c r="Z76" s="6">
        <f t="shared" si="50"/>
        <v>-1.1262755102040816</v>
      </c>
    </row>
    <row r="77" spans="1:26" s="24" customFormat="1" hidden="1" outlineLevel="2" x14ac:dyDescent="0.35">
      <c r="A77" s="27"/>
      <c r="B77" s="11" t="str">
        <f>CONCATENATE("          ", "7795", " - ", "INV. SHRINKAGE-CUSTOMER SERVIC")</f>
        <v xml:space="preserve">          7795 - INV. SHRINKAGE-CUSTOMER SERVIC</v>
      </c>
      <c r="C77" s="11"/>
      <c r="D77" s="7">
        <v>-126</v>
      </c>
      <c r="E77" s="2"/>
      <c r="F77" s="6">
        <f t="shared" si="43"/>
        <v>-1.8350734976063945E-2</v>
      </c>
      <c r="G77" s="2"/>
      <c r="H77" s="7">
        <v>-147</v>
      </c>
      <c r="I77" s="2"/>
      <c r="J77" s="6">
        <f t="shared" si="44"/>
        <v>-2.7461801008427225E-2</v>
      </c>
      <c r="K77" s="2"/>
      <c r="L77" s="7">
        <f t="shared" si="45"/>
        <v>21</v>
      </c>
      <c r="M77" s="2"/>
      <c r="N77" s="6">
        <f t="shared" si="46"/>
        <v>-0.14285714285714285</v>
      </c>
      <c r="O77" s="11"/>
      <c r="P77" s="7">
        <v>-126</v>
      </c>
      <c r="Q77" s="2"/>
      <c r="R77" s="6">
        <f t="shared" si="47"/>
        <v>-2.4454717539181551E-4</v>
      </c>
      <c r="S77" s="2"/>
      <c r="T77" s="7">
        <v>-147</v>
      </c>
      <c r="U77" s="2"/>
      <c r="V77" s="6">
        <f t="shared" si="48"/>
        <v>-1.7896932442647241E-4</v>
      </c>
      <c r="W77" s="2"/>
      <c r="X77" s="7">
        <f t="shared" si="49"/>
        <v>21</v>
      </c>
      <c r="Y77" s="2"/>
      <c r="Z77" s="6">
        <f t="shared" si="50"/>
        <v>-0.14285714285714285</v>
      </c>
    </row>
    <row r="78" spans="1:26" s="25" customFormat="1" outlineLevel="1" collapsed="1" x14ac:dyDescent="0.35">
      <c r="A78" s="26"/>
      <c r="B78" s="12" t="str">
        <f>CONCATENATE("     ","Repair and Maintenance                            ")</f>
        <v xml:space="preserve">     Repair and Maintenance                            </v>
      </c>
      <c r="C78" s="12"/>
      <c r="D78" s="1">
        <f>SUM(OSRRefD22_9x_0)</f>
        <v>8710.14</v>
      </c>
      <c r="E78" s="1"/>
      <c r="F78" s="5">
        <f t="shared" ref="F78:F80" si="51">IF(D$12=0,0,D78/D$12)</f>
        <v>1.2685513551143937</v>
      </c>
      <c r="G78" s="1"/>
      <c r="H78" s="1">
        <f>SUM(OSRRefH22_9x_0)</f>
        <v>2501.17</v>
      </c>
      <c r="I78" s="1"/>
      <c r="J78" s="5">
        <f t="shared" ref="J78:J80" si="52">IF(H$12=0,0,H78/H$12)</f>
        <v>0.46725600563433967</v>
      </c>
      <c r="K78" s="1"/>
      <c r="L78" s="1">
        <f t="shared" ref="L78:L80" si="53">+D78-H78</f>
        <v>6208.9699999999993</v>
      </c>
      <c r="M78" s="1"/>
      <c r="N78" s="5">
        <f t="shared" ref="N78:N80" si="54">IF(H78=0,0,L78/H78)</f>
        <v>2.4824262245269209</v>
      </c>
      <c r="O78" s="12"/>
      <c r="P78" s="1">
        <f>SUM(OSRRefP22_9x_0)</f>
        <v>74977.819999999992</v>
      </c>
      <c r="Q78" s="1"/>
      <c r="R78" s="5">
        <f t="shared" ref="R78:R80" si="55">IF(P$12=0,0,P78/P$12)</f>
        <v>0.14552074680980931</v>
      </c>
      <c r="S78" s="1"/>
      <c r="T78" s="1">
        <f>SUM(OSRRefT22_9x_0)</f>
        <v>72957.009999999995</v>
      </c>
      <c r="U78" s="1"/>
      <c r="V78" s="5">
        <f t="shared" ref="V78:V80" si="56">IF(T$12=0,0,T78/T$12)</f>
        <v>8.8823583618199947E-2</v>
      </c>
      <c r="W78" s="1"/>
      <c r="X78" s="1">
        <f t="shared" ref="X78:X80" si="57">+P78-T78</f>
        <v>2020.8099999999977</v>
      </c>
      <c r="Y78" s="1"/>
      <c r="Z78" s="5">
        <f t="shared" ref="Z78:Z80" si="58">IF(T78=0,0,X78/T78)</f>
        <v>2.7698640610408758E-2</v>
      </c>
    </row>
    <row r="79" spans="1:26" s="24" customFormat="1" hidden="1" outlineLevel="2" x14ac:dyDescent="0.35">
      <c r="A79" s="27"/>
      <c r="B79" s="11" t="str">
        <f>CONCATENATE("          ", "6373", " - ", "MAINTENANCE CONTRACTS")</f>
        <v xml:space="preserve">          6373 - MAINTENANCE CONTRACTS</v>
      </c>
      <c r="C79" s="11"/>
      <c r="D79" s="7">
        <v>8710.14</v>
      </c>
      <c r="E79" s="2"/>
      <c r="F79" s="6">
        <f t="shared" si="51"/>
        <v>1.2685513551143937</v>
      </c>
      <c r="G79" s="2"/>
      <c r="H79" s="7">
        <v>2501.17</v>
      </c>
      <c r="I79" s="2"/>
      <c r="J79" s="6">
        <f t="shared" si="52"/>
        <v>0.46725600563433967</v>
      </c>
      <c r="K79" s="2"/>
      <c r="L79" s="7">
        <f t="shared" si="53"/>
        <v>6208.9699999999993</v>
      </c>
      <c r="M79" s="2"/>
      <c r="N79" s="6">
        <f t="shared" si="54"/>
        <v>2.4824262245269209</v>
      </c>
      <c r="O79" s="11"/>
      <c r="P79" s="7">
        <v>73576.06</v>
      </c>
      <c r="Q79" s="2"/>
      <c r="R79" s="6">
        <f t="shared" si="55"/>
        <v>0.14280014007506939</v>
      </c>
      <c r="S79" s="2"/>
      <c r="T79" s="7">
        <v>72067.81</v>
      </c>
      <c r="U79" s="2"/>
      <c r="V79" s="6">
        <f t="shared" si="56"/>
        <v>8.7741001827179407E-2</v>
      </c>
      <c r="W79" s="2"/>
      <c r="X79" s="7">
        <f t="shared" si="57"/>
        <v>1508.25</v>
      </c>
      <c r="Y79" s="2"/>
      <c r="Z79" s="6">
        <f t="shared" si="58"/>
        <v>2.092820636564369E-2</v>
      </c>
    </row>
    <row r="80" spans="1:26" s="24" customFormat="1" hidden="1" outlineLevel="2" x14ac:dyDescent="0.35">
      <c r="A80" s="27"/>
      <c r="B80" s="11" t="str">
        <f>CONCATENATE("          ", "6375", " - ", "OUTSIDE REPAIRS &amp; MAINTENANCE")</f>
        <v xml:space="preserve">          6375 - OUTSIDE REPAIRS &amp; MAINTENANCE</v>
      </c>
      <c r="C80" s="11"/>
      <c r="D80" s="7"/>
      <c r="E80" s="2"/>
      <c r="F80" s="6">
        <f t="shared" si="51"/>
        <v>0</v>
      </c>
      <c r="G80" s="2"/>
      <c r="H80" s="7"/>
      <c r="I80" s="2"/>
      <c r="J80" s="6">
        <f t="shared" si="52"/>
        <v>0</v>
      </c>
      <c r="K80" s="2"/>
      <c r="L80" s="7">
        <f t="shared" si="53"/>
        <v>0</v>
      </c>
      <c r="M80" s="2"/>
      <c r="N80" s="6">
        <f t="shared" si="54"/>
        <v>0</v>
      </c>
      <c r="O80" s="11"/>
      <c r="P80" s="7">
        <v>1401.76</v>
      </c>
      <c r="Q80" s="2"/>
      <c r="R80" s="6">
        <f t="shared" si="55"/>
        <v>2.7206067347399312E-3</v>
      </c>
      <c r="S80" s="2"/>
      <c r="T80" s="7">
        <v>889.2</v>
      </c>
      <c r="U80" s="2"/>
      <c r="V80" s="6">
        <f t="shared" si="56"/>
        <v>1.0825817910205394E-3</v>
      </c>
      <c r="W80" s="2"/>
      <c r="X80" s="7">
        <f t="shared" si="57"/>
        <v>512.55999999999995</v>
      </c>
      <c r="Y80" s="2"/>
      <c r="Z80" s="6">
        <f t="shared" si="58"/>
        <v>0.57642825011246057</v>
      </c>
    </row>
    <row r="81" spans="1:26" s="25" customFormat="1" outlineLevel="1" collapsed="1" x14ac:dyDescent="0.35">
      <c r="A81" s="26"/>
      <c r="B81" s="12" t="str">
        <f>CONCATENATE("     ","Royalty &amp; Commissions                             ")</f>
        <v xml:space="preserve">     Royalty &amp; Commissions                             </v>
      </c>
      <c r="C81" s="12"/>
      <c r="D81" s="1">
        <f>SUM(OSRRefD22_10x_0)</f>
        <v>0</v>
      </c>
      <c r="E81" s="1"/>
      <c r="F81" s="5">
        <f t="shared" ref="F81:F88" si="59">IF(D$12=0,0,D81/D$12)</f>
        <v>0</v>
      </c>
      <c r="G81" s="1"/>
      <c r="H81" s="1">
        <f>SUM(OSRRefH22_10x_0)</f>
        <v>4521.01</v>
      </c>
      <c r="I81" s="1"/>
      <c r="J81" s="5">
        <f t="shared" ref="J81:J88" si="60">IF(H$12=0,0,H81/H$12)</f>
        <v>0.8445923603885005</v>
      </c>
      <c r="K81" s="1"/>
      <c r="L81" s="1">
        <f t="shared" ref="L81:L88" si="61">+D81-H81</f>
        <v>-4521.01</v>
      </c>
      <c r="M81" s="1"/>
      <c r="N81" s="5">
        <f t="shared" ref="N81:N88" si="62">IF(H81=0,0,L81/H81)</f>
        <v>-1</v>
      </c>
      <c r="O81" s="12"/>
      <c r="P81" s="1">
        <f>SUM(OSRRefP22_10x_0)</f>
        <v>82607.740000000005</v>
      </c>
      <c r="Q81" s="1"/>
      <c r="R81" s="5">
        <f t="shared" ref="R81:R88" si="63">IF(P$12=0,0,P81/P$12)</f>
        <v>0.16032928160715473</v>
      </c>
      <c r="S81" s="1"/>
      <c r="T81" s="1">
        <f>SUM(OSRRefT22_10x_0)</f>
        <v>114771.74</v>
      </c>
      <c r="U81" s="1"/>
      <c r="V81" s="5">
        <f t="shared" ref="V81:V88" si="64">IF(T$12=0,0,T81/T$12)</f>
        <v>0.13973211408878056</v>
      </c>
      <c r="W81" s="1"/>
      <c r="X81" s="1">
        <f t="shared" ref="X81:X88" si="65">+P81-T81</f>
        <v>-32164</v>
      </c>
      <c r="Y81" s="1"/>
      <c r="Z81" s="5">
        <f t="shared" ref="Z81:Z88" si="66">IF(T81=0,0,X81/T81)</f>
        <v>-0.28024320272568837</v>
      </c>
    </row>
    <row r="82" spans="1:26" s="24" customFormat="1" hidden="1" outlineLevel="2" x14ac:dyDescent="0.35">
      <c r="A82" s="27"/>
      <c r="B82" s="11" t="str">
        <f>CONCATENATE("          ", "6259", " - ", "ROYALTY &amp; COMMISSIONS")</f>
        <v xml:space="preserve">          6259 - ROYALTY &amp; COMMISSIONS</v>
      </c>
      <c r="C82" s="11"/>
      <c r="D82" s="7"/>
      <c r="E82" s="2"/>
      <c r="F82" s="6">
        <f t="shared" si="59"/>
        <v>0</v>
      </c>
      <c r="G82" s="2"/>
      <c r="H82" s="7">
        <v>4521.01</v>
      </c>
      <c r="I82" s="2"/>
      <c r="J82" s="6">
        <f t="shared" si="60"/>
        <v>0.8445923603885005</v>
      </c>
      <c r="K82" s="2"/>
      <c r="L82" s="7">
        <f t="shared" si="61"/>
        <v>-4521.01</v>
      </c>
      <c r="M82" s="2"/>
      <c r="N82" s="6">
        <f t="shared" si="62"/>
        <v>-1</v>
      </c>
      <c r="O82" s="11"/>
      <c r="P82" s="7">
        <v>82607.740000000005</v>
      </c>
      <c r="Q82" s="2"/>
      <c r="R82" s="6">
        <f t="shared" si="63"/>
        <v>0.16032928160715473</v>
      </c>
      <c r="S82" s="2"/>
      <c r="T82" s="7">
        <v>114771.74</v>
      </c>
      <c r="U82" s="2"/>
      <c r="V82" s="6">
        <f t="shared" si="64"/>
        <v>0.13973211408878056</v>
      </c>
      <c r="W82" s="2"/>
      <c r="X82" s="7">
        <f t="shared" si="65"/>
        <v>-32164</v>
      </c>
      <c r="Y82" s="2"/>
      <c r="Z82" s="6">
        <f t="shared" si="66"/>
        <v>-0.28024320272568837</v>
      </c>
    </row>
    <row r="83" spans="1:26" s="25" customFormat="1" outlineLevel="1" collapsed="1" x14ac:dyDescent="0.35">
      <c r="A83" s="26"/>
      <c r="B83" s="12" t="str">
        <f>CONCATENATE("     ","Supplies                                          ")</f>
        <v xml:space="preserve">     Supplies                                          </v>
      </c>
      <c r="C83" s="12"/>
      <c r="D83" s="1">
        <f>SUM(OSRRefD22_11x_0)</f>
        <v>8576.25</v>
      </c>
      <c r="E83" s="1"/>
      <c r="F83" s="5">
        <f t="shared" si="59"/>
        <v>1.249051514591019</v>
      </c>
      <c r="G83" s="1"/>
      <c r="H83" s="1">
        <f>SUM(OSRRefH22_11x_0)</f>
        <v>1692.3899999999999</v>
      </c>
      <c r="I83" s="1"/>
      <c r="J83" s="5">
        <f t="shared" si="60"/>
        <v>0.31616379189559285</v>
      </c>
      <c r="K83" s="1"/>
      <c r="L83" s="1">
        <f t="shared" si="61"/>
        <v>6883.8600000000006</v>
      </c>
      <c r="M83" s="1"/>
      <c r="N83" s="5">
        <f t="shared" si="62"/>
        <v>4.0675376243064552</v>
      </c>
      <c r="O83" s="12"/>
      <c r="P83" s="1">
        <f>SUM(OSRRefP22_11x_0)</f>
        <v>57569.740000000005</v>
      </c>
      <c r="Q83" s="1"/>
      <c r="R83" s="5">
        <f t="shared" si="63"/>
        <v>0.11173426432572396</v>
      </c>
      <c r="S83" s="1"/>
      <c r="T83" s="1">
        <f>SUM(OSRRefT22_11x_0)</f>
        <v>65003.939999999995</v>
      </c>
      <c r="U83" s="1"/>
      <c r="V83" s="5">
        <f t="shared" si="64"/>
        <v>7.914089269972073E-2</v>
      </c>
      <c r="W83" s="1"/>
      <c r="X83" s="1">
        <f t="shared" si="65"/>
        <v>-7434.1999999999898</v>
      </c>
      <c r="Y83" s="1"/>
      <c r="Z83" s="5">
        <f t="shared" si="66"/>
        <v>-0.11436537539109153</v>
      </c>
    </row>
    <row r="84" spans="1:26" s="24" customFormat="1" hidden="1" outlineLevel="2" x14ac:dyDescent="0.35">
      <c r="A84" s="27"/>
      <c r="B84" s="11" t="str">
        <f>CONCATENATE("          ", "6234", " - ", "EXPENDABLE SUPPLIES &amp; EQUIPMEN")</f>
        <v xml:space="preserve">          6234 - EXPENDABLE SUPPLIES &amp; EQUIPMEN</v>
      </c>
      <c r="C84" s="11"/>
      <c r="D84" s="7">
        <v>4356.1000000000004</v>
      </c>
      <c r="E84" s="2"/>
      <c r="F84" s="6">
        <f t="shared" si="59"/>
        <v>0.63442568753358852</v>
      </c>
      <c r="G84" s="2"/>
      <c r="H84" s="7"/>
      <c r="I84" s="2"/>
      <c r="J84" s="6">
        <f t="shared" si="60"/>
        <v>0</v>
      </c>
      <c r="K84" s="2"/>
      <c r="L84" s="7">
        <f t="shared" si="61"/>
        <v>4356.1000000000004</v>
      </c>
      <c r="M84" s="2"/>
      <c r="N84" s="6">
        <f t="shared" si="62"/>
        <v>0</v>
      </c>
      <c r="O84" s="11"/>
      <c r="P84" s="7">
        <v>5373.37</v>
      </c>
      <c r="Q84" s="2"/>
      <c r="R84" s="6">
        <f t="shared" si="63"/>
        <v>1.0428908379643807E-2</v>
      </c>
      <c r="S84" s="2"/>
      <c r="T84" s="7">
        <v>856.68</v>
      </c>
      <c r="U84" s="2"/>
      <c r="V84" s="6">
        <f t="shared" si="64"/>
        <v>1.0429893935351726E-3</v>
      </c>
      <c r="W84" s="2"/>
      <c r="X84" s="7">
        <f t="shared" si="65"/>
        <v>4516.6899999999996</v>
      </c>
      <c r="Y84" s="2"/>
      <c r="Z84" s="6">
        <f t="shared" si="66"/>
        <v>5.2723187187748053</v>
      </c>
    </row>
    <row r="85" spans="1:26" s="24" customFormat="1" hidden="1" outlineLevel="2" x14ac:dyDescent="0.35">
      <c r="A85" s="27"/>
      <c r="B85" s="11" t="str">
        <f>CONCATENATE("          ", "6241", " - ", "OFFICE EXPENSE")</f>
        <v xml:space="preserve">          6241 - OFFICE EXPENSE</v>
      </c>
      <c r="C85" s="11"/>
      <c r="D85" s="7"/>
      <c r="E85" s="2"/>
      <c r="F85" s="6">
        <f t="shared" si="59"/>
        <v>0</v>
      </c>
      <c r="G85" s="2"/>
      <c r="H85" s="7">
        <v>9.36</v>
      </c>
      <c r="I85" s="2"/>
      <c r="J85" s="6">
        <f t="shared" si="60"/>
        <v>1.748588145842713E-3</v>
      </c>
      <c r="K85" s="2"/>
      <c r="L85" s="7">
        <f t="shared" si="61"/>
        <v>-9.36</v>
      </c>
      <c r="M85" s="2"/>
      <c r="N85" s="6">
        <f t="shared" si="62"/>
        <v>-1</v>
      </c>
      <c r="O85" s="11"/>
      <c r="P85" s="7">
        <v>1713.32</v>
      </c>
      <c r="Q85" s="2"/>
      <c r="R85" s="6">
        <f t="shared" si="63"/>
        <v>3.3252981471611535E-3</v>
      </c>
      <c r="S85" s="2"/>
      <c r="T85" s="7">
        <v>87.38</v>
      </c>
      <c r="U85" s="2"/>
      <c r="V85" s="6">
        <f t="shared" si="64"/>
        <v>1.0638326236996708E-4</v>
      </c>
      <c r="W85" s="2"/>
      <c r="X85" s="7">
        <f t="shared" si="65"/>
        <v>1625.94</v>
      </c>
      <c r="Y85" s="2"/>
      <c r="Z85" s="6">
        <f t="shared" si="66"/>
        <v>18.607690547035936</v>
      </c>
    </row>
    <row r="86" spans="1:26" s="24" customFormat="1" hidden="1" outlineLevel="2" x14ac:dyDescent="0.35">
      <c r="A86" s="27"/>
      <c r="B86" s="11" t="str">
        <f>CONCATENATE("          ", "6243", " - ", "PAPER SUPPLIES")</f>
        <v xml:space="preserve">          6243 - PAPER SUPPLIES</v>
      </c>
      <c r="C86" s="11"/>
      <c r="D86" s="7">
        <v>508.47</v>
      </c>
      <c r="E86" s="2"/>
      <c r="F86" s="6">
        <f t="shared" si="59"/>
        <v>7.405395407364472E-2</v>
      </c>
      <c r="G86" s="2"/>
      <c r="H86" s="7">
        <v>1356.73</v>
      </c>
      <c r="I86" s="2"/>
      <c r="J86" s="6">
        <f t="shared" si="60"/>
        <v>0.25345747810995561</v>
      </c>
      <c r="K86" s="2"/>
      <c r="L86" s="7">
        <f t="shared" si="61"/>
        <v>-848.26</v>
      </c>
      <c r="M86" s="2"/>
      <c r="N86" s="6">
        <f t="shared" si="62"/>
        <v>-0.62522388389731187</v>
      </c>
      <c r="O86" s="11"/>
      <c r="P86" s="7">
        <v>18447.68</v>
      </c>
      <c r="Q86" s="2"/>
      <c r="R86" s="6">
        <f t="shared" si="63"/>
        <v>3.5804190766127675E-2</v>
      </c>
      <c r="S86" s="2"/>
      <c r="T86" s="7">
        <v>35477.599999999999</v>
      </c>
      <c r="U86" s="2"/>
      <c r="V86" s="6">
        <f t="shared" si="64"/>
        <v>4.3193211593691279E-2</v>
      </c>
      <c r="W86" s="2"/>
      <c r="X86" s="7">
        <f t="shared" si="65"/>
        <v>-17029.919999999998</v>
      </c>
      <c r="Y86" s="2"/>
      <c r="Z86" s="6">
        <f t="shared" si="66"/>
        <v>-0.48001894152930297</v>
      </c>
    </row>
    <row r="87" spans="1:26" s="24" customFormat="1" hidden="1" outlineLevel="2" x14ac:dyDescent="0.35">
      <c r="A87" s="27"/>
      <c r="B87" s="11" t="str">
        <f>CONCATENATE("          ", "6245", " - ", "PRINTING")</f>
        <v xml:space="preserve">          6245 - PRINTING</v>
      </c>
      <c r="C87" s="11"/>
      <c r="D87" s="7"/>
      <c r="E87" s="2"/>
      <c r="F87" s="6">
        <f t="shared" si="59"/>
        <v>0</v>
      </c>
      <c r="G87" s="2"/>
      <c r="H87" s="7">
        <v>24.26</v>
      </c>
      <c r="I87" s="2"/>
      <c r="J87" s="6">
        <f t="shared" si="60"/>
        <v>4.5321312412547245E-3</v>
      </c>
      <c r="K87" s="2"/>
      <c r="L87" s="7">
        <f t="shared" si="61"/>
        <v>-24.26</v>
      </c>
      <c r="M87" s="2"/>
      <c r="N87" s="6">
        <f t="shared" si="62"/>
        <v>-1</v>
      </c>
      <c r="O87" s="11"/>
      <c r="P87" s="7">
        <v>5894.17</v>
      </c>
      <c r="Q87" s="2"/>
      <c r="R87" s="6">
        <f t="shared" si="63"/>
        <v>1.1439703371263312E-2</v>
      </c>
      <c r="S87" s="2"/>
      <c r="T87" s="7">
        <v>11271.75</v>
      </c>
      <c r="U87" s="2"/>
      <c r="V87" s="6">
        <f t="shared" si="64"/>
        <v>1.3723112126558438E-2</v>
      </c>
      <c r="W87" s="2"/>
      <c r="X87" s="7">
        <f t="shared" si="65"/>
        <v>-5377.58</v>
      </c>
      <c r="Y87" s="2"/>
      <c r="Z87" s="6">
        <f t="shared" si="66"/>
        <v>-0.47708474726639605</v>
      </c>
    </row>
    <row r="88" spans="1:26" s="24" customFormat="1" hidden="1" outlineLevel="2" x14ac:dyDescent="0.35">
      <c r="A88" s="27"/>
      <c r="B88" s="11" t="str">
        <f>CONCATENATE("          ", "6247", " - ", "STORE SUPPLIES")</f>
        <v xml:space="preserve">          6247 - STORE SUPPLIES</v>
      </c>
      <c r="C88" s="11"/>
      <c r="D88" s="7">
        <v>3711.68</v>
      </c>
      <c r="E88" s="2"/>
      <c r="F88" s="6">
        <f t="shared" si="59"/>
        <v>0.54057187298378584</v>
      </c>
      <c r="G88" s="2"/>
      <c r="H88" s="7">
        <v>302.04000000000002</v>
      </c>
      <c r="I88" s="2"/>
      <c r="J88" s="6">
        <f t="shared" si="60"/>
        <v>5.6425594398539863E-2</v>
      </c>
      <c r="K88" s="2"/>
      <c r="L88" s="7">
        <f t="shared" si="61"/>
        <v>3409.64</v>
      </c>
      <c r="M88" s="2"/>
      <c r="N88" s="6">
        <f t="shared" si="62"/>
        <v>11.288703482982385</v>
      </c>
      <c r="O88" s="11"/>
      <c r="P88" s="7">
        <v>26141.200000000001</v>
      </c>
      <c r="Q88" s="2"/>
      <c r="R88" s="6">
        <f t="shared" si="63"/>
        <v>5.0736163661528E-2</v>
      </c>
      <c r="S88" s="2"/>
      <c r="T88" s="7">
        <v>17310.53</v>
      </c>
      <c r="U88" s="2"/>
      <c r="V88" s="6">
        <f t="shared" si="64"/>
        <v>2.1075196323565873E-2</v>
      </c>
      <c r="W88" s="2"/>
      <c r="X88" s="7">
        <f t="shared" si="65"/>
        <v>8830.6700000000019</v>
      </c>
      <c r="Y88" s="2"/>
      <c r="Z88" s="6">
        <f t="shared" si="66"/>
        <v>0.51013284977409723</v>
      </c>
    </row>
    <row r="89" spans="1:26" s="25" customFormat="1" outlineLevel="1" collapsed="1" x14ac:dyDescent="0.35">
      <c r="A89" s="26"/>
      <c r="B89" s="12" t="str">
        <f>CONCATENATE("     ","Telephone/Data Lines                              ")</f>
        <v xml:space="preserve">     Telephone/Data Lines                              </v>
      </c>
      <c r="C89" s="12"/>
      <c r="D89" s="1">
        <f>SUM(OSRRefD22_12x_0)</f>
        <v>124.9</v>
      </c>
      <c r="E89" s="1"/>
      <c r="F89" s="5">
        <f t="shared" ref="F89:F92" si="67">IF(D$12=0,0,D89/D$12)</f>
        <v>1.8190530146907833E-2</v>
      </c>
      <c r="G89" s="1"/>
      <c r="H89" s="1">
        <f>SUM(OSRRefH22_12x_0)</f>
        <v>255.37</v>
      </c>
      <c r="I89" s="1"/>
      <c r="J89" s="5">
        <f t="shared" ref="J89:J92" si="68">IF(H$12=0,0,H89/H$12)</f>
        <v>4.7706939615796334E-2</v>
      </c>
      <c r="K89" s="1"/>
      <c r="L89" s="1">
        <f t="shared" ref="L89:L92" si="69">+D89-H89</f>
        <v>-130.47</v>
      </c>
      <c r="M89" s="1"/>
      <c r="N89" s="5">
        <f t="shared" ref="N89:N92" si="70">IF(H89=0,0,L89/H89)</f>
        <v>-0.51090574460586602</v>
      </c>
      <c r="O89" s="12"/>
      <c r="P89" s="1">
        <f>SUM(OSRRefP22_12x_0)</f>
        <v>2338.5</v>
      </c>
      <c r="Q89" s="1"/>
      <c r="R89" s="5">
        <f t="shared" ref="R89:R92" si="71">IF(P$12=0,0,P89/P$12)</f>
        <v>4.5386791242361954E-3</v>
      </c>
      <c r="S89" s="1"/>
      <c r="T89" s="1">
        <f>SUM(OSRRefT22_12x_0)</f>
        <v>3720.25</v>
      </c>
      <c r="U89" s="1"/>
      <c r="V89" s="5">
        <f t="shared" ref="V89:V92" si="72">IF(T$12=0,0,T89/T$12)</f>
        <v>4.5293240081468299E-3</v>
      </c>
      <c r="W89" s="1"/>
      <c r="X89" s="1">
        <f t="shared" ref="X89:X92" si="73">+P89-T89</f>
        <v>-1381.75</v>
      </c>
      <c r="Y89" s="1"/>
      <c r="Z89" s="5">
        <f t="shared" ref="Z89:Z92" si="74">IF(T89=0,0,X89/T89)</f>
        <v>-0.37141321147772327</v>
      </c>
    </row>
    <row r="90" spans="1:26" s="24" customFormat="1" hidden="1" outlineLevel="2" x14ac:dyDescent="0.35">
      <c r="A90" s="27"/>
      <c r="B90" s="11" t="str">
        <f>CONCATENATE("          ", "6309", " - ", "TELEPHONE")</f>
        <v xml:space="preserve">          6309 - TELEPHONE</v>
      </c>
      <c r="C90" s="11"/>
      <c r="D90" s="7">
        <v>124.9</v>
      </c>
      <c r="E90" s="2"/>
      <c r="F90" s="6">
        <f t="shared" si="67"/>
        <v>1.8190530146907833E-2</v>
      </c>
      <c r="G90" s="2"/>
      <c r="H90" s="7">
        <v>255.37</v>
      </c>
      <c r="I90" s="2"/>
      <c r="J90" s="6">
        <f t="shared" si="68"/>
        <v>4.7706939615796334E-2</v>
      </c>
      <c r="K90" s="2"/>
      <c r="L90" s="7">
        <f t="shared" si="69"/>
        <v>-130.47</v>
      </c>
      <c r="M90" s="2"/>
      <c r="N90" s="6">
        <f t="shared" si="70"/>
        <v>-0.51090574460586602</v>
      </c>
      <c r="O90" s="11"/>
      <c r="P90" s="7">
        <v>2338.5</v>
      </c>
      <c r="Q90" s="2"/>
      <c r="R90" s="6">
        <f t="shared" si="71"/>
        <v>4.5386791242361954E-3</v>
      </c>
      <c r="S90" s="2"/>
      <c r="T90" s="7">
        <v>3720.25</v>
      </c>
      <c r="U90" s="2"/>
      <c r="V90" s="6">
        <f t="shared" si="72"/>
        <v>4.5293240081468299E-3</v>
      </c>
      <c r="W90" s="2"/>
      <c r="X90" s="7">
        <f t="shared" si="73"/>
        <v>-1381.75</v>
      </c>
      <c r="Y90" s="2"/>
      <c r="Z90" s="6">
        <f t="shared" si="74"/>
        <v>-0.37141321147772327</v>
      </c>
    </row>
    <row r="91" spans="1:26" s="25" customFormat="1" outlineLevel="1" collapsed="1" x14ac:dyDescent="0.35">
      <c r="A91" s="26"/>
      <c r="B91" s="12" t="str">
        <f>CONCATENATE("     ","Training                                          ")</f>
        <v xml:space="preserve">     Training                                          </v>
      </c>
      <c r="C91" s="12"/>
      <c r="D91" s="1">
        <f>SUM(OSRRefD22_13x_0)</f>
        <v>0</v>
      </c>
      <c r="E91" s="1"/>
      <c r="F91" s="5">
        <f t="shared" si="67"/>
        <v>0</v>
      </c>
      <c r="G91" s="1"/>
      <c r="H91" s="1">
        <f>SUM(OSRRefH22_13x_0)</f>
        <v>0</v>
      </c>
      <c r="I91" s="1"/>
      <c r="J91" s="5">
        <f t="shared" si="68"/>
        <v>0</v>
      </c>
      <c r="K91" s="1"/>
      <c r="L91" s="1">
        <f t="shared" si="69"/>
        <v>0</v>
      </c>
      <c r="M91" s="1"/>
      <c r="N91" s="5">
        <f t="shared" si="70"/>
        <v>0</v>
      </c>
      <c r="O91" s="12"/>
      <c r="P91" s="1">
        <f>SUM(OSRRefP22_13x_0)</f>
        <v>97.71</v>
      </c>
      <c r="Q91" s="1"/>
      <c r="R91" s="5">
        <f t="shared" si="71"/>
        <v>1.8964051196455789E-4</v>
      </c>
      <c r="S91" s="1"/>
      <c r="T91" s="1">
        <f>SUM(OSRRefT22_13x_0)</f>
        <v>0</v>
      </c>
      <c r="U91" s="1"/>
      <c r="V91" s="5">
        <f t="shared" si="72"/>
        <v>0</v>
      </c>
      <c r="W91" s="1"/>
      <c r="X91" s="1">
        <f t="shared" si="73"/>
        <v>97.71</v>
      </c>
      <c r="Y91" s="1"/>
      <c r="Z91" s="5">
        <f t="shared" si="74"/>
        <v>0</v>
      </c>
    </row>
    <row r="92" spans="1:26" s="24" customFormat="1" hidden="1" outlineLevel="2" x14ac:dyDescent="0.35">
      <c r="A92" s="27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7"/>
        <v>0</v>
      </c>
      <c r="G92" s="2"/>
      <c r="H92" s="7"/>
      <c r="I92" s="2"/>
      <c r="J92" s="6">
        <f t="shared" si="68"/>
        <v>0</v>
      </c>
      <c r="K92" s="2"/>
      <c r="L92" s="7">
        <f t="shared" si="69"/>
        <v>0</v>
      </c>
      <c r="M92" s="2"/>
      <c r="N92" s="6">
        <f t="shared" si="70"/>
        <v>0</v>
      </c>
      <c r="O92" s="11"/>
      <c r="P92" s="7">
        <v>97.71</v>
      </c>
      <c r="Q92" s="2"/>
      <c r="R92" s="6">
        <f t="shared" si="71"/>
        <v>1.8964051196455789E-4</v>
      </c>
      <c r="S92" s="2"/>
      <c r="T92" s="7"/>
      <c r="U92" s="2"/>
      <c r="V92" s="6">
        <f t="shared" si="72"/>
        <v>0</v>
      </c>
      <c r="W92" s="2"/>
      <c r="X92" s="7">
        <f t="shared" si="73"/>
        <v>97.71</v>
      </c>
      <c r="Y92" s="2"/>
      <c r="Z92" s="6">
        <f t="shared" si="74"/>
        <v>0</v>
      </c>
    </row>
    <row r="93" spans="1:26" s="56" customFormat="1" x14ac:dyDescent="0.35">
      <c r="A93" s="37"/>
      <c r="B93" s="37"/>
      <c r="C93" s="37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7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35">
      <c r="A94" s="10"/>
      <c r="B94" s="29" t="s">
        <v>0</v>
      </c>
      <c r="C94" s="10"/>
      <c r="D94" s="4">
        <f>SUM(OSRRefD25x_0)</f>
        <v>13269</v>
      </c>
      <c r="E94" s="4"/>
      <c r="F94" s="13">
        <f t="shared" ref="F94:F100" si="75">IF(D$12=0,0,D94/D$12)</f>
        <v>1.9325071618840672</v>
      </c>
      <c r="G94" s="4"/>
      <c r="H94" s="4">
        <f>SUM(OSRRefH25x_0)</f>
        <v>84922.3</v>
      </c>
      <c r="I94" s="4"/>
      <c r="J94" s="13">
        <f t="shared" ref="J94:J100" si="76">IF(H$12=0,0,H94/H$12)</f>
        <v>15.864757168557547</v>
      </c>
      <c r="K94" s="4"/>
      <c r="L94" s="4">
        <f t="shared" ref="L94:L100" si="77">+D94-H94</f>
        <v>-71653.3</v>
      </c>
      <c r="M94" s="4"/>
      <c r="N94" s="13">
        <f t="shared" ref="N94:N100" si="78">IF(H94=0,0,L94/H94)</f>
        <v>-0.84375128794203647</v>
      </c>
      <c r="O94" s="10"/>
      <c r="P94" s="4">
        <f>SUM(OSRRefP25x_0)</f>
        <v>671250.55</v>
      </c>
      <c r="Q94" s="4"/>
      <c r="R94" s="13">
        <f t="shared" ref="R94:R100" si="79">IF(P$12=0,0,P94/P$12)</f>
        <v>1.3027970316087512</v>
      </c>
      <c r="S94" s="4"/>
      <c r="T94" s="4">
        <f>SUM(OSRRefT25x_0)</f>
        <v>796849.53999999992</v>
      </c>
      <c r="U94" s="4"/>
      <c r="V94" s="13">
        <f t="shared" ref="V94:V100" si="80">IF(T$12=0,0,T94/T$12)</f>
        <v>0.97014710097513812</v>
      </c>
      <c r="W94" s="4"/>
      <c r="X94" s="4">
        <f t="shared" ref="X94:X100" si="81">+P94-T94</f>
        <v>-125598.98999999987</v>
      </c>
      <c r="Y94" s="4"/>
      <c r="Z94" s="13">
        <f t="shared" ref="Z94:Z100" si="82">IF(T94=0,0,X94/T94)</f>
        <v>-0.15761945473420225</v>
      </c>
    </row>
    <row r="95" spans="1:26" s="24" customFormat="1" hidden="1" outlineLevel="1" x14ac:dyDescent="0.35">
      <c r="A95" s="44"/>
      <c r="B95" s="11" t="str">
        <f>CONCATENATE("          ", "4098", " - ", "TAXABLE SALES-GRAD RENTALS")</f>
        <v xml:space="preserve">          4098 - TAXABLE SALES-GRAD RENTALS</v>
      </c>
      <c r="C95" s="11"/>
      <c r="D95" s="2">
        <f t="shared" ref="D95:D97" si="83">0</f>
        <v>0</v>
      </c>
      <c r="E95" s="2"/>
      <c r="F95" s="19">
        <f t="shared" si="75"/>
        <v>0</v>
      </c>
      <c r="G95" s="2"/>
      <c r="H95" s="2">
        <f>--8835</f>
        <v>8835</v>
      </c>
      <c r="I95" s="2"/>
      <c r="J95" s="19">
        <f t="shared" si="76"/>
        <v>1.6505102850983302</v>
      </c>
      <c r="K95" s="2"/>
      <c r="L95" s="2">
        <f t="shared" si="77"/>
        <v>-8835</v>
      </c>
      <c r="M95" s="2"/>
      <c r="N95" s="19">
        <f t="shared" si="78"/>
        <v>-1</v>
      </c>
      <c r="O95" s="11"/>
      <c r="P95" s="2">
        <f>--1946.85</f>
        <v>1946.85</v>
      </c>
      <c r="Q95" s="2"/>
      <c r="R95" s="19">
        <f t="shared" si="79"/>
        <v>3.7785449873933017E-3</v>
      </c>
      <c r="S95" s="2"/>
      <c r="T95" s="2">
        <f>--86267.28</f>
        <v>86267.28</v>
      </c>
      <c r="U95" s="2"/>
      <c r="V95" s="19">
        <f t="shared" si="80"/>
        <v>0.1050285498075465</v>
      </c>
      <c r="W95" s="2"/>
      <c r="X95" s="2">
        <f t="shared" si="81"/>
        <v>-84320.43</v>
      </c>
      <c r="Y95" s="2"/>
      <c r="Z95" s="19">
        <f t="shared" si="82"/>
        <v>-0.9774323474670813</v>
      </c>
    </row>
    <row r="96" spans="1:26" s="24" customFormat="1" hidden="1" outlineLevel="1" x14ac:dyDescent="0.35">
      <c r="A96" s="44"/>
      <c r="B96" s="11" t="str">
        <f>CONCATENATE("          ", "4197", " - ", "NON-TAXABLE SALES-RETURNED CHE")</f>
        <v xml:space="preserve">          4197 - NON-TAXABLE SALES-RETURNED CHE</v>
      </c>
      <c r="C96" s="11"/>
      <c r="D96" s="2">
        <f t="shared" si="83"/>
        <v>0</v>
      </c>
      <c r="E96" s="2"/>
      <c r="F96" s="19">
        <f t="shared" si="75"/>
        <v>0</v>
      </c>
      <c r="G96" s="2"/>
      <c r="H96" s="2">
        <f>0</f>
        <v>0</v>
      </c>
      <c r="I96" s="2"/>
      <c r="J96" s="19">
        <f t="shared" si="76"/>
        <v>0</v>
      </c>
      <c r="K96" s="2"/>
      <c r="L96" s="2">
        <f t="shared" si="77"/>
        <v>0</v>
      </c>
      <c r="M96" s="2"/>
      <c r="N96" s="19">
        <f t="shared" si="78"/>
        <v>0</v>
      </c>
      <c r="O96" s="11"/>
      <c r="P96" s="2">
        <f>--30</f>
        <v>30</v>
      </c>
      <c r="Q96" s="2"/>
      <c r="R96" s="19">
        <f t="shared" si="79"/>
        <v>5.8225517950432265E-5</v>
      </c>
      <c r="S96" s="2"/>
      <c r="T96" s="2">
        <f>--335</f>
        <v>335</v>
      </c>
      <c r="U96" s="2"/>
      <c r="V96" s="19">
        <f t="shared" si="80"/>
        <v>4.0785526314876367E-4</v>
      </c>
      <c r="W96" s="2"/>
      <c r="X96" s="2">
        <f t="shared" si="81"/>
        <v>-305</v>
      </c>
      <c r="Y96" s="2"/>
      <c r="Z96" s="19">
        <f t="shared" si="82"/>
        <v>-0.91044776119402981</v>
      </c>
    </row>
    <row r="97" spans="1:26" s="24" customFormat="1" hidden="1" outlineLevel="1" x14ac:dyDescent="0.35">
      <c r="A97" s="44"/>
      <c r="B97" s="11" t="str">
        <f>CONCATENATE("          ", "4198", " - ", "NON-TAXABLE SALES-GRAD RENTALS")</f>
        <v xml:space="preserve">          4198 - NON-TAXABLE SALES-GRAD RENTALS</v>
      </c>
      <c r="C97" s="11"/>
      <c r="D97" s="2">
        <f t="shared" si="83"/>
        <v>0</v>
      </c>
      <c r="E97" s="2"/>
      <c r="F97" s="19">
        <f t="shared" si="75"/>
        <v>0</v>
      </c>
      <c r="G97" s="2"/>
      <c r="H97" s="2">
        <f>--63293.56</f>
        <v>63293.56</v>
      </c>
      <c r="I97" s="2"/>
      <c r="J97" s="19">
        <f t="shared" si="76"/>
        <v>11.824184692754756</v>
      </c>
      <c r="K97" s="2"/>
      <c r="L97" s="2">
        <f t="shared" si="77"/>
        <v>-63293.56</v>
      </c>
      <c r="M97" s="2"/>
      <c r="N97" s="19">
        <f t="shared" si="78"/>
        <v>-1</v>
      </c>
      <c r="O97" s="11"/>
      <c r="P97" s="2">
        <f>--163.76</f>
        <v>163.76</v>
      </c>
      <c r="Q97" s="2"/>
      <c r="R97" s="19">
        <f t="shared" si="79"/>
        <v>3.1783369398542626E-4</v>
      </c>
      <c r="S97" s="2"/>
      <c r="T97" s="2">
        <f>--449104.41</f>
        <v>449104.41</v>
      </c>
      <c r="U97" s="2"/>
      <c r="V97" s="19">
        <f t="shared" si="80"/>
        <v>0.54677491737856787</v>
      </c>
      <c r="W97" s="2"/>
      <c r="X97" s="2">
        <f t="shared" si="81"/>
        <v>-448940.64999999997</v>
      </c>
      <c r="Y97" s="2"/>
      <c r="Z97" s="19">
        <f t="shared" si="82"/>
        <v>-0.99963536318870705</v>
      </c>
    </row>
    <row r="98" spans="1:26" s="24" customFormat="1" hidden="1" outlineLevel="1" x14ac:dyDescent="0.35">
      <c r="A98" s="44"/>
      <c r="B98" s="11" t="str">
        <f>CONCATENATE("          ", "9150", " - ", "MISC. INCOME")</f>
        <v xml:space="preserve">          9150 - MISC. INCOME</v>
      </c>
      <c r="C98" s="11"/>
      <c r="D98" s="2">
        <f>--13269</f>
        <v>13269</v>
      </c>
      <c r="E98" s="2"/>
      <c r="F98" s="19">
        <f t="shared" si="75"/>
        <v>1.9325071618840672</v>
      </c>
      <c r="G98" s="2"/>
      <c r="H98" s="2">
        <f>--12793.74</f>
        <v>12793.74</v>
      </c>
      <c r="I98" s="2"/>
      <c r="J98" s="19">
        <f t="shared" si="76"/>
        <v>2.390062190704461</v>
      </c>
      <c r="K98" s="2"/>
      <c r="L98" s="2">
        <f t="shared" si="77"/>
        <v>475.26000000000022</v>
      </c>
      <c r="M98" s="2"/>
      <c r="N98" s="19">
        <f t="shared" si="78"/>
        <v>3.7147855122896062E-2</v>
      </c>
      <c r="O98" s="11"/>
      <c r="P98" s="2">
        <f>--157901.1</f>
        <v>157901.1</v>
      </c>
      <c r="Q98" s="2"/>
      <c r="R98" s="19">
        <f t="shared" si="79"/>
        <v>0.30646244441476667</v>
      </c>
      <c r="S98" s="2"/>
      <c r="T98" s="2">
        <f>--152812.1</f>
        <v>152812.1</v>
      </c>
      <c r="U98" s="2"/>
      <c r="V98" s="19">
        <f t="shared" si="80"/>
        <v>0.18604543062034387</v>
      </c>
      <c r="W98" s="2"/>
      <c r="X98" s="2">
        <f t="shared" si="81"/>
        <v>5089</v>
      </c>
      <c r="Y98" s="2"/>
      <c r="Z98" s="19">
        <f t="shared" si="82"/>
        <v>3.3302336660513139E-2</v>
      </c>
    </row>
    <row r="99" spans="1:26" s="24" customFormat="1" hidden="1" outlineLevel="1" x14ac:dyDescent="0.35">
      <c r="A99" s="44"/>
      <c r="B99" s="11" t="str">
        <f>CONCATENATE("          ", "9160", " - ", "MISC. INCOME")</f>
        <v xml:space="preserve">          9160 - MISC. INCOME</v>
      </c>
      <c r="C99" s="11"/>
      <c r="D99" s="2">
        <f t="shared" ref="D99:D100" si="84">0</f>
        <v>0</v>
      </c>
      <c r="E99" s="2"/>
      <c r="F99" s="19">
        <f t="shared" si="75"/>
        <v>0</v>
      </c>
      <c r="G99" s="2"/>
      <c r="H99" s="2">
        <f t="shared" ref="H99:H100" si="85">0</f>
        <v>0</v>
      </c>
      <c r="I99" s="2"/>
      <c r="J99" s="19">
        <f t="shared" si="76"/>
        <v>0</v>
      </c>
      <c r="K99" s="2"/>
      <c r="L99" s="2">
        <f t="shared" si="77"/>
        <v>0</v>
      </c>
      <c r="M99" s="2"/>
      <c r="N99" s="19">
        <f t="shared" si="78"/>
        <v>0</v>
      </c>
      <c r="O99" s="11"/>
      <c r="P99" s="2">
        <f>--22475</f>
        <v>22475</v>
      </c>
      <c r="Q99" s="2"/>
      <c r="R99" s="19">
        <f t="shared" si="79"/>
        <v>4.3620617197865509E-2</v>
      </c>
      <c r="S99" s="2"/>
      <c r="T99" s="2">
        <f>--40000</f>
        <v>40000</v>
      </c>
      <c r="U99" s="2"/>
      <c r="V99" s="19">
        <f t="shared" si="80"/>
        <v>4.8699135898359842E-2</v>
      </c>
      <c r="W99" s="2"/>
      <c r="X99" s="2">
        <f t="shared" si="81"/>
        <v>-17525</v>
      </c>
      <c r="Y99" s="2"/>
      <c r="Z99" s="19">
        <f t="shared" si="82"/>
        <v>-0.43812499999999999</v>
      </c>
    </row>
    <row r="100" spans="1:26" s="24" customFormat="1" hidden="1" outlineLevel="1" x14ac:dyDescent="0.35">
      <c r="A100" s="44"/>
      <c r="B100" s="11" t="str">
        <f>CONCATENATE("          ", "9163", " - ", "MISC. INCOME")</f>
        <v xml:space="preserve">          9163 - MISC. INCOME</v>
      </c>
      <c r="C100" s="11"/>
      <c r="D100" s="2">
        <f t="shared" si="84"/>
        <v>0</v>
      </c>
      <c r="E100" s="2"/>
      <c r="F100" s="19">
        <f t="shared" si="75"/>
        <v>0</v>
      </c>
      <c r="G100" s="2"/>
      <c r="H100" s="2">
        <f t="shared" si="85"/>
        <v>0</v>
      </c>
      <c r="I100" s="2"/>
      <c r="J100" s="19">
        <f t="shared" si="76"/>
        <v>0</v>
      </c>
      <c r="K100" s="2"/>
      <c r="L100" s="2">
        <f t="shared" si="77"/>
        <v>0</v>
      </c>
      <c r="M100" s="2"/>
      <c r="N100" s="19">
        <f t="shared" si="78"/>
        <v>0</v>
      </c>
      <c r="O100" s="11"/>
      <c r="P100" s="2">
        <f>--488733.84</f>
        <v>488733.84</v>
      </c>
      <c r="Q100" s="2"/>
      <c r="R100" s="19">
        <f t="shared" si="79"/>
        <v>0.94855936579678979</v>
      </c>
      <c r="S100" s="2"/>
      <c r="T100" s="2">
        <f>--68330.75</f>
        <v>68330.75</v>
      </c>
      <c r="U100" s="2"/>
      <c r="V100" s="19">
        <f t="shared" si="80"/>
        <v>8.3191212007171292E-2</v>
      </c>
      <c r="W100" s="2"/>
      <c r="X100" s="2">
        <f t="shared" si="81"/>
        <v>420403.09</v>
      </c>
      <c r="Y100" s="2"/>
      <c r="Z100" s="19">
        <f t="shared" si="82"/>
        <v>6.152472934952419</v>
      </c>
    </row>
    <row r="101" spans="1:26" x14ac:dyDescent="0.3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35">
      <c r="A102" s="10"/>
      <c r="B102" s="28" t="s">
        <v>3</v>
      </c>
      <c r="C102" s="28"/>
      <c r="D102" s="22">
        <f>+D42-D44+D94</f>
        <v>-30793.249999999993</v>
      </c>
      <c r="E102" s="14"/>
      <c r="F102" s="21">
        <f>IF(D$12=0,0,D102/D$12)</f>
        <v>-4.4847521412831819</v>
      </c>
      <c r="G102" s="14"/>
      <c r="H102" s="22">
        <f>+H42-H44+H94</f>
        <v>45225.830000000009</v>
      </c>
      <c r="I102" s="14"/>
      <c r="J102" s="21">
        <f>IF(H$12=0,0,H102/H$12)</f>
        <v>8.4488622034078809</v>
      </c>
      <c r="K102" s="15"/>
      <c r="L102" s="22">
        <f>+D102-H102</f>
        <v>-76019.08</v>
      </c>
      <c r="M102" s="15"/>
      <c r="N102" s="21">
        <f>IF(H102=0,0,L102/H102)</f>
        <v>-1.6808774985445261</v>
      </c>
      <c r="O102" s="29"/>
      <c r="P102" s="22">
        <f>+P42-P44+P94</f>
        <v>642840.34000000008</v>
      </c>
      <c r="Q102" s="14"/>
      <c r="R102" s="21">
        <f>IF(P$12=0,0,P102/P$12)</f>
        <v>1.2476570585310662</v>
      </c>
      <c r="S102" s="14"/>
      <c r="T102" s="22">
        <f>+T42-T44+T94</f>
        <v>915861.55999999982</v>
      </c>
      <c r="U102" s="14"/>
      <c r="V102" s="21">
        <f>IF(T$12=0,0,T102/T$12)</f>
        <v>1.115041664363096</v>
      </c>
      <c r="W102" s="15"/>
      <c r="X102" s="22">
        <f>+P102-T102</f>
        <v>-273021.21999999974</v>
      </c>
      <c r="Y102" s="15"/>
      <c r="Z102" s="21">
        <f>IF(T102=0,0,X102/T102)</f>
        <v>-0.29810315436756596</v>
      </c>
    </row>
    <row r="103" spans="1:26" x14ac:dyDescent="0.3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35">
      <c r="A104" s="51"/>
      <c r="B104" s="10" t="s">
        <v>13</v>
      </c>
      <c r="C104" s="10"/>
      <c r="D104" s="4">
        <v>17825.310000000001</v>
      </c>
      <c r="E104" s="4"/>
      <c r="F104" s="13">
        <f>IF(D$12=0,0,D104/D$12)</f>
        <v>2.5960915847316066</v>
      </c>
      <c r="G104" s="4"/>
      <c r="H104" s="4">
        <v>-26332.799999999999</v>
      </c>
      <c r="I104" s="4"/>
      <c r="J104" s="13">
        <f>IF(H$12=0,0,H104/H$12)</f>
        <v>-4.919361316970833</v>
      </c>
      <c r="K104" s="4"/>
      <c r="L104" s="4">
        <f>+D104-H104</f>
        <v>44158.11</v>
      </c>
      <c r="M104" s="4"/>
      <c r="N104" s="13">
        <f>IF(H104=0,0,L104/H104)</f>
        <v>-1.6769242161866571</v>
      </c>
      <c r="O104" s="10"/>
      <c r="P104" s="4">
        <v>78026.989999999991</v>
      </c>
      <c r="Q104" s="4"/>
      <c r="R104" s="13">
        <f>IF(P$12=0,0,P104/P$12)</f>
        <v>0.15143873022877327</v>
      </c>
      <c r="S104" s="4"/>
      <c r="T104" s="4">
        <v>58544.85</v>
      </c>
      <c r="U104" s="4"/>
      <c r="V104" s="13">
        <f>IF(T$12=0,0,T104/T$12)</f>
        <v>7.127709015747731E-2</v>
      </c>
      <c r="W104" s="4"/>
      <c r="X104" s="4">
        <f>+P104-T104</f>
        <v>19482.139999999992</v>
      </c>
      <c r="Y104" s="4"/>
      <c r="Z104" s="13">
        <f>IF(T104=0,0,X104/T104)</f>
        <v>0.33277290829167711</v>
      </c>
    </row>
    <row r="105" spans="1:26" x14ac:dyDescent="0.3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" thickBot="1" x14ac:dyDescent="0.4">
      <c r="A106" s="10"/>
      <c r="B106" s="28" t="s">
        <v>4</v>
      </c>
      <c r="C106" s="28"/>
      <c r="D106" s="34">
        <f>+D102-D104</f>
        <v>-48618.559999999998</v>
      </c>
      <c r="E106" s="14"/>
      <c r="F106" s="32">
        <f>IF(D$12=0,0,D106/D$12)</f>
        <v>-7.0808437260147885</v>
      </c>
      <c r="G106" s="14"/>
      <c r="H106" s="34">
        <f>+H102-H104</f>
        <v>71558.63</v>
      </c>
      <c r="I106" s="14"/>
      <c r="J106" s="32">
        <f>IF(H$12=0,0,H106/H$12)</f>
        <v>13.368223520378713</v>
      </c>
      <c r="K106" s="15"/>
      <c r="L106" s="34">
        <f>D106-H106</f>
        <v>-120177.19</v>
      </c>
      <c r="M106" s="15"/>
      <c r="N106" s="32">
        <f>IF(H106=0,0,L106/H106)</f>
        <v>-1.6794227334983913</v>
      </c>
      <c r="O106" s="29"/>
      <c r="P106" s="34">
        <f>+P102-P104</f>
        <v>564813.35000000009</v>
      </c>
      <c r="Q106" s="14"/>
      <c r="R106" s="32">
        <f>IF(P$12=0,0,P106/P$12)</f>
        <v>1.0962183283022928</v>
      </c>
      <c r="S106" s="14"/>
      <c r="T106" s="34">
        <f>+T102-T104</f>
        <v>857316.70999999985</v>
      </c>
      <c r="U106" s="14"/>
      <c r="V106" s="32">
        <f>IF(T$12=0,0,T106/T$12)</f>
        <v>1.0437645742056187</v>
      </c>
      <c r="W106" s="15"/>
      <c r="X106" s="34">
        <f>P106-T106</f>
        <v>-292503.35999999975</v>
      </c>
      <c r="Y106" s="15"/>
      <c r="Z106" s="32">
        <f>IF(T106=0,0,X106/T106)</f>
        <v>-0.34118471807227435</v>
      </c>
    </row>
    <row r="107" spans="1:26" ht="15" thickTop="1" x14ac:dyDescent="0.3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3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" thickBot="1" x14ac:dyDescent="0.4">
      <c r="A109" s="10"/>
      <c r="B109" s="28" t="s">
        <v>5</v>
      </c>
      <c r="C109" s="28"/>
      <c r="D109" s="35">
        <f>SUM(D106:D108)</f>
        <v>-48618.559999999998</v>
      </c>
      <c r="E109" s="14"/>
      <c r="F109" s="33">
        <f>IF(D$12=0,0,D109/D$12)</f>
        <v>-7.0808437260147885</v>
      </c>
      <c r="G109" s="14"/>
      <c r="H109" s="35">
        <f>SUM(H106:H108)</f>
        <v>71558.63</v>
      </c>
      <c r="I109" s="14"/>
      <c r="J109" s="33">
        <f>IF(H$12=0,0,H109/H$12)</f>
        <v>13.368223520378713</v>
      </c>
      <c r="K109" s="15"/>
      <c r="L109" s="35">
        <f>+D109-H109</f>
        <v>-120177.19</v>
      </c>
      <c r="M109" s="15"/>
      <c r="N109" s="33">
        <f>IF(H109=0,0,L109/H109)</f>
        <v>-1.6794227334983913</v>
      </c>
      <c r="O109" s="29"/>
      <c r="P109" s="35">
        <f>SUM(P106:P108)</f>
        <v>564813.35000000009</v>
      </c>
      <c r="Q109" s="14"/>
      <c r="R109" s="33">
        <f>IF(P$12=0,0,P109/P$12)</f>
        <v>1.0962183283022928</v>
      </c>
      <c r="S109" s="14"/>
      <c r="T109" s="35">
        <f>SUM(T106:T108)</f>
        <v>857316.70999999985</v>
      </c>
      <c r="U109" s="14"/>
      <c r="V109" s="33">
        <f>IF(T$12=0,0,T109/T$12)</f>
        <v>1.0437645742056187</v>
      </c>
      <c r="W109" s="15"/>
      <c r="X109" s="35">
        <f>+P109-T109</f>
        <v>-292503.35999999975</v>
      </c>
      <c r="Y109" s="15"/>
      <c r="Z109" s="33">
        <f>IF(T109=0,0,X109/T109)</f>
        <v>-0.34118471807227435</v>
      </c>
    </row>
    <row r="110" spans="1:26" ht="15" thickTop="1" x14ac:dyDescent="0.35">
      <c r="A110" s="9"/>
      <c r="C110" s="9"/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35">
      <c r="A111" s="9"/>
      <c r="B111" s="52">
        <v>44043.522402743052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35">
      <c r="A112" s="9"/>
      <c r="B112" s="61" t="s">
        <v>313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35">
      <c r="A113" s="9"/>
      <c r="B113" s="54"/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35"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","316", " - ", "Campus Copy Center")</f>
        <v>Department 316 - Campus Copy Center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748.66</v>
      </c>
      <c r="E12" s="4"/>
      <c r="F12" s="13"/>
      <c r="G12" s="4"/>
      <c r="H12" s="4">
        <f>SUM(OSRRefH13x_0)</f>
        <v>5423.48</v>
      </c>
      <c r="I12" s="4"/>
      <c r="J12" s="13"/>
      <c r="K12" s="4"/>
      <c r="L12" s="4">
        <f t="shared" ref="L12:L27" si="0">+D12-H12</f>
        <v>-4674.82</v>
      </c>
      <c r="M12" s="4"/>
      <c r="N12" s="13">
        <f t="shared" ref="N12:N27" si="1">IF(H12=0,0,L12/H12)</f>
        <v>-0.86195947989113997</v>
      </c>
      <c r="O12" s="10"/>
      <c r="P12" s="4">
        <f>SUM(OSRRefP13x_0)</f>
        <v>473906.67999999993</v>
      </c>
      <c r="Q12" s="4"/>
      <c r="R12" s="13"/>
      <c r="S12" s="4"/>
      <c r="T12" s="4">
        <f>SUM(OSRRefT13x_0)</f>
        <v>604905.52999999991</v>
      </c>
      <c r="U12" s="4"/>
      <c r="V12" s="13"/>
      <c r="W12" s="4"/>
      <c r="X12" s="4">
        <f t="shared" ref="X12:X27" si="2">+P12-T12</f>
        <v>-130998.84999999998</v>
      </c>
      <c r="Y12" s="4"/>
      <c r="Z12" s="13">
        <f t="shared" ref="Z12:Z27" si="3">IF(T12=0,0,X12/T12)</f>
        <v>-0.21656084050016866</v>
      </c>
    </row>
    <row r="13" spans="1:26" s="24" customFormat="1" hidden="1" outlineLevel="1" x14ac:dyDescent="0.3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--558.25</f>
        <v>558.25</v>
      </c>
      <c r="E13" s="2"/>
      <c r="F13" s="19"/>
      <c r="G13" s="2"/>
      <c r="H13" s="2">
        <f>--725.65</f>
        <v>725.65</v>
      </c>
      <c r="I13" s="2"/>
      <c r="J13" s="19"/>
      <c r="K13" s="2"/>
      <c r="L13" s="2">
        <f t="shared" si="0"/>
        <v>-167.39999999999998</v>
      </c>
      <c r="M13" s="2"/>
      <c r="N13" s="19">
        <f t="shared" si="1"/>
        <v>-0.23068972645214633</v>
      </c>
      <c r="O13" s="11"/>
      <c r="P13" s="2">
        <f>--175578.6</f>
        <v>175578.6</v>
      </c>
      <c r="Q13" s="2"/>
      <c r="R13" s="19"/>
      <c r="S13" s="2"/>
      <c r="T13" s="2">
        <f>--196490.35</f>
        <v>196490.35</v>
      </c>
      <c r="U13" s="2"/>
      <c r="V13" s="19"/>
      <c r="W13" s="2"/>
      <c r="X13" s="2">
        <f t="shared" si="2"/>
        <v>-20911.75</v>
      </c>
      <c r="Y13" s="2"/>
      <c r="Z13" s="19">
        <f t="shared" si="3"/>
        <v>-0.10642634612844855</v>
      </c>
    </row>
    <row r="14" spans="1:26" s="24" customFormat="1" hidden="1" outlineLevel="1" x14ac:dyDescent="0.3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--83.91</f>
        <v>83.91</v>
      </c>
      <c r="E14" s="2"/>
      <c r="F14" s="19"/>
      <c r="G14" s="2"/>
      <c r="H14" s="2">
        <f>--2034.26</f>
        <v>2034.26</v>
      </c>
      <c r="I14" s="2"/>
      <c r="J14" s="19"/>
      <c r="K14" s="2"/>
      <c r="L14" s="2">
        <f t="shared" si="0"/>
        <v>-1950.35</v>
      </c>
      <c r="M14" s="2"/>
      <c r="N14" s="19">
        <f t="shared" si="1"/>
        <v>-0.95875158534307314</v>
      </c>
      <c r="O14" s="11"/>
      <c r="P14" s="2">
        <f>--76606.57</f>
        <v>76606.570000000007</v>
      </c>
      <c r="Q14" s="2"/>
      <c r="R14" s="19"/>
      <c r="S14" s="2"/>
      <c r="T14" s="2">
        <f>--97735.89</f>
        <v>97735.89</v>
      </c>
      <c r="U14" s="2"/>
      <c r="V14" s="19"/>
      <c r="W14" s="2"/>
      <c r="X14" s="2">
        <f t="shared" si="2"/>
        <v>-21129.319999999992</v>
      </c>
      <c r="Y14" s="2"/>
      <c r="Z14" s="19">
        <f t="shared" si="3"/>
        <v>-0.21618793260080807</v>
      </c>
    </row>
    <row r="15" spans="1:26" s="24" customFormat="1" hidden="1" outlineLevel="1" x14ac:dyDescent="0.3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 t="shared" ref="D15:D17" si="4">0</f>
        <v>0</v>
      </c>
      <c r="E15" s="2"/>
      <c r="F15" s="19"/>
      <c r="G15" s="2"/>
      <c r="H15" s="2">
        <f>--6.65</f>
        <v>6.65</v>
      </c>
      <c r="I15" s="2"/>
      <c r="J15" s="19"/>
      <c r="K15" s="2"/>
      <c r="L15" s="2">
        <f t="shared" si="0"/>
        <v>-6.65</v>
      </c>
      <c r="M15" s="2"/>
      <c r="N15" s="19">
        <f t="shared" si="1"/>
        <v>-1</v>
      </c>
      <c r="O15" s="11"/>
      <c r="P15" s="2">
        <f>--921.72</f>
        <v>921.72</v>
      </c>
      <c r="Q15" s="2"/>
      <c r="R15" s="19"/>
      <c r="S15" s="2"/>
      <c r="T15" s="2">
        <f>--1124.87</f>
        <v>1124.8699999999999</v>
      </c>
      <c r="U15" s="2"/>
      <c r="V15" s="19"/>
      <c r="W15" s="2"/>
      <c r="X15" s="2">
        <f t="shared" si="2"/>
        <v>-203.14999999999986</v>
      </c>
      <c r="Y15" s="2"/>
      <c r="Z15" s="19">
        <f t="shared" si="3"/>
        <v>-0.18059864695475911</v>
      </c>
    </row>
    <row r="16" spans="1:26" s="24" customFormat="1" hidden="1" outlineLevel="1" x14ac:dyDescent="0.35">
      <c r="A16" s="44"/>
      <c r="B16" s="11" t="str">
        <f>CONCATENATE("          ", "4044", " - ", "TAXABLE SALES-ACCESSORIES")</f>
        <v xml:space="preserve">          4044 - TAXABLE SALES-ACCESSORIES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--235.18</f>
        <v>235.18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235.18</v>
      </c>
      <c r="Y16" s="2"/>
      <c r="Z16" s="19">
        <f t="shared" si="3"/>
        <v>0</v>
      </c>
    </row>
    <row r="17" spans="1:26" s="24" customFormat="1" hidden="1" outlineLevel="1" x14ac:dyDescent="0.3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si="4"/>
        <v>0</v>
      </c>
      <c r="E17" s="2"/>
      <c r="F17" s="19"/>
      <c r="G17" s="2"/>
      <c r="H17" s="2">
        <f>--245.97</f>
        <v>245.97</v>
      </c>
      <c r="I17" s="2"/>
      <c r="J17" s="19"/>
      <c r="K17" s="2"/>
      <c r="L17" s="2">
        <f t="shared" si="0"/>
        <v>-245.97</v>
      </c>
      <c r="M17" s="2"/>
      <c r="N17" s="19">
        <f t="shared" si="1"/>
        <v>-1</v>
      </c>
      <c r="O17" s="11"/>
      <c r="P17" s="2">
        <f>--2676.14</f>
        <v>2676.14</v>
      </c>
      <c r="Q17" s="2"/>
      <c r="R17" s="19"/>
      <c r="S17" s="2"/>
      <c r="T17" s="2">
        <f>--5818.6</f>
        <v>5818.6</v>
      </c>
      <c r="U17" s="2"/>
      <c r="V17" s="19"/>
      <c r="W17" s="2"/>
      <c r="X17" s="2">
        <f t="shared" si="2"/>
        <v>-3142.4600000000005</v>
      </c>
      <c r="Y17" s="2"/>
      <c r="Z17" s="19">
        <f t="shared" si="3"/>
        <v>-0.5400714948613069</v>
      </c>
    </row>
    <row r="18" spans="1:26" s="24" customFormat="1" hidden="1" outlineLevel="1" x14ac:dyDescent="0.3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--106.5</f>
        <v>106.5</v>
      </c>
      <c r="E18" s="2"/>
      <c r="F18" s="19"/>
      <c r="G18" s="2"/>
      <c r="H18" s="2">
        <f>--14.5</f>
        <v>14.5</v>
      </c>
      <c r="I18" s="2"/>
      <c r="J18" s="19"/>
      <c r="K18" s="2"/>
      <c r="L18" s="2">
        <f t="shared" si="0"/>
        <v>92</v>
      </c>
      <c r="M18" s="2"/>
      <c r="N18" s="19">
        <f t="shared" si="1"/>
        <v>6.3448275862068968</v>
      </c>
      <c r="O18" s="11"/>
      <c r="P18" s="2">
        <f>--1028.1</f>
        <v>1028.0999999999999</v>
      </c>
      <c r="Q18" s="2"/>
      <c r="R18" s="19"/>
      <c r="S18" s="2"/>
      <c r="T18" s="2">
        <f>--1966.2</f>
        <v>1966.2</v>
      </c>
      <c r="U18" s="2"/>
      <c r="V18" s="19"/>
      <c r="W18" s="2"/>
      <c r="X18" s="2">
        <f t="shared" si="2"/>
        <v>-938.10000000000014</v>
      </c>
      <c r="Y18" s="2"/>
      <c r="Z18" s="19">
        <f t="shared" si="3"/>
        <v>-0.47711321330485207</v>
      </c>
    </row>
    <row r="19" spans="1:26" s="24" customFormat="1" hidden="1" outlineLevel="1" x14ac:dyDescent="0.3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ref="D19:D27" si="5">0</f>
        <v>0</v>
      </c>
      <c r="E19" s="2"/>
      <c r="F19" s="19"/>
      <c r="G19" s="2"/>
      <c r="H19" s="2">
        <f>--69</f>
        <v>69</v>
      </c>
      <c r="I19" s="2"/>
      <c r="J19" s="19"/>
      <c r="K19" s="2"/>
      <c r="L19" s="2">
        <f t="shared" si="0"/>
        <v>-69</v>
      </c>
      <c r="M19" s="2"/>
      <c r="N19" s="19">
        <f t="shared" si="1"/>
        <v>-1</v>
      </c>
      <c r="O19" s="11"/>
      <c r="P19" s="2">
        <f>--8924.02</f>
        <v>8924.02</v>
      </c>
      <c r="Q19" s="2"/>
      <c r="R19" s="19"/>
      <c r="S19" s="2"/>
      <c r="T19" s="2">
        <f>--13802</f>
        <v>13802</v>
      </c>
      <c r="U19" s="2"/>
      <c r="V19" s="19"/>
      <c r="W19" s="2"/>
      <c r="X19" s="2">
        <f t="shared" si="2"/>
        <v>-4877.9799999999996</v>
      </c>
      <c r="Y19" s="2"/>
      <c r="Z19" s="19">
        <f t="shared" si="3"/>
        <v>-0.35342559049413125</v>
      </c>
    </row>
    <row r="20" spans="1:26" s="24" customFormat="1" hidden="1" outlineLevel="1" x14ac:dyDescent="0.3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 t="shared" si="5"/>
        <v>0</v>
      </c>
      <c r="E20" s="2"/>
      <c r="F20" s="19"/>
      <c r="G20" s="2"/>
      <c r="H20" s="2">
        <f>--2296.45</f>
        <v>2296.4499999999998</v>
      </c>
      <c r="I20" s="2"/>
      <c r="J20" s="19"/>
      <c r="K20" s="2"/>
      <c r="L20" s="2">
        <f t="shared" si="0"/>
        <v>-2296.4499999999998</v>
      </c>
      <c r="M20" s="2"/>
      <c r="N20" s="19">
        <f t="shared" si="1"/>
        <v>-1</v>
      </c>
      <c r="O20" s="11"/>
      <c r="P20" s="2">
        <f>--205908.65</f>
        <v>205908.65</v>
      </c>
      <c r="Q20" s="2"/>
      <c r="R20" s="19"/>
      <c r="S20" s="2"/>
      <c r="T20" s="2">
        <f>--288251.29</f>
        <v>288251.28999999998</v>
      </c>
      <c r="U20" s="2"/>
      <c r="V20" s="19"/>
      <c r="W20" s="2"/>
      <c r="X20" s="2">
        <f t="shared" si="2"/>
        <v>-82342.639999999985</v>
      </c>
      <c r="Y20" s="2"/>
      <c r="Z20" s="19">
        <f t="shared" si="3"/>
        <v>-0.28566269382523835</v>
      </c>
    </row>
    <row r="21" spans="1:26" s="24" customFormat="1" hidden="1" outlineLevel="1" x14ac:dyDescent="0.3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 t="shared" si="5"/>
        <v>0</v>
      </c>
      <c r="E21" s="2"/>
      <c r="F21" s="19"/>
      <c r="G21" s="2"/>
      <c r="H21" s="2">
        <f>--31</f>
        <v>31</v>
      </c>
      <c r="I21" s="2"/>
      <c r="J21" s="19"/>
      <c r="K21" s="2"/>
      <c r="L21" s="2">
        <f t="shared" si="0"/>
        <v>-31</v>
      </c>
      <c r="M21" s="2"/>
      <c r="N21" s="19">
        <f t="shared" si="1"/>
        <v>-1</v>
      </c>
      <c r="O21" s="11"/>
      <c r="P21" s="2">
        <f>--3446.37</f>
        <v>3446.37</v>
      </c>
      <c r="Q21" s="2"/>
      <c r="R21" s="19"/>
      <c r="S21" s="2"/>
      <c r="T21" s="2">
        <f>--959.73</f>
        <v>959.73</v>
      </c>
      <c r="U21" s="2"/>
      <c r="V21" s="19"/>
      <c r="W21" s="2"/>
      <c r="X21" s="2">
        <f t="shared" si="2"/>
        <v>2486.64</v>
      </c>
      <c r="Y21" s="2"/>
      <c r="Z21" s="19">
        <f t="shared" si="3"/>
        <v>2.5909787127629644</v>
      </c>
    </row>
    <row r="22" spans="1:26" s="24" customFormat="1" hidden="1" outlineLevel="1" x14ac:dyDescent="0.3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 t="shared" si="5"/>
        <v>0</v>
      </c>
      <c r="E22" s="2"/>
      <c r="F22" s="19"/>
      <c r="G22" s="2"/>
      <c r="H22" s="2">
        <f t="shared" ref="H22:H27" si="6"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-1059.4</f>
        <v>-1059.4000000000001</v>
      </c>
      <c r="Q22" s="2"/>
      <c r="R22" s="19"/>
      <c r="S22" s="2"/>
      <c r="T22" s="2">
        <f>-1119.05</f>
        <v>-1119.05</v>
      </c>
      <c r="U22" s="2"/>
      <c r="V22" s="19"/>
      <c r="W22" s="2"/>
      <c r="X22" s="2">
        <f t="shared" si="2"/>
        <v>59.649999999999864</v>
      </c>
      <c r="Y22" s="2"/>
      <c r="Z22" s="19">
        <f t="shared" si="3"/>
        <v>-5.3304141906080932E-2</v>
      </c>
    </row>
    <row r="23" spans="1:26" s="24" customFormat="1" hidden="1" outlineLevel="1" x14ac:dyDescent="0.3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 t="shared" si="5"/>
        <v>0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-227.7</f>
        <v>-227.7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-227.7</v>
      </c>
      <c r="Y23" s="2"/>
      <c r="Z23" s="19">
        <f t="shared" si="3"/>
        <v>0</v>
      </c>
    </row>
    <row r="24" spans="1:26" s="24" customFormat="1" hidden="1" outlineLevel="1" x14ac:dyDescent="0.3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si="5"/>
        <v>0</v>
      </c>
      <c r="E24" s="2"/>
      <c r="F24" s="19"/>
      <c r="G24" s="2"/>
      <c r="H24" s="2">
        <f t="shared" si="6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-124.35</f>
        <v>-124.35</v>
      </c>
      <c r="U24" s="2"/>
      <c r="V24" s="19"/>
      <c r="W24" s="2"/>
      <c r="X24" s="2">
        <f t="shared" si="2"/>
        <v>124.35</v>
      </c>
      <c r="Y24" s="2"/>
      <c r="Z24" s="19">
        <f t="shared" si="3"/>
        <v>-1</v>
      </c>
    </row>
    <row r="25" spans="1:26" s="24" customFormat="1" hidden="1" outlineLevel="1" x14ac:dyDescent="0.35">
      <c r="A25" s="44"/>
      <c r="B25" s="11" t="str">
        <f>CONCATENATE("          ", "4342", " - ", "SALES RETURN NON TAXABLE-EVERY")</f>
        <v xml:space="preserve">          4342 - SALES RETURN NON TAXABLE-EVERY</v>
      </c>
      <c r="C25" s="11"/>
      <c r="D25" s="2">
        <f t="shared" si="5"/>
        <v>0</v>
      </c>
      <c r="E25" s="2"/>
      <c r="F25" s="19"/>
      <c r="G25" s="2"/>
      <c r="H25" s="2">
        <f t="shared" si="6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-39.42</f>
        <v>-39.42</v>
      </c>
      <c r="Q25" s="2"/>
      <c r="R25" s="19"/>
      <c r="S25" s="2"/>
      <c r="T25" s="2">
        <f t="shared" ref="T25:T27" si="7">0</f>
        <v>0</v>
      </c>
      <c r="U25" s="2"/>
      <c r="V25" s="19"/>
      <c r="W25" s="2"/>
      <c r="X25" s="2">
        <f t="shared" si="2"/>
        <v>-39.42</v>
      </c>
      <c r="Y25" s="2"/>
      <c r="Z25" s="19">
        <f t="shared" si="3"/>
        <v>0</v>
      </c>
    </row>
    <row r="26" spans="1:26" s="24" customFormat="1" hidden="1" outlineLevel="1" x14ac:dyDescent="0.35">
      <c r="A26" s="44"/>
      <c r="B26" s="11" t="str">
        <f>CONCATENATE("          ", "4346", " - ", "SALES RETURN NON TAXABLE-COIN-")</f>
        <v xml:space="preserve">          4346 - SALES RETURN NON TAXABLE-COIN-</v>
      </c>
      <c r="C26" s="11"/>
      <c r="D26" s="2">
        <f t="shared" si="5"/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-8.15</f>
        <v>-8.15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-8.15</v>
      </c>
      <c r="Y26" s="2"/>
      <c r="Z26" s="19">
        <f t="shared" si="3"/>
        <v>0</v>
      </c>
    </row>
    <row r="27" spans="1:26" s="24" customFormat="1" hidden="1" outlineLevel="1" x14ac:dyDescent="0.35">
      <c r="A27" s="44"/>
      <c r="B27" s="11" t="str">
        <f>CONCATENATE("          ", "4347", " - ", "SALES RETURN NON TAXABLE-MISC")</f>
        <v xml:space="preserve">          4347 - SALES RETURN NON TAXABLE-MISC</v>
      </c>
      <c r="C27" s="11"/>
      <c r="D27" s="2">
        <f t="shared" si="5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-84</f>
        <v>-84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-84</v>
      </c>
      <c r="Y27" s="2"/>
      <c r="Z27" s="19">
        <f t="shared" si="3"/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10"/>
      <c r="B29" s="29" t="s">
        <v>8</v>
      </c>
      <c r="C29" s="10"/>
      <c r="D29" s="4">
        <f>SUM(0)</f>
        <v>0</v>
      </c>
      <c r="E29" s="4"/>
      <c r="F29" s="13">
        <f>IF(D$12=0,0,D29/D$12)</f>
        <v>0</v>
      </c>
      <c r="G29" s="4"/>
      <c r="H29" s="4">
        <f>SUM(0)</f>
        <v>0</v>
      </c>
      <c r="I29" s="4"/>
      <c r="J29" s="13">
        <f>IF(H$12=0,0,H29/H$12)</f>
        <v>0</v>
      </c>
      <c r="K29" s="4"/>
      <c r="L29" s="4">
        <f>+D29-H29</f>
        <v>0</v>
      </c>
      <c r="M29" s="4"/>
      <c r="N29" s="13">
        <f>IF(H29=0,0,L29/H29)</f>
        <v>0</v>
      </c>
      <c r="O29" s="10"/>
      <c r="P29" s="4">
        <f>SUM(0)</f>
        <v>0</v>
      </c>
      <c r="Q29" s="4"/>
      <c r="R29" s="13">
        <f>IF(P$12=0,0,P29/P$12)</f>
        <v>0</v>
      </c>
      <c r="S29" s="4"/>
      <c r="T29" s="4">
        <f>SUM(0)</f>
        <v>0</v>
      </c>
      <c r="U29" s="4"/>
      <c r="V29" s="13">
        <f>IF(T$12=0,0,T29/T$12)</f>
        <v>0</v>
      </c>
      <c r="W29" s="4"/>
      <c r="X29" s="4">
        <f>+P29-T29</f>
        <v>0</v>
      </c>
      <c r="Y29" s="4"/>
      <c r="Z29" s="13">
        <f>IF(T29=0,0,X29/T29)</f>
        <v>0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5">
      <c r="A31" s="10"/>
      <c r="B31" s="28" t="s">
        <v>6</v>
      </c>
      <c r="C31" s="28"/>
      <c r="D31" s="22">
        <f>D12-D29</f>
        <v>748.66</v>
      </c>
      <c r="E31" s="14"/>
      <c r="F31" s="21">
        <f>IF(D$12=0,0,D31/D$12)</f>
        <v>1</v>
      </c>
      <c r="G31" s="14"/>
      <c r="H31" s="22">
        <f>H12-H29</f>
        <v>5423.48</v>
      </c>
      <c r="I31" s="14"/>
      <c r="J31" s="21">
        <f>IF(H$12=0,0,H31/H$12)</f>
        <v>1</v>
      </c>
      <c r="K31" s="15"/>
      <c r="L31" s="22">
        <f>+D31-H31</f>
        <v>-4674.82</v>
      </c>
      <c r="M31" s="15"/>
      <c r="N31" s="21">
        <f>IF(H31=0,0,L31/H31)</f>
        <v>-0.86195947989113997</v>
      </c>
      <c r="O31" s="29"/>
      <c r="P31" s="22">
        <f>P12-P29</f>
        <v>473906.67999999993</v>
      </c>
      <c r="Q31" s="14"/>
      <c r="R31" s="21">
        <f>IF(P$12=0,0,P31/P$12)</f>
        <v>1</v>
      </c>
      <c r="S31" s="14"/>
      <c r="T31" s="22">
        <f>T12-T29</f>
        <v>604905.52999999991</v>
      </c>
      <c r="U31" s="14"/>
      <c r="V31" s="21">
        <f>IF(T$12=0,0,T31/T$12)</f>
        <v>1</v>
      </c>
      <c r="W31" s="15"/>
      <c r="X31" s="22">
        <f>+P31-T31</f>
        <v>-130998.84999999998</v>
      </c>
      <c r="Y31" s="15"/>
      <c r="Z31" s="21">
        <f>IF(T31=0,0,X31/T31)</f>
        <v>-0.21656084050016866</v>
      </c>
    </row>
    <row r="32" spans="1:26" x14ac:dyDescent="0.3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5">
      <c r="A33" s="10"/>
      <c r="B33" s="29" t="s">
        <v>9</v>
      </c>
      <c r="C33" s="10"/>
      <c r="D33" s="20">
        <f>SUM(OSRRefD22x_0)</f>
        <v>30237.630000000005</v>
      </c>
      <c r="E33" s="20"/>
      <c r="F33" s="36">
        <f t="shared" ref="F33:F42" si="8">IF(D$12=0,0,D33/D$12)</f>
        <v>40.389001683006981</v>
      </c>
      <c r="G33" s="20"/>
      <c r="H33" s="20">
        <f>SUM(OSRRefH22x_0)</f>
        <v>28927.039999999997</v>
      </c>
      <c r="I33" s="20"/>
      <c r="J33" s="36">
        <f t="shared" ref="J33:J42" si="9">IF(H$12=0,0,H33/H$12)</f>
        <v>5.3336676820049123</v>
      </c>
      <c r="K33" s="4"/>
      <c r="L33" s="20">
        <f t="shared" ref="L33:L42" si="10">+D33-H33</f>
        <v>1310.5900000000074</v>
      </c>
      <c r="M33" s="4"/>
      <c r="N33" s="36">
        <f t="shared" ref="N33:N42" si="11">IF(H33=0,0,L33/H33)</f>
        <v>4.5306744139739411E-2</v>
      </c>
      <c r="O33" s="10"/>
      <c r="P33" s="20">
        <f>SUM(OSRRefP22x_0)</f>
        <v>502001.7699999999</v>
      </c>
      <c r="Q33" s="20"/>
      <c r="R33" s="36">
        <f t="shared" ref="R33:R42" si="12">IF(P$12=0,0,P33/P$12)</f>
        <v>1.0592840134686432</v>
      </c>
      <c r="S33" s="20"/>
      <c r="T33" s="20">
        <f>SUM(OSRRefT22x_0)</f>
        <v>554360.44999999995</v>
      </c>
      <c r="U33" s="20"/>
      <c r="V33" s="36">
        <f t="shared" ref="V33:V42" si="13">IF(T$12=0,0,T33/T$12)</f>
        <v>0.91644136564597123</v>
      </c>
      <c r="W33" s="4"/>
      <c r="X33" s="20">
        <f t="shared" ref="X33:X42" si="14">+P33-T33</f>
        <v>-52358.680000000051</v>
      </c>
      <c r="Y33" s="4"/>
      <c r="Z33" s="36">
        <f t="shared" ref="Z33:Z42" si="15">IF(T33=0,0,X33/T33)</f>
        <v>-9.4448801316905015E-2</v>
      </c>
    </row>
    <row r="34" spans="1:26" s="25" customFormat="1" outlineLevel="1" collapsed="1" x14ac:dyDescent="0.35">
      <c r="A34" s="26"/>
      <c r="B34" s="12" t="str">
        <f>CONCATENATE("     ","*Benefits                                         ")</f>
        <v xml:space="preserve">     *Benefits                                         </v>
      </c>
      <c r="C34" s="12"/>
      <c r="D34" s="1">
        <f>SUM(OSRRefD22_0x_0)</f>
        <v>6124.46</v>
      </c>
      <c r="E34" s="1"/>
      <c r="F34" s="5">
        <f t="shared" si="8"/>
        <v>8.1805626051879354</v>
      </c>
      <c r="G34" s="1"/>
      <c r="H34" s="1">
        <f>SUM(OSRRefH22_0x_0)</f>
        <v>5525.7699999999995</v>
      </c>
      <c r="I34" s="1"/>
      <c r="J34" s="5">
        <f t="shared" si="9"/>
        <v>1.0188605839792901</v>
      </c>
      <c r="K34" s="1"/>
      <c r="L34" s="1">
        <f t="shared" si="10"/>
        <v>598.69000000000051</v>
      </c>
      <c r="M34" s="1"/>
      <c r="N34" s="5">
        <f t="shared" si="11"/>
        <v>0.1083450813189837</v>
      </c>
      <c r="O34" s="12"/>
      <c r="P34" s="1">
        <f>SUM(OSRRefP22_0x_0)</f>
        <v>95091.499999999985</v>
      </c>
      <c r="Q34" s="1"/>
      <c r="R34" s="5">
        <f t="shared" si="12"/>
        <v>0.20065448328350213</v>
      </c>
      <c r="S34" s="1"/>
      <c r="T34" s="1">
        <f>SUM(OSRRefT22_0x_0)</f>
        <v>82664.88</v>
      </c>
      <c r="U34" s="1"/>
      <c r="V34" s="5">
        <f t="shared" si="13"/>
        <v>0.13665750418912523</v>
      </c>
      <c r="W34" s="1"/>
      <c r="X34" s="1">
        <f t="shared" si="14"/>
        <v>12426.619999999981</v>
      </c>
      <c r="Y34" s="1"/>
      <c r="Z34" s="5">
        <f t="shared" si="15"/>
        <v>0.15032526509443889</v>
      </c>
    </row>
    <row r="35" spans="1:26" s="24" customFormat="1" hidden="1" outlineLevel="2" x14ac:dyDescent="0.35">
      <c r="A35" s="27"/>
      <c r="B35" s="11" t="str">
        <f>CONCATENATE("          ", "6111", " - ", "F.I.C.A.")</f>
        <v xml:space="preserve">          6111 - F.I.C.A.</v>
      </c>
      <c r="C35" s="11"/>
      <c r="D35" s="7">
        <v>870.7</v>
      </c>
      <c r="E35" s="2"/>
      <c r="F35" s="6">
        <f t="shared" si="8"/>
        <v>1.1630112467608795</v>
      </c>
      <c r="G35" s="2"/>
      <c r="H35" s="7">
        <v>1007.01</v>
      </c>
      <c r="I35" s="2"/>
      <c r="J35" s="6">
        <f t="shared" si="9"/>
        <v>0.18567598663588694</v>
      </c>
      <c r="K35" s="2"/>
      <c r="L35" s="7">
        <f t="shared" si="10"/>
        <v>-136.30999999999995</v>
      </c>
      <c r="M35" s="2"/>
      <c r="N35" s="6">
        <f t="shared" si="11"/>
        <v>-0.13536111855890204</v>
      </c>
      <c r="O35" s="11"/>
      <c r="P35" s="7">
        <v>14684.92</v>
      </c>
      <c r="Q35" s="2"/>
      <c r="R35" s="6">
        <f t="shared" si="12"/>
        <v>3.0986944518275206E-2</v>
      </c>
      <c r="S35" s="2"/>
      <c r="T35" s="7">
        <v>14081.23</v>
      </c>
      <c r="U35" s="2"/>
      <c r="V35" s="6">
        <f t="shared" si="13"/>
        <v>2.3278395223135094E-2</v>
      </c>
      <c r="W35" s="2"/>
      <c r="X35" s="7">
        <f t="shared" si="14"/>
        <v>603.69000000000051</v>
      </c>
      <c r="Y35" s="2"/>
      <c r="Z35" s="6">
        <f t="shared" si="15"/>
        <v>4.2871965020101266E-2</v>
      </c>
    </row>
    <row r="36" spans="1:26" s="24" customFormat="1" hidden="1" outlineLevel="2" x14ac:dyDescent="0.35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216.26</v>
      </c>
      <c r="E36" s="2"/>
      <c r="F36" s="6">
        <f t="shared" si="8"/>
        <v>0.28886276814575373</v>
      </c>
      <c r="G36" s="2"/>
      <c r="H36" s="7">
        <v>161.78</v>
      </c>
      <c r="I36" s="2"/>
      <c r="J36" s="6">
        <f t="shared" si="9"/>
        <v>2.982955593087833E-2</v>
      </c>
      <c r="K36" s="2"/>
      <c r="L36" s="7">
        <f t="shared" si="10"/>
        <v>54.47999999999999</v>
      </c>
      <c r="M36" s="2"/>
      <c r="N36" s="6">
        <f t="shared" si="11"/>
        <v>0.33675361602175785</v>
      </c>
      <c r="O36" s="11"/>
      <c r="P36" s="7">
        <v>2635.06</v>
      </c>
      <c r="Q36" s="2"/>
      <c r="R36" s="6">
        <f t="shared" si="12"/>
        <v>5.5602930095857697E-3</v>
      </c>
      <c r="S36" s="2"/>
      <c r="T36" s="7">
        <v>1970.09</v>
      </c>
      <c r="U36" s="2"/>
      <c r="V36" s="6">
        <f t="shared" si="13"/>
        <v>3.256855661412122E-3</v>
      </c>
      <c r="W36" s="2"/>
      <c r="X36" s="7">
        <f t="shared" si="14"/>
        <v>664.97</v>
      </c>
      <c r="Y36" s="2"/>
      <c r="Z36" s="6">
        <f t="shared" si="15"/>
        <v>0.33753280306991051</v>
      </c>
    </row>
    <row r="37" spans="1:26" s="24" customFormat="1" hidden="1" outlineLevel="2" x14ac:dyDescent="0.35">
      <c r="A37" s="27"/>
      <c r="B37" s="11" t="str">
        <f>CONCATENATE("          ", "6113", " - ", "GROUP INSURANCE")</f>
        <v xml:space="preserve">          6113 - GROUP INSURANCE</v>
      </c>
      <c r="C37" s="11"/>
      <c r="D37" s="7">
        <v>2724.48</v>
      </c>
      <c r="E37" s="2"/>
      <c r="F37" s="6">
        <f t="shared" si="8"/>
        <v>3.6391419335880109</v>
      </c>
      <c r="G37" s="2"/>
      <c r="H37" s="7">
        <v>2589.16</v>
      </c>
      <c r="I37" s="2"/>
      <c r="J37" s="6">
        <f t="shared" si="9"/>
        <v>0.47739827564589526</v>
      </c>
      <c r="K37" s="2"/>
      <c r="L37" s="7">
        <f t="shared" si="10"/>
        <v>135.32000000000016</v>
      </c>
      <c r="M37" s="2"/>
      <c r="N37" s="6">
        <f t="shared" si="11"/>
        <v>5.2264054751347995E-2</v>
      </c>
      <c r="O37" s="11"/>
      <c r="P37" s="7">
        <v>35210.97</v>
      </c>
      <c r="Q37" s="2"/>
      <c r="R37" s="6">
        <f t="shared" si="12"/>
        <v>7.4299374720778369E-2</v>
      </c>
      <c r="S37" s="2"/>
      <c r="T37" s="7">
        <v>30175.64</v>
      </c>
      <c r="U37" s="2"/>
      <c r="V37" s="6">
        <f t="shared" si="13"/>
        <v>4.9884880371320134E-2</v>
      </c>
      <c r="W37" s="2"/>
      <c r="X37" s="7">
        <f t="shared" si="14"/>
        <v>5035.3300000000017</v>
      </c>
      <c r="Y37" s="2"/>
      <c r="Z37" s="6">
        <f t="shared" si="15"/>
        <v>0.16686738044329802</v>
      </c>
    </row>
    <row r="38" spans="1:26" s="24" customFormat="1" hidden="1" outlineLevel="2" x14ac:dyDescent="0.3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-523.47</v>
      </c>
      <c r="E38" s="2"/>
      <c r="F38" s="6">
        <f t="shared" si="8"/>
        <v>-0.69920925386690891</v>
      </c>
      <c r="G38" s="2"/>
      <c r="H38" s="7">
        <v>54.18</v>
      </c>
      <c r="I38" s="2"/>
      <c r="J38" s="6">
        <f t="shared" si="9"/>
        <v>9.9898957864692044E-3</v>
      </c>
      <c r="K38" s="2"/>
      <c r="L38" s="7">
        <f t="shared" si="10"/>
        <v>-577.65</v>
      </c>
      <c r="M38" s="2"/>
      <c r="N38" s="6">
        <f t="shared" si="11"/>
        <v>-10.661683277962346</v>
      </c>
      <c r="O38" s="11"/>
      <c r="P38" s="7">
        <v>0</v>
      </c>
      <c r="Q38" s="2"/>
      <c r="R38" s="6">
        <f t="shared" si="12"/>
        <v>0</v>
      </c>
      <c r="S38" s="2"/>
      <c r="T38" s="7">
        <v>565.03</v>
      </c>
      <c r="U38" s="2"/>
      <c r="V38" s="6">
        <f t="shared" si="13"/>
        <v>9.3407973969092341E-4</v>
      </c>
      <c r="W38" s="2"/>
      <c r="X38" s="7">
        <f t="shared" si="14"/>
        <v>-565.03</v>
      </c>
      <c r="Y38" s="2"/>
      <c r="Z38" s="6">
        <f t="shared" si="15"/>
        <v>-1</v>
      </c>
    </row>
    <row r="39" spans="1:26" s="24" customFormat="1" hidden="1" outlineLevel="2" x14ac:dyDescent="0.35">
      <c r="A39" s="27"/>
      <c r="B39" s="11" t="str">
        <f>CONCATENATE("          ", "6115", " - ", "P.E.R.S.")</f>
        <v xml:space="preserve">          6115 - P.E.R.S.</v>
      </c>
      <c r="C39" s="11"/>
      <c r="D39" s="7">
        <v>1166.77</v>
      </c>
      <c r="E39" s="2"/>
      <c r="F39" s="6">
        <f t="shared" si="8"/>
        <v>1.5584778136937996</v>
      </c>
      <c r="G39" s="2"/>
      <c r="H39" s="7"/>
      <c r="I39" s="2"/>
      <c r="J39" s="6">
        <f t="shared" si="9"/>
        <v>0</v>
      </c>
      <c r="K39" s="2"/>
      <c r="L39" s="7">
        <f t="shared" si="10"/>
        <v>1166.77</v>
      </c>
      <c r="M39" s="2"/>
      <c r="N39" s="6">
        <f t="shared" si="11"/>
        <v>0</v>
      </c>
      <c r="O39" s="11"/>
      <c r="P39" s="7">
        <v>15419.3</v>
      </c>
      <c r="Q39" s="2"/>
      <c r="R39" s="6">
        <f t="shared" si="12"/>
        <v>3.2536574500279254E-2</v>
      </c>
      <c r="S39" s="2"/>
      <c r="T39" s="7">
        <v>12936.84</v>
      </c>
      <c r="U39" s="2"/>
      <c r="V39" s="6">
        <f t="shared" si="13"/>
        <v>2.1386546094230619E-2</v>
      </c>
      <c r="W39" s="2"/>
      <c r="X39" s="7">
        <f t="shared" si="14"/>
        <v>2482.4599999999991</v>
      </c>
      <c r="Y39" s="2"/>
      <c r="Z39" s="6">
        <f t="shared" si="15"/>
        <v>0.19189075539312531</v>
      </c>
    </row>
    <row r="40" spans="1:26" s="24" customFormat="1" hidden="1" outlineLevel="2" x14ac:dyDescent="0.35">
      <c r="A40" s="27"/>
      <c r="B40" s="11" t="str">
        <f>CONCATENATE("          ", "6118", " - ", "VACATION")</f>
        <v xml:space="preserve">          6118 - VACATION</v>
      </c>
      <c r="C40" s="11"/>
      <c r="D40" s="7">
        <v>1039.18</v>
      </c>
      <c r="E40" s="2"/>
      <c r="F40" s="6">
        <f t="shared" si="8"/>
        <v>1.3880533219351909</v>
      </c>
      <c r="G40" s="2"/>
      <c r="H40" s="7">
        <v>951.42</v>
      </c>
      <c r="I40" s="2"/>
      <c r="J40" s="6">
        <f t="shared" si="9"/>
        <v>0.17542611017280418</v>
      </c>
      <c r="K40" s="2"/>
      <c r="L40" s="7">
        <f t="shared" si="10"/>
        <v>87.760000000000105</v>
      </c>
      <c r="M40" s="2"/>
      <c r="N40" s="6">
        <f t="shared" si="11"/>
        <v>9.2241071240882169E-2</v>
      </c>
      <c r="O40" s="11"/>
      <c r="P40" s="7">
        <v>15421.46</v>
      </c>
      <c r="Q40" s="2"/>
      <c r="R40" s="6">
        <f t="shared" si="12"/>
        <v>3.2541132359645154E-2</v>
      </c>
      <c r="S40" s="2"/>
      <c r="T40" s="7">
        <v>12368.46</v>
      </c>
      <c r="U40" s="2"/>
      <c r="V40" s="6">
        <f t="shared" si="13"/>
        <v>2.0446928299696649E-2</v>
      </c>
      <c r="W40" s="2"/>
      <c r="X40" s="7">
        <f t="shared" si="14"/>
        <v>3053</v>
      </c>
      <c r="Y40" s="2"/>
      <c r="Z40" s="6">
        <f t="shared" si="15"/>
        <v>0.24683752059674366</v>
      </c>
    </row>
    <row r="41" spans="1:26" s="24" customFormat="1" hidden="1" outlineLevel="2" x14ac:dyDescent="0.35">
      <c r="A41" s="27"/>
      <c r="B41" s="11" t="str">
        <f>CONCATENATE("          ", "6119", " - ", "SICK LEAVE")</f>
        <v xml:space="preserve">          6119 - SICK LEAVE</v>
      </c>
      <c r="C41" s="11"/>
      <c r="D41" s="7">
        <v>526.54</v>
      </c>
      <c r="E41" s="2"/>
      <c r="F41" s="6">
        <f t="shared" si="8"/>
        <v>0.70330991371249962</v>
      </c>
      <c r="G41" s="2"/>
      <c r="H41" s="7">
        <v>482.72</v>
      </c>
      <c r="I41" s="2"/>
      <c r="J41" s="6">
        <f t="shared" si="9"/>
        <v>8.9005583131126151E-2</v>
      </c>
      <c r="K41" s="2"/>
      <c r="L41" s="7">
        <f t="shared" si="10"/>
        <v>43.819999999999936</v>
      </c>
      <c r="M41" s="2"/>
      <c r="N41" s="6">
        <f t="shared" si="11"/>
        <v>9.0777262180974344E-2</v>
      </c>
      <c r="O41" s="11"/>
      <c r="P41" s="7">
        <v>9133.2800000000007</v>
      </c>
      <c r="Q41" s="2"/>
      <c r="R41" s="6">
        <f t="shared" si="12"/>
        <v>1.9272317495081525E-2</v>
      </c>
      <c r="S41" s="2"/>
      <c r="T41" s="7">
        <v>7379.39</v>
      </c>
      <c r="U41" s="2"/>
      <c r="V41" s="6">
        <f t="shared" si="13"/>
        <v>1.2199243739762144E-2</v>
      </c>
      <c r="W41" s="2"/>
      <c r="X41" s="7">
        <f t="shared" si="14"/>
        <v>1753.8900000000003</v>
      </c>
      <c r="Y41" s="2"/>
      <c r="Z41" s="6">
        <f t="shared" si="15"/>
        <v>0.23767411669528243</v>
      </c>
    </row>
    <row r="42" spans="1:26" s="24" customFormat="1" hidden="1" outlineLevel="2" x14ac:dyDescent="0.35">
      <c r="A42" s="27"/>
      <c r="B42" s="11" t="str">
        <f>CONCATENATE("          ", "6156", " - ", "EMPLOYEE MEALS")</f>
        <v xml:space="preserve">          6156 - EMPLOYEE MEALS</v>
      </c>
      <c r="C42" s="11"/>
      <c r="D42" s="7">
        <v>104</v>
      </c>
      <c r="E42" s="2"/>
      <c r="F42" s="6">
        <f t="shared" si="8"/>
        <v>0.13891486121871077</v>
      </c>
      <c r="G42" s="2"/>
      <c r="H42" s="7">
        <v>279.5</v>
      </c>
      <c r="I42" s="2"/>
      <c r="J42" s="6">
        <f t="shared" si="9"/>
        <v>5.1535176676230025E-2</v>
      </c>
      <c r="K42" s="2"/>
      <c r="L42" s="7">
        <f t="shared" si="10"/>
        <v>-175.5</v>
      </c>
      <c r="M42" s="2"/>
      <c r="N42" s="6">
        <f t="shared" si="11"/>
        <v>-0.62790697674418605</v>
      </c>
      <c r="O42" s="11"/>
      <c r="P42" s="7">
        <v>2586.5100000000002</v>
      </c>
      <c r="Q42" s="2"/>
      <c r="R42" s="6">
        <f t="shared" si="12"/>
        <v>5.4578466798568875E-3</v>
      </c>
      <c r="S42" s="2"/>
      <c r="T42" s="7">
        <v>3188.2</v>
      </c>
      <c r="U42" s="2"/>
      <c r="V42" s="6">
        <f t="shared" si="13"/>
        <v>5.2705750598775322E-3</v>
      </c>
      <c r="W42" s="2"/>
      <c r="X42" s="7">
        <f t="shared" si="14"/>
        <v>-601.6899999999996</v>
      </c>
      <c r="Y42" s="2"/>
      <c r="Z42" s="6">
        <f t="shared" si="15"/>
        <v>-0.18872404491562625</v>
      </c>
    </row>
    <row r="43" spans="1:26" s="25" customFormat="1" outlineLevel="1" collapsed="1" x14ac:dyDescent="0.35">
      <c r="A43" s="26"/>
      <c r="B43" s="12" t="str">
        <f>CONCATENATE("     ","*Payroll                                          ")</f>
        <v xml:space="preserve">     *Payroll                                          </v>
      </c>
      <c r="C43" s="12"/>
      <c r="D43" s="1">
        <f>SUM(OSRRefD22_1x_0)</f>
        <v>9110.02</v>
      </c>
      <c r="E43" s="1"/>
      <c r="F43" s="5">
        <f t="shared" ref="F43:F47" si="16">IF(D$12=0,0,D43/D$12)</f>
        <v>12.168434269227689</v>
      </c>
      <c r="G43" s="1"/>
      <c r="H43" s="1">
        <f>SUM(OSRRefH22_1x_0)</f>
        <v>11651.92</v>
      </c>
      <c r="I43" s="1"/>
      <c r="J43" s="5">
        <f t="shared" ref="J43:J47" si="17">IF(H$12=0,0,H43/H$12)</f>
        <v>2.1484213088275426</v>
      </c>
      <c r="K43" s="1"/>
      <c r="L43" s="1">
        <f t="shared" ref="L43:L47" si="18">+D43-H43</f>
        <v>-2541.8999999999996</v>
      </c>
      <c r="M43" s="1"/>
      <c r="N43" s="5">
        <f t="shared" ref="N43:N47" si="19">IF(H43=0,0,L43/H43)</f>
        <v>-0.21815288810771097</v>
      </c>
      <c r="O43" s="12"/>
      <c r="P43" s="1">
        <f>SUM(OSRRefP22_1x_0)</f>
        <v>181885.82</v>
      </c>
      <c r="Q43" s="1"/>
      <c r="R43" s="5">
        <f t="shared" ref="R43:R47" si="20">IF(P$12=0,0,P43/P$12)</f>
        <v>0.38380092046813952</v>
      </c>
      <c r="S43" s="1"/>
      <c r="T43" s="1">
        <f>SUM(OSRRefT22_1x_0)</f>
        <v>188083.05999999997</v>
      </c>
      <c r="U43" s="1"/>
      <c r="V43" s="5">
        <f t="shared" ref="V43:V47" si="21">IF(T$12=0,0,T43/T$12)</f>
        <v>0.31092964218726848</v>
      </c>
      <c r="W43" s="1"/>
      <c r="X43" s="1">
        <f t="shared" ref="X43:X47" si="22">+P43-T43</f>
        <v>-6197.2399999999616</v>
      </c>
      <c r="Y43" s="1"/>
      <c r="Z43" s="5">
        <f t="shared" ref="Z43:Z47" si="23">IF(T43=0,0,X43/T43)</f>
        <v>-3.2949485190213103E-2</v>
      </c>
    </row>
    <row r="44" spans="1:26" s="24" customFormat="1" hidden="1" outlineLevel="2" x14ac:dyDescent="0.35">
      <c r="A44" s="27"/>
      <c r="B44" s="11" t="str">
        <f>CONCATENATE("          ", "6002", " - ", "STAFF SALARIES")</f>
        <v xml:space="preserve">          6002 - STAFF SALARIES</v>
      </c>
      <c r="C44" s="11"/>
      <c r="D44" s="7">
        <v>9110.02</v>
      </c>
      <c r="E44" s="2"/>
      <c r="F44" s="6">
        <f t="shared" si="16"/>
        <v>12.168434269227689</v>
      </c>
      <c r="G44" s="2"/>
      <c r="H44" s="7">
        <v>8970.67</v>
      </c>
      <c r="I44" s="2"/>
      <c r="J44" s="6">
        <f t="shared" si="17"/>
        <v>1.6540431604799872</v>
      </c>
      <c r="K44" s="2"/>
      <c r="L44" s="7">
        <f t="shared" si="18"/>
        <v>139.35000000000036</v>
      </c>
      <c r="M44" s="2"/>
      <c r="N44" s="6">
        <f t="shared" si="19"/>
        <v>1.5533956772459622E-2</v>
      </c>
      <c r="O44" s="11"/>
      <c r="P44" s="7">
        <v>129455.66</v>
      </c>
      <c r="Q44" s="2"/>
      <c r="R44" s="6">
        <f t="shared" si="20"/>
        <v>0.2731669872220413</v>
      </c>
      <c r="S44" s="2"/>
      <c r="T44" s="7">
        <v>121661.10999999999</v>
      </c>
      <c r="U44" s="2"/>
      <c r="V44" s="6">
        <f t="shared" si="21"/>
        <v>0.20112414908820556</v>
      </c>
      <c r="W44" s="2"/>
      <c r="X44" s="7">
        <f t="shared" si="22"/>
        <v>7794.5500000000175</v>
      </c>
      <c r="Y44" s="2"/>
      <c r="Z44" s="6">
        <f t="shared" si="23"/>
        <v>6.406772057233423E-2</v>
      </c>
    </row>
    <row r="45" spans="1:26" s="24" customFormat="1" hidden="1" outlineLevel="2" x14ac:dyDescent="0.35">
      <c r="A45" s="27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16"/>
        <v>0</v>
      </c>
      <c r="G45" s="2"/>
      <c r="H45" s="7">
        <v>950.25</v>
      </c>
      <c r="I45" s="2"/>
      <c r="J45" s="6">
        <f t="shared" si="17"/>
        <v>0.17521038152625254</v>
      </c>
      <c r="K45" s="2"/>
      <c r="L45" s="7">
        <f t="shared" si="18"/>
        <v>-950.25</v>
      </c>
      <c r="M45" s="2"/>
      <c r="N45" s="6">
        <f t="shared" si="19"/>
        <v>-1</v>
      </c>
      <c r="O45" s="11"/>
      <c r="P45" s="7">
        <v>18111.36</v>
      </c>
      <c r="Q45" s="2"/>
      <c r="R45" s="6">
        <f t="shared" si="20"/>
        <v>3.8217144354242914E-2</v>
      </c>
      <c r="S45" s="2"/>
      <c r="T45" s="7">
        <v>18456.3</v>
      </c>
      <c r="U45" s="2"/>
      <c r="V45" s="6">
        <f t="shared" si="21"/>
        <v>3.0511045253628286E-2</v>
      </c>
      <c r="W45" s="2"/>
      <c r="X45" s="7">
        <f t="shared" si="22"/>
        <v>-344.93999999999869</v>
      </c>
      <c r="Y45" s="2"/>
      <c r="Z45" s="6">
        <f t="shared" si="23"/>
        <v>-1.868955316070928E-2</v>
      </c>
    </row>
    <row r="46" spans="1:26" s="24" customFormat="1" hidden="1" outlineLevel="2" x14ac:dyDescent="0.35">
      <c r="A46" s="27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16"/>
        <v>0</v>
      </c>
      <c r="G46" s="2"/>
      <c r="H46" s="7">
        <v>54</v>
      </c>
      <c r="I46" s="2"/>
      <c r="J46" s="6">
        <f t="shared" si="17"/>
        <v>9.9567067639227957E-3</v>
      </c>
      <c r="K46" s="2"/>
      <c r="L46" s="7">
        <f t="shared" si="18"/>
        <v>-54</v>
      </c>
      <c r="M46" s="2"/>
      <c r="N46" s="6">
        <f t="shared" si="19"/>
        <v>-1</v>
      </c>
      <c r="O46" s="11"/>
      <c r="P46" s="7">
        <v>2451.21</v>
      </c>
      <c r="Q46" s="2"/>
      <c r="R46" s="6">
        <f t="shared" si="20"/>
        <v>5.1723474334651716E-3</v>
      </c>
      <c r="S46" s="2"/>
      <c r="T46" s="7">
        <v>9019.65</v>
      </c>
      <c r="U46" s="2"/>
      <c r="V46" s="6">
        <f t="shared" si="21"/>
        <v>1.4910840705985943E-2</v>
      </c>
      <c r="W46" s="2"/>
      <c r="X46" s="7">
        <f t="shared" si="22"/>
        <v>-6568.44</v>
      </c>
      <c r="Y46" s="2"/>
      <c r="Z46" s="6">
        <f t="shared" si="23"/>
        <v>-0.72823668324158919</v>
      </c>
    </row>
    <row r="47" spans="1:26" s="24" customFormat="1" hidden="1" outlineLevel="2" x14ac:dyDescent="0.35">
      <c r="A47" s="27"/>
      <c r="B47" s="11" t="str">
        <f>CONCATENATE("          ", "6007", " - ", "STUDENT HOURLY")</f>
        <v xml:space="preserve">          6007 - STUDENT HOURLY</v>
      </c>
      <c r="C47" s="11"/>
      <c r="D47" s="7"/>
      <c r="E47" s="2"/>
      <c r="F47" s="6">
        <f t="shared" si="16"/>
        <v>0</v>
      </c>
      <c r="G47" s="2"/>
      <c r="H47" s="7">
        <v>1677</v>
      </c>
      <c r="I47" s="2"/>
      <c r="J47" s="6">
        <f t="shared" si="17"/>
        <v>0.30921106005738014</v>
      </c>
      <c r="K47" s="2"/>
      <c r="L47" s="7">
        <f t="shared" si="18"/>
        <v>-1677</v>
      </c>
      <c r="M47" s="2"/>
      <c r="N47" s="6">
        <f t="shared" si="19"/>
        <v>-1</v>
      </c>
      <c r="O47" s="11"/>
      <c r="P47" s="7">
        <v>31867.59</v>
      </c>
      <c r="Q47" s="2"/>
      <c r="R47" s="6">
        <f t="shared" si="20"/>
        <v>6.7244441458390092E-2</v>
      </c>
      <c r="S47" s="2"/>
      <c r="T47" s="7">
        <v>38946</v>
      </c>
      <c r="U47" s="2"/>
      <c r="V47" s="6">
        <f t="shared" si="21"/>
        <v>6.4383607139448712E-2</v>
      </c>
      <c r="W47" s="2"/>
      <c r="X47" s="7">
        <f t="shared" si="22"/>
        <v>-7078.41</v>
      </c>
      <c r="Y47" s="2"/>
      <c r="Z47" s="6">
        <f t="shared" si="23"/>
        <v>-0.18174934524726544</v>
      </c>
    </row>
    <row r="48" spans="1:26" s="25" customFormat="1" outlineLevel="1" collapsed="1" x14ac:dyDescent="0.35">
      <c r="A48" s="26"/>
      <c r="B48" s="12" t="str">
        <f>CONCATENATE("     ","Advertising/Promo                                 ")</f>
        <v xml:space="preserve">     Advertising/Promo                                 </v>
      </c>
      <c r="C48" s="12"/>
      <c r="D48" s="1">
        <f>SUM(OSRRefD22_2x_0)</f>
        <v>0</v>
      </c>
      <c r="E48" s="1"/>
      <c r="F48" s="5">
        <f t="shared" ref="F48:F58" si="24">IF(D$12=0,0,D48/D$12)</f>
        <v>0</v>
      </c>
      <c r="G48" s="1"/>
      <c r="H48" s="1">
        <f>SUM(OSRRefH22_2x_0)</f>
        <v>0</v>
      </c>
      <c r="I48" s="1"/>
      <c r="J48" s="5">
        <f t="shared" ref="J48:J58" si="25">IF(H$12=0,0,H48/H$12)</f>
        <v>0</v>
      </c>
      <c r="K48" s="1"/>
      <c r="L48" s="1">
        <f t="shared" ref="L48:L58" si="26">+D48-H48</f>
        <v>0</v>
      </c>
      <c r="M48" s="1"/>
      <c r="N48" s="5">
        <f t="shared" ref="N48:N58" si="27">IF(H48=0,0,L48/H48)</f>
        <v>0</v>
      </c>
      <c r="O48" s="12"/>
      <c r="P48" s="1">
        <f>SUM(OSRRefP22_2x_0)</f>
        <v>751</v>
      </c>
      <c r="Q48" s="1"/>
      <c r="R48" s="5">
        <f t="shared" ref="R48:R58" si="28">IF(P$12=0,0,P48/P$12)</f>
        <v>1.5847001776805511E-3</v>
      </c>
      <c r="S48" s="1"/>
      <c r="T48" s="1">
        <f>SUM(OSRRefT22_2x_0)</f>
        <v>1083.07</v>
      </c>
      <c r="U48" s="1"/>
      <c r="V48" s="5">
        <f t="shared" ref="V48:V58" si="29">IF(T$12=0,0,T48/T$12)</f>
        <v>1.7904779280162972E-3</v>
      </c>
      <c r="W48" s="1"/>
      <c r="X48" s="1">
        <f t="shared" ref="X48:X58" si="30">+P48-T48</f>
        <v>-332.06999999999994</v>
      </c>
      <c r="Y48" s="1"/>
      <c r="Z48" s="5">
        <f t="shared" ref="Z48:Z58" si="31">IF(T48=0,0,X48/T48)</f>
        <v>-0.30660068139640095</v>
      </c>
    </row>
    <row r="49" spans="1:26" s="24" customFormat="1" hidden="1" outlineLevel="2" x14ac:dyDescent="0.35">
      <c r="A49" s="27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>
        <v>751</v>
      </c>
      <c r="Q49" s="2"/>
      <c r="R49" s="6">
        <f t="shared" si="28"/>
        <v>1.5847001776805511E-3</v>
      </c>
      <c r="S49" s="2"/>
      <c r="T49" s="7">
        <v>1083.07</v>
      </c>
      <c r="U49" s="2"/>
      <c r="V49" s="6">
        <f t="shared" si="29"/>
        <v>1.7904779280162972E-3</v>
      </c>
      <c r="W49" s="2"/>
      <c r="X49" s="7">
        <f t="shared" si="30"/>
        <v>-332.06999999999994</v>
      </c>
      <c r="Y49" s="2"/>
      <c r="Z49" s="6">
        <f t="shared" si="31"/>
        <v>-0.30660068139640095</v>
      </c>
    </row>
    <row r="50" spans="1:26" s="25" customFormat="1" outlineLevel="1" collapsed="1" x14ac:dyDescent="0.35">
      <c r="A50" s="26"/>
      <c r="B50" s="12" t="str">
        <f>CONCATENATE("     ","Depreciation                                      ")</f>
        <v xml:space="preserve">     Depreciation                                      </v>
      </c>
      <c r="C50" s="12"/>
      <c r="D50" s="1">
        <f>SUM(OSRRefD22_3x_0)</f>
        <v>169.9</v>
      </c>
      <c r="E50" s="1"/>
      <c r="F50" s="5">
        <f t="shared" si="24"/>
        <v>0.22693879731787461</v>
      </c>
      <c r="G50" s="1"/>
      <c r="H50" s="1">
        <f>SUM(OSRRefH22_3x_0)</f>
        <v>0</v>
      </c>
      <c r="I50" s="1"/>
      <c r="J50" s="5">
        <f t="shared" si="25"/>
        <v>0</v>
      </c>
      <c r="K50" s="1"/>
      <c r="L50" s="1">
        <f t="shared" si="26"/>
        <v>169.9</v>
      </c>
      <c r="M50" s="1"/>
      <c r="N50" s="5">
        <f t="shared" si="27"/>
        <v>0</v>
      </c>
      <c r="O50" s="12"/>
      <c r="P50" s="1">
        <f>SUM(OSRRefP22_3x_0)</f>
        <v>1189.18</v>
      </c>
      <c r="Q50" s="1"/>
      <c r="R50" s="5">
        <f t="shared" si="28"/>
        <v>2.5093125929349638E-3</v>
      </c>
      <c r="S50" s="1"/>
      <c r="T50" s="1">
        <f>SUM(OSRRefT22_3x_0)</f>
        <v>0</v>
      </c>
      <c r="U50" s="1"/>
      <c r="V50" s="5">
        <f t="shared" si="29"/>
        <v>0</v>
      </c>
      <c r="W50" s="1"/>
      <c r="X50" s="1">
        <f t="shared" si="30"/>
        <v>1189.18</v>
      </c>
      <c r="Y50" s="1"/>
      <c r="Z50" s="5">
        <f t="shared" si="31"/>
        <v>0</v>
      </c>
    </row>
    <row r="51" spans="1:26" s="24" customFormat="1" hidden="1" outlineLevel="2" x14ac:dyDescent="0.35">
      <c r="A51" s="27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169.9</v>
      </c>
      <c r="E51" s="2"/>
      <c r="F51" s="6">
        <f t="shared" si="24"/>
        <v>0.22693879731787461</v>
      </c>
      <c r="G51" s="2"/>
      <c r="H51" s="7"/>
      <c r="I51" s="2"/>
      <c r="J51" s="6">
        <f t="shared" si="25"/>
        <v>0</v>
      </c>
      <c r="K51" s="2"/>
      <c r="L51" s="7">
        <f t="shared" si="26"/>
        <v>169.9</v>
      </c>
      <c r="M51" s="2"/>
      <c r="N51" s="6">
        <f t="shared" si="27"/>
        <v>0</v>
      </c>
      <c r="O51" s="11"/>
      <c r="P51" s="7">
        <v>1189.18</v>
      </c>
      <c r="Q51" s="2"/>
      <c r="R51" s="6">
        <f t="shared" si="28"/>
        <v>2.5093125929349638E-3</v>
      </c>
      <c r="S51" s="2"/>
      <c r="T51" s="7"/>
      <c r="U51" s="2"/>
      <c r="V51" s="6">
        <f t="shared" si="29"/>
        <v>0</v>
      </c>
      <c r="W51" s="2"/>
      <c r="X51" s="7">
        <f t="shared" si="30"/>
        <v>1189.18</v>
      </c>
      <c r="Y51" s="2"/>
      <c r="Z51" s="6">
        <f t="shared" si="31"/>
        <v>0</v>
      </c>
    </row>
    <row r="52" spans="1:26" s="25" customFormat="1" outlineLevel="1" collapsed="1" x14ac:dyDescent="0.35">
      <c r="A52" s="26"/>
      <c r="B52" s="12" t="str">
        <f>CONCATENATE("     ","Discounts and Markdowns                           ")</f>
        <v xml:space="preserve">     Discounts and Markdowns                           </v>
      </c>
      <c r="C52" s="12"/>
      <c r="D52" s="1">
        <f>SUM(OSRRefD22_4x_0)</f>
        <v>0</v>
      </c>
      <c r="E52" s="1"/>
      <c r="F52" s="5">
        <f t="shared" si="24"/>
        <v>0</v>
      </c>
      <c r="G52" s="1"/>
      <c r="H52" s="1">
        <f>SUM(OSRRefH22_4x_0)</f>
        <v>77.05</v>
      </c>
      <c r="I52" s="1"/>
      <c r="J52" s="5">
        <f t="shared" si="25"/>
        <v>1.42067454844491E-2</v>
      </c>
      <c r="K52" s="1"/>
      <c r="L52" s="1">
        <f t="shared" si="26"/>
        <v>-77.05</v>
      </c>
      <c r="M52" s="1"/>
      <c r="N52" s="5">
        <f t="shared" si="27"/>
        <v>-1</v>
      </c>
      <c r="O52" s="12"/>
      <c r="P52" s="1">
        <f>SUM(OSRRefP22_4x_0)</f>
        <v>726.07</v>
      </c>
      <c r="Q52" s="1"/>
      <c r="R52" s="5">
        <f t="shared" si="28"/>
        <v>1.5320948841658028E-3</v>
      </c>
      <c r="S52" s="1"/>
      <c r="T52" s="1">
        <f>SUM(OSRRefT22_4x_0)</f>
        <v>1658.33</v>
      </c>
      <c r="U52" s="1"/>
      <c r="V52" s="5">
        <f t="shared" si="29"/>
        <v>2.7414693993622445E-3</v>
      </c>
      <c r="W52" s="1"/>
      <c r="X52" s="1">
        <f t="shared" si="30"/>
        <v>-932.25999999999988</v>
      </c>
      <c r="Y52" s="1"/>
      <c r="Z52" s="5">
        <f t="shared" si="31"/>
        <v>-0.56216796415671177</v>
      </c>
    </row>
    <row r="53" spans="1:26" s="24" customFormat="1" hidden="1" outlineLevel="2" x14ac:dyDescent="0.35">
      <c r="A53" s="27"/>
      <c r="B53" s="11" t="str">
        <f>CONCATENATE("          ", "6382", " - ", "DISCOUNTS/MARK DOWNS")</f>
        <v xml:space="preserve">          6382 - DISCOUNTS/MARK DOWNS</v>
      </c>
      <c r="C53" s="11"/>
      <c r="D53" s="7"/>
      <c r="E53" s="2"/>
      <c r="F53" s="6">
        <f t="shared" si="24"/>
        <v>0</v>
      </c>
      <c r="G53" s="2"/>
      <c r="H53" s="7">
        <v>77.05</v>
      </c>
      <c r="I53" s="2"/>
      <c r="J53" s="6">
        <f t="shared" si="25"/>
        <v>1.42067454844491E-2</v>
      </c>
      <c r="K53" s="2"/>
      <c r="L53" s="7">
        <f t="shared" si="26"/>
        <v>-77.05</v>
      </c>
      <c r="M53" s="2"/>
      <c r="N53" s="6">
        <f t="shared" si="27"/>
        <v>-1</v>
      </c>
      <c r="O53" s="11"/>
      <c r="P53" s="7">
        <v>726.07</v>
      </c>
      <c r="Q53" s="2"/>
      <c r="R53" s="6">
        <f t="shared" si="28"/>
        <v>1.5320948841658028E-3</v>
      </c>
      <c r="S53" s="2"/>
      <c r="T53" s="7">
        <v>1658.33</v>
      </c>
      <c r="U53" s="2"/>
      <c r="V53" s="6">
        <f t="shared" si="29"/>
        <v>2.7414693993622445E-3</v>
      </c>
      <c r="W53" s="2"/>
      <c r="X53" s="7">
        <f t="shared" si="30"/>
        <v>-932.25999999999988</v>
      </c>
      <c r="Y53" s="2"/>
      <c r="Z53" s="6">
        <f t="shared" si="31"/>
        <v>-0.56216796415671177</v>
      </c>
    </row>
    <row r="54" spans="1:26" s="25" customFormat="1" outlineLevel="1" collapsed="1" x14ac:dyDescent="0.35">
      <c r="A54" s="26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SUM(OSRRefD22_5x_0)</f>
        <v>1205.6400000000001</v>
      </c>
      <c r="E54" s="1"/>
      <c r="F54" s="5">
        <f t="shared" si="24"/>
        <v>1.610397243074293</v>
      </c>
      <c r="G54" s="1"/>
      <c r="H54" s="1">
        <f>SUM(OSRRefH22_5x_0)</f>
        <v>3171.9</v>
      </c>
      <c r="I54" s="1"/>
      <c r="J54" s="5">
        <f t="shared" si="25"/>
        <v>0.58484589230530959</v>
      </c>
      <c r="K54" s="1"/>
      <c r="L54" s="1">
        <f t="shared" si="26"/>
        <v>-1966.26</v>
      </c>
      <c r="M54" s="1"/>
      <c r="N54" s="5">
        <f t="shared" si="27"/>
        <v>-0.61989974463255459</v>
      </c>
      <c r="O54" s="12"/>
      <c r="P54" s="1">
        <f>SUM(OSRRefP22_5x_0)</f>
        <v>17287.350000000002</v>
      </c>
      <c r="Q54" s="1"/>
      <c r="R54" s="5">
        <f t="shared" si="28"/>
        <v>3.6478384309754835E-2</v>
      </c>
      <c r="S54" s="1"/>
      <c r="T54" s="1">
        <f>SUM(OSRRefT22_5x_0)</f>
        <v>38555.11</v>
      </c>
      <c r="U54" s="1"/>
      <c r="V54" s="5">
        <f t="shared" si="29"/>
        <v>6.3737407062554055E-2</v>
      </c>
      <c r="W54" s="1"/>
      <c r="X54" s="1">
        <f t="shared" si="30"/>
        <v>-21267.759999999998</v>
      </c>
      <c r="Y54" s="1"/>
      <c r="Z54" s="5">
        <f t="shared" si="31"/>
        <v>-0.55161974638381261</v>
      </c>
    </row>
    <row r="55" spans="1:26" s="24" customFormat="1" hidden="1" outlineLevel="2" x14ac:dyDescent="0.35">
      <c r="A55" s="27"/>
      <c r="B55" s="11" t="str">
        <f>CONCATENATE("          ", "6351", " - ", "EQUIPMENT RENTAL")</f>
        <v xml:space="preserve">          6351 - EQUIPMENT RENTAL</v>
      </c>
      <c r="C55" s="11"/>
      <c r="D55" s="7">
        <v>1205.6400000000001</v>
      </c>
      <c r="E55" s="2"/>
      <c r="F55" s="6">
        <f t="shared" si="24"/>
        <v>1.610397243074293</v>
      </c>
      <c r="G55" s="2"/>
      <c r="H55" s="7">
        <v>3171.9</v>
      </c>
      <c r="I55" s="2"/>
      <c r="J55" s="6">
        <f t="shared" si="25"/>
        <v>0.58484589230530959</v>
      </c>
      <c r="K55" s="2"/>
      <c r="L55" s="7">
        <f t="shared" si="26"/>
        <v>-1966.26</v>
      </c>
      <c r="M55" s="2"/>
      <c r="N55" s="6">
        <f t="shared" si="27"/>
        <v>-0.61989974463255459</v>
      </c>
      <c r="O55" s="11"/>
      <c r="P55" s="7">
        <v>17287.350000000002</v>
      </c>
      <c r="Q55" s="2"/>
      <c r="R55" s="6">
        <f t="shared" si="28"/>
        <v>3.6478384309754835E-2</v>
      </c>
      <c r="S55" s="2"/>
      <c r="T55" s="7">
        <v>38555.11</v>
      </c>
      <c r="U55" s="2"/>
      <c r="V55" s="6">
        <f t="shared" si="29"/>
        <v>6.3737407062554055E-2</v>
      </c>
      <c r="W55" s="2"/>
      <c r="X55" s="7">
        <f t="shared" si="30"/>
        <v>-21267.759999999998</v>
      </c>
      <c r="Y55" s="2"/>
      <c r="Z55" s="6">
        <f t="shared" si="31"/>
        <v>-0.55161974638381261</v>
      </c>
    </row>
    <row r="56" spans="1:26" s="25" customFormat="1" outlineLevel="1" collapsed="1" x14ac:dyDescent="0.35">
      <c r="A56" s="26"/>
      <c r="B56" s="12" t="str">
        <f>CONCATENATE("     ","Freight out/Postage                               ")</f>
        <v xml:space="preserve">     Freight out/Postage                               </v>
      </c>
      <c r="C56" s="12"/>
      <c r="D56" s="1">
        <f>SUM(OSRRefD22_6x_0)</f>
        <v>0</v>
      </c>
      <c r="E56" s="1"/>
      <c r="F56" s="5">
        <f t="shared" si="24"/>
        <v>0</v>
      </c>
      <c r="G56" s="1"/>
      <c r="H56" s="1">
        <f>SUM(OSRRefH22_6x_0)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2"/>
      <c r="P56" s="1">
        <f>SUM(OSRRefP22_6x_0)</f>
        <v>15.02</v>
      </c>
      <c r="Q56" s="1"/>
      <c r="R56" s="5">
        <f t="shared" si="28"/>
        <v>3.1694003553611024E-5</v>
      </c>
      <c r="S56" s="1"/>
      <c r="T56" s="1">
        <f>SUM(OSRRefT22_6x_0)</f>
        <v>0.95</v>
      </c>
      <c r="U56" s="1"/>
      <c r="V56" s="5">
        <f t="shared" si="29"/>
        <v>1.5704931644450335E-6</v>
      </c>
      <c r="W56" s="1"/>
      <c r="X56" s="1">
        <f t="shared" si="30"/>
        <v>14.07</v>
      </c>
      <c r="Y56" s="1"/>
      <c r="Z56" s="5">
        <f t="shared" si="31"/>
        <v>14.810526315789474</v>
      </c>
    </row>
    <row r="57" spans="1:26" s="24" customFormat="1" hidden="1" outlineLevel="2" x14ac:dyDescent="0.35">
      <c r="A57" s="27"/>
      <c r="B57" s="11" t="str">
        <f>CONCATENATE("          ", "6305", " - ", "FREIGHT OUT")</f>
        <v xml:space="preserve">          6305 - FREIGHT OUT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>
        <v>15.02</v>
      </c>
      <c r="Q57" s="2"/>
      <c r="R57" s="6">
        <f t="shared" si="28"/>
        <v>3.1694003553611024E-5</v>
      </c>
      <c r="S57" s="2"/>
      <c r="T57" s="7"/>
      <c r="U57" s="2"/>
      <c r="V57" s="6">
        <f t="shared" si="29"/>
        <v>0</v>
      </c>
      <c r="W57" s="2"/>
      <c r="X57" s="7">
        <f t="shared" si="30"/>
        <v>15.02</v>
      </c>
      <c r="Y57" s="2"/>
      <c r="Z57" s="6">
        <f t="shared" si="31"/>
        <v>0</v>
      </c>
    </row>
    <row r="58" spans="1:26" s="24" customFormat="1" hidden="1" outlineLevel="2" x14ac:dyDescent="0.35">
      <c r="A58" s="27"/>
      <c r="B58" s="11" t="str">
        <f>CONCATENATE("          ", "6307", " - ", "POSTAGE")</f>
        <v xml:space="preserve">          6307 - POSTAGE</v>
      </c>
      <c r="C58" s="11"/>
      <c r="D58" s="7"/>
      <c r="E58" s="2"/>
      <c r="F58" s="6">
        <f t="shared" si="24"/>
        <v>0</v>
      </c>
      <c r="G58" s="2"/>
      <c r="H58" s="7"/>
      <c r="I58" s="2"/>
      <c r="J58" s="6">
        <f t="shared" si="25"/>
        <v>0</v>
      </c>
      <c r="K58" s="2"/>
      <c r="L58" s="7">
        <f t="shared" si="26"/>
        <v>0</v>
      </c>
      <c r="M58" s="2"/>
      <c r="N58" s="6">
        <f t="shared" si="27"/>
        <v>0</v>
      </c>
      <c r="O58" s="11"/>
      <c r="P58" s="7"/>
      <c r="Q58" s="2"/>
      <c r="R58" s="6">
        <f t="shared" si="28"/>
        <v>0</v>
      </c>
      <c r="S58" s="2"/>
      <c r="T58" s="7">
        <v>0.95</v>
      </c>
      <c r="U58" s="2"/>
      <c r="V58" s="6">
        <f t="shared" si="29"/>
        <v>1.5704931644450335E-6</v>
      </c>
      <c r="W58" s="2"/>
      <c r="X58" s="7">
        <f t="shared" si="30"/>
        <v>-0.95</v>
      </c>
      <c r="Y58" s="2"/>
      <c r="Z58" s="6">
        <f t="shared" si="31"/>
        <v>-1</v>
      </c>
    </row>
    <row r="59" spans="1:26" s="25" customFormat="1" outlineLevel="1" collapsed="1" x14ac:dyDescent="0.35">
      <c r="A59" s="26"/>
      <c r="B59" s="12" t="str">
        <f>CONCATENATE("     ","General                                           ")</f>
        <v xml:space="preserve">     General                                           </v>
      </c>
      <c r="C59" s="12"/>
      <c r="D59" s="1">
        <f>SUM(OSRRefD22_7x_0)</f>
        <v>0</v>
      </c>
      <c r="E59" s="1"/>
      <c r="F59" s="5">
        <f t="shared" ref="F59:F63" si="32">IF(D$12=0,0,D59/D$12)</f>
        <v>0</v>
      </c>
      <c r="G59" s="1"/>
      <c r="H59" s="1">
        <f>SUM(OSRRefH22_7x_0)</f>
        <v>0</v>
      </c>
      <c r="I59" s="1"/>
      <c r="J59" s="5">
        <f t="shared" ref="J59:J63" si="33">IF(H$12=0,0,H59/H$12)</f>
        <v>0</v>
      </c>
      <c r="K59" s="1"/>
      <c r="L59" s="1">
        <f t="shared" ref="L59:L63" si="34">+D59-H59</f>
        <v>0</v>
      </c>
      <c r="M59" s="1"/>
      <c r="N59" s="5">
        <f t="shared" ref="N59:N63" si="35">IF(H59=0,0,L59/H59)</f>
        <v>0</v>
      </c>
      <c r="O59" s="12"/>
      <c r="P59" s="1">
        <f>SUM(OSRRefP22_7x_0)</f>
        <v>75</v>
      </c>
      <c r="Q59" s="1"/>
      <c r="R59" s="5">
        <f t="shared" ref="R59:R63" si="36">IF(P$12=0,0,P59/P$12)</f>
        <v>1.5825900576037463E-4</v>
      </c>
      <c r="S59" s="1"/>
      <c r="T59" s="1">
        <f>SUM(OSRRefT22_7x_0)</f>
        <v>207.86</v>
      </c>
      <c r="U59" s="1"/>
      <c r="V59" s="5">
        <f t="shared" ref="V59:V63" si="37">IF(T$12=0,0,T59/T$12)</f>
        <v>3.4362390438057335E-4</v>
      </c>
      <c r="W59" s="1"/>
      <c r="X59" s="1">
        <f t="shared" ref="X59:X63" si="38">+P59-T59</f>
        <v>-132.86000000000001</v>
      </c>
      <c r="Y59" s="1"/>
      <c r="Z59" s="5">
        <f t="shared" ref="Z59:Z63" si="39">IF(T59=0,0,X59/T59)</f>
        <v>-0.63918021745405562</v>
      </c>
    </row>
    <row r="60" spans="1:26" s="24" customFormat="1" hidden="1" outlineLevel="2" x14ac:dyDescent="0.35">
      <c r="A60" s="27"/>
      <c r="B60" s="11" t="str">
        <f>CONCATENATE("          ", "6279", " - ", "GENERAL EXPENSE")</f>
        <v xml:space="preserve">          6279 - GENERAL EXPENSE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>
        <v>75</v>
      </c>
      <c r="Q60" s="2"/>
      <c r="R60" s="6">
        <f t="shared" si="36"/>
        <v>1.5825900576037463E-4</v>
      </c>
      <c r="S60" s="2"/>
      <c r="T60" s="7">
        <v>207.86</v>
      </c>
      <c r="U60" s="2"/>
      <c r="V60" s="6">
        <f t="shared" si="37"/>
        <v>3.4362390438057335E-4</v>
      </c>
      <c r="W60" s="2"/>
      <c r="X60" s="7">
        <f t="shared" si="38"/>
        <v>-132.86000000000001</v>
      </c>
      <c r="Y60" s="2"/>
      <c r="Z60" s="6">
        <f t="shared" si="39"/>
        <v>-0.63918021745405562</v>
      </c>
    </row>
    <row r="61" spans="1:26" s="25" customFormat="1" outlineLevel="1" collapsed="1" x14ac:dyDescent="0.35">
      <c r="A61" s="26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SUM(OSRRefD22_8x_0)</f>
        <v>8710.14</v>
      </c>
      <c r="E61" s="1"/>
      <c r="F61" s="5">
        <f t="shared" si="32"/>
        <v>11.634306627841744</v>
      </c>
      <c r="G61" s="1"/>
      <c r="H61" s="1">
        <f>SUM(OSRRefH22_8x_0)</f>
        <v>2501.17</v>
      </c>
      <c r="I61" s="1"/>
      <c r="J61" s="5">
        <f t="shared" si="33"/>
        <v>0.46117437512445886</v>
      </c>
      <c r="K61" s="1"/>
      <c r="L61" s="1">
        <f t="shared" si="34"/>
        <v>6208.9699999999993</v>
      </c>
      <c r="M61" s="1"/>
      <c r="N61" s="5">
        <f t="shared" si="35"/>
        <v>2.4824262245269209</v>
      </c>
      <c r="O61" s="12"/>
      <c r="P61" s="1">
        <f>SUM(OSRRefP22_8x_0)</f>
        <v>74977.819999999992</v>
      </c>
      <c r="Q61" s="1"/>
      <c r="R61" s="5">
        <f t="shared" si="36"/>
        <v>0.15821220329707106</v>
      </c>
      <c r="S61" s="1"/>
      <c r="T61" s="1">
        <f>SUM(OSRRefT22_8x_0)</f>
        <v>72957.009999999995</v>
      </c>
      <c r="U61" s="1"/>
      <c r="V61" s="5">
        <f t="shared" si="37"/>
        <v>0.12060893210878731</v>
      </c>
      <c r="W61" s="1"/>
      <c r="X61" s="1">
        <f t="shared" si="38"/>
        <v>2020.8099999999977</v>
      </c>
      <c r="Y61" s="1"/>
      <c r="Z61" s="5">
        <f t="shared" si="39"/>
        <v>2.7698640610408758E-2</v>
      </c>
    </row>
    <row r="62" spans="1:26" s="24" customFormat="1" hidden="1" outlineLevel="2" x14ac:dyDescent="0.35">
      <c r="A62" s="27"/>
      <c r="B62" s="11" t="str">
        <f>CONCATENATE("          ", "6373", " - ", "MAINTENANCE CONTRACTS")</f>
        <v xml:space="preserve">          6373 - MAINTENANCE CONTRACTS</v>
      </c>
      <c r="C62" s="11"/>
      <c r="D62" s="7">
        <v>8710.14</v>
      </c>
      <c r="E62" s="2"/>
      <c r="F62" s="6">
        <f t="shared" si="32"/>
        <v>11.634306627841744</v>
      </c>
      <c r="G62" s="2"/>
      <c r="H62" s="7">
        <v>2501.17</v>
      </c>
      <c r="I62" s="2"/>
      <c r="J62" s="6">
        <f t="shared" si="33"/>
        <v>0.46117437512445886</v>
      </c>
      <c r="K62" s="2"/>
      <c r="L62" s="7">
        <f t="shared" si="34"/>
        <v>6208.9699999999993</v>
      </c>
      <c r="M62" s="2"/>
      <c r="N62" s="6">
        <f t="shared" si="35"/>
        <v>2.4824262245269209</v>
      </c>
      <c r="O62" s="11"/>
      <c r="P62" s="7">
        <v>73576.06</v>
      </c>
      <c r="Q62" s="2"/>
      <c r="R62" s="6">
        <f t="shared" si="36"/>
        <v>0.15525432137820891</v>
      </c>
      <c r="S62" s="2"/>
      <c r="T62" s="7">
        <v>72067.81</v>
      </c>
      <c r="U62" s="2"/>
      <c r="V62" s="6">
        <f t="shared" si="37"/>
        <v>0.11913895050686676</v>
      </c>
      <c r="W62" s="2"/>
      <c r="X62" s="7">
        <f t="shared" si="38"/>
        <v>1508.25</v>
      </c>
      <c r="Y62" s="2"/>
      <c r="Z62" s="6">
        <f t="shared" si="39"/>
        <v>2.092820636564369E-2</v>
      </c>
    </row>
    <row r="63" spans="1:26" s="24" customFormat="1" hidden="1" outlineLevel="2" x14ac:dyDescent="0.35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7"/>
      <c r="E63" s="2"/>
      <c r="F63" s="6">
        <f t="shared" si="32"/>
        <v>0</v>
      </c>
      <c r="G63" s="2"/>
      <c r="H63" s="7"/>
      <c r="I63" s="2"/>
      <c r="J63" s="6">
        <f t="shared" si="33"/>
        <v>0</v>
      </c>
      <c r="K63" s="2"/>
      <c r="L63" s="7">
        <f t="shared" si="34"/>
        <v>0</v>
      </c>
      <c r="M63" s="2"/>
      <c r="N63" s="6">
        <f t="shared" si="35"/>
        <v>0</v>
      </c>
      <c r="O63" s="11"/>
      <c r="P63" s="7">
        <v>1401.76</v>
      </c>
      <c r="Q63" s="2"/>
      <c r="R63" s="6">
        <f t="shared" si="36"/>
        <v>2.9578819188621698E-3</v>
      </c>
      <c r="S63" s="2"/>
      <c r="T63" s="7">
        <v>889.2</v>
      </c>
      <c r="U63" s="2"/>
      <c r="V63" s="6">
        <f t="shared" si="37"/>
        <v>1.4699816019205514E-3</v>
      </c>
      <c r="W63" s="2"/>
      <c r="X63" s="7">
        <f t="shared" si="38"/>
        <v>512.55999999999995</v>
      </c>
      <c r="Y63" s="2"/>
      <c r="Z63" s="6">
        <f t="shared" si="39"/>
        <v>0.57642825011246057</v>
      </c>
    </row>
    <row r="64" spans="1:26" s="25" customFormat="1" outlineLevel="1" collapsed="1" x14ac:dyDescent="0.35">
      <c r="A64" s="26"/>
      <c r="B64" s="12" t="str">
        <f>CONCATENATE("     ","Royalty &amp; Commissions                             ")</f>
        <v xml:space="preserve">     Royalty &amp; Commissions                             </v>
      </c>
      <c r="C64" s="12"/>
      <c r="D64" s="1">
        <f>SUM(OSRRefD22_9x_0)</f>
        <v>0</v>
      </c>
      <c r="E64" s="1"/>
      <c r="F64" s="5">
        <f t="shared" ref="F64:F71" si="40">IF(D$12=0,0,D64/D$12)</f>
        <v>0</v>
      </c>
      <c r="G64" s="1"/>
      <c r="H64" s="1">
        <f>SUM(OSRRefH22_9x_0)</f>
        <v>4521.01</v>
      </c>
      <c r="I64" s="1"/>
      <c r="J64" s="5">
        <f t="shared" ref="J64:J71" si="41">IF(H$12=0,0,H64/H$12)</f>
        <v>0.83359946012523334</v>
      </c>
      <c r="K64" s="1"/>
      <c r="L64" s="1">
        <f t="shared" ref="L64:L71" si="42">+D64-H64</f>
        <v>-4521.01</v>
      </c>
      <c r="M64" s="1"/>
      <c r="N64" s="5">
        <f t="shared" ref="N64:N71" si="43">IF(H64=0,0,L64/H64)</f>
        <v>-1</v>
      </c>
      <c r="O64" s="12"/>
      <c r="P64" s="1">
        <f>SUM(OSRRefP22_9x_0)</f>
        <v>82607.740000000005</v>
      </c>
      <c r="Q64" s="1"/>
      <c r="R64" s="5">
        <f t="shared" ref="R64:R71" si="44">IF(P$12=0,0,P64/P$12)</f>
        <v>0.17431225067348707</v>
      </c>
      <c r="S64" s="1"/>
      <c r="T64" s="1">
        <f>SUM(OSRRefT22_9x_0)</f>
        <v>114771.74</v>
      </c>
      <c r="U64" s="1"/>
      <c r="V64" s="5">
        <f t="shared" ref="V64:V71" si="45">IF(T$12=0,0,T64/T$12)</f>
        <v>0.18973498225417121</v>
      </c>
      <c r="W64" s="1"/>
      <c r="X64" s="1">
        <f t="shared" ref="X64:X71" si="46">+P64-T64</f>
        <v>-32164</v>
      </c>
      <c r="Y64" s="1"/>
      <c r="Z64" s="5">
        <f t="shared" ref="Z64:Z71" si="47">IF(T64=0,0,X64/T64)</f>
        <v>-0.28024320272568837</v>
      </c>
    </row>
    <row r="65" spans="1:26" s="24" customFormat="1" hidden="1" outlineLevel="2" x14ac:dyDescent="0.35">
      <c r="A65" s="27"/>
      <c r="B65" s="11" t="str">
        <f>CONCATENATE("          ", "6259", " - ", "ROYALTY &amp; COMMISSIONS")</f>
        <v xml:space="preserve">          6259 - ROYALTY &amp; COMMISSIONS</v>
      </c>
      <c r="C65" s="11"/>
      <c r="D65" s="7"/>
      <c r="E65" s="2"/>
      <c r="F65" s="6">
        <f t="shared" si="40"/>
        <v>0</v>
      </c>
      <c r="G65" s="2"/>
      <c r="H65" s="7">
        <v>4521.01</v>
      </c>
      <c r="I65" s="2"/>
      <c r="J65" s="6">
        <f t="shared" si="41"/>
        <v>0.83359946012523334</v>
      </c>
      <c r="K65" s="2"/>
      <c r="L65" s="7">
        <f t="shared" si="42"/>
        <v>-4521.01</v>
      </c>
      <c r="M65" s="2"/>
      <c r="N65" s="6">
        <f t="shared" si="43"/>
        <v>-1</v>
      </c>
      <c r="O65" s="11"/>
      <c r="P65" s="7">
        <v>82607.740000000005</v>
      </c>
      <c r="Q65" s="2"/>
      <c r="R65" s="6">
        <f t="shared" si="44"/>
        <v>0.17431225067348707</v>
      </c>
      <c r="S65" s="2"/>
      <c r="T65" s="7">
        <v>114771.74</v>
      </c>
      <c r="U65" s="2"/>
      <c r="V65" s="6">
        <f t="shared" si="45"/>
        <v>0.18973498225417121</v>
      </c>
      <c r="W65" s="2"/>
      <c r="X65" s="7">
        <f t="shared" si="46"/>
        <v>-32164</v>
      </c>
      <c r="Y65" s="2"/>
      <c r="Z65" s="6">
        <f t="shared" si="47"/>
        <v>-0.28024320272568837</v>
      </c>
    </row>
    <row r="66" spans="1:26" s="25" customFormat="1" outlineLevel="1" collapsed="1" x14ac:dyDescent="0.35">
      <c r="A66" s="26"/>
      <c r="B66" s="12" t="str">
        <f>CONCATENATE("     ","Supplies                                          ")</f>
        <v xml:space="preserve">     Supplies                                          </v>
      </c>
      <c r="C66" s="12"/>
      <c r="D66" s="1">
        <f>SUM(OSRRefD22_10x_0)</f>
        <v>4864.5700000000006</v>
      </c>
      <c r="E66" s="1"/>
      <c r="F66" s="5">
        <f t="shared" si="40"/>
        <v>6.4977025619106143</v>
      </c>
      <c r="G66" s="1"/>
      <c r="H66" s="1">
        <f>SUM(OSRRefH22_10x_0)</f>
        <v>1264.4000000000001</v>
      </c>
      <c r="I66" s="1"/>
      <c r="J66" s="5">
        <f t="shared" si="41"/>
        <v>0.23313444504266637</v>
      </c>
      <c r="K66" s="1"/>
      <c r="L66" s="1">
        <f t="shared" si="42"/>
        <v>3600.1700000000005</v>
      </c>
      <c r="M66" s="1"/>
      <c r="N66" s="5">
        <f t="shared" si="43"/>
        <v>2.8473347042075297</v>
      </c>
      <c r="O66" s="12"/>
      <c r="P66" s="1">
        <f>SUM(OSRRefP22_10x_0)</f>
        <v>45644.959999999999</v>
      </c>
      <c r="Q66" s="1"/>
      <c r="R66" s="5">
        <f t="shared" si="44"/>
        <v>9.6316346500960923E-2</v>
      </c>
      <c r="S66" s="1"/>
      <c r="T66" s="1">
        <f>SUM(OSRRefT22_10x_0)</f>
        <v>52362.44</v>
      </c>
      <c r="U66" s="1"/>
      <c r="V66" s="5">
        <f t="shared" si="45"/>
        <v>8.656300430911916E-2</v>
      </c>
      <c r="W66" s="1"/>
      <c r="X66" s="1">
        <f t="shared" si="46"/>
        <v>-6717.4800000000032</v>
      </c>
      <c r="Y66" s="1"/>
      <c r="Z66" s="5">
        <f t="shared" si="47"/>
        <v>-0.12828813936096184</v>
      </c>
    </row>
    <row r="67" spans="1:26" s="24" customFormat="1" hidden="1" outlineLevel="2" x14ac:dyDescent="0.35">
      <c r="A67" s="27"/>
      <c r="B67" s="11" t="str">
        <f>CONCATENATE("          ", "6234", " - ", "EXPENDABLE SUPPLIES &amp; EQUIPMEN")</f>
        <v xml:space="preserve">          6234 - EXPENDABLE SUPPLIES &amp; EQUIPMEN</v>
      </c>
      <c r="C67" s="11"/>
      <c r="D67" s="7">
        <v>4356.1000000000004</v>
      </c>
      <c r="E67" s="2"/>
      <c r="F67" s="6">
        <f t="shared" si="40"/>
        <v>5.818529105334866</v>
      </c>
      <c r="G67" s="2"/>
      <c r="H67" s="7"/>
      <c r="I67" s="2"/>
      <c r="J67" s="6">
        <f t="shared" si="41"/>
        <v>0</v>
      </c>
      <c r="K67" s="2"/>
      <c r="L67" s="7">
        <f t="shared" si="42"/>
        <v>4356.1000000000004</v>
      </c>
      <c r="M67" s="2"/>
      <c r="N67" s="6">
        <f t="shared" si="43"/>
        <v>0</v>
      </c>
      <c r="O67" s="11"/>
      <c r="P67" s="7">
        <v>5373.37</v>
      </c>
      <c r="Q67" s="2"/>
      <c r="R67" s="6">
        <f t="shared" si="44"/>
        <v>1.1338455917101656E-2</v>
      </c>
      <c r="S67" s="2"/>
      <c r="T67" s="7">
        <v>856.68</v>
      </c>
      <c r="U67" s="2"/>
      <c r="V67" s="6">
        <f t="shared" si="45"/>
        <v>1.4162211411755487E-3</v>
      </c>
      <c r="W67" s="2"/>
      <c r="X67" s="7">
        <f t="shared" si="46"/>
        <v>4516.6899999999996</v>
      </c>
      <c r="Y67" s="2"/>
      <c r="Z67" s="6">
        <f t="shared" si="47"/>
        <v>5.2723187187748053</v>
      </c>
    </row>
    <row r="68" spans="1:26" s="24" customFormat="1" hidden="1" outlineLevel="2" x14ac:dyDescent="0.35">
      <c r="A68" s="27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40"/>
        <v>0</v>
      </c>
      <c r="G68" s="2"/>
      <c r="H68" s="7">
        <v>7.49</v>
      </c>
      <c r="I68" s="2"/>
      <c r="J68" s="6">
        <f t="shared" si="41"/>
        <v>1.38103210484781E-3</v>
      </c>
      <c r="K68" s="2"/>
      <c r="L68" s="7">
        <f t="shared" si="42"/>
        <v>-7.49</v>
      </c>
      <c r="M68" s="2"/>
      <c r="N68" s="6">
        <f t="shared" si="43"/>
        <v>-1</v>
      </c>
      <c r="O68" s="11"/>
      <c r="P68" s="7">
        <v>1578.06</v>
      </c>
      <c r="Q68" s="2"/>
      <c r="R68" s="6">
        <f t="shared" si="44"/>
        <v>3.3298960884028902E-3</v>
      </c>
      <c r="S68" s="2"/>
      <c r="T68" s="7">
        <v>44.4</v>
      </c>
      <c r="U68" s="2"/>
      <c r="V68" s="6">
        <f t="shared" si="45"/>
        <v>7.3399891054062614E-5</v>
      </c>
      <c r="W68" s="2"/>
      <c r="X68" s="7">
        <f t="shared" si="46"/>
        <v>1533.6599999999999</v>
      </c>
      <c r="Y68" s="2"/>
      <c r="Z68" s="6">
        <f t="shared" si="47"/>
        <v>34.541891891891886</v>
      </c>
    </row>
    <row r="69" spans="1:26" s="24" customFormat="1" hidden="1" outlineLevel="2" x14ac:dyDescent="0.35">
      <c r="A69" s="27"/>
      <c r="B69" s="11" t="str">
        <f>CONCATENATE("          ", "6243", " - ", "PAPER SUPPLIES")</f>
        <v xml:space="preserve">          6243 - PAPER SUPPLIES</v>
      </c>
      <c r="C69" s="11"/>
      <c r="D69" s="7">
        <v>508.47</v>
      </c>
      <c r="E69" s="2"/>
      <c r="F69" s="6">
        <f t="shared" si="40"/>
        <v>0.67917345657574879</v>
      </c>
      <c r="G69" s="2"/>
      <c r="H69" s="7">
        <v>1356.73</v>
      </c>
      <c r="I69" s="2"/>
      <c r="J69" s="6">
        <f t="shared" si="41"/>
        <v>0.25015856977438844</v>
      </c>
      <c r="K69" s="2"/>
      <c r="L69" s="7">
        <f t="shared" si="42"/>
        <v>-848.26</v>
      </c>
      <c r="M69" s="2"/>
      <c r="N69" s="6">
        <f t="shared" si="43"/>
        <v>-0.62522388389731187</v>
      </c>
      <c r="O69" s="11"/>
      <c r="P69" s="7">
        <v>18447.68</v>
      </c>
      <c r="Q69" s="2"/>
      <c r="R69" s="6">
        <f t="shared" si="44"/>
        <v>3.8926819938473967E-2</v>
      </c>
      <c r="S69" s="2"/>
      <c r="T69" s="7">
        <v>35477.599999999999</v>
      </c>
      <c r="U69" s="2"/>
      <c r="V69" s="6">
        <f t="shared" si="45"/>
        <v>5.8649819253594859E-2</v>
      </c>
      <c r="W69" s="2"/>
      <c r="X69" s="7">
        <f t="shared" si="46"/>
        <v>-17029.919999999998</v>
      </c>
      <c r="Y69" s="2"/>
      <c r="Z69" s="6">
        <f t="shared" si="47"/>
        <v>-0.48001894152930297</v>
      </c>
    </row>
    <row r="70" spans="1:26" s="24" customFormat="1" hidden="1" outlineLevel="2" x14ac:dyDescent="0.35">
      <c r="A70" s="27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40"/>
        <v>0</v>
      </c>
      <c r="G70" s="2"/>
      <c r="H70" s="7">
        <v>24.26</v>
      </c>
      <c r="I70" s="2"/>
      <c r="J70" s="6">
        <f t="shared" si="41"/>
        <v>4.473142705421612E-3</v>
      </c>
      <c r="K70" s="2"/>
      <c r="L70" s="7">
        <f t="shared" si="42"/>
        <v>-24.26</v>
      </c>
      <c r="M70" s="2"/>
      <c r="N70" s="6">
        <f t="shared" si="43"/>
        <v>-1</v>
      </c>
      <c r="O70" s="11"/>
      <c r="P70" s="7">
        <v>5894.17</v>
      </c>
      <c r="Q70" s="2"/>
      <c r="R70" s="6">
        <f t="shared" si="44"/>
        <v>1.2437406453101697E-2</v>
      </c>
      <c r="S70" s="2"/>
      <c r="T70" s="7">
        <v>11225.89</v>
      </c>
      <c r="U70" s="2"/>
      <c r="V70" s="6">
        <f t="shared" si="45"/>
        <v>1.8558087905065111E-2</v>
      </c>
      <c r="W70" s="2"/>
      <c r="X70" s="7">
        <f t="shared" si="46"/>
        <v>-5331.7199999999993</v>
      </c>
      <c r="Y70" s="2"/>
      <c r="Z70" s="6">
        <f t="shared" si="47"/>
        <v>-0.47494853414740384</v>
      </c>
    </row>
    <row r="71" spans="1:26" s="24" customFormat="1" hidden="1" outlineLevel="2" x14ac:dyDescent="0.35">
      <c r="A71" s="27"/>
      <c r="B71" s="11" t="str">
        <f>CONCATENATE("          ", "6247", " - ", "STORE SUPPLIES")</f>
        <v xml:space="preserve">          6247 - STORE SUPPLIES</v>
      </c>
      <c r="C71" s="11"/>
      <c r="D71" s="7"/>
      <c r="E71" s="2"/>
      <c r="F71" s="6">
        <f t="shared" si="40"/>
        <v>0</v>
      </c>
      <c r="G71" s="2"/>
      <c r="H71" s="7">
        <v>-124.08</v>
      </c>
      <c r="I71" s="2"/>
      <c r="J71" s="6">
        <f t="shared" si="41"/>
        <v>-2.2878299541991491E-2</v>
      </c>
      <c r="K71" s="2"/>
      <c r="L71" s="7">
        <f t="shared" si="42"/>
        <v>124.08</v>
      </c>
      <c r="M71" s="2"/>
      <c r="N71" s="6">
        <f t="shared" si="43"/>
        <v>-1</v>
      </c>
      <c r="O71" s="11"/>
      <c r="P71" s="7">
        <v>14351.68</v>
      </c>
      <c r="Q71" s="2"/>
      <c r="R71" s="6">
        <f t="shared" si="44"/>
        <v>3.0283768103880709E-2</v>
      </c>
      <c r="S71" s="2"/>
      <c r="T71" s="7">
        <v>4757.87</v>
      </c>
      <c r="U71" s="2"/>
      <c r="V71" s="6">
        <f t="shared" si="45"/>
        <v>7.8654761182295699E-3</v>
      </c>
      <c r="W71" s="2"/>
      <c r="X71" s="7">
        <f t="shared" si="46"/>
        <v>9593.8100000000013</v>
      </c>
      <c r="Y71" s="2"/>
      <c r="Z71" s="6">
        <f t="shared" si="47"/>
        <v>2.0164086030093302</v>
      </c>
    </row>
    <row r="72" spans="1:26" s="25" customFormat="1" outlineLevel="1" collapsed="1" x14ac:dyDescent="0.35">
      <c r="A72" s="26"/>
      <c r="B72" s="12" t="str">
        <f>CONCATENATE("     ","Telephone/Data Lines                              ")</f>
        <v xml:space="preserve">     Telephone/Data Lines                              </v>
      </c>
      <c r="C72" s="12"/>
      <c r="D72" s="1">
        <f>SUM(OSRRefD22_11x_0)</f>
        <v>52.9</v>
      </c>
      <c r="E72" s="1"/>
      <c r="F72" s="5">
        <f t="shared" ref="F72:F75" si="48">IF(D$12=0,0,D72/D$12)</f>
        <v>7.0659578446824994E-2</v>
      </c>
      <c r="G72" s="1"/>
      <c r="H72" s="1">
        <f>SUM(OSRRefH22_11x_0)</f>
        <v>213.82</v>
      </c>
      <c r="I72" s="1"/>
      <c r="J72" s="5">
        <f t="shared" ref="J72:J75" si="49">IF(H$12=0,0,H72/H$12)</f>
        <v>3.9424871115962448E-2</v>
      </c>
      <c r="K72" s="1"/>
      <c r="L72" s="1">
        <f t="shared" ref="L72:L75" si="50">+D72-H72</f>
        <v>-160.91999999999999</v>
      </c>
      <c r="M72" s="1"/>
      <c r="N72" s="5">
        <f t="shared" ref="N72:N75" si="51">IF(H72=0,0,L72/H72)</f>
        <v>-0.75259564119352718</v>
      </c>
      <c r="O72" s="12"/>
      <c r="P72" s="1">
        <f>SUM(OSRRefP22_11x_0)</f>
        <v>1652.6</v>
      </c>
      <c r="Q72" s="1"/>
      <c r="R72" s="5">
        <f t="shared" ref="R72:R75" si="52">IF(P$12=0,0,P72/P$12)</f>
        <v>3.4871844389279343E-3</v>
      </c>
      <c r="S72" s="1"/>
      <c r="T72" s="1">
        <f>SUM(OSRRefT22_11x_0)</f>
        <v>2016</v>
      </c>
      <c r="U72" s="1"/>
      <c r="V72" s="5">
        <f t="shared" ref="V72:V75" si="53">IF(T$12=0,0,T72/T$12)</f>
        <v>3.3327518100223028E-3</v>
      </c>
      <c r="W72" s="1"/>
      <c r="X72" s="1">
        <f t="shared" ref="X72:X75" si="54">+P72-T72</f>
        <v>-363.40000000000009</v>
      </c>
      <c r="Y72" s="1"/>
      <c r="Z72" s="5">
        <f t="shared" ref="Z72:Z75" si="55">IF(T72=0,0,X72/T72)</f>
        <v>-0.18025793650793656</v>
      </c>
    </row>
    <row r="73" spans="1:26" s="24" customFormat="1" hidden="1" outlineLevel="2" x14ac:dyDescent="0.35">
      <c r="A73" s="27"/>
      <c r="B73" s="11" t="str">
        <f>CONCATENATE("          ", "6309", " - ", "TELEPHONE")</f>
        <v xml:space="preserve">          6309 - TELEPHONE</v>
      </c>
      <c r="C73" s="11"/>
      <c r="D73" s="7">
        <v>52.9</v>
      </c>
      <c r="E73" s="2"/>
      <c r="F73" s="6">
        <f t="shared" si="48"/>
        <v>7.0659578446824994E-2</v>
      </c>
      <c r="G73" s="2"/>
      <c r="H73" s="7">
        <v>213.82</v>
      </c>
      <c r="I73" s="2"/>
      <c r="J73" s="6">
        <f t="shared" si="49"/>
        <v>3.9424871115962448E-2</v>
      </c>
      <c r="K73" s="2"/>
      <c r="L73" s="7">
        <f t="shared" si="50"/>
        <v>-160.91999999999999</v>
      </c>
      <c r="M73" s="2"/>
      <c r="N73" s="6">
        <f t="shared" si="51"/>
        <v>-0.75259564119352718</v>
      </c>
      <c r="O73" s="11"/>
      <c r="P73" s="7">
        <v>1652.6</v>
      </c>
      <c r="Q73" s="2"/>
      <c r="R73" s="6">
        <f t="shared" si="52"/>
        <v>3.4871844389279343E-3</v>
      </c>
      <c r="S73" s="2"/>
      <c r="T73" s="7">
        <v>2016</v>
      </c>
      <c r="U73" s="2"/>
      <c r="V73" s="6">
        <f t="shared" si="53"/>
        <v>3.3327518100223028E-3</v>
      </c>
      <c r="W73" s="2"/>
      <c r="X73" s="7">
        <f t="shared" si="54"/>
        <v>-363.40000000000009</v>
      </c>
      <c r="Y73" s="2"/>
      <c r="Z73" s="6">
        <f t="shared" si="55"/>
        <v>-0.18025793650793656</v>
      </c>
    </row>
    <row r="74" spans="1:26" s="25" customFormat="1" outlineLevel="1" collapsed="1" x14ac:dyDescent="0.35">
      <c r="A74" s="26"/>
      <c r="B74" s="12" t="str">
        <f>CONCATENATE("     ","Training                                          ")</f>
        <v xml:space="preserve">     Training                                          </v>
      </c>
      <c r="C74" s="12"/>
      <c r="D74" s="1">
        <f>SUM(OSRRefD22_12x_0)</f>
        <v>0</v>
      </c>
      <c r="E74" s="1"/>
      <c r="F74" s="5">
        <f t="shared" si="48"/>
        <v>0</v>
      </c>
      <c r="G74" s="1"/>
      <c r="H74" s="1">
        <f>SUM(OSRRefH22_12x_0)</f>
        <v>0</v>
      </c>
      <c r="I74" s="1"/>
      <c r="J74" s="5">
        <f t="shared" si="49"/>
        <v>0</v>
      </c>
      <c r="K74" s="1"/>
      <c r="L74" s="1">
        <f t="shared" si="50"/>
        <v>0</v>
      </c>
      <c r="M74" s="1"/>
      <c r="N74" s="5">
        <f t="shared" si="51"/>
        <v>0</v>
      </c>
      <c r="O74" s="12"/>
      <c r="P74" s="1">
        <f>SUM(OSRRefP22_12x_0)</f>
        <v>97.71</v>
      </c>
      <c r="Q74" s="1"/>
      <c r="R74" s="5">
        <f t="shared" si="52"/>
        <v>2.0617983270461603E-4</v>
      </c>
      <c r="S74" s="1"/>
      <c r="T74" s="1">
        <f>SUM(OSRRefT22_12x_0)</f>
        <v>0</v>
      </c>
      <c r="U74" s="1"/>
      <c r="V74" s="5">
        <f t="shared" si="53"/>
        <v>0</v>
      </c>
      <c r="W74" s="1"/>
      <c r="X74" s="1">
        <f t="shared" si="54"/>
        <v>97.71</v>
      </c>
      <c r="Y74" s="1"/>
      <c r="Z74" s="5">
        <f t="shared" si="55"/>
        <v>0</v>
      </c>
    </row>
    <row r="75" spans="1:26" s="24" customFormat="1" hidden="1" outlineLevel="2" x14ac:dyDescent="0.35">
      <c r="A75" s="27"/>
      <c r="B75" s="11" t="str">
        <f>CONCATENATE("          ", "6376", " - ", "TRAINING")</f>
        <v xml:space="preserve">          6376 - TRAINING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>
        <v>97.71</v>
      </c>
      <c r="Q75" s="2"/>
      <c r="R75" s="6">
        <f t="shared" si="52"/>
        <v>2.0617983270461603E-4</v>
      </c>
      <c r="S75" s="2"/>
      <c r="T75" s="7"/>
      <c r="U75" s="2"/>
      <c r="V75" s="6">
        <f t="shared" si="53"/>
        <v>0</v>
      </c>
      <c r="W75" s="2"/>
      <c r="X75" s="7">
        <f t="shared" si="54"/>
        <v>97.71</v>
      </c>
      <c r="Y75" s="2"/>
      <c r="Z75" s="6">
        <f t="shared" si="55"/>
        <v>0</v>
      </c>
    </row>
    <row r="76" spans="1:26" s="56" customFormat="1" x14ac:dyDescent="0.3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35">
      <c r="A77" s="10"/>
      <c r="B77" s="29" t="s">
        <v>0</v>
      </c>
      <c r="C77" s="10"/>
      <c r="D77" s="4">
        <f>SUM(OSRRefD25x_0)</f>
        <v>13269</v>
      </c>
      <c r="E77" s="4"/>
      <c r="F77" s="13">
        <f t="shared" ref="F77:F78" si="56">IF(D$12=0,0,D77/D$12)</f>
        <v>17.72366628376032</v>
      </c>
      <c r="G77" s="4"/>
      <c r="H77" s="4">
        <f>SUM(OSRRefH25x_0)</f>
        <v>12793.74</v>
      </c>
      <c r="I77" s="4"/>
      <c r="J77" s="13">
        <f t="shared" ref="J77:J78" si="57">IF(H$12=0,0,H77/H$12)</f>
        <v>2.358954029516104</v>
      </c>
      <c r="K77" s="4"/>
      <c r="L77" s="4">
        <f t="shared" ref="L77:L78" si="58">+D77-H77</f>
        <v>475.26000000000022</v>
      </c>
      <c r="M77" s="4"/>
      <c r="N77" s="13">
        <f t="shared" ref="N77:N78" si="59">IF(H77=0,0,L77/H77)</f>
        <v>3.7147855122896062E-2</v>
      </c>
      <c r="O77" s="10"/>
      <c r="P77" s="4">
        <f>SUM(OSRRefP25x_0)</f>
        <v>157901.1</v>
      </c>
      <c r="Q77" s="4"/>
      <c r="R77" s="13">
        <f t="shared" ref="R77:R78" si="60">IF(P$12=0,0,P77/P$12)</f>
        <v>0.33319028125959321</v>
      </c>
      <c r="S77" s="4"/>
      <c r="T77" s="4">
        <f>SUM(OSRRefT25x_0)</f>
        <v>152812.1</v>
      </c>
      <c r="U77" s="4"/>
      <c r="V77" s="13">
        <f t="shared" ref="V77:V78" si="61">IF(T$12=0,0,T77/T$12)</f>
        <v>0.25262142999420095</v>
      </c>
      <c r="W77" s="4"/>
      <c r="X77" s="4">
        <f t="shared" ref="X77:X78" si="62">+P77-T77</f>
        <v>5089</v>
      </c>
      <c r="Y77" s="4"/>
      <c r="Z77" s="13">
        <f t="shared" ref="Z77:Z78" si="63">IF(T77=0,0,X77/T77)</f>
        <v>3.3302336660513139E-2</v>
      </c>
    </row>
    <row r="78" spans="1:26" s="24" customFormat="1" hidden="1" outlineLevel="1" x14ac:dyDescent="0.35">
      <c r="A78" s="44"/>
      <c r="B78" s="11" t="str">
        <f>CONCATENATE("          ", "9150", " - ", "MISC. INCOME")</f>
        <v xml:space="preserve">          9150 - MISC. INCOME</v>
      </c>
      <c r="C78" s="11"/>
      <c r="D78" s="2">
        <f>--13269</f>
        <v>13269</v>
      </c>
      <c r="E78" s="2"/>
      <c r="F78" s="19">
        <f t="shared" si="56"/>
        <v>17.72366628376032</v>
      </c>
      <c r="G78" s="2"/>
      <c r="H78" s="2">
        <f>--12793.74</f>
        <v>12793.74</v>
      </c>
      <c r="I78" s="2"/>
      <c r="J78" s="19">
        <f t="shared" si="57"/>
        <v>2.358954029516104</v>
      </c>
      <c r="K78" s="2"/>
      <c r="L78" s="2">
        <f t="shared" si="58"/>
        <v>475.26000000000022</v>
      </c>
      <c r="M78" s="2"/>
      <c r="N78" s="19">
        <f t="shared" si="59"/>
        <v>3.7147855122896062E-2</v>
      </c>
      <c r="O78" s="11"/>
      <c r="P78" s="2">
        <f>--157901.1</f>
        <v>157901.1</v>
      </c>
      <c r="Q78" s="2"/>
      <c r="R78" s="19">
        <f t="shared" si="60"/>
        <v>0.33319028125959321</v>
      </c>
      <c r="S78" s="2"/>
      <c r="T78" s="2">
        <f>--152812.1</f>
        <v>152812.1</v>
      </c>
      <c r="U78" s="2"/>
      <c r="V78" s="19">
        <f t="shared" si="61"/>
        <v>0.25262142999420095</v>
      </c>
      <c r="W78" s="2"/>
      <c r="X78" s="2">
        <f t="shared" si="62"/>
        <v>5089</v>
      </c>
      <c r="Y78" s="2"/>
      <c r="Z78" s="19">
        <f t="shared" si="63"/>
        <v>3.3302336660513139E-2</v>
      </c>
    </row>
    <row r="79" spans="1:26" x14ac:dyDescent="0.3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5">
      <c r="A80" s="10"/>
      <c r="B80" s="28" t="s">
        <v>3</v>
      </c>
      <c r="C80" s="28"/>
      <c r="D80" s="22">
        <f>+D31-D33+D77</f>
        <v>-16219.970000000005</v>
      </c>
      <c r="E80" s="14"/>
      <c r="F80" s="21">
        <f>IF(D$12=0,0,D80/D$12)</f>
        <v>-21.665335399246661</v>
      </c>
      <c r="G80" s="14"/>
      <c r="H80" s="22">
        <f>+H31-H33+H77</f>
        <v>-10709.819999999998</v>
      </c>
      <c r="I80" s="14"/>
      <c r="J80" s="21">
        <f>IF(H$12=0,0,H80/H$12)</f>
        <v>-1.9747136524888076</v>
      </c>
      <c r="K80" s="15"/>
      <c r="L80" s="22">
        <f>+D80-H80</f>
        <v>-5510.1500000000069</v>
      </c>
      <c r="M80" s="15"/>
      <c r="N80" s="21">
        <f>IF(H80=0,0,L80/H80)</f>
        <v>0.51449510822777678</v>
      </c>
      <c r="O80" s="29"/>
      <c r="P80" s="22">
        <f>+P31-P33+P77</f>
        <v>129806.01000000004</v>
      </c>
      <c r="Q80" s="14"/>
      <c r="R80" s="21">
        <f>IF(P$12=0,0,P80/P$12)</f>
        <v>0.27390626779095001</v>
      </c>
      <c r="S80" s="14"/>
      <c r="T80" s="22">
        <f>+T31-T33+T77</f>
        <v>203357.17999999996</v>
      </c>
      <c r="U80" s="14"/>
      <c r="V80" s="21">
        <f>IF(T$12=0,0,T80/T$12)</f>
        <v>0.33618006434822972</v>
      </c>
      <c r="W80" s="15"/>
      <c r="X80" s="22">
        <f>+P80-T80</f>
        <v>-73551.169999999925</v>
      </c>
      <c r="Y80" s="15"/>
      <c r="Z80" s="21">
        <f>IF(T80=0,0,X80/T80)</f>
        <v>-0.36168464767263164</v>
      </c>
    </row>
    <row r="81" spans="1:26" x14ac:dyDescent="0.3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5">
      <c r="A82" s="51"/>
      <c r="B82" s="10" t="s">
        <v>13</v>
      </c>
      <c r="C82" s="10"/>
      <c r="D82" s="4">
        <v>15736.190000000002</v>
      </c>
      <c r="E82" s="4"/>
      <c r="F82" s="13">
        <f>IF(D$12=0,0,D82/D$12)</f>
        <v>21.019140865012158</v>
      </c>
      <c r="G82" s="4"/>
      <c r="H82" s="4">
        <v>-19238.96</v>
      </c>
      <c r="I82" s="4"/>
      <c r="J82" s="13">
        <f>IF(H$12=0,0,H82/H$12)</f>
        <v>-3.547345984497039</v>
      </c>
      <c r="K82" s="4"/>
      <c r="L82" s="4">
        <f>+D82-H82</f>
        <v>34975.15</v>
      </c>
      <c r="M82" s="4"/>
      <c r="N82" s="13">
        <f>IF(H82=0,0,L82/H82)</f>
        <v>-1.8179335057612263</v>
      </c>
      <c r="O82" s="10"/>
      <c r="P82" s="4">
        <v>71767.83</v>
      </c>
      <c r="Q82" s="4"/>
      <c r="R82" s="13">
        <f>IF(P$12=0,0,P82/P$12)</f>
        <v>0.15143873895172782</v>
      </c>
      <c r="S82" s="4"/>
      <c r="T82" s="4">
        <v>43115.91</v>
      </c>
      <c r="U82" s="4"/>
      <c r="V82" s="13">
        <f>IF(T$12=0,0,T82/T$12)</f>
        <v>7.1277096772449755E-2</v>
      </c>
      <c r="W82" s="4"/>
      <c r="X82" s="4">
        <f>+P82-T82</f>
        <v>28651.919999999998</v>
      </c>
      <c r="Y82" s="4"/>
      <c r="Z82" s="13">
        <f>IF(T82=0,0,X82/T82)</f>
        <v>0.66453241970307475</v>
      </c>
    </row>
    <row r="83" spans="1:26" x14ac:dyDescent="0.3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4">
      <c r="A84" s="10"/>
      <c r="B84" s="28" t="s">
        <v>4</v>
      </c>
      <c r="C84" s="28"/>
      <c r="D84" s="34">
        <f>+D80-D82</f>
        <v>-31956.160000000007</v>
      </c>
      <c r="E84" s="14"/>
      <c r="F84" s="32">
        <f>IF(D$12=0,0,D84/D$12)</f>
        <v>-42.684476264258819</v>
      </c>
      <c r="G84" s="14"/>
      <c r="H84" s="34">
        <f>+H80-H82</f>
        <v>8529.1400000000012</v>
      </c>
      <c r="I84" s="14"/>
      <c r="J84" s="32">
        <f>IF(H$12=0,0,H84/H$12)</f>
        <v>1.5726323320082312</v>
      </c>
      <c r="K84" s="15"/>
      <c r="L84" s="34">
        <f>D84-H84</f>
        <v>-40485.30000000001</v>
      </c>
      <c r="M84" s="15"/>
      <c r="N84" s="32">
        <f>IF(H84=0,0,L84/H84)</f>
        <v>-4.7467036535922738</v>
      </c>
      <c r="O84" s="29"/>
      <c r="P84" s="34">
        <f>+P80-P82</f>
        <v>58038.180000000037</v>
      </c>
      <c r="Q84" s="14"/>
      <c r="R84" s="32">
        <f>IF(P$12=0,0,P84/P$12)</f>
        <v>0.1224675288392222</v>
      </c>
      <c r="S84" s="14"/>
      <c r="T84" s="34">
        <f>+T80-T82</f>
        <v>160241.26999999996</v>
      </c>
      <c r="U84" s="14"/>
      <c r="V84" s="32">
        <f>IF(T$12=0,0,T84/T$12)</f>
        <v>0.26490296757577997</v>
      </c>
      <c r="W84" s="15"/>
      <c r="X84" s="34">
        <f>P84-T84</f>
        <v>-102203.08999999992</v>
      </c>
      <c r="Y84" s="15"/>
      <c r="Z84" s="32">
        <f>IF(T84=0,0,X84/T84)</f>
        <v>-0.63780753859476991</v>
      </c>
    </row>
    <row r="85" spans="1:26" ht="15" thickTop="1" x14ac:dyDescent="0.3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3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" thickBot="1" x14ac:dyDescent="0.4">
      <c r="A87" s="10"/>
      <c r="B87" s="28" t="s">
        <v>5</v>
      </c>
      <c r="C87" s="28"/>
      <c r="D87" s="35">
        <f>SUM(D84:D86)</f>
        <v>-31956.160000000007</v>
      </c>
      <c r="E87" s="14"/>
      <c r="F87" s="33">
        <f>IF(D$12=0,0,D87/D$12)</f>
        <v>-42.684476264258819</v>
      </c>
      <c r="G87" s="14"/>
      <c r="H87" s="35">
        <f>SUM(H84:H86)</f>
        <v>8529.1400000000012</v>
      </c>
      <c r="I87" s="14"/>
      <c r="J87" s="33">
        <f>IF(H$12=0,0,H87/H$12)</f>
        <v>1.5726323320082312</v>
      </c>
      <c r="K87" s="15"/>
      <c r="L87" s="35">
        <f>+D87-H87</f>
        <v>-40485.30000000001</v>
      </c>
      <c r="M87" s="15"/>
      <c r="N87" s="33">
        <f>IF(H87=0,0,L87/H87)</f>
        <v>-4.7467036535922738</v>
      </c>
      <c r="O87" s="29"/>
      <c r="P87" s="35">
        <f>SUM(P84:P86)</f>
        <v>58038.180000000037</v>
      </c>
      <c r="Q87" s="14"/>
      <c r="R87" s="33">
        <f>IF(P$12=0,0,P87/P$12)</f>
        <v>0.1224675288392222</v>
      </c>
      <c r="S87" s="14"/>
      <c r="T87" s="35">
        <f>SUM(T84:T86)</f>
        <v>160241.26999999996</v>
      </c>
      <c r="U87" s="14"/>
      <c r="V87" s="33">
        <f>IF(T$12=0,0,T87/T$12)</f>
        <v>0.26490296757577997</v>
      </c>
      <c r="W87" s="15"/>
      <c r="X87" s="35">
        <f>+P87-T87</f>
        <v>-102203.08999999992</v>
      </c>
      <c r="Y87" s="15"/>
      <c r="Z87" s="33">
        <f>IF(T87=0,0,X87/T87)</f>
        <v>-0.63780753859476991</v>
      </c>
    </row>
    <row r="88" spans="1:26" ht="15" thickTop="1" x14ac:dyDescent="0.3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5">
      <c r="A89" s="9"/>
      <c r="B89" s="52">
        <v>44043.522918055554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5">
      <c r="A90" s="9"/>
      <c r="B90" s="61" t="s">
        <v>313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5">
      <c r="A91" s="9"/>
      <c r="B91" s="54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","320", " - ", "Customer Service (old)")</f>
        <v>Department 320 - Customer Service (old)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6117.5499999999993</v>
      </c>
      <c r="E12" s="4"/>
      <c r="F12" s="13"/>
      <c r="G12" s="4"/>
      <c r="H12" s="4">
        <f>SUM(OSRRefH13x_0)</f>
        <v>-70.589999999999989</v>
      </c>
      <c r="I12" s="4"/>
      <c r="J12" s="13"/>
      <c r="K12" s="4"/>
      <c r="L12" s="4">
        <f t="shared" ref="L12:L18" si="0">+D12-H12</f>
        <v>6188.1399999999994</v>
      </c>
      <c r="M12" s="4"/>
      <c r="N12" s="13">
        <f t="shared" ref="N12:N18" si="1">IF(H12=0,0,L12/H12)</f>
        <v>-87.663125088539459</v>
      </c>
      <c r="O12" s="10"/>
      <c r="P12" s="4">
        <f>SUM(OSRRefP13x_0)</f>
        <v>41331.33</v>
      </c>
      <c r="Q12" s="4"/>
      <c r="R12" s="13"/>
      <c r="S12" s="4"/>
      <c r="T12" s="4">
        <f>SUM(OSRRefT13x_0)</f>
        <v>216464.27999999997</v>
      </c>
      <c r="U12" s="4"/>
      <c r="V12" s="13"/>
      <c r="W12" s="4"/>
      <c r="X12" s="4">
        <f t="shared" ref="X12:X18" si="2">+P12-T12</f>
        <v>-175132.94999999995</v>
      </c>
      <c r="Y12" s="4"/>
      <c r="Z12" s="13">
        <f t="shared" ref="Z12:Z18" si="3">IF(T12=0,0,X12/T12)</f>
        <v>-0.80906166135123991</v>
      </c>
    </row>
    <row r="13" spans="1:26" s="24" customFormat="1" hidden="1" outlineLevel="1" x14ac:dyDescent="0.35">
      <c r="A13" s="44"/>
      <c r="B13" s="11" t="str">
        <f>CONCATENATE("          ", "4091", " - ", "TAXABLE SALES-GRAD ANNOUNCEMEN")</f>
        <v xml:space="preserve">          4091 - TAXABLE SALES-GRAD ANNOUNCEMEN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3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>--6332.23</f>
        <v>6332.23</v>
      </c>
      <c r="E14" s="2"/>
      <c r="F14" s="19"/>
      <c r="G14" s="2"/>
      <c r="H14" s="2">
        <f>--466.49</f>
        <v>466.49</v>
      </c>
      <c r="I14" s="2"/>
      <c r="J14" s="19"/>
      <c r="K14" s="2"/>
      <c r="L14" s="2">
        <f t="shared" si="0"/>
        <v>5865.74</v>
      </c>
      <c r="M14" s="2"/>
      <c r="N14" s="19">
        <f t="shared" si="1"/>
        <v>12.574203091170228</v>
      </c>
      <c r="O14" s="11"/>
      <c r="P14" s="2">
        <f>--41725.89</f>
        <v>41725.89</v>
      </c>
      <c r="Q14" s="2"/>
      <c r="R14" s="19"/>
      <c r="S14" s="2"/>
      <c r="T14" s="2">
        <f>--222939.36</f>
        <v>222939.36</v>
      </c>
      <c r="U14" s="2"/>
      <c r="V14" s="19"/>
      <c r="W14" s="2"/>
      <c r="X14" s="2">
        <f t="shared" si="2"/>
        <v>-181213.46999999997</v>
      </c>
      <c r="Y14" s="2"/>
      <c r="Z14" s="19">
        <f t="shared" si="3"/>
        <v>-0.81283749087644275</v>
      </c>
    </row>
    <row r="15" spans="1:26" s="24" customFormat="1" hidden="1" outlineLevel="1" x14ac:dyDescent="0.3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 t="shared" ref="D15:D16" si="4">0</f>
        <v>0</v>
      </c>
      <c r="E15" s="2"/>
      <c r="F15" s="19"/>
      <c r="G15" s="2"/>
      <c r="H15" s="2">
        <f>--12.87</f>
        <v>12.87</v>
      </c>
      <c r="I15" s="2"/>
      <c r="J15" s="19"/>
      <c r="K15" s="2"/>
      <c r="L15" s="2">
        <f t="shared" si="0"/>
        <v>-12.87</v>
      </c>
      <c r="M15" s="2"/>
      <c r="N15" s="19">
        <f t="shared" si="1"/>
        <v>-1</v>
      </c>
      <c r="O15" s="11"/>
      <c r="P15" s="2">
        <f>--279.56</f>
        <v>279.56</v>
      </c>
      <c r="Q15" s="2"/>
      <c r="R15" s="19"/>
      <c r="S15" s="2"/>
      <c r="T15" s="2">
        <f>--2182.65</f>
        <v>2182.65</v>
      </c>
      <c r="U15" s="2"/>
      <c r="V15" s="19"/>
      <c r="W15" s="2"/>
      <c r="X15" s="2">
        <f t="shared" si="2"/>
        <v>-1903.0900000000001</v>
      </c>
      <c r="Y15" s="2"/>
      <c r="Z15" s="19">
        <f t="shared" si="3"/>
        <v>-0.87191716491420979</v>
      </c>
    </row>
    <row r="16" spans="1:26" s="24" customFormat="1" hidden="1" outlineLevel="1" x14ac:dyDescent="0.35">
      <c r="A16" s="44"/>
      <c r="B16" s="11" t="str">
        <f>CONCATENATE("          ", "4192", " - ", "NON-TAXABLE SALES-GRAD MERCH")</f>
        <v xml:space="preserve">          4192 - NON-TAXABLE SALES-GRAD MERCH</v>
      </c>
      <c r="C16" s="11"/>
      <c r="D16" s="2">
        <f t="shared" si="4"/>
        <v>0</v>
      </c>
      <c r="E16" s="2"/>
      <c r="F16" s="19"/>
      <c r="G16" s="2"/>
      <c r="H16" s="2">
        <f>-510</f>
        <v>-510</v>
      </c>
      <c r="I16" s="2"/>
      <c r="J16" s="19"/>
      <c r="K16" s="2"/>
      <c r="L16" s="2">
        <f t="shared" si="0"/>
        <v>510</v>
      </c>
      <c r="M16" s="2"/>
      <c r="N16" s="19">
        <f t="shared" si="1"/>
        <v>-1</v>
      </c>
      <c r="O16" s="11"/>
      <c r="P16" s="2">
        <f>--119.4</f>
        <v>119.4</v>
      </c>
      <c r="Q16" s="2"/>
      <c r="R16" s="19"/>
      <c r="S16" s="2"/>
      <c r="T16" s="2">
        <f>--21.25</f>
        <v>21.25</v>
      </c>
      <c r="U16" s="2"/>
      <c r="V16" s="19"/>
      <c r="W16" s="2"/>
      <c r="X16" s="2">
        <f t="shared" si="2"/>
        <v>98.15</v>
      </c>
      <c r="Y16" s="2"/>
      <c r="Z16" s="19">
        <f t="shared" si="3"/>
        <v>4.618823529411765</v>
      </c>
    </row>
    <row r="17" spans="1:26" s="24" customFormat="1" hidden="1" outlineLevel="1" x14ac:dyDescent="0.35">
      <c r="A17" s="44"/>
      <c r="B17" s="11" t="str">
        <f>CONCATENATE("          ", "4292", " - ", "SALES RETURN TAXABLE-GRAD MERC")</f>
        <v xml:space="preserve">          4292 - SALES RETURN TAXABLE-GRAD MERC</v>
      </c>
      <c r="C17" s="11"/>
      <c r="D17" s="2">
        <f>-214.68</f>
        <v>-214.68</v>
      </c>
      <c r="E17" s="2"/>
      <c r="F17" s="19"/>
      <c r="G17" s="2"/>
      <c r="H17" s="2">
        <f>-39.95</f>
        <v>-39.950000000000003</v>
      </c>
      <c r="I17" s="2"/>
      <c r="J17" s="19"/>
      <c r="K17" s="2"/>
      <c r="L17" s="2">
        <f t="shared" si="0"/>
        <v>-174.73000000000002</v>
      </c>
      <c r="M17" s="2"/>
      <c r="N17" s="19">
        <f t="shared" si="1"/>
        <v>4.3737171464330418</v>
      </c>
      <c r="O17" s="11"/>
      <c r="P17" s="2">
        <f>-793.52</f>
        <v>-793.52</v>
      </c>
      <c r="Q17" s="2"/>
      <c r="R17" s="19"/>
      <c r="S17" s="2"/>
      <c r="T17" s="2">
        <f>-8552.26</f>
        <v>-8552.26</v>
      </c>
      <c r="U17" s="2"/>
      <c r="V17" s="19"/>
      <c r="W17" s="2"/>
      <c r="X17" s="2">
        <f t="shared" si="2"/>
        <v>7758.74</v>
      </c>
      <c r="Y17" s="2"/>
      <c r="Z17" s="19">
        <f t="shared" si="3"/>
        <v>-0.90721516885595144</v>
      </c>
    </row>
    <row r="18" spans="1:26" s="24" customFormat="1" hidden="1" outlineLevel="1" x14ac:dyDescent="0.35">
      <c r="A18" s="44"/>
      <c r="B18" s="11" t="str">
        <f>CONCATENATE("          ", "4295", " - ", "SALES RETURN TAXABLE-CUSTOMER")</f>
        <v xml:space="preserve">          4295 - SALES RETURN TAXABLE-CUSTOMER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-126.72</f>
        <v>-126.72</v>
      </c>
      <c r="U18" s="2"/>
      <c r="V18" s="19"/>
      <c r="W18" s="2"/>
      <c r="X18" s="2">
        <f t="shared" si="2"/>
        <v>126.72</v>
      </c>
      <c r="Y18" s="2"/>
      <c r="Z18" s="19">
        <f t="shared" si="3"/>
        <v>-1</v>
      </c>
    </row>
    <row r="19" spans="1:26" x14ac:dyDescent="0.3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5">
      <c r="A20" s="10"/>
      <c r="B20" s="29" t="s">
        <v>8</v>
      </c>
      <c r="C20" s="10"/>
      <c r="D20" s="4">
        <f>SUM(OSRRefD16x_0)</f>
        <v>-898.07999999999981</v>
      </c>
      <c r="E20" s="4"/>
      <c r="F20" s="13">
        <f t="shared" ref="F20:F25" si="5">IF(D$12=0,0,D20/D$12)</f>
        <v>-0.14680386756136032</v>
      </c>
      <c r="G20" s="4"/>
      <c r="H20" s="4">
        <f>SUM(OSRRefH16x_0)</f>
        <v>18842.409999999993</v>
      </c>
      <c r="I20" s="4"/>
      <c r="J20" s="13">
        <f t="shared" ref="J20:J25" si="6">IF(H$12=0,0,H20/H$12)</f>
        <v>-266.9274684799546</v>
      </c>
      <c r="K20" s="4"/>
      <c r="L20" s="4">
        <f t="shared" ref="L20:L25" si="7">+D20-H20</f>
        <v>-19740.489999999991</v>
      </c>
      <c r="M20" s="4"/>
      <c r="N20" s="13">
        <f t="shared" ref="N20:N25" si="8">IF(H20=0,0,L20/H20)</f>
        <v>-1.0476626928296326</v>
      </c>
      <c r="O20" s="10"/>
      <c r="P20" s="4">
        <f>SUM(OSRRefP16x_0)</f>
        <v>13729.05</v>
      </c>
      <c r="Q20" s="4"/>
      <c r="R20" s="13">
        <f t="shared" ref="R20:R25" si="9">IF(P$12=0,0,P20/P$12)</f>
        <v>0.33217053503964183</v>
      </c>
      <c r="S20" s="4"/>
      <c r="T20" s="4">
        <f>SUM(OSRRefT16x_0)</f>
        <v>117842.95</v>
      </c>
      <c r="U20" s="4"/>
      <c r="V20" s="13">
        <f t="shared" ref="V20:V25" si="10">IF(T$12=0,0,T20/T$12)</f>
        <v>0.544399057433402</v>
      </c>
      <c r="W20" s="4"/>
      <c r="X20" s="4">
        <f t="shared" ref="X20:X25" si="11">+P20-T20</f>
        <v>-104113.9</v>
      </c>
      <c r="Y20" s="4"/>
      <c r="Z20" s="13">
        <f t="shared" ref="Z20:Z25" si="12">IF(T20=0,0,X20/T20)</f>
        <v>-0.8834970611309374</v>
      </c>
    </row>
    <row r="21" spans="1:26" s="24" customFormat="1" hidden="1" outlineLevel="1" x14ac:dyDescent="0.35">
      <c r="A21" s="44"/>
      <c r="B21" s="11" t="str">
        <f>CONCATENATE("          ", "5092", " - ", "PURCHASES @ COST-GRAD MERCH")</f>
        <v xml:space="preserve">          5092 - PURCHASES @ COST-GRAD MERCH</v>
      </c>
      <c r="C21" s="11"/>
      <c r="D21" s="2">
        <v>9354.1</v>
      </c>
      <c r="E21" s="2"/>
      <c r="F21" s="19">
        <f t="shared" si="5"/>
        <v>1.5290598360454759</v>
      </c>
      <c r="G21" s="2"/>
      <c r="H21" s="2">
        <v>72092.59</v>
      </c>
      <c r="I21" s="2"/>
      <c r="J21" s="19">
        <f t="shared" si="6"/>
        <v>-1021.286159512679</v>
      </c>
      <c r="K21" s="2"/>
      <c r="L21" s="2">
        <f t="shared" si="7"/>
        <v>-62738.49</v>
      </c>
      <c r="M21" s="2"/>
      <c r="N21" s="19">
        <f t="shared" si="8"/>
        <v>-0.87024880088230983</v>
      </c>
      <c r="O21" s="11"/>
      <c r="P21" s="2">
        <v>13900.33</v>
      </c>
      <c r="Q21" s="2"/>
      <c r="R21" s="19">
        <f t="shared" si="9"/>
        <v>0.33631460686118736</v>
      </c>
      <c r="S21" s="2"/>
      <c r="T21" s="2">
        <v>96740</v>
      </c>
      <c r="U21" s="2"/>
      <c r="V21" s="19">
        <f t="shared" si="10"/>
        <v>0.44690976266384463</v>
      </c>
      <c r="W21" s="2"/>
      <c r="X21" s="2">
        <f t="shared" si="11"/>
        <v>-82839.67</v>
      </c>
      <c r="Y21" s="2"/>
      <c r="Z21" s="19">
        <f t="shared" si="12"/>
        <v>-0.85631248707876784</v>
      </c>
    </row>
    <row r="22" spans="1:26" s="24" customFormat="1" hidden="1" outlineLevel="1" x14ac:dyDescent="0.35">
      <c r="A22" s="44"/>
      <c r="B22" s="11" t="str">
        <f>CONCATENATE("          ", "5095", " - ", "PURCHASES @ COST-CUSTOMER SERV")</f>
        <v xml:space="preserve">          5095 - PURCHASES @ COST-CUSTOMER SERV</v>
      </c>
      <c r="C22" s="11"/>
      <c r="D22" s="2">
        <v>18.989999999999998</v>
      </c>
      <c r="E22" s="2"/>
      <c r="F22" s="19">
        <f t="shared" si="5"/>
        <v>3.1041838644555418E-3</v>
      </c>
      <c r="G22" s="2"/>
      <c r="H22" s="2">
        <v>-2.88</v>
      </c>
      <c r="I22" s="2"/>
      <c r="J22" s="19">
        <f t="shared" si="6"/>
        <v>4.0798980025499365E-2</v>
      </c>
      <c r="K22" s="2"/>
      <c r="L22" s="2">
        <f t="shared" si="7"/>
        <v>21.869999999999997</v>
      </c>
      <c r="M22" s="2"/>
      <c r="N22" s="19">
        <f t="shared" si="8"/>
        <v>-7.5937499999999991</v>
      </c>
      <c r="O22" s="11"/>
      <c r="P22" s="2">
        <v>30.84</v>
      </c>
      <c r="Q22" s="2"/>
      <c r="R22" s="19">
        <f t="shared" si="9"/>
        <v>7.4616519720028358E-4</v>
      </c>
      <c r="S22" s="2"/>
      <c r="T22" s="2">
        <v>-78.48</v>
      </c>
      <c r="U22" s="2"/>
      <c r="V22" s="19">
        <f t="shared" si="10"/>
        <v>-3.6255404355859549E-4</v>
      </c>
      <c r="W22" s="2"/>
      <c r="X22" s="2">
        <f t="shared" si="11"/>
        <v>109.32000000000001</v>
      </c>
      <c r="Y22" s="2"/>
      <c r="Z22" s="19">
        <f t="shared" si="12"/>
        <v>-1.3929663608562692</v>
      </c>
    </row>
    <row r="23" spans="1:26" s="24" customFormat="1" hidden="1" outlineLevel="1" x14ac:dyDescent="0.35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-9384</v>
      </c>
      <c r="E23" s="2"/>
      <c r="F23" s="19">
        <f t="shared" si="5"/>
        <v>-1.5339474135887734</v>
      </c>
      <c r="G23" s="2"/>
      <c r="H23" s="2">
        <v>-72198</v>
      </c>
      <c r="I23" s="2"/>
      <c r="J23" s="19">
        <f t="shared" si="6"/>
        <v>1022.7794305142373</v>
      </c>
      <c r="K23" s="2"/>
      <c r="L23" s="2">
        <f t="shared" si="7"/>
        <v>62814</v>
      </c>
      <c r="M23" s="2"/>
      <c r="N23" s="19">
        <f t="shared" si="8"/>
        <v>-0.87002410039059253</v>
      </c>
      <c r="O23" s="11"/>
      <c r="P23" s="2">
        <v>-14103</v>
      </c>
      <c r="Q23" s="2"/>
      <c r="R23" s="19">
        <f t="shared" si="9"/>
        <v>-0.34121815097651104</v>
      </c>
      <c r="S23" s="2"/>
      <c r="T23" s="2">
        <v>-99112</v>
      </c>
      <c r="U23" s="2"/>
      <c r="V23" s="19">
        <f t="shared" si="10"/>
        <v>-0.45786769068781241</v>
      </c>
      <c r="W23" s="2"/>
      <c r="X23" s="2">
        <f t="shared" si="11"/>
        <v>85009</v>
      </c>
      <c r="Y23" s="2"/>
      <c r="Z23" s="19">
        <f t="shared" si="12"/>
        <v>-0.85770643312616035</v>
      </c>
    </row>
    <row r="24" spans="1:26" s="24" customFormat="1" hidden="1" outlineLevel="1" x14ac:dyDescent="0.35">
      <c r="A24" s="44"/>
      <c r="B24" s="11" t="str">
        <f>CONCATENATE("          ", "5300", " - ", "COG$ OFFSET")</f>
        <v xml:space="preserve">          5300 - COG$ OFFSET</v>
      </c>
      <c r="C24" s="11"/>
      <c r="D24" s="2">
        <v>-898</v>
      </c>
      <c r="E24" s="2"/>
      <c r="F24" s="19">
        <f t="shared" si="5"/>
        <v>-0.14679079043080973</v>
      </c>
      <c r="G24" s="2"/>
      <c r="H24" s="2">
        <v>18842</v>
      </c>
      <c r="I24" s="2"/>
      <c r="J24" s="19">
        <f t="shared" si="6"/>
        <v>-266.92166029182607</v>
      </c>
      <c r="K24" s="2"/>
      <c r="L24" s="2">
        <f t="shared" si="7"/>
        <v>-19740</v>
      </c>
      <c r="M24" s="2"/>
      <c r="N24" s="19">
        <f t="shared" si="8"/>
        <v>-1.0476594841311964</v>
      </c>
      <c r="O24" s="11"/>
      <c r="P24" s="2">
        <v>13730</v>
      </c>
      <c r="Q24" s="2"/>
      <c r="R24" s="19">
        <f t="shared" si="9"/>
        <v>0.33219352002463987</v>
      </c>
      <c r="S24" s="2"/>
      <c r="T24" s="2">
        <v>117842</v>
      </c>
      <c r="U24" s="2"/>
      <c r="V24" s="19">
        <f t="shared" si="10"/>
        <v>0.54439466871855258</v>
      </c>
      <c r="W24" s="2"/>
      <c r="X24" s="2">
        <f t="shared" si="11"/>
        <v>-104112</v>
      </c>
      <c r="Y24" s="2"/>
      <c r="Z24" s="19">
        <f t="shared" si="12"/>
        <v>-0.8834880602841092</v>
      </c>
    </row>
    <row r="25" spans="1:26" s="24" customFormat="1" hidden="1" outlineLevel="1" x14ac:dyDescent="0.35">
      <c r="A25" s="44"/>
      <c r="B25" s="11" t="str">
        <f>CONCATENATE("          ", "5592", " - ", "FREIGHT-IN-GRAD MERCH")</f>
        <v xml:space="preserve">          5592 - FREIGHT-IN-GRAD MERCH</v>
      </c>
      <c r="C25" s="11"/>
      <c r="D25" s="2">
        <v>10.83</v>
      </c>
      <c r="E25" s="2"/>
      <c r="F25" s="19">
        <f t="shared" si="5"/>
        <v>1.7703165482913913E-3</v>
      </c>
      <c r="G25" s="2"/>
      <c r="H25" s="2">
        <v>108.7</v>
      </c>
      <c r="I25" s="2"/>
      <c r="J25" s="19">
        <f t="shared" si="6"/>
        <v>-1.5398781697124242</v>
      </c>
      <c r="K25" s="2"/>
      <c r="L25" s="2">
        <f t="shared" si="7"/>
        <v>-97.87</v>
      </c>
      <c r="M25" s="2"/>
      <c r="N25" s="19">
        <f t="shared" si="8"/>
        <v>-0.90036798528058881</v>
      </c>
      <c r="O25" s="11"/>
      <c r="P25" s="2">
        <v>170.88</v>
      </c>
      <c r="Q25" s="2"/>
      <c r="R25" s="19">
        <f t="shared" si="9"/>
        <v>4.1343939331253072E-3</v>
      </c>
      <c r="S25" s="2"/>
      <c r="T25" s="2">
        <v>2451.4299999999998</v>
      </c>
      <c r="U25" s="2"/>
      <c r="V25" s="19">
        <f t="shared" si="10"/>
        <v>1.1324870782375734E-2</v>
      </c>
      <c r="W25" s="2"/>
      <c r="X25" s="2">
        <f t="shared" si="11"/>
        <v>-2280.5499999999997</v>
      </c>
      <c r="Y25" s="2"/>
      <c r="Z25" s="19">
        <f t="shared" si="12"/>
        <v>-0.93029374691506583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6</v>
      </c>
      <c r="C27" s="28"/>
      <c r="D27" s="22">
        <f>D12-D20</f>
        <v>7015.6299999999992</v>
      </c>
      <c r="E27" s="14"/>
      <c r="F27" s="21">
        <f>IF(D$12=0,0,D27/D$12)</f>
        <v>1.1468038675613603</v>
      </c>
      <c r="G27" s="14"/>
      <c r="H27" s="22">
        <f>H12-H20</f>
        <v>-18912.999999999993</v>
      </c>
      <c r="I27" s="14"/>
      <c r="J27" s="21">
        <f>IF(H$12=0,0,H27/H$12)</f>
        <v>267.9274684799546</v>
      </c>
      <c r="K27" s="15"/>
      <c r="L27" s="22">
        <f>+D27-H27</f>
        <v>25928.62999999999</v>
      </c>
      <c r="M27" s="15"/>
      <c r="N27" s="21">
        <f>IF(H27=0,0,L27/H27)</f>
        <v>-1.3709422090625496</v>
      </c>
      <c r="O27" s="29"/>
      <c r="P27" s="22">
        <f>P12-P20</f>
        <v>27602.280000000002</v>
      </c>
      <c r="Q27" s="14"/>
      <c r="R27" s="21">
        <f>IF(P$12=0,0,P27/P$12)</f>
        <v>0.66782946496035822</v>
      </c>
      <c r="S27" s="14"/>
      <c r="T27" s="22">
        <f>T12-T20</f>
        <v>98621.329999999973</v>
      </c>
      <c r="U27" s="14"/>
      <c r="V27" s="21">
        <f>IF(T$12=0,0,T27/T$12)</f>
        <v>0.455600942566598</v>
      </c>
      <c r="W27" s="15"/>
      <c r="X27" s="22">
        <f>+P27-T27</f>
        <v>-71019.049999999974</v>
      </c>
      <c r="Y27" s="15"/>
      <c r="Z27" s="21">
        <f>IF(T27=0,0,X27/T27)</f>
        <v>-0.7201185585308979</v>
      </c>
    </row>
    <row r="28" spans="1:26" x14ac:dyDescent="0.3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5">
      <c r="A29" s="10"/>
      <c r="B29" s="29" t="s">
        <v>9</v>
      </c>
      <c r="C29" s="10"/>
      <c r="D29" s="20">
        <f>SUM(OSRRefD22x_0)</f>
        <v>21588.91</v>
      </c>
      <c r="E29" s="20"/>
      <c r="F29" s="36">
        <f t="shared" ref="F29:F38" si="13">IF(D$12=0,0,D29/D$12)</f>
        <v>3.5290124314472302</v>
      </c>
      <c r="G29" s="20"/>
      <c r="H29" s="20">
        <f>SUM(OSRRefH22x_0)</f>
        <v>-2720.0899999999997</v>
      </c>
      <c r="I29" s="20"/>
      <c r="J29" s="36">
        <f t="shared" ref="J29:J38" si="14">IF(H$12=0,0,H29/H$12)</f>
        <v>38.533644992208529</v>
      </c>
      <c r="K29" s="4"/>
      <c r="L29" s="20">
        <f t="shared" ref="L29:L38" si="15">+D29-H29</f>
        <v>24309</v>
      </c>
      <c r="M29" s="4"/>
      <c r="N29" s="36">
        <f t="shared" ref="N29:N38" si="16">IF(H29=0,0,L29/H29)</f>
        <v>-8.9368366487873576</v>
      </c>
      <c r="O29" s="10"/>
      <c r="P29" s="20">
        <f>SUM(OSRRefP22x_0)</f>
        <v>27917.400000000005</v>
      </c>
      <c r="Q29" s="20"/>
      <c r="R29" s="36">
        <f t="shared" ref="R29:R38" si="17">IF(P$12=0,0,P29/P$12)</f>
        <v>0.67545370545782113</v>
      </c>
      <c r="S29" s="20"/>
      <c r="T29" s="20">
        <f>SUM(OSRRefT22x_0)</f>
        <v>30154.39</v>
      </c>
      <c r="U29" s="20"/>
      <c r="V29" s="36">
        <f t="shared" ref="V29:V38" si="18">IF(T$12=0,0,T29/T$12)</f>
        <v>0.13930423070263603</v>
      </c>
      <c r="W29" s="4"/>
      <c r="X29" s="20">
        <f t="shared" ref="X29:X38" si="19">+P29-T29</f>
        <v>-2236.9899999999943</v>
      </c>
      <c r="Y29" s="4"/>
      <c r="Z29" s="36">
        <f t="shared" ref="Z29:Z38" si="20">IF(T29=0,0,X29/T29)</f>
        <v>-7.4184554885706341E-2</v>
      </c>
    </row>
    <row r="30" spans="1:26" s="25" customFormat="1" outlineLevel="1" collapsed="1" x14ac:dyDescent="0.35">
      <c r="A30" s="26"/>
      <c r="B30" s="12" t="str">
        <f>CONCATENATE("     ","*Benefits                                         ")</f>
        <v xml:space="preserve">     *Benefits                                         </v>
      </c>
      <c r="C30" s="12"/>
      <c r="D30" s="1">
        <f>SUM(OSRRefD22_0x_0)</f>
        <v>-5</v>
      </c>
      <c r="E30" s="1"/>
      <c r="F30" s="5">
        <f t="shared" si="13"/>
        <v>-8.1732065941430817E-4</v>
      </c>
      <c r="G30" s="1"/>
      <c r="H30" s="1">
        <f>SUM(OSRRefH22_0x_0)</f>
        <v>346.41999999999996</v>
      </c>
      <c r="I30" s="1"/>
      <c r="J30" s="5">
        <f t="shared" si="14"/>
        <v>-4.9074939793171843</v>
      </c>
      <c r="K30" s="1"/>
      <c r="L30" s="1">
        <f t="shared" si="15"/>
        <v>-351.41999999999996</v>
      </c>
      <c r="M30" s="1"/>
      <c r="N30" s="5">
        <f t="shared" si="16"/>
        <v>-1.0144333468044571</v>
      </c>
      <c r="O30" s="12"/>
      <c r="P30" s="1">
        <f>SUM(OSRRefP22_0x_0)</f>
        <v>869.44</v>
      </c>
      <c r="Q30" s="1"/>
      <c r="R30" s="5">
        <f t="shared" si="17"/>
        <v>2.1035858270227453E-2</v>
      </c>
      <c r="S30" s="1"/>
      <c r="T30" s="1">
        <f>SUM(OSRRefT22_0x_0)</f>
        <v>4671.8599999999997</v>
      </c>
      <c r="U30" s="1"/>
      <c r="V30" s="5">
        <f t="shared" si="18"/>
        <v>2.1582590901371813E-2</v>
      </c>
      <c r="W30" s="1"/>
      <c r="X30" s="1">
        <f t="shared" si="19"/>
        <v>-3802.4199999999996</v>
      </c>
      <c r="Y30" s="1"/>
      <c r="Z30" s="5">
        <f t="shared" si="20"/>
        <v>-0.81389853291836656</v>
      </c>
    </row>
    <row r="31" spans="1:26" s="24" customFormat="1" hidden="1" outlineLevel="2" x14ac:dyDescent="0.35">
      <c r="A31" s="27"/>
      <c r="B31" s="11" t="str">
        <f>CONCATENATE("          ", "6111", " - ", "F.I.C.A.")</f>
        <v xml:space="preserve">          6111 - F.I.C.A.</v>
      </c>
      <c r="C31" s="11"/>
      <c r="D31" s="7"/>
      <c r="E31" s="2"/>
      <c r="F31" s="6">
        <f t="shared" si="13"/>
        <v>0</v>
      </c>
      <c r="G31" s="2"/>
      <c r="H31" s="7">
        <v>73.44</v>
      </c>
      <c r="I31" s="2"/>
      <c r="J31" s="6">
        <f t="shared" si="14"/>
        <v>-1.0403739906502338</v>
      </c>
      <c r="K31" s="2"/>
      <c r="L31" s="7">
        <f t="shared" si="15"/>
        <v>-73.44</v>
      </c>
      <c r="M31" s="2"/>
      <c r="N31" s="6">
        <f t="shared" si="16"/>
        <v>-1</v>
      </c>
      <c r="O31" s="11"/>
      <c r="P31" s="7">
        <v>208.81</v>
      </c>
      <c r="Q31" s="2"/>
      <c r="R31" s="6">
        <f t="shared" si="17"/>
        <v>5.0520997025742939E-3</v>
      </c>
      <c r="S31" s="2"/>
      <c r="T31" s="7">
        <v>1511.68</v>
      </c>
      <c r="U31" s="2"/>
      <c r="V31" s="6">
        <f t="shared" si="18"/>
        <v>6.983507856353946E-3</v>
      </c>
      <c r="W31" s="2"/>
      <c r="X31" s="7">
        <f t="shared" si="19"/>
        <v>-1302.8700000000001</v>
      </c>
      <c r="Y31" s="2"/>
      <c r="Z31" s="6">
        <f t="shared" si="20"/>
        <v>-0.86186891405588484</v>
      </c>
    </row>
    <row r="32" spans="1:26" s="24" customFormat="1" hidden="1" outlineLevel="2" x14ac:dyDescent="0.35">
      <c r="A32" s="27"/>
      <c r="B32" s="11" t="str">
        <f>CONCATENATE("          ", "6112", " - ", "COMPENSATION INSURANCE")</f>
        <v xml:space="preserve">          6112 - COMPENSATION INSURANCE</v>
      </c>
      <c r="C32" s="11"/>
      <c r="D32" s="7"/>
      <c r="E32" s="2"/>
      <c r="F32" s="6">
        <f t="shared" si="13"/>
        <v>0</v>
      </c>
      <c r="G32" s="2"/>
      <c r="H32" s="7">
        <v>17.03</v>
      </c>
      <c r="I32" s="2"/>
      <c r="J32" s="6">
        <f t="shared" si="14"/>
        <v>-0.24125230202578274</v>
      </c>
      <c r="K32" s="2"/>
      <c r="L32" s="7">
        <f t="shared" si="15"/>
        <v>-17.03</v>
      </c>
      <c r="M32" s="2"/>
      <c r="N32" s="6">
        <f t="shared" si="16"/>
        <v>-1</v>
      </c>
      <c r="O32" s="11"/>
      <c r="P32" s="7">
        <v>22.05</v>
      </c>
      <c r="Q32" s="2"/>
      <c r="R32" s="6">
        <f t="shared" si="17"/>
        <v>5.3349359916557242E-4</v>
      </c>
      <c r="S32" s="2"/>
      <c r="T32" s="7">
        <v>200.68</v>
      </c>
      <c r="U32" s="2"/>
      <c r="V32" s="6">
        <f t="shared" si="18"/>
        <v>9.2708136418627604E-4</v>
      </c>
      <c r="W32" s="2"/>
      <c r="X32" s="7">
        <f t="shared" si="19"/>
        <v>-178.63</v>
      </c>
      <c r="Y32" s="2"/>
      <c r="Z32" s="6">
        <f t="shared" si="20"/>
        <v>-0.89012357982858281</v>
      </c>
    </row>
    <row r="33" spans="1:26" s="24" customFormat="1" hidden="1" outlineLevel="2" x14ac:dyDescent="0.35">
      <c r="A33" s="27"/>
      <c r="B33" s="11" t="str">
        <f>CONCATENATE("          ", "6113", " - ", "GROUP INSURANCE")</f>
        <v xml:space="preserve">          6113 - GROUP INSURANCE</v>
      </c>
      <c r="C33" s="11"/>
      <c r="D33" s="7"/>
      <c r="E33" s="2"/>
      <c r="F33" s="6">
        <f t="shared" si="13"/>
        <v>0</v>
      </c>
      <c r="G33" s="2"/>
      <c r="H33" s="7">
        <v>152.63</v>
      </c>
      <c r="I33" s="2"/>
      <c r="J33" s="6">
        <f t="shared" si="14"/>
        <v>-2.162204278226378</v>
      </c>
      <c r="K33" s="2"/>
      <c r="L33" s="7">
        <f t="shared" si="15"/>
        <v>-152.63</v>
      </c>
      <c r="M33" s="2"/>
      <c r="N33" s="6">
        <f t="shared" si="16"/>
        <v>-1</v>
      </c>
      <c r="O33" s="11"/>
      <c r="P33" s="7">
        <v>305.26</v>
      </c>
      <c r="Q33" s="2"/>
      <c r="R33" s="6">
        <f t="shared" si="17"/>
        <v>7.3856805479039743E-3</v>
      </c>
      <c r="S33" s="2"/>
      <c r="T33" s="7">
        <v>1247.0999999999999</v>
      </c>
      <c r="U33" s="2"/>
      <c r="V33" s="6">
        <f t="shared" si="18"/>
        <v>5.7612276722977113E-3</v>
      </c>
      <c r="W33" s="2"/>
      <c r="X33" s="7">
        <f t="shared" si="19"/>
        <v>-941.83999999999992</v>
      </c>
      <c r="Y33" s="2"/>
      <c r="Z33" s="6">
        <f t="shared" si="20"/>
        <v>-0.7552241199583033</v>
      </c>
    </row>
    <row r="34" spans="1:26" s="24" customFormat="1" hidden="1" outlineLevel="2" x14ac:dyDescent="0.35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7">
        <v>-5</v>
      </c>
      <c r="E34" s="2"/>
      <c r="F34" s="6">
        <f t="shared" si="13"/>
        <v>-8.1732065941430817E-4</v>
      </c>
      <c r="G34" s="2"/>
      <c r="H34" s="7">
        <v>3.72</v>
      </c>
      <c r="I34" s="2"/>
      <c r="J34" s="6">
        <f t="shared" si="14"/>
        <v>-5.2698682532936685E-2</v>
      </c>
      <c r="K34" s="2"/>
      <c r="L34" s="7">
        <f t="shared" si="15"/>
        <v>-8.7200000000000006</v>
      </c>
      <c r="M34" s="2"/>
      <c r="N34" s="6">
        <f t="shared" si="16"/>
        <v>-2.3440860215053765</v>
      </c>
      <c r="O34" s="11"/>
      <c r="P34" s="7">
        <v>0</v>
      </c>
      <c r="Q34" s="2"/>
      <c r="R34" s="6">
        <f t="shared" si="17"/>
        <v>0</v>
      </c>
      <c r="S34" s="2"/>
      <c r="T34" s="7">
        <v>22.25</v>
      </c>
      <c r="U34" s="2"/>
      <c r="V34" s="6">
        <f t="shared" si="18"/>
        <v>1.0278832147271598E-4</v>
      </c>
      <c r="W34" s="2"/>
      <c r="X34" s="7">
        <f t="shared" si="19"/>
        <v>-22.25</v>
      </c>
      <c r="Y34" s="2"/>
      <c r="Z34" s="6">
        <f t="shared" si="20"/>
        <v>-1</v>
      </c>
    </row>
    <row r="35" spans="1:26" s="24" customFormat="1" hidden="1" outlineLevel="2" x14ac:dyDescent="0.35">
      <c r="A35" s="27"/>
      <c r="B35" s="11" t="str">
        <f>CONCATENATE("          ", "6115", " - ", "P.E.R.S.")</f>
        <v xml:space="preserve">          6115 - P.E.R.S.</v>
      </c>
      <c r="C35" s="11"/>
      <c r="D35" s="7"/>
      <c r="E35" s="2"/>
      <c r="F35" s="6">
        <f t="shared" si="13"/>
        <v>0</v>
      </c>
      <c r="G35" s="2"/>
      <c r="H35" s="7"/>
      <c r="I35" s="2"/>
      <c r="J35" s="6">
        <f t="shared" si="14"/>
        <v>0</v>
      </c>
      <c r="K35" s="2"/>
      <c r="L35" s="7">
        <f t="shared" si="15"/>
        <v>0</v>
      </c>
      <c r="M35" s="2"/>
      <c r="N35" s="6">
        <f t="shared" si="16"/>
        <v>0</v>
      </c>
      <c r="O35" s="11"/>
      <c r="P35" s="7">
        <v>134.12</v>
      </c>
      <c r="Q35" s="2"/>
      <c r="R35" s="6">
        <f t="shared" si="17"/>
        <v>3.2449959873055139E-3</v>
      </c>
      <c r="S35" s="2"/>
      <c r="T35" s="7">
        <v>484.93</v>
      </c>
      <c r="U35" s="2"/>
      <c r="V35" s="6">
        <f t="shared" si="18"/>
        <v>2.2402310441242317E-3</v>
      </c>
      <c r="W35" s="2"/>
      <c r="X35" s="7">
        <f t="shared" si="19"/>
        <v>-350.81</v>
      </c>
      <c r="Y35" s="2"/>
      <c r="Z35" s="6">
        <f t="shared" si="20"/>
        <v>-0.72342399934011092</v>
      </c>
    </row>
    <row r="36" spans="1:26" s="24" customFormat="1" hidden="1" outlineLevel="2" x14ac:dyDescent="0.35">
      <c r="A36" s="27"/>
      <c r="B36" s="11" t="str">
        <f>CONCATENATE("          ", "6118", " - ", "VACATION")</f>
        <v xml:space="preserve">          6118 - VACATION</v>
      </c>
      <c r="C36" s="11"/>
      <c r="D36" s="7"/>
      <c r="E36" s="2"/>
      <c r="F36" s="6">
        <f t="shared" si="13"/>
        <v>0</v>
      </c>
      <c r="G36" s="2"/>
      <c r="H36" s="7">
        <v>55.32</v>
      </c>
      <c r="I36" s="2"/>
      <c r="J36" s="6">
        <f t="shared" si="14"/>
        <v>-0.78368040798980043</v>
      </c>
      <c r="K36" s="2"/>
      <c r="L36" s="7">
        <f t="shared" si="15"/>
        <v>-55.32</v>
      </c>
      <c r="M36" s="2"/>
      <c r="N36" s="6">
        <f t="shared" si="16"/>
        <v>-1</v>
      </c>
      <c r="O36" s="11"/>
      <c r="P36" s="7">
        <v>110.64</v>
      </c>
      <c r="Q36" s="2"/>
      <c r="R36" s="6">
        <f t="shared" si="17"/>
        <v>2.6769039370375934E-3</v>
      </c>
      <c r="S36" s="2"/>
      <c r="T36" s="7">
        <v>463.77</v>
      </c>
      <c r="U36" s="2"/>
      <c r="V36" s="6">
        <f t="shared" si="18"/>
        <v>2.1424781954787185E-3</v>
      </c>
      <c r="W36" s="2"/>
      <c r="X36" s="7">
        <f t="shared" si="19"/>
        <v>-353.13</v>
      </c>
      <c r="Y36" s="2"/>
      <c r="Z36" s="6">
        <f t="shared" si="20"/>
        <v>-0.76143346917653154</v>
      </c>
    </row>
    <row r="37" spans="1:26" s="24" customFormat="1" hidden="1" outlineLevel="2" x14ac:dyDescent="0.35">
      <c r="A37" s="27"/>
      <c r="B37" s="11" t="str">
        <f>CONCATENATE("          ", "6119", " - ", "SICK LEAVE")</f>
        <v xml:space="preserve">          6119 - SICK LEAVE</v>
      </c>
      <c r="C37" s="11"/>
      <c r="D37" s="7"/>
      <c r="E37" s="2"/>
      <c r="F37" s="6">
        <f t="shared" si="13"/>
        <v>0</v>
      </c>
      <c r="G37" s="2"/>
      <c r="H37" s="7">
        <v>44.28</v>
      </c>
      <c r="I37" s="2"/>
      <c r="J37" s="6">
        <f t="shared" si="14"/>
        <v>-0.62728431789205286</v>
      </c>
      <c r="K37" s="2"/>
      <c r="L37" s="7">
        <f t="shared" si="15"/>
        <v>-44.28</v>
      </c>
      <c r="M37" s="2"/>
      <c r="N37" s="6">
        <f t="shared" si="16"/>
        <v>-1</v>
      </c>
      <c r="O37" s="11"/>
      <c r="P37" s="7">
        <v>88.56</v>
      </c>
      <c r="Q37" s="2"/>
      <c r="R37" s="6">
        <f t="shared" si="17"/>
        <v>2.1426844962405033E-3</v>
      </c>
      <c r="S37" s="2"/>
      <c r="T37" s="7">
        <v>448.7</v>
      </c>
      <c r="U37" s="2"/>
      <c r="V37" s="6">
        <f t="shared" si="18"/>
        <v>2.0728593188677597E-3</v>
      </c>
      <c r="W37" s="2"/>
      <c r="X37" s="7">
        <f t="shared" si="19"/>
        <v>-360.14</v>
      </c>
      <c r="Y37" s="2"/>
      <c r="Z37" s="6">
        <f t="shared" si="20"/>
        <v>-0.80262981947849343</v>
      </c>
    </row>
    <row r="38" spans="1:26" s="24" customFormat="1" hidden="1" outlineLevel="2" x14ac:dyDescent="0.35">
      <c r="A38" s="27"/>
      <c r="B38" s="11" t="str">
        <f>CONCATENATE("          ", "6156", " - ", "EMPLOYEE MEALS")</f>
        <v xml:space="preserve">          6156 - EMPLOYEE MEALS</v>
      </c>
      <c r="C38" s="11"/>
      <c r="D38" s="7"/>
      <c r="E38" s="2"/>
      <c r="F38" s="6">
        <f t="shared" si="13"/>
        <v>0</v>
      </c>
      <c r="G38" s="2"/>
      <c r="H38" s="7"/>
      <c r="I38" s="2"/>
      <c r="J38" s="6">
        <f t="shared" si="14"/>
        <v>0</v>
      </c>
      <c r="K38" s="2"/>
      <c r="L38" s="7">
        <f t="shared" si="15"/>
        <v>0</v>
      </c>
      <c r="M38" s="2"/>
      <c r="N38" s="6">
        <f t="shared" si="16"/>
        <v>0</v>
      </c>
      <c r="O38" s="11"/>
      <c r="P38" s="7"/>
      <c r="Q38" s="2"/>
      <c r="R38" s="6">
        <f t="shared" si="17"/>
        <v>0</v>
      </c>
      <c r="S38" s="2"/>
      <c r="T38" s="7">
        <v>292.75</v>
      </c>
      <c r="U38" s="2"/>
      <c r="V38" s="6">
        <f t="shared" si="18"/>
        <v>1.3524171285904541E-3</v>
      </c>
      <c r="W38" s="2"/>
      <c r="X38" s="7">
        <f t="shared" si="19"/>
        <v>-292.75</v>
      </c>
      <c r="Y38" s="2"/>
      <c r="Z38" s="6">
        <f t="shared" si="20"/>
        <v>-1</v>
      </c>
    </row>
    <row r="39" spans="1:26" s="25" customFormat="1" outlineLevel="1" collapsed="1" x14ac:dyDescent="0.35">
      <c r="A39" s="26"/>
      <c r="B39" s="12" t="str">
        <f>CONCATENATE("     ","*Payroll                                          ")</f>
        <v xml:space="preserve">     *Payroll                                          </v>
      </c>
      <c r="C39" s="12"/>
      <c r="D39" s="1">
        <f>SUM(OSRRefD22_1x_0)</f>
        <v>0</v>
      </c>
      <c r="E39" s="1"/>
      <c r="F39" s="5">
        <f t="shared" ref="F39:F45" si="21">IF(D$12=0,0,D39/D$12)</f>
        <v>0</v>
      </c>
      <c r="G39" s="1"/>
      <c r="H39" s="1">
        <f>SUM(OSRRefH22_1x_0)</f>
        <v>960</v>
      </c>
      <c r="I39" s="1"/>
      <c r="J39" s="5">
        <f t="shared" ref="J39:J45" si="22">IF(H$12=0,0,H39/H$12)</f>
        <v>-13.599660008499789</v>
      </c>
      <c r="K39" s="1"/>
      <c r="L39" s="1">
        <f t="shared" ref="L39:L45" si="23">+D39-H39</f>
        <v>-960</v>
      </c>
      <c r="M39" s="1"/>
      <c r="N39" s="5">
        <f t="shared" ref="N39:N45" si="24">IF(H39=0,0,L39/H39)</f>
        <v>-1</v>
      </c>
      <c r="O39" s="12"/>
      <c r="P39" s="1">
        <f>SUM(OSRRefP22_1x_0)</f>
        <v>6103</v>
      </c>
      <c r="Q39" s="1"/>
      <c r="R39" s="5">
        <f t="shared" ref="R39:R45" si="25">IF(P$12=0,0,P39/P$12)</f>
        <v>0.1476603825717682</v>
      </c>
      <c r="S39" s="1"/>
      <c r="T39" s="1">
        <f>SUM(OSRRefT22_1x_0)</f>
        <v>34340.409999999996</v>
      </c>
      <c r="U39" s="1"/>
      <c r="V39" s="5">
        <f t="shared" ref="V39:V45" si="26">IF(T$12=0,0,T39/T$12)</f>
        <v>0.15864238663302788</v>
      </c>
      <c r="W39" s="1"/>
      <c r="X39" s="1">
        <f t="shared" ref="X39:X45" si="27">+P39-T39</f>
        <v>-28237.409999999996</v>
      </c>
      <c r="Y39" s="1"/>
      <c r="Z39" s="5">
        <f t="shared" ref="Z39:Z45" si="28">IF(T39=0,0,X39/T39)</f>
        <v>-0.82227934960590154</v>
      </c>
    </row>
    <row r="40" spans="1:26" s="24" customFormat="1" hidden="1" outlineLevel="2" x14ac:dyDescent="0.35">
      <c r="A40" s="27"/>
      <c r="B40" s="11" t="str">
        <f>CONCATENATE("          ", "6002", " - ", "STAFF SALARIES")</f>
        <v xml:space="preserve">          6002 - STAFF SALARIES</v>
      </c>
      <c r="C40" s="11"/>
      <c r="D40" s="7"/>
      <c r="E40" s="2"/>
      <c r="F40" s="6">
        <f t="shared" si="21"/>
        <v>0</v>
      </c>
      <c r="G40" s="2"/>
      <c r="H40" s="7">
        <v>960</v>
      </c>
      <c r="I40" s="2"/>
      <c r="J40" s="6">
        <f t="shared" si="22"/>
        <v>-13.599660008499789</v>
      </c>
      <c r="K40" s="2"/>
      <c r="L40" s="7">
        <f t="shared" si="23"/>
        <v>-960</v>
      </c>
      <c r="M40" s="2"/>
      <c r="N40" s="6">
        <f t="shared" si="24"/>
        <v>-1</v>
      </c>
      <c r="O40" s="11"/>
      <c r="P40" s="7">
        <v>1872</v>
      </c>
      <c r="Q40" s="2"/>
      <c r="R40" s="6">
        <f t="shared" si="25"/>
        <v>4.5292517806709821E-2</v>
      </c>
      <c r="S40" s="2"/>
      <c r="T40" s="7">
        <v>12490.98</v>
      </c>
      <c r="U40" s="2"/>
      <c r="V40" s="6">
        <f t="shared" si="26"/>
        <v>5.7704578325809698E-2</v>
      </c>
      <c r="W40" s="2"/>
      <c r="X40" s="7">
        <f t="shared" si="27"/>
        <v>-10618.98</v>
      </c>
      <c r="Y40" s="2"/>
      <c r="Z40" s="6">
        <f t="shared" si="28"/>
        <v>-0.85013185514667389</v>
      </c>
    </row>
    <row r="41" spans="1:26" s="24" customFormat="1" hidden="1" outlineLevel="2" x14ac:dyDescent="0.35">
      <c r="A41" s="27"/>
      <c r="B41" s="11" t="str">
        <f>CONCATENATE("          ", "6004", " - ", "STAFF HOURLY")</f>
        <v xml:space="preserve">          6004 - STAFF HOURLY</v>
      </c>
      <c r="C41" s="11"/>
      <c r="D41" s="7"/>
      <c r="E41" s="2"/>
      <c r="F41" s="6">
        <f t="shared" si="21"/>
        <v>0</v>
      </c>
      <c r="G41" s="2"/>
      <c r="H41" s="7"/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491.67</v>
      </c>
      <c r="Q41" s="2"/>
      <c r="R41" s="6">
        <f t="shared" si="25"/>
        <v>1.1895818498944988E-2</v>
      </c>
      <c r="S41" s="2"/>
      <c r="T41" s="7">
        <v>142.5</v>
      </c>
      <c r="U41" s="2"/>
      <c r="V41" s="6">
        <f t="shared" si="26"/>
        <v>6.5830722740952926E-4</v>
      </c>
      <c r="W41" s="2"/>
      <c r="X41" s="7">
        <f t="shared" si="27"/>
        <v>349.17</v>
      </c>
      <c r="Y41" s="2"/>
      <c r="Z41" s="6">
        <f t="shared" si="28"/>
        <v>2.4503157894736844</v>
      </c>
    </row>
    <row r="42" spans="1:26" s="24" customFormat="1" hidden="1" outlineLevel="2" x14ac:dyDescent="0.3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/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140.61000000000001</v>
      </c>
      <c r="Q42" s="2"/>
      <c r="R42" s="6">
        <f t="shared" si="25"/>
        <v>3.4020197269238614E-3</v>
      </c>
      <c r="S42" s="2"/>
      <c r="T42" s="7">
        <v>1546.8</v>
      </c>
      <c r="U42" s="2"/>
      <c r="V42" s="6">
        <f t="shared" si="26"/>
        <v>7.1457517147863851E-3</v>
      </c>
      <c r="W42" s="2"/>
      <c r="X42" s="7">
        <f t="shared" si="27"/>
        <v>-1406.19</v>
      </c>
      <c r="Y42" s="2"/>
      <c r="Z42" s="6">
        <f t="shared" si="28"/>
        <v>-0.90909619860356872</v>
      </c>
    </row>
    <row r="43" spans="1:26" s="24" customFormat="1" hidden="1" outlineLevel="2" x14ac:dyDescent="0.35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/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>
        <v>120.35</v>
      </c>
      <c r="Q43" s="2"/>
      <c r="R43" s="6">
        <f t="shared" si="25"/>
        <v>2.9118346784388497E-3</v>
      </c>
      <c r="S43" s="2"/>
      <c r="T43" s="7">
        <v>1443.56</v>
      </c>
      <c r="U43" s="2"/>
      <c r="V43" s="6">
        <f t="shared" si="26"/>
        <v>6.668813903152983E-3</v>
      </c>
      <c r="W43" s="2"/>
      <c r="X43" s="7">
        <f t="shared" si="27"/>
        <v>-1323.21</v>
      </c>
      <c r="Y43" s="2"/>
      <c r="Z43" s="6">
        <f t="shared" si="28"/>
        <v>-0.91662972096760786</v>
      </c>
    </row>
    <row r="44" spans="1:26" s="24" customFormat="1" hidden="1" outlineLevel="2" x14ac:dyDescent="0.35">
      <c r="A44" s="27"/>
      <c r="B44" s="11" t="str">
        <f>CONCATENATE("          ", "6007", " - ", "STUDENT HOURLY")</f>
        <v xml:space="preserve">          6007 - STUDENT HOURLY</v>
      </c>
      <c r="C44" s="11"/>
      <c r="D44" s="7"/>
      <c r="E44" s="2"/>
      <c r="F44" s="6">
        <f t="shared" si="21"/>
        <v>0</v>
      </c>
      <c r="G44" s="2"/>
      <c r="H44" s="7"/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>
        <v>3478.37</v>
      </c>
      <c r="Q44" s="2"/>
      <c r="R44" s="6">
        <f t="shared" si="25"/>
        <v>8.4158191860750658E-2</v>
      </c>
      <c r="S44" s="2"/>
      <c r="T44" s="7">
        <v>16997.57</v>
      </c>
      <c r="U44" s="2"/>
      <c r="V44" s="6">
        <f t="shared" si="26"/>
        <v>7.85236714343817E-2</v>
      </c>
      <c r="W44" s="2"/>
      <c r="X44" s="7">
        <f t="shared" si="27"/>
        <v>-13519.2</v>
      </c>
      <c r="Y44" s="2"/>
      <c r="Z44" s="6">
        <f t="shared" si="28"/>
        <v>-0.79536074862465644</v>
      </c>
    </row>
    <row r="45" spans="1:26" s="24" customFormat="1" hidden="1" outlineLevel="2" x14ac:dyDescent="0.3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/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1719</v>
      </c>
      <c r="U45" s="2"/>
      <c r="V45" s="6">
        <f t="shared" si="26"/>
        <v>7.9412640274875851E-3</v>
      </c>
      <c r="W45" s="2"/>
      <c r="X45" s="7">
        <f t="shared" si="27"/>
        <v>-1719</v>
      </c>
      <c r="Y45" s="2"/>
      <c r="Z45" s="6">
        <f t="shared" si="28"/>
        <v>-1</v>
      </c>
    </row>
    <row r="46" spans="1:26" s="25" customFormat="1" outlineLevel="1" collapsed="1" x14ac:dyDescent="0.35">
      <c r="A46" s="26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52" si="29">IF(D$12=0,0,D46/D$12)</f>
        <v>0</v>
      </c>
      <c r="G46" s="1"/>
      <c r="H46" s="1">
        <f>SUM(OSRRefH22_2x_0)</f>
        <v>4050.49</v>
      </c>
      <c r="I46" s="1"/>
      <c r="J46" s="5">
        <f t="shared" ref="J46:J52" si="30">IF(H$12=0,0,H46/H$12)</f>
        <v>-57.380507153987821</v>
      </c>
      <c r="K46" s="1"/>
      <c r="L46" s="1">
        <f t="shared" ref="L46:L52" si="31">+D46-H46</f>
        <v>-4050.49</v>
      </c>
      <c r="M46" s="1"/>
      <c r="N46" s="5">
        <f t="shared" ref="N46:N52" si="32">IF(H46=0,0,L46/H46)</f>
        <v>-1</v>
      </c>
      <c r="O46" s="12"/>
      <c r="P46" s="1">
        <f>SUM(OSRRefP22_2x_0)</f>
        <v>1164.77</v>
      </c>
      <c r="Q46" s="1"/>
      <c r="R46" s="5">
        <f t="shared" ref="R46:R52" si="33">IF(P$12=0,0,P46/P$12)</f>
        <v>2.8181285238099037E-2</v>
      </c>
      <c r="S46" s="1"/>
      <c r="T46" s="1">
        <f>SUM(OSRRefT22_2x_0)</f>
        <v>8599.76</v>
      </c>
      <c r="U46" s="1"/>
      <c r="V46" s="5">
        <f t="shared" ref="V46:V52" si="34">IF(T$12=0,0,T46/T$12)</f>
        <v>3.9728309908683326E-2</v>
      </c>
      <c r="W46" s="1"/>
      <c r="X46" s="1">
        <f t="shared" ref="X46:X52" si="35">+P46-T46</f>
        <v>-7434.99</v>
      </c>
      <c r="Y46" s="1"/>
      <c r="Z46" s="5">
        <f t="shared" ref="Z46:Z52" si="36">IF(T46=0,0,X46/T46)</f>
        <v>-0.86455784812599412</v>
      </c>
    </row>
    <row r="47" spans="1:26" s="24" customFormat="1" hidden="1" outlineLevel="2" x14ac:dyDescent="0.35">
      <c r="A47" s="27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9"/>
        <v>0</v>
      </c>
      <c r="G47" s="2"/>
      <c r="H47" s="7">
        <v>4050.49</v>
      </c>
      <c r="I47" s="2"/>
      <c r="J47" s="6">
        <f t="shared" si="30"/>
        <v>-57.380507153987821</v>
      </c>
      <c r="K47" s="2"/>
      <c r="L47" s="7">
        <f t="shared" si="31"/>
        <v>-4050.49</v>
      </c>
      <c r="M47" s="2"/>
      <c r="N47" s="6">
        <f t="shared" si="32"/>
        <v>-1</v>
      </c>
      <c r="O47" s="11"/>
      <c r="P47" s="7">
        <v>1164.77</v>
      </c>
      <c r="Q47" s="2"/>
      <c r="R47" s="6">
        <f t="shared" si="33"/>
        <v>2.8181285238099037E-2</v>
      </c>
      <c r="S47" s="2"/>
      <c r="T47" s="7">
        <v>8599.76</v>
      </c>
      <c r="U47" s="2"/>
      <c r="V47" s="6">
        <f t="shared" si="34"/>
        <v>3.9728309908683326E-2</v>
      </c>
      <c r="W47" s="2"/>
      <c r="X47" s="7">
        <f t="shared" si="35"/>
        <v>-7434.99</v>
      </c>
      <c r="Y47" s="2"/>
      <c r="Z47" s="6">
        <f t="shared" si="36"/>
        <v>-0.86455784812599412</v>
      </c>
    </row>
    <row r="48" spans="1:26" s="25" customFormat="1" outlineLevel="1" collapsed="1" x14ac:dyDescent="0.35">
      <c r="A48" s="26"/>
      <c r="B48" s="12" t="str">
        <f>CONCATENATE("     ","Discounts and Markdowns                           ")</f>
        <v xml:space="preserve">     Discounts and Markdowns                           </v>
      </c>
      <c r="C48" s="12"/>
      <c r="D48" s="1">
        <f>SUM(OSRRefD22_3x_0)</f>
        <v>7.99</v>
      </c>
      <c r="E48" s="1"/>
      <c r="F48" s="5">
        <f t="shared" si="29"/>
        <v>1.3060784137440644E-3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7.99</v>
      </c>
      <c r="M48" s="1"/>
      <c r="N48" s="5">
        <f t="shared" si="32"/>
        <v>0</v>
      </c>
      <c r="O48" s="12"/>
      <c r="P48" s="1">
        <f>SUM(OSRRefP22_3x_0)</f>
        <v>563.11</v>
      </c>
      <c r="Q48" s="1"/>
      <c r="R48" s="5">
        <f t="shared" si="33"/>
        <v>1.3624289370799342E-2</v>
      </c>
      <c r="S48" s="1"/>
      <c r="T48" s="1">
        <f>SUM(OSRRefT22_3x_0)</f>
        <v>7066.85</v>
      </c>
      <c r="U48" s="1"/>
      <c r="V48" s="5">
        <f t="shared" si="34"/>
        <v>3.264672582469496E-2</v>
      </c>
      <c r="W48" s="1"/>
      <c r="X48" s="1">
        <f t="shared" si="35"/>
        <v>-6503.7400000000007</v>
      </c>
      <c r="Y48" s="1"/>
      <c r="Z48" s="5">
        <f t="shared" si="36"/>
        <v>-0.92031668989719606</v>
      </c>
    </row>
    <row r="49" spans="1:26" s="24" customFormat="1" hidden="1" outlineLevel="2" x14ac:dyDescent="0.35">
      <c r="A49" s="27"/>
      <c r="B49" s="11" t="str">
        <f>CONCATENATE("          ", "6382", " - ", "DISCOUNTS/MARK DOWNS")</f>
        <v xml:space="preserve">          6382 - DISCOUNTS/MARK DOWNS</v>
      </c>
      <c r="C49" s="11"/>
      <c r="D49" s="7">
        <v>7.99</v>
      </c>
      <c r="E49" s="2"/>
      <c r="F49" s="6">
        <f t="shared" si="29"/>
        <v>1.3060784137440644E-3</v>
      </c>
      <c r="G49" s="2"/>
      <c r="H49" s="7"/>
      <c r="I49" s="2"/>
      <c r="J49" s="6">
        <f t="shared" si="30"/>
        <v>0</v>
      </c>
      <c r="K49" s="2"/>
      <c r="L49" s="7">
        <f t="shared" si="31"/>
        <v>7.99</v>
      </c>
      <c r="M49" s="2"/>
      <c r="N49" s="6">
        <f t="shared" si="32"/>
        <v>0</v>
      </c>
      <c r="O49" s="11"/>
      <c r="P49" s="7">
        <v>563.11</v>
      </c>
      <c r="Q49" s="2"/>
      <c r="R49" s="6">
        <f t="shared" si="33"/>
        <v>1.3624289370799342E-2</v>
      </c>
      <c r="S49" s="2"/>
      <c r="T49" s="7">
        <v>7066.85</v>
      </c>
      <c r="U49" s="2"/>
      <c r="V49" s="6">
        <f t="shared" si="34"/>
        <v>3.264672582469496E-2</v>
      </c>
      <c r="W49" s="2"/>
      <c r="X49" s="7">
        <f t="shared" si="35"/>
        <v>-6503.7400000000007</v>
      </c>
      <c r="Y49" s="2"/>
      <c r="Z49" s="6">
        <f t="shared" si="36"/>
        <v>-0.92031668989719606</v>
      </c>
    </row>
    <row r="50" spans="1:26" s="25" customFormat="1" outlineLevel="1" collapsed="1" x14ac:dyDescent="0.35">
      <c r="A50" s="26"/>
      <c r="B50" s="12" t="str">
        <f>CONCATENATE("     ","Freight out/Postage                               ")</f>
        <v xml:space="preserve">     Freight out/Postage                               </v>
      </c>
      <c r="C50" s="12"/>
      <c r="D50" s="1">
        <f>SUM(OSRRefD22_4x_0)</f>
        <v>18433.239999999998</v>
      </c>
      <c r="E50" s="1"/>
      <c r="F50" s="5">
        <f t="shared" si="29"/>
        <v>3.01317357438844</v>
      </c>
      <c r="G50" s="1"/>
      <c r="H50" s="1">
        <f>SUM(OSRRefH22_4x_0)</f>
        <v>-3561.85</v>
      </c>
      <c r="I50" s="1"/>
      <c r="J50" s="5">
        <f t="shared" si="30"/>
        <v>50.458280209661432</v>
      </c>
      <c r="K50" s="1"/>
      <c r="L50" s="1">
        <f t="shared" si="31"/>
        <v>21995.089999999997</v>
      </c>
      <c r="M50" s="1"/>
      <c r="N50" s="5">
        <f t="shared" si="32"/>
        <v>-6.1751870516725846</v>
      </c>
      <c r="O50" s="12"/>
      <c r="P50" s="1">
        <f>SUM(OSRRefP22_4x_0)</f>
        <v>6157.2299999999959</v>
      </c>
      <c r="Q50" s="1"/>
      <c r="R50" s="5">
        <f t="shared" si="33"/>
        <v>0.14897246229434175</v>
      </c>
      <c r="S50" s="1"/>
      <c r="T50" s="1">
        <f>SUM(OSRRefT22_4x_0)</f>
        <v>-35069.019999999997</v>
      </c>
      <c r="U50" s="1"/>
      <c r="V50" s="5">
        <f t="shared" si="34"/>
        <v>-0.16200834613452161</v>
      </c>
      <c r="W50" s="1"/>
      <c r="X50" s="1">
        <f t="shared" si="35"/>
        <v>41226.249999999993</v>
      </c>
      <c r="Y50" s="1"/>
      <c r="Z50" s="5">
        <f t="shared" si="36"/>
        <v>-1.1755746239843599</v>
      </c>
    </row>
    <row r="51" spans="1:26" s="24" customFormat="1" hidden="1" outlineLevel="2" x14ac:dyDescent="0.35">
      <c r="A51" s="27"/>
      <c r="B51" s="11" t="str">
        <f>CONCATENATE("          ", "6305", " - ", "FREIGHT OUT")</f>
        <v xml:space="preserve">          6305 - FREIGHT OUT</v>
      </c>
      <c r="C51" s="11"/>
      <c r="D51" s="7">
        <v>26023.289999999997</v>
      </c>
      <c r="E51" s="2"/>
      <c r="F51" s="6">
        <f t="shared" si="29"/>
        <v>4.2538745085859535</v>
      </c>
      <c r="G51" s="2"/>
      <c r="H51" s="7">
        <v>3655.53</v>
      </c>
      <c r="I51" s="2"/>
      <c r="J51" s="6">
        <f t="shared" si="30"/>
        <v>-51.785380365490873</v>
      </c>
      <c r="K51" s="2"/>
      <c r="L51" s="7">
        <f t="shared" si="31"/>
        <v>22367.759999999998</v>
      </c>
      <c r="M51" s="2"/>
      <c r="N51" s="6">
        <f t="shared" si="32"/>
        <v>6.1188828979655474</v>
      </c>
      <c r="O51" s="11"/>
      <c r="P51" s="7">
        <v>71927.3</v>
      </c>
      <c r="Q51" s="2"/>
      <c r="R51" s="6">
        <f t="shared" si="33"/>
        <v>1.7402609594223075</v>
      </c>
      <c r="S51" s="2"/>
      <c r="T51" s="7">
        <v>46287.590000000004</v>
      </c>
      <c r="U51" s="2"/>
      <c r="V51" s="6">
        <f t="shared" si="34"/>
        <v>0.21383477218504601</v>
      </c>
      <c r="W51" s="2"/>
      <c r="X51" s="7">
        <f t="shared" si="35"/>
        <v>25639.71</v>
      </c>
      <c r="Y51" s="2"/>
      <c r="Z51" s="6">
        <f t="shared" si="36"/>
        <v>0.5539219043376421</v>
      </c>
    </row>
    <row r="52" spans="1:26" s="24" customFormat="1" hidden="1" outlineLevel="2" x14ac:dyDescent="0.35">
      <c r="A52" s="27"/>
      <c r="B52" s="11" t="str">
        <f>CONCATENATE("          ", "6307", " - ", "POSTAGE")</f>
        <v xml:space="preserve">          6307 - POSTAGE</v>
      </c>
      <c r="C52" s="11"/>
      <c r="D52" s="7">
        <v>-7590.05</v>
      </c>
      <c r="E52" s="2"/>
      <c r="F52" s="6">
        <f t="shared" si="29"/>
        <v>-1.2407009341975139</v>
      </c>
      <c r="G52" s="2"/>
      <c r="H52" s="7">
        <v>-7217.38</v>
      </c>
      <c r="I52" s="2"/>
      <c r="J52" s="6">
        <f t="shared" si="30"/>
        <v>102.2436605751523</v>
      </c>
      <c r="K52" s="2"/>
      <c r="L52" s="7">
        <f t="shared" si="31"/>
        <v>-372.67000000000007</v>
      </c>
      <c r="M52" s="2"/>
      <c r="N52" s="6">
        <f t="shared" si="32"/>
        <v>5.1635080874223062E-2</v>
      </c>
      <c r="O52" s="11"/>
      <c r="P52" s="7">
        <v>-65770.070000000007</v>
      </c>
      <c r="Q52" s="2"/>
      <c r="R52" s="6">
        <f t="shared" si="33"/>
        <v>-1.5912884971279657</v>
      </c>
      <c r="S52" s="2"/>
      <c r="T52" s="7">
        <v>-81356.61</v>
      </c>
      <c r="U52" s="2"/>
      <c r="V52" s="6">
        <f t="shared" si="34"/>
        <v>-0.37584311831956763</v>
      </c>
      <c r="W52" s="2"/>
      <c r="X52" s="7">
        <f t="shared" si="35"/>
        <v>15586.539999999994</v>
      </c>
      <c r="Y52" s="2"/>
      <c r="Z52" s="6">
        <f t="shared" si="36"/>
        <v>-0.19158295804114742</v>
      </c>
    </row>
    <row r="53" spans="1:26" s="25" customFormat="1" outlineLevel="1" collapsed="1" x14ac:dyDescent="0.35">
      <c r="A53" s="26"/>
      <c r="B53" s="12" t="str">
        <f>CONCATENATE("     ","General                                           ")</f>
        <v xml:space="preserve">     General                                           </v>
      </c>
      <c r="C53" s="12"/>
      <c r="D53" s="1">
        <f>SUM(OSRRefD22_5x_0)</f>
        <v>0</v>
      </c>
      <c r="E53" s="1"/>
      <c r="F53" s="5">
        <f t="shared" ref="F53:F58" si="37">IF(D$12=0,0,D53/D$12)</f>
        <v>0</v>
      </c>
      <c r="G53" s="1"/>
      <c r="H53" s="1">
        <f>SUM(OSRRefH22_5x_0)</f>
        <v>182.31</v>
      </c>
      <c r="I53" s="1"/>
      <c r="J53" s="5">
        <f t="shared" ref="J53:J58" si="38">IF(H$12=0,0,H53/H$12)</f>
        <v>-2.5826604334891634</v>
      </c>
      <c r="K53" s="1"/>
      <c r="L53" s="1">
        <f t="shared" ref="L53:L58" si="39">+D53-H53</f>
        <v>-182.31</v>
      </c>
      <c r="M53" s="1"/>
      <c r="N53" s="5">
        <f t="shared" ref="N53:N58" si="40">IF(H53=0,0,L53/H53)</f>
        <v>-1</v>
      </c>
      <c r="O53" s="12"/>
      <c r="P53" s="1">
        <f>SUM(OSRRefP22_5x_0)</f>
        <v>80.17</v>
      </c>
      <c r="Q53" s="1"/>
      <c r="R53" s="5">
        <f t="shared" ref="R53:R58" si="41">IF(P$12=0,0,P53/P$12)</f>
        <v>1.9396907866260293E-3</v>
      </c>
      <c r="S53" s="1"/>
      <c r="T53" s="1">
        <f>SUM(OSRRefT22_5x_0)</f>
        <v>265.77999999999997</v>
      </c>
      <c r="U53" s="1"/>
      <c r="V53" s="5">
        <f t="shared" ref="V53:V58" si="42">IF(T$12=0,0,T53/T$12)</f>
        <v>1.2278238238659976E-3</v>
      </c>
      <c r="W53" s="1"/>
      <c r="X53" s="1">
        <f t="shared" ref="X53:X58" si="43">+P53-T53</f>
        <v>-185.60999999999996</v>
      </c>
      <c r="Y53" s="1"/>
      <c r="Z53" s="5">
        <f t="shared" ref="Z53:Z58" si="44">IF(T53=0,0,X53/T53)</f>
        <v>-0.69835954548875001</v>
      </c>
    </row>
    <row r="54" spans="1:26" s="24" customFormat="1" hidden="1" outlineLevel="2" x14ac:dyDescent="0.35">
      <c r="A54" s="27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7"/>
        <v>0</v>
      </c>
      <c r="G54" s="2"/>
      <c r="H54" s="7">
        <v>182.31</v>
      </c>
      <c r="I54" s="2"/>
      <c r="J54" s="6">
        <f t="shared" si="38"/>
        <v>-2.5826604334891634</v>
      </c>
      <c r="K54" s="2"/>
      <c r="L54" s="7">
        <f t="shared" si="39"/>
        <v>-182.31</v>
      </c>
      <c r="M54" s="2"/>
      <c r="N54" s="6">
        <f t="shared" si="40"/>
        <v>-1</v>
      </c>
      <c r="O54" s="11"/>
      <c r="P54" s="7">
        <v>80.17</v>
      </c>
      <c r="Q54" s="2"/>
      <c r="R54" s="6">
        <f t="shared" si="41"/>
        <v>1.9396907866260293E-3</v>
      </c>
      <c r="S54" s="2"/>
      <c r="T54" s="7">
        <v>265.77999999999997</v>
      </c>
      <c r="U54" s="2"/>
      <c r="V54" s="6">
        <f t="shared" si="42"/>
        <v>1.2278238238659976E-3</v>
      </c>
      <c r="W54" s="2"/>
      <c r="X54" s="7">
        <f t="shared" si="43"/>
        <v>-185.60999999999996</v>
      </c>
      <c r="Y54" s="2"/>
      <c r="Z54" s="6">
        <f t="shared" si="44"/>
        <v>-0.69835954548875001</v>
      </c>
    </row>
    <row r="55" spans="1:26" s="25" customFormat="1" outlineLevel="1" collapsed="1" x14ac:dyDescent="0.35">
      <c r="A55" s="26"/>
      <c r="B55" s="12" t="str">
        <f>CONCATENATE("     ","Inventory Adjustment                              ")</f>
        <v xml:space="preserve">     Inventory Adjustment                              </v>
      </c>
      <c r="C55" s="12"/>
      <c r="D55" s="1">
        <f>SUM(OSRRefD22_6x_0)</f>
        <v>-631</v>
      </c>
      <c r="E55" s="1"/>
      <c r="F55" s="5">
        <f t="shared" si="37"/>
        <v>-0.10314586721808569</v>
      </c>
      <c r="G55" s="1"/>
      <c r="H55" s="1">
        <f>SUM(OSRRefH22_6x_0)</f>
        <v>-5167</v>
      </c>
      <c r="I55" s="1"/>
      <c r="J55" s="5">
        <f t="shared" si="38"/>
        <v>73.197336733248349</v>
      </c>
      <c r="K55" s="1"/>
      <c r="L55" s="1">
        <f t="shared" si="39"/>
        <v>4536</v>
      </c>
      <c r="M55" s="1"/>
      <c r="N55" s="5">
        <f t="shared" si="40"/>
        <v>-0.87787884652603054</v>
      </c>
      <c r="O55" s="12"/>
      <c r="P55" s="1">
        <f>SUM(OSRRefP22_6x_0)</f>
        <v>369</v>
      </c>
      <c r="Q55" s="1"/>
      <c r="R55" s="5">
        <f t="shared" si="41"/>
        <v>8.927852067668763E-3</v>
      </c>
      <c r="S55" s="1"/>
      <c r="T55" s="1">
        <f>SUM(OSRRefT22_6x_0)</f>
        <v>-4067</v>
      </c>
      <c r="U55" s="1"/>
      <c r="V55" s="5">
        <f t="shared" si="42"/>
        <v>-1.878831925526004E-2</v>
      </c>
      <c r="W55" s="1"/>
      <c r="X55" s="1">
        <f t="shared" si="43"/>
        <v>4436</v>
      </c>
      <c r="Y55" s="1"/>
      <c r="Z55" s="5">
        <f t="shared" si="44"/>
        <v>-1.0907302680108188</v>
      </c>
    </row>
    <row r="56" spans="1:26" s="24" customFormat="1" hidden="1" outlineLevel="2" x14ac:dyDescent="0.35">
      <c r="A56" s="27"/>
      <c r="B56" s="11" t="str">
        <f>CONCATENATE("          ", "6408", " - ", "INVENTORY ADJUSTMENT")</f>
        <v xml:space="preserve">          6408 - INVENTORY ADJUSTMENT</v>
      </c>
      <c r="C56" s="11"/>
      <c r="D56" s="7">
        <v>-1000</v>
      </c>
      <c r="E56" s="2"/>
      <c r="F56" s="6">
        <f t="shared" si="37"/>
        <v>-0.16346413188286163</v>
      </c>
      <c r="G56" s="2"/>
      <c r="H56" s="7">
        <v>-1100</v>
      </c>
      <c r="I56" s="2"/>
      <c r="J56" s="6">
        <f t="shared" si="38"/>
        <v>15.582943759739342</v>
      </c>
      <c r="K56" s="2"/>
      <c r="L56" s="7">
        <f t="shared" si="39"/>
        <v>100</v>
      </c>
      <c r="M56" s="2"/>
      <c r="N56" s="6">
        <f t="shared" si="40"/>
        <v>-9.0909090909090912E-2</v>
      </c>
      <c r="O56" s="11"/>
      <c r="P56" s="7">
        <v>0</v>
      </c>
      <c r="Q56" s="2"/>
      <c r="R56" s="6">
        <f t="shared" si="41"/>
        <v>0</v>
      </c>
      <c r="S56" s="2"/>
      <c r="T56" s="7">
        <v>0</v>
      </c>
      <c r="U56" s="2"/>
      <c r="V56" s="6">
        <f t="shared" si="42"/>
        <v>0</v>
      </c>
      <c r="W56" s="2"/>
      <c r="X56" s="7">
        <f t="shared" si="43"/>
        <v>0</v>
      </c>
      <c r="Y56" s="2"/>
      <c r="Z56" s="6">
        <f t="shared" si="44"/>
        <v>0</v>
      </c>
    </row>
    <row r="57" spans="1:26" s="24" customFormat="1" hidden="1" outlineLevel="2" x14ac:dyDescent="0.35">
      <c r="A57" s="27"/>
      <c r="B57" s="11" t="str">
        <f>CONCATENATE("          ", "7792", " - ", "INV. SHRINKAGE-GRAD MERCH")</f>
        <v xml:space="preserve">          7792 - INV. SHRINKAGE-GRAD MERCH</v>
      </c>
      <c r="C57" s="11"/>
      <c r="D57" s="7">
        <v>495</v>
      </c>
      <c r="E57" s="2"/>
      <c r="F57" s="6">
        <f t="shared" si="37"/>
        <v>8.0914745282016504E-2</v>
      </c>
      <c r="G57" s="2"/>
      <c r="H57" s="7">
        <v>-3920</v>
      </c>
      <c r="I57" s="2"/>
      <c r="J57" s="6">
        <f t="shared" si="38"/>
        <v>55.531945034707476</v>
      </c>
      <c r="K57" s="2"/>
      <c r="L57" s="7">
        <f t="shared" si="39"/>
        <v>4415</v>
      </c>
      <c r="M57" s="2"/>
      <c r="N57" s="6">
        <f t="shared" si="40"/>
        <v>-1.1262755102040816</v>
      </c>
      <c r="O57" s="11"/>
      <c r="P57" s="7">
        <v>495</v>
      </c>
      <c r="Q57" s="2"/>
      <c r="R57" s="6">
        <f t="shared" si="41"/>
        <v>1.1976386920043464E-2</v>
      </c>
      <c r="S57" s="2"/>
      <c r="T57" s="7">
        <v>-3920</v>
      </c>
      <c r="U57" s="2"/>
      <c r="V57" s="6">
        <f t="shared" si="42"/>
        <v>-1.8109223378563893E-2</v>
      </c>
      <c r="W57" s="2"/>
      <c r="X57" s="7">
        <f t="shared" si="43"/>
        <v>4415</v>
      </c>
      <c r="Y57" s="2"/>
      <c r="Z57" s="6">
        <f t="shared" si="44"/>
        <v>-1.1262755102040816</v>
      </c>
    </row>
    <row r="58" spans="1:26" s="24" customFormat="1" hidden="1" outlineLevel="2" x14ac:dyDescent="0.35">
      <c r="A58" s="27"/>
      <c r="B58" s="11" t="str">
        <f>CONCATENATE("          ", "7795", " - ", "INV. SHRINKAGE-CUSTOMER SERVIC")</f>
        <v xml:space="preserve">          7795 - INV. SHRINKAGE-CUSTOMER SERVIC</v>
      </c>
      <c r="C58" s="11"/>
      <c r="D58" s="7">
        <v>-126</v>
      </c>
      <c r="E58" s="2"/>
      <c r="F58" s="6">
        <f t="shared" si="37"/>
        <v>-2.0596480617240565E-2</v>
      </c>
      <c r="G58" s="2"/>
      <c r="H58" s="7">
        <v>-147</v>
      </c>
      <c r="I58" s="2"/>
      <c r="J58" s="6">
        <f t="shared" si="38"/>
        <v>2.0824479388015305</v>
      </c>
      <c r="K58" s="2"/>
      <c r="L58" s="7">
        <f t="shared" si="39"/>
        <v>21</v>
      </c>
      <c r="M58" s="2"/>
      <c r="N58" s="6">
        <f t="shared" si="40"/>
        <v>-0.14285714285714285</v>
      </c>
      <c r="O58" s="11"/>
      <c r="P58" s="7">
        <v>-126</v>
      </c>
      <c r="Q58" s="2"/>
      <c r="R58" s="6">
        <f t="shared" si="41"/>
        <v>-3.0485348523746998E-3</v>
      </c>
      <c r="S58" s="2"/>
      <c r="T58" s="7">
        <v>-147</v>
      </c>
      <c r="U58" s="2"/>
      <c r="V58" s="6">
        <f t="shared" si="42"/>
        <v>-6.7909587669614602E-4</v>
      </c>
      <c r="W58" s="2"/>
      <c r="X58" s="7">
        <f t="shared" si="43"/>
        <v>21</v>
      </c>
      <c r="Y58" s="2"/>
      <c r="Z58" s="6">
        <f t="shared" si="44"/>
        <v>-0.14285714285714285</v>
      </c>
    </row>
    <row r="59" spans="1:26" s="25" customFormat="1" outlineLevel="1" collapsed="1" x14ac:dyDescent="0.35">
      <c r="A59" s="26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SUM(OSRRefD22_7x_0)</f>
        <v>3711.68</v>
      </c>
      <c r="E59" s="1"/>
      <c r="F59" s="5">
        <f t="shared" ref="F59:F62" si="45">IF(D$12=0,0,D59/D$12)</f>
        <v>0.60672654902697976</v>
      </c>
      <c r="G59" s="1"/>
      <c r="H59" s="1">
        <f>SUM(OSRRefH22_7x_0)</f>
        <v>427.99</v>
      </c>
      <c r="I59" s="1"/>
      <c r="J59" s="5">
        <f t="shared" ref="J59:J62" si="46">IF(H$12=0,0,H59/H$12)</f>
        <v>-6.0630400906644013</v>
      </c>
      <c r="K59" s="1"/>
      <c r="L59" s="1">
        <f t="shared" ref="L59:L62" si="47">+D59-H59</f>
        <v>3283.6899999999996</v>
      </c>
      <c r="M59" s="1"/>
      <c r="N59" s="5">
        <f t="shared" ref="N59:N62" si="48">IF(H59=0,0,L59/H59)</f>
        <v>7.6723521577606943</v>
      </c>
      <c r="O59" s="12"/>
      <c r="P59" s="1">
        <f>SUM(OSRRefP22_7x_0)</f>
        <v>11924.78</v>
      </c>
      <c r="Q59" s="1"/>
      <c r="R59" s="5">
        <f t="shared" ref="R59:R62" si="49">IF(P$12=0,0,P59/P$12)</f>
        <v>0.28851672568968867</v>
      </c>
      <c r="S59" s="1"/>
      <c r="T59" s="1">
        <f>SUM(OSRRefT22_7x_0)</f>
        <v>12641.5</v>
      </c>
      <c r="U59" s="1"/>
      <c r="V59" s="5">
        <f t="shared" ref="V59:V62" si="50">IF(T$12=0,0,T59/T$12)</f>
        <v>5.8399935545947822E-2</v>
      </c>
      <c r="W59" s="1"/>
      <c r="X59" s="1">
        <f t="shared" ref="X59:X62" si="51">+P59-T59</f>
        <v>-716.71999999999935</v>
      </c>
      <c r="Y59" s="1"/>
      <c r="Z59" s="5">
        <f t="shared" ref="Z59:Z62" si="52">IF(T59=0,0,X59/T59)</f>
        <v>-5.669580350433092E-2</v>
      </c>
    </row>
    <row r="60" spans="1:26" s="24" customFormat="1" hidden="1" outlineLevel="2" x14ac:dyDescent="0.35">
      <c r="A60" s="27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5"/>
        <v>0</v>
      </c>
      <c r="G60" s="2"/>
      <c r="H60" s="7">
        <v>1.87</v>
      </c>
      <c r="I60" s="2"/>
      <c r="J60" s="6">
        <f t="shared" si="46"/>
        <v>-2.6491004391556883E-2</v>
      </c>
      <c r="K60" s="2"/>
      <c r="L60" s="7">
        <f t="shared" si="47"/>
        <v>-1.87</v>
      </c>
      <c r="M60" s="2"/>
      <c r="N60" s="6">
        <f t="shared" si="48"/>
        <v>-1</v>
      </c>
      <c r="O60" s="11"/>
      <c r="P60" s="7">
        <v>135.26</v>
      </c>
      <c r="Q60" s="2"/>
      <c r="R60" s="6">
        <f t="shared" si="49"/>
        <v>3.2725779693031894E-3</v>
      </c>
      <c r="S60" s="2"/>
      <c r="T60" s="7">
        <v>42.98</v>
      </c>
      <c r="U60" s="2"/>
      <c r="V60" s="6">
        <f t="shared" si="50"/>
        <v>1.9855469918639697E-4</v>
      </c>
      <c r="W60" s="2"/>
      <c r="X60" s="7">
        <f t="shared" si="51"/>
        <v>92.28</v>
      </c>
      <c r="Y60" s="2"/>
      <c r="Z60" s="6">
        <f t="shared" si="52"/>
        <v>2.1470451372731505</v>
      </c>
    </row>
    <row r="61" spans="1:26" s="24" customFormat="1" hidden="1" outlineLevel="2" x14ac:dyDescent="0.35">
      <c r="A61" s="27"/>
      <c r="B61" s="11" t="str">
        <f>CONCATENATE("          ", "6245", " - ", "PRINTING")</f>
        <v xml:space="preserve">          6245 - PRINTING</v>
      </c>
      <c r="C61" s="11"/>
      <c r="D61" s="7"/>
      <c r="E61" s="2"/>
      <c r="F61" s="6">
        <f t="shared" si="45"/>
        <v>0</v>
      </c>
      <c r="G61" s="2"/>
      <c r="H61" s="7"/>
      <c r="I61" s="2"/>
      <c r="J61" s="6">
        <f t="shared" si="46"/>
        <v>0</v>
      </c>
      <c r="K61" s="2"/>
      <c r="L61" s="7">
        <f t="shared" si="47"/>
        <v>0</v>
      </c>
      <c r="M61" s="2"/>
      <c r="N61" s="6">
        <f t="shared" si="48"/>
        <v>0</v>
      </c>
      <c r="O61" s="11"/>
      <c r="P61" s="7"/>
      <c r="Q61" s="2"/>
      <c r="R61" s="6">
        <f t="shared" si="49"/>
        <v>0</v>
      </c>
      <c r="S61" s="2"/>
      <c r="T61" s="7">
        <v>45.86</v>
      </c>
      <c r="U61" s="2"/>
      <c r="V61" s="6">
        <f t="shared" si="50"/>
        <v>2.1185943472983167E-4</v>
      </c>
      <c r="W61" s="2"/>
      <c r="X61" s="7">
        <f t="shared" si="51"/>
        <v>-45.86</v>
      </c>
      <c r="Y61" s="2"/>
      <c r="Z61" s="6">
        <f t="shared" si="52"/>
        <v>-1</v>
      </c>
    </row>
    <row r="62" spans="1:26" s="24" customFormat="1" hidden="1" outlineLevel="2" x14ac:dyDescent="0.35">
      <c r="A62" s="27"/>
      <c r="B62" s="11" t="str">
        <f>CONCATENATE("          ", "6247", " - ", "STORE SUPPLIES")</f>
        <v xml:space="preserve">          6247 - STORE SUPPLIES</v>
      </c>
      <c r="C62" s="11"/>
      <c r="D62" s="7">
        <v>3711.68</v>
      </c>
      <c r="E62" s="2"/>
      <c r="F62" s="6">
        <f t="shared" si="45"/>
        <v>0.60672654902697976</v>
      </c>
      <c r="G62" s="2"/>
      <c r="H62" s="7">
        <v>426.12</v>
      </c>
      <c r="I62" s="2"/>
      <c r="J62" s="6">
        <f t="shared" si="46"/>
        <v>-6.0365490862728439</v>
      </c>
      <c r="K62" s="2"/>
      <c r="L62" s="7">
        <f t="shared" si="47"/>
        <v>3285.56</v>
      </c>
      <c r="M62" s="2"/>
      <c r="N62" s="6">
        <f t="shared" si="48"/>
        <v>7.7104102130855159</v>
      </c>
      <c r="O62" s="11"/>
      <c r="P62" s="7">
        <v>11789.52</v>
      </c>
      <c r="Q62" s="2"/>
      <c r="R62" s="6">
        <f t="shared" si="49"/>
        <v>0.28524414772038548</v>
      </c>
      <c r="S62" s="2"/>
      <c r="T62" s="7">
        <v>12552.66</v>
      </c>
      <c r="U62" s="2"/>
      <c r="V62" s="6">
        <f t="shared" si="50"/>
        <v>5.7989521412031592E-2</v>
      </c>
      <c r="W62" s="2"/>
      <c r="X62" s="7">
        <f t="shared" si="51"/>
        <v>-763.13999999999942</v>
      </c>
      <c r="Y62" s="2"/>
      <c r="Z62" s="6">
        <f t="shared" si="52"/>
        <v>-6.0795082476542778E-2</v>
      </c>
    </row>
    <row r="63" spans="1:26" s="25" customFormat="1" outlineLevel="1" collapsed="1" x14ac:dyDescent="0.35">
      <c r="A63" s="26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SUM(OSRRefD22_8x_0)</f>
        <v>72</v>
      </c>
      <c r="E63" s="1"/>
      <c r="F63" s="5">
        <f t="shared" ref="F63:F64" si="53">IF(D$12=0,0,D63/D$12)</f>
        <v>1.1769417495566037E-2</v>
      </c>
      <c r="G63" s="1"/>
      <c r="H63" s="1">
        <f>SUM(OSRRefH22_8x_0)</f>
        <v>41.55</v>
      </c>
      <c r="I63" s="1"/>
      <c r="J63" s="5">
        <f t="shared" ref="J63:J64" si="54">IF(H$12=0,0,H63/H$12)</f>
        <v>-0.58861028474288146</v>
      </c>
      <c r="K63" s="1"/>
      <c r="L63" s="1">
        <f t="shared" ref="L63:L64" si="55">+D63-H63</f>
        <v>30.450000000000003</v>
      </c>
      <c r="M63" s="1"/>
      <c r="N63" s="5">
        <f t="shared" ref="N63:N64" si="56">IF(H63=0,0,L63/H63)</f>
        <v>0.73285198555956688</v>
      </c>
      <c r="O63" s="12"/>
      <c r="P63" s="1">
        <f>SUM(OSRRefP22_8x_0)</f>
        <v>685.9</v>
      </c>
      <c r="Q63" s="1"/>
      <c r="R63" s="5">
        <f t="shared" ref="R63:R64" si="57">IF(P$12=0,0,P63/P$12)</f>
        <v>1.6595159168601638E-2</v>
      </c>
      <c r="S63" s="1"/>
      <c r="T63" s="1">
        <f>SUM(OSRRefT22_8x_0)</f>
        <v>1704.25</v>
      </c>
      <c r="U63" s="1"/>
      <c r="V63" s="5">
        <f t="shared" ref="V63:V64" si="58">IF(T$12=0,0,T63/T$12)</f>
        <v>7.8731234548258967E-3</v>
      </c>
      <c r="W63" s="1"/>
      <c r="X63" s="1">
        <f t="shared" ref="X63:X64" si="59">+P63-T63</f>
        <v>-1018.35</v>
      </c>
      <c r="Y63" s="1"/>
      <c r="Z63" s="5">
        <f t="shared" ref="Z63:Z64" si="60">IF(T63=0,0,X63/T63)</f>
        <v>-0.59753557283262437</v>
      </c>
    </row>
    <row r="64" spans="1:26" s="24" customFormat="1" hidden="1" outlineLevel="2" x14ac:dyDescent="0.35">
      <c r="A64" s="27"/>
      <c r="B64" s="11" t="str">
        <f>CONCATENATE("          ", "6309", " - ", "TELEPHONE")</f>
        <v xml:space="preserve">          6309 - TELEPHONE</v>
      </c>
      <c r="C64" s="11"/>
      <c r="D64" s="7">
        <v>72</v>
      </c>
      <c r="E64" s="2"/>
      <c r="F64" s="6">
        <f t="shared" si="53"/>
        <v>1.1769417495566037E-2</v>
      </c>
      <c r="G64" s="2"/>
      <c r="H64" s="7">
        <v>41.55</v>
      </c>
      <c r="I64" s="2"/>
      <c r="J64" s="6">
        <f t="shared" si="54"/>
        <v>-0.58861028474288146</v>
      </c>
      <c r="K64" s="2"/>
      <c r="L64" s="7">
        <f t="shared" si="55"/>
        <v>30.450000000000003</v>
      </c>
      <c r="M64" s="2"/>
      <c r="N64" s="6">
        <f t="shared" si="56"/>
        <v>0.73285198555956688</v>
      </c>
      <c r="O64" s="11"/>
      <c r="P64" s="7">
        <v>685.9</v>
      </c>
      <c r="Q64" s="2"/>
      <c r="R64" s="6">
        <f t="shared" si="57"/>
        <v>1.6595159168601638E-2</v>
      </c>
      <c r="S64" s="2"/>
      <c r="T64" s="7">
        <v>1704.25</v>
      </c>
      <c r="U64" s="2"/>
      <c r="V64" s="6">
        <f t="shared" si="58"/>
        <v>7.8731234548258967E-3</v>
      </c>
      <c r="W64" s="2"/>
      <c r="X64" s="7">
        <f t="shared" si="59"/>
        <v>-1018.35</v>
      </c>
      <c r="Y64" s="2"/>
      <c r="Z64" s="6">
        <f t="shared" si="60"/>
        <v>-0.59753557283262437</v>
      </c>
    </row>
    <row r="65" spans="1:26" s="56" customFormat="1" x14ac:dyDescent="0.3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35">
      <c r="A66" s="10"/>
      <c r="B66" s="29" t="s">
        <v>0</v>
      </c>
      <c r="C66" s="10"/>
      <c r="D66" s="4">
        <f>SUM(OSRRefD25x_0)</f>
        <v>0</v>
      </c>
      <c r="E66" s="4"/>
      <c r="F66" s="13">
        <f t="shared" ref="F66:F71" si="61">IF(D$12=0,0,D66/D$12)</f>
        <v>0</v>
      </c>
      <c r="G66" s="4"/>
      <c r="H66" s="4">
        <f>SUM(OSRRefH25x_0)</f>
        <v>72128.56</v>
      </c>
      <c r="I66" s="4"/>
      <c r="J66" s="13">
        <f t="shared" ref="J66:J71" si="62">IF(H$12=0,0,H66/H$12)</f>
        <v>-1021.7957217736224</v>
      </c>
      <c r="K66" s="4"/>
      <c r="L66" s="4">
        <f t="shared" ref="L66:L71" si="63">+D66-H66</f>
        <v>-72128.56</v>
      </c>
      <c r="M66" s="4"/>
      <c r="N66" s="13">
        <f t="shared" ref="N66:N71" si="64">IF(H66=0,0,L66/H66)</f>
        <v>-1</v>
      </c>
      <c r="O66" s="10"/>
      <c r="P66" s="4">
        <f>SUM(OSRRefP25x_0)</f>
        <v>513349.45</v>
      </c>
      <c r="Q66" s="4"/>
      <c r="R66" s="13">
        <f t="shared" ref="R66:R71" si="65">IF(P$12=0,0,P66/P$12)</f>
        <v>12.420346744225265</v>
      </c>
      <c r="S66" s="4"/>
      <c r="T66" s="4">
        <f>SUM(OSRRefT25x_0)</f>
        <v>644037.43999999994</v>
      </c>
      <c r="U66" s="4"/>
      <c r="V66" s="13">
        <f t="shared" ref="V66:V71" si="66">IF(T$12=0,0,T66/T$12)</f>
        <v>2.9752596594689895</v>
      </c>
      <c r="W66" s="4"/>
      <c r="X66" s="4">
        <f t="shared" ref="X66:X71" si="67">+P66-T66</f>
        <v>-130687.98999999993</v>
      </c>
      <c r="Y66" s="4"/>
      <c r="Z66" s="13">
        <f t="shared" ref="Z66:Z71" si="68">IF(T66=0,0,X66/T66)</f>
        <v>-0.20291986441036711</v>
      </c>
    </row>
    <row r="67" spans="1:26" s="24" customFormat="1" hidden="1" outlineLevel="1" x14ac:dyDescent="0.35">
      <c r="A67" s="44"/>
      <c r="B67" s="11" t="str">
        <f>CONCATENATE("          ", "4098", " - ", "TAXABLE SALES-GRAD RENTALS")</f>
        <v xml:space="preserve">          4098 - TAXABLE SALES-GRAD RENTALS</v>
      </c>
      <c r="C67" s="11"/>
      <c r="D67" s="2">
        <f t="shared" ref="D67:D71" si="69">0</f>
        <v>0</v>
      </c>
      <c r="E67" s="2"/>
      <c r="F67" s="19">
        <f t="shared" si="61"/>
        <v>0</v>
      </c>
      <c r="G67" s="2"/>
      <c r="H67" s="2">
        <f>--8835</f>
        <v>8835</v>
      </c>
      <c r="I67" s="2"/>
      <c r="J67" s="19">
        <f t="shared" si="62"/>
        <v>-125.15937101572463</v>
      </c>
      <c r="K67" s="2"/>
      <c r="L67" s="2">
        <f t="shared" si="63"/>
        <v>-8835</v>
      </c>
      <c r="M67" s="2"/>
      <c r="N67" s="19">
        <f t="shared" si="64"/>
        <v>-1</v>
      </c>
      <c r="O67" s="11"/>
      <c r="P67" s="2">
        <f>--1946.85</f>
        <v>1946.85</v>
      </c>
      <c r="Q67" s="2"/>
      <c r="R67" s="19">
        <f t="shared" si="65"/>
        <v>4.7103492677346696E-2</v>
      </c>
      <c r="S67" s="2"/>
      <c r="T67" s="2">
        <f>--86267.28</f>
        <v>86267.28</v>
      </c>
      <c r="U67" s="2"/>
      <c r="V67" s="19">
        <f t="shared" si="66"/>
        <v>0.39852893974008097</v>
      </c>
      <c r="W67" s="2"/>
      <c r="X67" s="2">
        <f t="shared" si="67"/>
        <v>-84320.43</v>
      </c>
      <c r="Y67" s="2"/>
      <c r="Z67" s="19">
        <f t="shared" si="68"/>
        <v>-0.9774323474670813</v>
      </c>
    </row>
    <row r="68" spans="1:26" s="24" customFormat="1" hidden="1" outlineLevel="1" x14ac:dyDescent="0.35">
      <c r="A68" s="44"/>
      <c r="B68" s="11" t="str">
        <f>CONCATENATE("          ", "4197", " - ", "NON-TAXABLE SALES-RETURNED CHE")</f>
        <v xml:space="preserve">          4197 - NON-TAXABLE SALES-RETURNED CHE</v>
      </c>
      <c r="C68" s="11"/>
      <c r="D68" s="2">
        <f t="shared" si="69"/>
        <v>0</v>
      </c>
      <c r="E68" s="2"/>
      <c r="F68" s="19">
        <f t="shared" si="61"/>
        <v>0</v>
      </c>
      <c r="G68" s="2"/>
      <c r="H68" s="2">
        <f>0</f>
        <v>0</v>
      </c>
      <c r="I68" s="2"/>
      <c r="J68" s="19">
        <f t="shared" si="62"/>
        <v>0</v>
      </c>
      <c r="K68" s="2"/>
      <c r="L68" s="2">
        <f t="shared" si="63"/>
        <v>0</v>
      </c>
      <c r="M68" s="2"/>
      <c r="N68" s="19">
        <f t="shared" si="64"/>
        <v>0</v>
      </c>
      <c r="O68" s="11"/>
      <c r="P68" s="2">
        <f>--30</f>
        <v>30</v>
      </c>
      <c r="Q68" s="2"/>
      <c r="R68" s="19">
        <f t="shared" si="65"/>
        <v>7.2584163151778562E-4</v>
      </c>
      <c r="S68" s="2"/>
      <c r="T68" s="2">
        <f>--335</f>
        <v>335</v>
      </c>
      <c r="U68" s="2"/>
      <c r="V68" s="19">
        <f t="shared" si="66"/>
        <v>1.5475994468925776E-3</v>
      </c>
      <c r="W68" s="2"/>
      <c r="X68" s="2">
        <f t="shared" si="67"/>
        <v>-305</v>
      </c>
      <c r="Y68" s="2"/>
      <c r="Z68" s="19">
        <f t="shared" si="68"/>
        <v>-0.91044776119402981</v>
      </c>
    </row>
    <row r="69" spans="1:26" s="24" customFormat="1" hidden="1" outlineLevel="1" x14ac:dyDescent="0.35">
      <c r="A69" s="44"/>
      <c r="B69" s="11" t="str">
        <f>CONCATENATE("          ", "4198", " - ", "NON-TAXABLE SALES-GRAD RENTALS")</f>
        <v xml:space="preserve">          4198 - NON-TAXABLE SALES-GRAD RENTALS</v>
      </c>
      <c r="C69" s="11"/>
      <c r="D69" s="2">
        <f t="shared" si="69"/>
        <v>0</v>
      </c>
      <c r="E69" s="2"/>
      <c r="F69" s="19">
        <f t="shared" si="61"/>
        <v>0</v>
      </c>
      <c r="G69" s="2"/>
      <c r="H69" s="2">
        <f>--63293.56</f>
        <v>63293.56</v>
      </c>
      <c r="I69" s="2"/>
      <c r="J69" s="19">
        <f t="shared" si="62"/>
        <v>-896.63635075789784</v>
      </c>
      <c r="K69" s="2"/>
      <c r="L69" s="2">
        <f t="shared" si="63"/>
        <v>-63293.56</v>
      </c>
      <c r="M69" s="2"/>
      <c r="N69" s="19">
        <f t="shared" si="64"/>
        <v>-1</v>
      </c>
      <c r="O69" s="11"/>
      <c r="P69" s="2">
        <f>--163.76</f>
        <v>163.76</v>
      </c>
      <c r="Q69" s="2"/>
      <c r="R69" s="19">
        <f t="shared" si="65"/>
        <v>3.9621275192450855E-3</v>
      </c>
      <c r="S69" s="2"/>
      <c r="T69" s="2">
        <f>--449104.41</f>
        <v>449104.41</v>
      </c>
      <c r="U69" s="2"/>
      <c r="V69" s="19">
        <f t="shared" si="66"/>
        <v>2.0747275716806488</v>
      </c>
      <c r="W69" s="2"/>
      <c r="X69" s="2">
        <f t="shared" si="67"/>
        <v>-448940.64999999997</v>
      </c>
      <c r="Y69" s="2"/>
      <c r="Z69" s="19">
        <f t="shared" si="68"/>
        <v>-0.99963536318870705</v>
      </c>
    </row>
    <row r="70" spans="1:26" s="24" customFormat="1" hidden="1" outlineLevel="1" x14ac:dyDescent="0.35">
      <c r="A70" s="44"/>
      <c r="B70" s="11" t="str">
        <f>CONCATENATE("          ", "9160", " - ", "MISC. INCOME")</f>
        <v xml:space="preserve">          9160 - MISC. INCOME</v>
      </c>
      <c r="C70" s="11"/>
      <c r="D70" s="2">
        <f t="shared" si="69"/>
        <v>0</v>
      </c>
      <c r="E70" s="2"/>
      <c r="F70" s="19">
        <f t="shared" si="61"/>
        <v>0</v>
      </c>
      <c r="G70" s="2"/>
      <c r="H70" s="2">
        <f t="shared" ref="H70:H71" si="70">0</f>
        <v>0</v>
      </c>
      <c r="I70" s="2"/>
      <c r="J70" s="19">
        <f t="shared" si="62"/>
        <v>0</v>
      </c>
      <c r="K70" s="2"/>
      <c r="L70" s="2">
        <f t="shared" si="63"/>
        <v>0</v>
      </c>
      <c r="M70" s="2"/>
      <c r="N70" s="19">
        <f t="shared" si="64"/>
        <v>0</v>
      </c>
      <c r="O70" s="11"/>
      <c r="P70" s="2">
        <f>--22475</f>
        <v>22475</v>
      </c>
      <c r="Q70" s="2"/>
      <c r="R70" s="19">
        <f t="shared" si="65"/>
        <v>0.54377635561207438</v>
      </c>
      <c r="S70" s="2"/>
      <c r="T70" s="2">
        <f>--40000</f>
        <v>40000</v>
      </c>
      <c r="U70" s="2"/>
      <c r="V70" s="19">
        <f t="shared" si="66"/>
        <v>0.18478799365881524</v>
      </c>
      <c r="W70" s="2"/>
      <c r="X70" s="2">
        <f t="shared" si="67"/>
        <v>-17525</v>
      </c>
      <c r="Y70" s="2"/>
      <c r="Z70" s="19">
        <f t="shared" si="68"/>
        <v>-0.43812499999999999</v>
      </c>
    </row>
    <row r="71" spans="1:26" s="24" customFormat="1" hidden="1" outlineLevel="1" x14ac:dyDescent="0.35">
      <c r="A71" s="44"/>
      <c r="B71" s="11" t="str">
        <f>CONCATENATE("          ", "9163", " - ", "MISC. INCOME")</f>
        <v xml:space="preserve">          9163 - MISC. INCOME</v>
      </c>
      <c r="C71" s="11"/>
      <c r="D71" s="2">
        <f t="shared" si="69"/>
        <v>0</v>
      </c>
      <c r="E71" s="2"/>
      <c r="F71" s="19">
        <f t="shared" si="61"/>
        <v>0</v>
      </c>
      <c r="G71" s="2"/>
      <c r="H71" s="2">
        <f t="shared" si="70"/>
        <v>0</v>
      </c>
      <c r="I71" s="2"/>
      <c r="J71" s="19">
        <f t="shared" si="62"/>
        <v>0</v>
      </c>
      <c r="K71" s="2"/>
      <c r="L71" s="2">
        <f t="shared" si="63"/>
        <v>0</v>
      </c>
      <c r="M71" s="2"/>
      <c r="N71" s="19">
        <f t="shared" si="64"/>
        <v>0</v>
      </c>
      <c r="O71" s="11"/>
      <c r="P71" s="2">
        <f>--488733.84</f>
        <v>488733.84</v>
      </c>
      <c r="Q71" s="2"/>
      <c r="R71" s="19">
        <f t="shared" si="65"/>
        <v>11.824778926785081</v>
      </c>
      <c r="S71" s="2"/>
      <c r="T71" s="2">
        <f>--68330.75</f>
        <v>68330.75</v>
      </c>
      <c r="U71" s="2"/>
      <c r="V71" s="19">
        <f t="shared" si="66"/>
        <v>0.31566755494255222</v>
      </c>
      <c r="W71" s="2"/>
      <c r="X71" s="2">
        <f t="shared" si="67"/>
        <v>420403.09</v>
      </c>
      <c r="Y71" s="2"/>
      <c r="Z71" s="19">
        <f t="shared" si="68"/>
        <v>6.152472934952419</v>
      </c>
    </row>
    <row r="72" spans="1:26" x14ac:dyDescent="0.3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5">
      <c r="A73" s="10"/>
      <c r="B73" s="28" t="s">
        <v>3</v>
      </c>
      <c r="C73" s="28"/>
      <c r="D73" s="22">
        <f>+D27-D29+D66</f>
        <v>-14573.28</v>
      </c>
      <c r="E73" s="14"/>
      <c r="F73" s="21">
        <f>IF(D$12=0,0,D73/D$12)</f>
        <v>-2.3822085638858699</v>
      </c>
      <c r="G73" s="14"/>
      <c r="H73" s="22">
        <f>+H27-H29+H66</f>
        <v>55935.650000000009</v>
      </c>
      <c r="I73" s="14"/>
      <c r="J73" s="21">
        <f>IF(H$12=0,0,H73/H$12)</f>
        <v>-792.40189828587643</v>
      </c>
      <c r="K73" s="15"/>
      <c r="L73" s="22">
        <f>+D73-H73</f>
        <v>-70508.930000000008</v>
      </c>
      <c r="M73" s="15"/>
      <c r="N73" s="21">
        <f>IF(H73=0,0,L73/H73)</f>
        <v>-1.2605365272415712</v>
      </c>
      <c r="O73" s="29"/>
      <c r="P73" s="22">
        <f>+P27-P29+P66</f>
        <v>513034.33</v>
      </c>
      <c r="Q73" s="14"/>
      <c r="R73" s="21">
        <f>IF(P$12=0,0,P73/P$12)</f>
        <v>12.412722503727801</v>
      </c>
      <c r="S73" s="14"/>
      <c r="T73" s="22">
        <f>+T27-T29+T66</f>
        <v>712504.37999999989</v>
      </c>
      <c r="U73" s="14"/>
      <c r="V73" s="21">
        <f>IF(T$12=0,0,T73/T$12)</f>
        <v>3.2915563713329514</v>
      </c>
      <c r="W73" s="15"/>
      <c r="X73" s="22">
        <f>+P73-T73</f>
        <v>-199470.04999999987</v>
      </c>
      <c r="Y73" s="15"/>
      <c r="Z73" s="21">
        <f>IF(T73=0,0,X73/T73)</f>
        <v>-0.27995624391810742</v>
      </c>
    </row>
    <row r="74" spans="1:26" x14ac:dyDescent="0.3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5">
      <c r="A75" s="51"/>
      <c r="B75" s="10" t="s">
        <v>13</v>
      </c>
      <c r="C75" s="10"/>
      <c r="D75" s="4">
        <v>2089.12</v>
      </c>
      <c r="E75" s="4"/>
      <c r="F75" s="13">
        <f>IF(D$12=0,0,D75/D$12)</f>
        <v>0.34149618719912384</v>
      </c>
      <c r="G75" s="4"/>
      <c r="H75" s="4">
        <v>-7093.84</v>
      </c>
      <c r="I75" s="4"/>
      <c r="J75" s="13">
        <f>IF(H$12=0,0,H75/H$12)</f>
        <v>100.49355432780848</v>
      </c>
      <c r="K75" s="4"/>
      <c r="L75" s="4">
        <f>+D75-H75</f>
        <v>9182.9599999999991</v>
      </c>
      <c r="M75" s="4"/>
      <c r="N75" s="13">
        <f>IF(H75=0,0,L75/H75)</f>
        <v>-1.2944977614380926</v>
      </c>
      <c r="O75" s="10"/>
      <c r="P75" s="4">
        <v>6259.16</v>
      </c>
      <c r="Q75" s="4"/>
      <c r="R75" s="13">
        <f>IF(P$12=0,0,P75/P$12)</f>
        <v>0.15143863021102877</v>
      </c>
      <c r="S75" s="4"/>
      <c r="T75" s="4">
        <v>15428.94</v>
      </c>
      <c r="U75" s="4"/>
      <c r="V75" s="13">
        <f>IF(T$12=0,0,T75/T$12)</f>
        <v>7.1277071672056019E-2</v>
      </c>
      <c r="W75" s="4"/>
      <c r="X75" s="4">
        <f>+P75-T75</f>
        <v>-9169.7800000000007</v>
      </c>
      <c r="Y75" s="4"/>
      <c r="Z75" s="13">
        <f>IF(T75=0,0,X75/T75)</f>
        <v>-0.59432339486704855</v>
      </c>
    </row>
    <row r="76" spans="1:26" x14ac:dyDescent="0.3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4">
      <c r="A77" s="10"/>
      <c r="B77" s="28" t="s">
        <v>4</v>
      </c>
      <c r="C77" s="28"/>
      <c r="D77" s="34">
        <f>+D73-D75</f>
        <v>-16662.400000000001</v>
      </c>
      <c r="E77" s="14"/>
      <c r="F77" s="32">
        <f>IF(D$12=0,0,D77/D$12)</f>
        <v>-2.7237047510849939</v>
      </c>
      <c r="G77" s="14"/>
      <c r="H77" s="34">
        <f>+H73-H75</f>
        <v>63029.490000000005</v>
      </c>
      <c r="I77" s="14"/>
      <c r="J77" s="32">
        <f>IF(H$12=0,0,H77/H$12)</f>
        <v>-892.89545261368482</v>
      </c>
      <c r="K77" s="15"/>
      <c r="L77" s="34">
        <f>D77-H77</f>
        <v>-79691.890000000014</v>
      </c>
      <c r="M77" s="15"/>
      <c r="N77" s="32">
        <f>IF(H77=0,0,L77/H77)</f>
        <v>-1.2643587945896437</v>
      </c>
      <c r="O77" s="29"/>
      <c r="P77" s="34">
        <f>+P73-P75</f>
        <v>506775.17000000004</v>
      </c>
      <c r="Q77" s="14"/>
      <c r="R77" s="32">
        <f>IF(P$12=0,0,P77/P$12)</f>
        <v>12.261283873516774</v>
      </c>
      <c r="S77" s="14"/>
      <c r="T77" s="34">
        <f>+T73-T75</f>
        <v>697075.44</v>
      </c>
      <c r="U77" s="14"/>
      <c r="V77" s="32">
        <f>IF(T$12=0,0,T77/T$12)</f>
        <v>3.2202792996608958</v>
      </c>
      <c r="W77" s="15"/>
      <c r="X77" s="34">
        <f>P77-T77</f>
        <v>-190300.2699999999</v>
      </c>
      <c r="Y77" s="15"/>
      <c r="Z77" s="32">
        <f>IF(T77=0,0,X77/T77)</f>
        <v>-0.2729980990292814</v>
      </c>
    </row>
    <row r="78" spans="1:26" ht="15" thickTop="1" x14ac:dyDescent="0.3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3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4">
      <c r="A80" s="10"/>
      <c r="B80" s="28" t="s">
        <v>5</v>
      </c>
      <c r="C80" s="28"/>
      <c r="D80" s="35">
        <f>SUM(D77:D79)</f>
        <v>-16662.400000000001</v>
      </c>
      <c r="E80" s="14"/>
      <c r="F80" s="33">
        <f>IF(D$12=0,0,D80/D$12)</f>
        <v>-2.7237047510849939</v>
      </c>
      <c r="G80" s="14"/>
      <c r="H80" s="35">
        <f>SUM(H77:H79)</f>
        <v>63029.490000000005</v>
      </c>
      <c r="I80" s="14"/>
      <c r="J80" s="33">
        <f>IF(H$12=0,0,H80/H$12)</f>
        <v>-892.89545261368482</v>
      </c>
      <c r="K80" s="15"/>
      <c r="L80" s="35">
        <f>+D80-H80</f>
        <v>-79691.890000000014</v>
      </c>
      <c r="M80" s="15"/>
      <c r="N80" s="33">
        <f>IF(H80=0,0,L80/H80)</f>
        <v>-1.2643587945896437</v>
      </c>
      <c r="O80" s="29"/>
      <c r="P80" s="35">
        <f>SUM(P77:P79)</f>
        <v>506775.17000000004</v>
      </c>
      <c r="Q80" s="14"/>
      <c r="R80" s="33">
        <f>IF(P$12=0,0,P80/P$12)</f>
        <v>12.261283873516774</v>
      </c>
      <c r="S80" s="14"/>
      <c r="T80" s="35">
        <f>SUM(T77:T79)</f>
        <v>697075.44</v>
      </c>
      <c r="U80" s="14"/>
      <c r="V80" s="33">
        <f>IF(T$12=0,0,T80/T$12)</f>
        <v>3.2202792996608958</v>
      </c>
      <c r="W80" s="15"/>
      <c r="X80" s="35">
        <f>+P80-T80</f>
        <v>-190300.2699999999</v>
      </c>
      <c r="Y80" s="15"/>
      <c r="Z80" s="33">
        <f>IF(T80=0,0,X80/T80)</f>
        <v>-0.2729980990292814</v>
      </c>
    </row>
    <row r="81" spans="1:24" ht="15" thickTop="1" x14ac:dyDescent="0.3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5">
      <c r="A82" s="9"/>
      <c r="B82" s="52">
        <v>44043.52296894676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5">
      <c r="A83" s="9"/>
      <c r="B83" s="61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3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3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310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447610.93999999994</v>
      </c>
      <c r="E12" s="4"/>
      <c r="F12" s="13"/>
      <c r="G12" s="4"/>
      <c r="H12" s="4">
        <f>SUM(OSRRefH13x_0)</f>
        <v>125100.95000000001</v>
      </c>
      <c r="I12" s="4"/>
      <c r="J12" s="13"/>
      <c r="K12" s="4"/>
      <c r="L12" s="4">
        <f t="shared" ref="L12:L36" si="0">+D12-H12</f>
        <v>322509.98999999993</v>
      </c>
      <c r="M12" s="4"/>
      <c r="N12" s="13">
        <f t="shared" ref="N12:N36" si="1">IF(H12=0,0,L12/H12)</f>
        <v>2.5779979288726418</v>
      </c>
      <c r="O12" s="10"/>
      <c r="P12" s="4">
        <f>SUM(OSRRefP13x_0)</f>
        <v>2885090.36</v>
      </c>
      <c r="Q12" s="4"/>
      <c r="R12" s="13"/>
      <c r="S12" s="4"/>
      <c r="T12" s="4">
        <f>SUM(OSRRefT13x_0)</f>
        <v>2941465.419999999</v>
      </c>
      <c r="U12" s="4"/>
      <c r="V12" s="13"/>
      <c r="W12" s="4"/>
      <c r="X12" s="4">
        <f t="shared" ref="X12:X36" si="2">+P12-T12</f>
        <v>-56375.059999999125</v>
      </c>
      <c r="Y12" s="4"/>
      <c r="Z12" s="13">
        <f t="shared" ref="Z12:Z36" si="3">IF(T12=0,0,X12/T12)</f>
        <v>-1.9165637514106538E-2</v>
      </c>
    </row>
    <row r="13" spans="1:26" s="24" customFormat="1" hidden="1" outlineLevel="1" x14ac:dyDescent="0.3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--1708.99</f>
        <v>1708.99</v>
      </c>
      <c r="E13" s="2"/>
      <c r="F13" s="19"/>
      <c r="G13" s="2"/>
      <c r="H13" s="2">
        <f>--4245.99</f>
        <v>4245.99</v>
      </c>
      <c r="I13" s="2"/>
      <c r="J13" s="19"/>
      <c r="K13" s="2"/>
      <c r="L13" s="2">
        <f t="shared" si="0"/>
        <v>-2537</v>
      </c>
      <c r="M13" s="2"/>
      <c r="N13" s="19">
        <f t="shared" si="1"/>
        <v>-0.59750493995511067</v>
      </c>
      <c r="O13" s="11"/>
      <c r="P13" s="2">
        <f>--314869.02</f>
        <v>314869.02</v>
      </c>
      <c r="Q13" s="2"/>
      <c r="R13" s="19"/>
      <c r="S13" s="2"/>
      <c r="T13" s="2">
        <f>--235356.89</f>
        <v>235356.89</v>
      </c>
      <c r="U13" s="2"/>
      <c r="V13" s="19"/>
      <c r="W13" s="2"/>
      <c r="X13" s="2">
        <f t="shared" si="2"/>
        <v>79512.13</v>
      </c>
      <c r="Y13" s="2"/>
      <c r="Z13" s="19">
        <f t="shared" si="3"/>
        <v>0.33783642365430644</v>
      </c>
    </row>
    <row r="14" spans="1:26" s="24" customFormat="1" hidden="1" outlineLevel="1" x14ac:dyDescent="0.3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--391247.66</f>
        <v>391247.66</v>
      </c>
      <c r="E14" s="2"/>
      <c r="F14" s="19"/>
      <c r="G14" s="2"/>
      <c r="H14" s="2">
        <f>--124313.48</f>
        <v>124313.48</v>
      </c>
      <c r="I14" s="2"/>
      <c r="J14" s="19"/>
      <c r="K14" s="2"/>
      <c r="L14" s="2">
        <f t="shared" si="0"/>
        <v>266934.18</v>
      </c>
      <c r="M14" s="2"/>
      <c r="N14" s="19">
        <f t="shared" si="1"/>
        <v>2.1472665715737342</v>
      </c>
      <c r="O14" s="11"/>
      <c r="P14" s="2">
        <f>--2373486.44</f>
        <v>2373486.44</v>
      </c>
      <c r="Q14" s="2"/>
      <c r="R14" s="19"/>
      <c r="S14" s="2"/>
      <c r="T14" s="2">
        <f>--2285673.33</f>
        <v>2285673.33</v>
      </c>
      <c r="U14" s="2"/>
      <c r="V14" s="19"/>
      <c r="W14" s="2"/>
      <c r="X14" s="2">
        <f t="shared" si="2"/>
        <v>87813.10999999987</v>
      </c>
      <c r="Y14" s="2"/>
      <c r="Z14" s="19">
        <f t="shared" si="3"/>
        <v>3.8418924020082901E-2</v>
      </c>
    </row>
    <row r="15" spans="1:26" s="24" customFormat="1" hidden="1" outlineLevel="1" x14ac:dyDescent="0.3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--32731.49</f>
        <v>32731.49</v>
      </c>
      <c r="E15" s="2"/>
      <c r="F15" s="19"/>
      <c r="G15" s="2"/>
      <c r="H15" s="2">
        <f>--4327.03</f>
        <v>4327.03</v>
      </c>
      <c r="I15" s="2"/>
      <c r="J15" s="19"/>
      <c r="K15" s="2"/>
      <c r="L15" s="2">
        <f t="shared" si="0"/>
        <v>28404.460000000003</v>
      </c>
      <c r="M15" s="2"/>
      <c r="N15" s="19">
        <f t="shared" si="1"/>
        <v>6.5644240968978735</v>
      </c>
      <c r="O15" s="11"/>
      <c r="P15" s="2">
        <f>--138235.56</f>
        <v>138235.56</v>
      </c>
      <c r="Q15" s="2"/>
      <c r="R15" s="19"/>
      <c r="S15" s="2"/>
      <c r="T15" s="2">
        <f>--137267.09</f>
        <v>137267.09</v>
      </c>
      <c r="U15" s="2"/>
      <c r="V15" s="19"/>
      <c r="W15" s="2"/>
      <c r="X15" s="2">
        <f t="shared" si="2"/>
        <v>968.47000000000116</v>
      </c>
      <c r="Y15" s="2"/>
      <c r="Z15" s="19">
        <f t="shared" si="3"/>
        <v>7.0553692075791888E-3</v>
      </c>
    </row>
    <row r="16" spans="1:26" s="24" customFormat="1" hidden="1" outlineLevel="1" x14ac:dyDescent="0.3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--1563.99</f>
        <v>1563.99</v>
      </c>
      <c r="U16" s="2"/>
      <c r="V16" s="19"/>
      <c r="W16" s="2"/>
      <c r="X16" s="2">
        <f t="shared" si="2"/>
        <v>-1434.99</v>
      </c>
      <c r="Y16" s="2"/>
      <c r="Z16" s="19">
        <f t="shared" si="3"/>
        <v>-0.91751865421134404</v>
      </c>
    </row>
    <row r="17" spans="1:26" s="24" customFormat="1" hidden="1" outlineLevel="1" x14ac:dyDescent="0.3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--69.99</f>
        <v>69.989999999999995</v>
      </c>
      <c r="I17" s="2"/>
      <c r="J17" s="19"/>
      <c r="K17" s="2"/>
      <c r="L17" s="2">
        <f t="shared" si="0"/>
        <v>-69.989999999999995</v>
      </c>
      <c r="M17" s="2"/>
      <c r="N17" s="19">
        <f t="shared" si="1"/>
        <v>-1</v>
      </c>
      <c r="O17" s="11"/>
      <c r="P17" s="2">
        <f>--4587.93</f>
        <v>4587.93</v>
      </c>
      <c r="Q17" s="2"/>
      <c r="R17" s="19"/>
      <c r="S17" s="2"/>
      <c r="T17" s="2">
        <f>--13428.64</f>
        <v>13428.64</v>
      </c>
      <c r="U17" s="2"/>
      <c r="V17" s="19"/>
      <c r="W17" s="2"/>
      <c r="X17" s="2">
        <f t="shared" si="2"/>
        <v>-8840.7099999999991</v>
      </c>
      <c r="Y17" s="2"/>
      <c r="Z17" s="19">
        <f t="shared" si="3"/>
        <v>-0.65834738290698092</v>
      </c>
    </row>
    <row r="18" spans="1:26" s="24" customFormat="1" hidden="1" outlineLevel="1" x14ac:dyDescent="0.3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--114.95</f>
        <v>114.95</v>
      </c>
      <c r="E18" s="2"/>
      <c r="F18" s="19"/>
      <c r="G18" s="2"/>
      <c r="H18" s="2">
        <f>--1965.47</f>
        <v>1965.47</v>
      </c>
      <c r="I18" s="2"/>
      <c r="J18" s="19"/>
      <c r="K18" s="2"/>
      <c r="L18" s="2">
        <f t="shared" si="0"/>
        <v>-1850.52</v>
      </c>
      <c r="M18" s="2"/>
      <c r="N18" s="19">
        <f t="shared" si="1"/>
        <v>-0.94151526098083405</v>
      </c>
      <c r="O18" s="11"/>
      <c r="P18" s="2">
        <f>--48830.67</f>
        <v>48830.67</v>
      </c>
      <c r="Q18" s="2"/>
      <c r="R18" s="19"/>
      <c r="S18" s="2"/>
      <c r="T18" s="2">
        <f>--91581.11</f>
        <v>91581.11</v>
      </c>
      <c r="U18" s="2"/>
      <c r="V18" s="19"/>
      <c r="W18" s="2"/>
      <c r="X18" s="2">
        <f t="shared" si="2"/>
        <v>-42750.44</v>
      </c>
      <c r="Y18" s="2"/>
      <c r="Z18" s="19">
        <f t="shared" si="3"/>
        <v>-0.46680412587268272</v>
      </c>
    </row>
    <row r="19" spans="1:26" s="24" customFormat="1" hidden="1" outlineLevel="1" x14ac:dyDescent="0.3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--356</f>
        <v>356</v>
      </c>
      <c r="E19" s="2"/>
      <c r="F19" s="19"/>
      <c r="G19" s="2"/>
      <c r="H19" s="2">
        <f>--49.99</f>
        <v>49.99</v>
      </c>
      <c r="I19" s="2"/>
      <c r="J19" s="19"/>
      <c r="K19" s="2"/>
      <c r="L19" s="2">
        <f t="shared" si="0"/>
        <v>306.01</v>
      </c>
      <c r="M19" s="2"/>
      <c r="N19" s="19">
        <f t="shared" si="1"/>
        <v>6.1214242848569711</v>
      </c>
      <c r="O19" s="11"/>
      <c r="P19" s="2">
        <f>--3151.75</f>
        <v>3151.75</v>
      </c>
      <c r="Q19" s="2"/>
      <c r="R19" s="19"/>
      <c r="S19" s="2"/>
      <c r="T19" s="2">
        <f>--2170.76</f>
        <v>2170.7600000000002</v>
      </c>
      <c r="U19" s="2"/>
      <c r="V19" s="19"/>
      <c r="W19" s="2"/>
      <c r="X19" s="2">
        <f t="shared" si="2"/>
        <v>980.98999999999978</v>
      </c>
      <c r="Y19" s="2"/>
      <c r="Z19" s="19">
        <f t="shared" si="3"/>
        <v>0.451910851499014</v>
      </c>
    </row>
    <row r="20" spans="1:26" s="24" customFormat="1" hidden="1" outlineLevel="1" x14ac:dyDescent="0.3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--1267.95</f>
        <v>1267.95</v>
      </c>
      <c r="E20" s="2"/>
      <c r="F20" s="19"/>
      <c r="G20" s="2"/>
      <c r="H20" s="2">
        <f>--225.13</f>
        <v>225.13</v>
      </c>
      <c r="I20" s="2"/>
      <c r="J20" s="19"/>
      <c r="K20" s="2"/>
      <c r="L20" s="2">
        <f t="shared" si="0"/>
        <v>1042.8200000000002</v>
      </c>
      <c r="M20" s="2"/>
      <c r="N20" s="19">
        <f t="shared" si="1"/>
        <v>4.632079243103985</v>
      </c>
      <c r="O20" s="11"/>
      <c r="P20" s="2">
        <f>--3925.74</f>
        <v>3925.74</v>
      </c>
      <c r="Q20" s="2"/>
      <c r="R20" s="19"/>
      <c r="S20" s="2"/>
      <c r="T20" s="2">
        <f>--16357.65</f>
        <v>16357.65</v>
      </c>
      <c r="U20" s="2"/>
      <c r="V20" s="19"/>
      <c r="W20" s="2"/>
      <c r="X20" s="2">
        <f t="shared" si="2"/>
        <v>-12431.91</v>
      </c>
      <c r="Y20" s="2"/>
      <c r="Z20" s="19">
        <f t="shared" si="3"/>
        <v>-0.76000586881367438</v>
      </c>
    </row>
    <row r="21" spans="1:26" s="24" customFormat="1" hidden="1" outlineLevel="1" x14ac:dyDescent="0.3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--45022.25</f>
        <v>45022.25</v>
      </c>
      <c r="E21" s="2"/>
      <c r="F21" s="19"/>
      <c r="G21" s="2"/>
      <c r="H21" s="2">
        <f>--3372</f>
        <v>3372</v>
      </c>
      <c r="I21" s="2"/>
      <c r="J21" s="19"/>
      <c r="K21" s="2"/>
      <c r="L21" s="2">
        <f t="shared" si="0"/>
        <v>41650.25</v>
      </c>
      <c r="M21" s="2"/>
      <c r="N21" s="19">
        <f t="shared" si="1"/>
        <v>12.35179418742586</v>
      </c>
      <c r="O21" s="11"/>
      <c r="P21" s="2">
        <f>--221223.79</f>
        <v>221223.79</v>
      </c>
      <c r="Q21" s="2"/>
      <c r="R21" s="19"/>
      <c r="S21" s="2"/>
      <c r="T21" s="2">
        <f>--239193.82</f>
        <v>239193.82</v>
      </c>
      <c r="U21" s="2"/>
      <c r="V21" s="19"/>
      <c r="W21" s="2"/>
      <c r="X21" s="2">
        <f t="shared" si="2"/>
        <v>-17970.03</v>
      </c>
      <c r="Y21" s="2"/>
      <c r="Z21" s="19">
        <f t="shared" si="3"/>
        <v>-7.5127484480995363E-2</v>
      </c>
    </row>
    <row r="22" spans="1:26" s="24" customFormat="1" hidden="1" outlineLevel="1" x14ac:dyDescent="0.3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--1394.82</f>
        <v>1394.82</v>
      </c>
      <c r="E22" s="2"/>
      <c r="F22" s="19"/>
      <c r="G22" s="2"/>
      <c r="H22" s="2">
        <f t="shared" ref="H22:H23" si="5">0</f>
        <v>0</v>
      </c>
      <c r="I22" s="2"/>
      <c r="J22" s="19"/>
      <c r="K22" s="2"/>
      <c r="L22" s="2">
        <f t="shared" si="0"/>
        <v>1394.82</v>
      </c>
      <c r="M22" s="2"/>
      <c r="N22" s="19">
        <f t="shared" si="1"/>
        <v>0</v>
      </c>
      <c r="O22" s="11"/>
      <c r="P22" s="2">
        <f>--12822.38</f>
        <v>12822.38</v>
      </c>
      <c r="Q22" s="2"/>
      <c r="R22" s="19"/>
      <c r="S22" s="2"/>
      <c r="T22" s="2">
        <f>--9758.94</f>
        <v>9758.94</v>
      </c>
      <c r="U22" s="2"/>
      <c r="V22" s="19"/>
      <c r="W22" s="2"/>
      <c r="X22" s="2">
        <f t="shared" si="2"/>
        <v>3063.4399999999987</v>
      </c>
      <c r="Y22" s="2"/>
      <c r="Z22" s="19">
        <f t="shared" si="3"/>
        <v>0.31391114198878139</v>
      </c>
    </row>
    <row r="23" spans="1:26" s="24" customFormat="1" hidden="1" outlineLevel="1" x14ac:dyDescent="0.3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--2728</f>
        <v>2728</v>
      </c>
      <c r="Q23" s="2"/>
      <c r="R23" s="19"/>
      <c r="S23" s="2"/>
      <c r="T23" s="2">
        <f>--3840</f>
        <v>3840</v>
      </c>
      <c r="U23" s="2"/>
      <c r="V23" s="19"/>
      <c r="W23" s="2"/>
      <c r="X23" s="2">
        <f t="shared" si="2"/>
        <v>-1112</v>
      </c>
      <c r="Y23" s="2"/>
      <c r="Z23" s="19">
        <f t="shared" si="3"/>
        <v>-0.28958333333333336</v>
      </c>
    </row>
    <row r="24" spans="1:26" s="24" customFormat="1" hidden="1" outlineLevel="1" x14ac:dyDescent="0.3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--5267.75</f>
        <v>5267.75</v>
      </c>
      <c r="E24" s="2"/>
      <c r="F24" s="19"/>
      <c r="G24" s="2"/>
      <c r="H24" s="2">
        <f>--98</f>
        <v>98</v>
      </c>
      <c r="I24" s="2"/>
      <c r="J24" s="19"/>
      <c r="K24" s="2"/>
      <c r="L24" s="2">
        <f t="shared" si="0"/>
        <v>5169.75</v>
      </c>
      <c r="M24" s="2"/>
      <c r="N24" s="19">
        <f t="shared" si="1"/>
        <v>52.752551020408163</v>
      </c>
      <c r="O24" s="11"/>
      <c r="P24" s="2">
        <f>--25792.1</f>
        <v>25792.1</v>
      </c>
      <c r="Q24" s="2"/>
      <c r="R24" s="19"/>
      <c r="S24" s="2"/>
      <c r="T24" s="2">
        <f>--6664.76</f>
        <v>6664.76</v>
      </c>
      <c r="U24" s="2"/>
      <c r="V24" s="19"/>
      <c r="W24" s="2"/>
      <c r="X24" s="2">
        <f t="shared" si="2"/>
        <v>19127.339999999997</v>
      </c>
      <c r="Y24" s="2"/>
      <c r="Z24" s="19">
        <f t="shared" si="3"/>
        <v>2.8699217976341229</v>
      </c>
    </row>
    <row r="25" spans="1:26" s="24" customFormat="1" hidden="1" outlineLevel="1" x14ac:dyDescent="0.3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--431.97</f>
        <v>431.97</v>
      </c>
      <c r="E25" s="2"/>
      <c r="F25" s="19"/>
      <c r="G25" s="2"/>
      <c r="H25" s="2">
        <f>--85.95</f>
        <v>85.95</v>
      </c>
      <c r="I25" s="2"/>
      <c r="J25" s="19"/>
      <c r="K25" s="2"/>
      <c r="L25" s="2">
        <f t="shared" si="0"/>
        <v>346.02000000000004</v>
      </c>
      <c r="M25" s="2"/>
      <c r="N25" s="19">
        <f t="shared" si="1"/>
        <v>4.0258289703315882</v>
      </c>
      <c r="O25" s="11"/>
      <c r="P25" s="2">
        <f>--3358.05</f>
        <v>3358.05</v>
      </c>
      <c r="Q25" s="2"/>
      <c r="R25" s="19"/>
      <c r="S25" s="2"/>
      <c r="T25" s="2">
        <f>--6251.3</f>
        <v>6251.3</v>
      </c>
      <c r="U25" s="2"/>
      <c r="V25" s="19"/>
      <c r="W25" s="2"/>
      <c r="X25" s="2">
        <f t="shared" si="2"/>
        <v>-2893.25</v>
      </c>
      <c r="Y25" s="2"/>
      <c r="Z25" s="19">
        <f t="shared" si="3"/>
        <v>-0.46282373266360594</v>
      </c>
    </row>
    <row r="26" spans="1:26" s="24" customFormat="1" hidden="1" outlineLevel="1" x14ac:dyDescent="0.3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--343.94</f>
        <v>343.94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143.96</v>
      </c>
      <c r="Y26" s="2"/>
      <c r="Z26" s="19">
        <f t="shared" si="3"/>
        <v>0.71987198719871992</v>
      </c>
    </row>
    <row r="27" spans="1:26" s="24" customFormat="1" hidden="1" outlineLevel="1" x14ac:dyDescent="0.3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-159</f>
        <v>-159</v>
      </c>
      <c r="E27" s="2"/>
      <c r="F27" s="19"/>
      <c r="G27" s="2"/>
      <c r="H27" s="2">
        <f>-526.99</f>
        <v>-526.99</v>
      </c>
      <c r="I27" s="2"/>
      <c r="J27" s="19"/>
      <c r="K27" s="2"/>
      <c r="L27" s="2">
        <f t="shared" si="0"/>
        <v>367.99</v>
      </c>
      <c r="M27" s="2"/>
      <c r="N27" s="19">
        <f t="shared" si="1"/>
        <v>-0.69828649499990514</v>
      </c>
      <c r="O27" s="11"/>
      <c r="P27" s="2">
        <f>-8099.7</f>
        <v>-8099.7</v>
      </c>
      <c r="Q27" s="2"/>
      <c r="R27" s="19"/>
      <c r="S27" s="2"/>
      <c r="T27" s="2">
        <f>-7929.72</f>
        <v>-7929.72</v>
      </c>
      <c r="U27" s="2"/>
      <c r="V27" s="19"/>
      <c r="W27" s="2"/>
      <c r="X27" s="2">
        <f t="shared" si="2"/>
        <v>-169.97999999999956</v>
      </c>
      <c r="Y27" s="2"/>
      <c r="Z27" s="19">
        <f t="shared" si="3"/>
        <v>2.1435813622675146E-2</v>
      </c>
    </row>
    <row r="28" spans="1:26" s="24" customFormat="1" hidden="1" outlineLevel="1" x14ac:dyDescent="0.3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-31763.9</f>
        <v>-31763.9</v>
      </c>
      <c r="E28" s="2"/>
      <c r="F28" s="19"/>
      <c r="G28" s="2"/>
      <c r="H28" s="2">
        <f>-12647.15</f>
        <v>-12647.15</v>
      </c>
      <c r="I28" s="2"/>
      <c r="J28" s="19"/>
      <c r="K28" s="2"/>
      <c r="L28" s="2">
        <f t="shared" si="0"/>
        <v>-19116.75</v>
      </c>
      <c r="M28" s="2"/>
      <c r="N28" s="19">
        <f t="shared" si="1"/>
        <v>1.5115460795515197</v>
      </c>
      <c r="O28" s="11"/>
      <c r="P28" s="2">
        <f>-247392.7</f>
        <v>-247392.7</v>
      </c>
      <c r="Q28" s="2"/>
      <c r="R28" s="19"/>
      <c r="S28" s="2"/>
      <c r="T28" s="2">
        <f>-84999.98</f>
        <v>-84999.98</v>
      </c>
      <c r="U28" s="2"/>
      <c r="V28" s="19"/>
      <c r="W28" s="2"/>
      <c r="X28" s="2">
        <f t="shared" si="2"/>
        <v>-162392.72000000003</v>
      </c>
      <c r="Y28" s="2"/>
      <c r="Z28" s="19">
        <f t="shared" si="3"/>
        <v>1.9105030377654211</v>
      </c>
    </row>
    <row r="29" spans="1:26" s="24" customFormat="1" hidden="1" outlineLevel="1" x14ac:dyDescent="0.3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-9.99</f>
        <v>-9.99</v>
      </c>
      <c r="E29" s="2"/>
      <c r="F29" s="19"/>
      <c r="G29" s="2"/>
      <c r="H29" s="2">
        <f>-417.98</f>
        <v>-417.98</v>
      </c>
      <c r="I29" s="2"/>
      <c r="J29" s="19"/>
      <c r="K29" s="2"/>
      <c r="L29" s="2">
        <f t="shared" si="0"/>
        <v>407.99</v>
      </c>
      <c r="M29" s="2"/>
      <c r="N29" s="19">
        <f t="shared" si="1"/>
        <v>-0.97609933489640655</v>
      </c>
      <c r="O29" s="11"/>
      <c r="P29" s="2">
        <f>-6718.01</f>
        <v>-6718.01</v>
      </c>
      <c r="Q29" s="2"/>
      <c r="R29" s="19"/>
      <c r="S29" s="2"/>
      <c r="T29" s="2">
        <f>-7916.71</f>
        <v>-7916.71</v>
      </c>
      <c r="U29" s="2"/>
      <c r="V29" s="19"/>
      <c r="W29" s="2"/>
      <c r="X29" s="2">
        <f t="shared" si="2"/>
        <v>1198.6999999999998</v>
      </c>
      <c r="Y29" s="2"/>
      <c r="Z29" s="19">
        <f t="shared" si="3"/>
        <v>-0.15141390805018748</v>
      </c>
    </row>
    <row r="30" spans="1:26" s="24" customFormat="1" hidden="1" outlineLevel="1" x14ac:dyDescent="0.3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6" si="6">0</f>
        <v>0</v>
      </c>
      <c r="E30" s="2"/>
      <c r="F30" s="19"/>
      <c r="G30" s="2"/>
      <c r="H30" s="2">
        <f t="shared" ref="H30:H31" si="7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3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6"/>
        <v>0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-805.97</f>
        <v>-805.97</v>
      </c>
      <c r="Q31" s="2"/>
      <c r="R31" s="19"/>
      <c r="S31" s="2"/>
      <c r="T31" s="2">
        <f>-725.94</f>
        <v>-725.94</v>
      </c>
      <c r="U31" s="2"/>
      <c r="V31" s="19"/>
      <c r="W31" s="2"/>
      <c r="X31" s="2">
        <f t="shared" si="2"/>
        <v>-80.029999999999973</v>
      </c>
      <c r="Y31" s="2"/>
      <c r="Z31" s="19">
        <f t="shared" si="3"/>
        <v>0.11024327079372946</v>
      </c>
    </row>
    <row r="32" spans="1:26" s="24" customFormat="1" hidden="1" outlineLevel="1" x14ac:dyDescent="0.3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 t="shared" si="6"/>
        <v>0</v>
      </c>
      <c r="E32" s="2"/>
      <c r="F32" s="19"/>
      <c r="G32" s="2"/>
      <c r="H32" s="2">
        <f>-49.97</f>
        <v>-49.97</v>
      </c>
      <c r="I32" s="2"/>
      <c r="J32" s="19"/>
      <c r="K32" s="2"/>
      <c r="L32" s="2">
        <f t="shared" si="0"/>
        <v>49.97</v>
      </c>
      <c r="M32" s="2"/>
      <c r="N32" s="19">
        <f t="shared" si="1"/>
        <v>-1</v>
      </c>
      <c r="O32" s="11"/>
      <c r="P32" s="2">
        <f>-3660.86</f>
        <v>-3660.86</v>
      </c>
      <c r="Q32" s="2"/>
      <c r="R32" s="19"/>
      <c r="S32" s="2"/>
      <c r="T32" s="2">
        <f>-5583.83</f>
        <v>-5583.83</v>
      </c>
      <c r="U32" s="2"/>
      <c r="V32" s="19"/>
      <c r="W32" s="2"/>
      <c r="X32" s="2">
        <f t="shared" si="2"/>
        <v>1922.9699999999998</v>
      </c>
      <c r="Y32" s="2"/>
      <c r="Z32" s="19">
        <f t="shared" si="3"/>
        <v>-0.3443819027441738</v>
      </c>
    </row>
    <row r="33" spans="1:26" s="24" customFormat="1" hidden="1" outlineLevel="1" x14ac:dyDescent="0.3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si="6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-152.99</f>
        <v>-152.99</v>
      </c>
      <c r="Q33" s="2"/>
      <c r="R33" s="19"/>
      <c r="S33" s="2"/>
      <c r="T33" s="2">
        <f>-64.98</f>
        <v>-64.98</v>
      </c>
      <c r="U33" s="2"/>
      <c r="V33" s="19"/>
      <c r="W33" s="2"/>
      <c r="X33" s="2">
        <f t="shared" si="2"/>
        <v>-88.01</v>
      </c>
      <c r="Y33" s="2"/>
      <c r="Z33" s="19">
        <f t="shared" si="3"/>
        <v>1.3544167436134196</v>
      </c>
    </row>
    <row r="34" spans="1:26" s="24" customFormat="1" hidden="1" outlineLevel="1" x14ac:dyDescent="0.3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6"/>
        <v>0</v>
      </c>
      <c r="E34" s="2"/>
      <c r="F34" s="19"/>
      <c r="G34" s="2"/>
      <c r="H34" s="2">
        <f>-9.99</f>
        <v>-9.99</v>
      </c>
      <c r="I34" s="2"/>
      <c r="J34" s="19"/>
      <c r="K34" s="2"/>
      <c r="L34" s="2">
        <f t="shared" si="0"/>
        <v>9.99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-257.81</f>
        <v>-257.81</v>
      </c>
      <c r="U34" s="2"/>
      <c r="V34" s="19"/>
      <c r="W34" s="2"/>
      <c r="X34" s="2">
        <f t="shared" si="2"/>
        <v>-1022.03</v>
      </c>
      <c r="Y34" s="2"/>
      <c r="Z34" s="19">
        <f t="shared" si="3"/>
        <v>3.9642760172219851</v>
      </c>
    </row>
    <row r="35" spans="1:26" s="24" customFormat="1" hidden="1" outlineLevel="1" x14ac:dyDescent="0.3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6"/>
        <v>0</v>
      </c>
      <c r="E35" s="2"/>
      <c r="F35" s="19"/>
      <c r="G35" s="2"/>
      <c r="H35" s="2">
        <f t="shared" ref="H35:H36" si="8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-49.98</f>
        <v>-49.98</v>
      </c>
      <c r="Q35" s="2"/>
      <c r="R35" s="19"/>
      <c r="S35" s="2"/>
      <c r="T35" s="2">
        <f>-153.92</f>
        <v>-153.91999999999999</v>
      </c>
      <c r="U35" s="2"/>
      <c r="V35" s="19"/>
      <c r="W35" s="2"/>
      <c r="X35" s="2">
        <f t="shared" si="2"/>
        <v>103.94</v>
      </c>
      <c r="Y35" s="2"/>
      <c r="Z35" s="19">
        <f t="shared" si="3"/>
        <v>-0.67528586278586278</v>
      </c>
    </row>
    <row r="36" spans="1:26" s="24" customFormat="1" hidden="1" outlineLevel="1" x14ac:dyDescent="0.3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6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-104.96</f>
        <v>-104.96</v>
      </c>
      <c r="Q36" s="2"/>
      <c r="R36" s="19"/>
      <c r="S36" s="2"/>
      <c r="T36" s="2">
        <f>-209.95</f>
        <v>-209.95</v>
      </c>
      <c r="U36" s="2"/>
      <c r="V36" s="19"/>
      <c r="W36" s="2"/>
      <c r="X36" s="2">
        <f t="shared" si="2"/>
        <v>104.99</v>
      </c>
      <c r="Y36" s="2"/>
      <c r="Z36" s="19">
        <f t="shared" si="3"/>
        <v>-0.50007144558228145</v>
      </c>
    </row>
    <row r="37" spans="1:26" x14ac:dyDescent="0.3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5">
      <c r="A38" s="10"/>
      <c r="B38" s="29" t="s">
        <v>8</v>
      </c>
      <c r="C38" s="10"/>
      <c r="D38" s="4">
        <f>SUM(OSRRefD16x_0)</f>
        <v>325888.92</v>
      </c>
      <c r="E38" s="4"/>
      <c r="F38" s="13">
        <f t="shared" ref="F38:F53" si="9">IF(D$12=0,0,D38/D$12)</f>
        <v>0.72806290212656555</v>
      </c>
      <c r="G38" s="4"/>
      <c r="H38" s="4">
        <f>SUM(OSRRefH16x_0)</f>
        <v>82791.89</v>
      </c>
      <c r="I38" s="4"/>
      <c r="J38" s="13">
        <f t="shared" ref="J38:J53" si="10">IF(H$12=0,0,H38/H$12)</f>
        <v>0.66180064979522535</v>
      </c>
      <c r="K38" s="4"/>
      <c r="L38" s="4">
        <f t="shared" ref="L38:L53" si="11">+D38-H38</f>
        <v>243097.02999999997</v>
      </c>
      <c r="M38" s="4"/>
      <c r="N38" s="13">
        <f t="shared" ref="N38:N53" si="12">IF(H38=0,0,L38/H38)</f>
        <v>2.9362420642891469</v>
      </c>
      <c r="O38" s="10"/>
      <c r="P38" s="4">
        <f>SUM(OSRRefP16x_0)</f>
        <v>2447645.5199999996</v>
      </c>
      <c r="Q38" s="4"/>
      <c r="R38" s="13">
        <f t="shared" ref="R38:R53" si="13">IF(P$12=0,0,P38/P$12)</f>
        <v>0.84837742135743699</v>
      </c>
      <c r="S38" s="4"/>
      <c r="T38" s="4">
        <f>SUM(OSRRefT16x_0)</f>
        <v>2470984.6599999997</v>
      </c>
      <c r="U38" s="4"/>
      <c r="V38" s="13">
        <f t="shared" ref="V38:V53" si="14">IF(T$12=0,0,T38/T$12)</f>
        <v>0.84005225531429184</v>
      </c>
      <c r="W38" s="4"/>
      <c r="X38" s="4">
        <f t="shared" ref="X38:X53" si="15">+P38-T38</f>
        <v>-23339.14000000013</v>
      </c>
      <c r="Y38" s="4"/>
      <c r="Z38" s="13">
        <f t="shared" ref="Z38:Z53" si="16">IF(T38=0,0,X38/T38)</f>
        <v>-9.4452791948939629E-3</v>
      </c>
    </row>
    <row r="39" spans="1:26" s="24" customFormat="1" hidden="1" outlineLevel="1" x14ac:dyDescent="0.3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-173.28</v>
      </c>
      <c r="E39" s="2"/>
      <c r="F39" s="19">
        <f t="shared" si="9"/>
        <v>-3.8712190546549201E-4</v>
      </c>
      <c r="G39" s="2"/>
      <c r="H39" s="2">
        <v>29303.34</v>
      </c>
      <c r="I39" s="2"/>
      <c r="J39" s="19">
        <f t="shared" si="10"/>
        <v>0.23423754975481798</v>
      </c>
      <c r="K39" s="2"/>
      <c r="L39" s="2">
        <f t="shared" si="11"/>
        <v>-29476.62</v>
      </c>
      <c r="M39" s="2"/>
      <c r="N39" s="19">
        <f t="shared" si="12"/>
        <v>-1.0059133190960483</v>
      </c>
      <c r="O39" s="11"/>
      <c r="P39" s="2">
        <v>258288.3</v>
      </c>
      <c r="Q39" s="2"/>
      <c r="R39" s="19">
        <f t="shared" si="13"/>
        <v>8.9525202947196431E-2</v>
      </c>
      <c r="S39" s="2"/>
      <c r="T39" s="2">
        <v>235938.22999999998</v>
      </c>
      <c r="U39" s="2"/>
      <c r="V39" s="19">
        <f t="shared" si="14"/>
        <v>8.0211118035173112E-2</v>
      </c>
      <c r="W39" s="2"/>
      <c r="X39" s="2">
        <f t="shared" si="15"/>
        <v>22350.070000000007</v>
      </c>
      <c r="Y39" s="2"/>
      <c r="Z39" s="19">
        <f t="shared" si="16"/>
        <v>9.4728480416251357E-2</v>
      </c>
    </row>
    <row r="40" spans="1:26" s="24" customFormat="1" hidden="1" outlineLevel="1" x14ac:dyDescent="0.3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190200.93</v>
      </c>
      <c r="E40" s="2"/>
      <c r="F40" s="19">
        <f t="shared" si="9"/>
        <v>0.42492466783765387</v>
      </c>
      <c r="G40" s="2"/>
      <c r="H40" s="2">
        <v>53961.18</v>
      </c>
      <c r="I40" s="2"/>
      <c r="J40" s="19">
        <f t="shared" si="10"/>
        <v>0.4313410889365748</v>
      </c>
      <c r="K40" s="2"/>
      <c r="L40" s="2">
        <f t="shared" si="11"/>
        <v>136239.75</v>
      </c>
      <c r="M40" s="2"/>
      <c r="N40" s="19">
        <f t="shared" si="12"/>
        <v>2.5247733648522881</v>
      </c>
      <c r="O40" s="11"/>
      <c r="P40" s="2">
        <v>1831501.23</v>
      </c>
      <c r="Q40" s="2"/>
      <c r="R40" s="19">
        <f t="shared" si="13"/>
        <v>0.63481589879909339</v>
      </c>
      <c r="S40" s="2"/>
      <c r="T40" s="2">
        <v>1964228.5399999998</v>
      </c>
      <c r="U40" s="2"/>
      <c r="V40" s="19">
        <f t="shared" si="14"/>
        <v>0.66777209979915397</v>
      </c>
      <c r="W40" s="2"/>
      <c r="X40" s="2">
        <f t="shared" si="15"/>
        <v>-132727.30999999982</v>
      </c>
      <c r="Y40" s="2"/>
      <c r="Z40" s="19">
        <f t="shared" si="16"/>
        <v>-6.7572233727955011E-2</v>
      </c>
    </row>
    <row r="41" spans="1:26" s="24" customFormat="1" hidden="1" outlineLevel="1" x14ac:dyDescent="0.3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12873.49</v>
      </c>
      <c r="E41" s="2"/>
      <c r="F41" s="19">
        <f t="shared" si="9"/>
        <v>2.8760445399301459E-2</v>
      </c>
      <c r="G41" s="2"/>
      <c r="H41" s="2">
        <v>3371.86</v>
      </c>
      <c r="I41" s="2"/>
      <c r="J41" s="19">
        <f t="shared" si="10"/>
        <v>2.6953112666210768E-2</v>
      </c>
      <c r="K41" s="2"/>
      <c r="L41" s="2">
        <f t="shared" si="11"/>
        <v>9501.6299999999992</v>
      </c>
      <c r="M41" s="2"/>
      <c r="N41" s="19">
        <f t="shared" si="12"/>
        <v>2.8179194865741755</v>
      </c>
      <c r="O41" s="11"/>
      <c r="P41" s="2">
        <v>107424.25</v>
      </c>
      <c r="Q41" s="2"/>
      <c r="R41" s="19">
        <f t="shared" si="13"/>
        <v>3.7234275740327248E-2</v>
      </c>
      <c r="S41" s="2"/>
      <c r="T41" s="2">
        <v>111062.89</v>
      </c>
      <c r="U41" s="2"/>
      <c r="V41" s="19">
        <f t="shared" si="14"/>
        <v>3.775767318046528E-2</v>
      </c>
      <c r="W41" s="2"/>
      <c r="X41" s="2">
        <f t="shared" si="15"/>
        <v>-3638.6399999999994</v>
      </c>
      <c r="Y41" s="2"/>
      <c r="Z41" s="19">
        <f t="shared" si="16"/>
        <v>-3.2761978370993219E-2</v>
      </c>
    </row>
    <row r="42" spans="1:26" s="24" customFormat="1" hidden="1" outlineLevel="1" x14ac:dyDescent="0.3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1"/>
      <c r="P42" s="2">
        <v>2728</v>
      </c>
      <c r="Q42" s="2"/>
      <c r="R42" s="19">
        <f t="shared" si="13"/>
        <v>9.4555097400831495E-4</v>
      </c>
      <c r="S42" s="2"/>
      <c r="T42" s="2">
        <v>5183</v>
      </c>
      <c r="U42" s="2"/>
      <c r="V42" s="19">
        <f t="shared" si="14"/>
        <v>1.7620468915796406E-3</v>
      </c>
      <c r="W42" s="2"/>
      <c r="X42" s="2">
        <f t="shared" si="15"/>
        <v>-2455</v>
      </c>
      <c r="Y42" s="2"/>
      <c r="Z42" s="19">
        <f t="shared" si="16"/>
        <v>-0.47366390121551227</v>
      </c>
    </row>
    <row r="43" spans="1:26" s="24" customFormat="1" hidden="1" outlineLevel="1" x14ac:dyDescent="0.3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1996.51</v>
      </c>
      <c r="E43" s="2"/>
      <c r="F43" s="19">
        <f t="shared" si="9"/>
        <v>4.4603690874937063E-3</v>
      </c>
      <c r="G43" s="2"/>
      <c r="H43" s="2">
        <v>228.11</v>
      </c>
      <c r="I43" s="2"/>
      <c r="J43" s="19">
        <f t="shared" si="10"/>
        <v>1.8234074161707005E-3</v>
      </c>
      <c r="K43" s="2"/>
      <c r="L43" s="2">
        <f t="shared" si="11"/>
        <v>1768.4</v>
      </c>
      <c r="M43" s="2"/>
      <c r="N43" s="19">
        <f t="shared" si="12"/>
        <v>7.7524001578185961</v>
      </c>
      <c r="O43" s="11"/>
      <c r="P43" s="2">
        <v>17324.649999999998</v>
      </c>
      <c r="Q43" s="2"/>
      <c r="R43" s="19">
        <f t="shared" si="13"/>
        <v>6.0048899127027686E-3</v>
      </c>
      <c r="S43" s="2"/>
      <c r="T43" s="2">
        <v>12963.48</v>
      </c>
      <c r="U43" s="2"/>
      <c r="V43" s="19">
        <f t="shared" si="14"/>
        <v>4.4071502292214624E-3</v>
      </c>
      <c r="W43" s="2"/>
      <c r="X43" s="2">
        <f t="shared" si="15"/>
        <v>4361.1699999999983</v>
      </c>
      <c r="Y43" s="2"/>
      <c r="Z43" s="19">
        <f t="shared" si="16"/>
        <v>0.33641969594584159</v>
      </c>
    </row>
    <row r="44" spans="1:26" s="24" customFormat="1" hidden="1" outlineLevel="1" x14ac:dyDescent="0.3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127.27</v>
      </c>
      <c r="E44" s="2"/>
      <c r="F44" s="19">
        <f t="shared" si="9"/>
        <v>2.8433174577904645E-4</v>
      </c>
      <c r="G44" s="2"/>
      <c r="H44" s="2">
        <v>1084.4000000000001</v>
      </c>
      <c r="I44" s="2"/>
      <c r="J44" s="19">
        <f t="shared" si="10"/>
        <v>8.6681995620337023E-3</v>
      </c>
      <c r="K44" s="2"/>
      <c r="L44" s="2">
        <f t="shared" si="11"/>
        <v>-957.13000000000011</v>
      </c>
      <c r="M44" s="2"/>
      <c r="N44" s="19">
        <f t="shared" si="12"/>
        <v>-0.8826355588343785</v>
      </c>
      <c r="O44" s="11"/>
      <c r="P44" s="2">
        <v>30010.32</v>
      </c>
      <c r="Q44" s="2"/>
      <c r="R44" s="19">
        <f t="shared" si="13"/>
        <v>1.0401864848350885E-2</v>
      </c>
      <c r="S44" s="2"/>
      <c r="T44" s="2">
        <v>61180.08</v>
      </c>
      <c r="U44" s="2"/>
      <c r="V44" s="19">
        <f t="shared" si="14"/>
        <v>2.0799183829942839E-2</v>
      </c>
      <c r="W44" s="2"/>
      <c r="X44" s="2">
        <f t="shared" si="15"/>
        <v>-31169.760000000002</v>
      </c>
      <c r="Y44" s="2"/>
      <c r="Z44" s="19">
        <f t="shared" si="16"/>
        <v>-0.50947563324533085</v>
      </c>
    </row>
    <row r="45" spans="1:26" s="24" customFormat="1" hidden="1" outlineLevel="1" x14ac:dyDescent="0.3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9"/>
        <v>0</v>
      </c>
      <c r="G45" s="2"/>
      <c r="H45" s="2">
        <v>296</v>
      </c>
      <c r="I45" s="2"/>
      <c r="J45" s="19">
        <f t="shared" si="10"/>
        <v>2.3660891464053627E-3</v>
      </c>
      <c r="K45" s="2"/>
      <c r="L45" s="2">
        <f t="shared" si="11"/>
        <v>-296</v>
      </c>
      <c r="M45" s="2"/>
      <c r="N45" s="19">
        <f t="shared" si="12"/>
        <v>-1</v>
      </c>
      <c r="O45" s="11"/>
      <c r="P45" s="2">
        <v>95.65</v>
      </c>
      <c r="Q45" s="2"/>
      <c r="R45" s="19">
        <f t="shared" si="13"/>
        <v>3.3153207721369259E-5</v>
      </c>
      <c r="S45" s="2"/>
      <c r="T45" s="2">
        <v>2245</v>
      </c>
      <c r="U45" s="2"/>
      <c r="V45" s="19">
        <f t="shared" si="14"/>
        <v>7.6322501863713933E-4</v>
      </c>
      <c r="W45" s="2"/>
      <c r="X45" s="2">
        <f t="shared" si="15"/>
        <v>-2149.35</v>
      </c>
      <c r="Y45" s="2"/>
      <c r="Z45" s="19">
        <f t="shared" si="16"/>
        <v>-0.95739420935412023</v>
      </c>
    </row>
    <row r="46" spans="1:26" s="24" customFormat="1" hidden="1" outlineLevel="1" x14ac:dyDescent="0.3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-205025</v>
      </c>
      <c r="E46" s="2"/>
      <c r="F46" s="19">
        <f t="shared" si="9"/>
        <v>-0.45804287089140411</v>
      </c>
      <c r="G46" s="2"/>
      <c r="H46" s="2">
        <v>-88244</v>
      </c>
      <c r="I46" s="2"/>
      <c r="J46" s="19">
        <f t="shared" si="10"/>
        <v>-0.70538233322768529</v>
      </c>
      <c r="K46" s="2"/>
      <c r="L46" s="2">
        <f t="shared" si="11"/>
        <v>-116781</v>
      </c>
      <c r="M46" s="2"/>
      <c r="N46" s="19">
        <f t="shared" si="12"/>
        <v>1.3233874257739904</v>
      </c>
      <c r="O46" s="11"/>
      <c r="P46" s="2">
        <v>-2248069</v>
      </c>
      <c r="Q46" s="2"/>
      <c r="R46" s="19">
        <f t="shared" si="13"/>
        <v>-0.77920228467298336</v>
      </c>
      <c r="S46" s="2"/>
      <c r="T46" s="2">
        <v>-2393287</v>
      </c>
      <c r="U46" s="2"/>
      <c r="V46" s="19">
        <f t="shared" si="14"/>
        <v>-0.81363764595947585</v>
      </c>
      <c r="W46" s="2"/>
      <c r="X46" s="2">
        <f t="shared" si="15"/>
        <v>145218</v>
      </c>
      <c r="Y46" s="2"/>
      <c r="Z46" s="19">
        <f t="shared" si="16"/>
        <v>-6.0677219238645427E-2</v>
      </c>
    </row>
    <row r="47" spans="1:26" s="24" customFormat="1" hidden="1" outlineLevel="1" x14ac:dyDescent="0.35">
      <c r="A47" s="44"/>
      <c r="B47" s="11" t="str">
        <f>CONCATENATE("          ", "5300", " - ", "COG$ OFFSET")</f>
        <v xml:space="preserve">          5300 - COG$ OFFSET</v>
      </c>
      <c r="C47" s="11"/>
      <c r="D47" s="2">
        <v>325889</v>
      </c>
      <c r="E47" s="2"/>
      <c r="F47" s="19">
        <f t="shared" si="9"/>
        <v>0.72806308085320715</v>
      </c>
      <c r="G47" s="2"/>
      <c r="H47" s="2">
        <v>82791</v>
      </c>
      <c r="I47" s="2"/>
      <c r="J47" s="19">
        <f t="shared" si="10"/>
        <v>0.66179353554069731</v>
      </c>
      <c r="K47" s="2"/>
      <c r="L47" s="2">
        <f t="shared" si="11"/>
        <v>243098</v>
      </c>
      <c r="M47" s="2"/>
      <c r="N47" s="19">
        <f t="shared" si="12"/>
        <v>2.9362853450254254</v>
      </c>
      <c r="O47" s="11"/>
      <c r="P47" s="2">
        <v>2447643</v>
      </c>
      <c r="Q47" s="2"/>
      <c r="R47" s="19">
        <f t="shared" si="13"/>
        <v>0.84837654790125883</v>
      </c>
      <c r="S47" s="2"/>
      <c r="T47" s="2">
        <v>2470971</v>
      </c>
      <c r="U47" s="2"/>
      <c r="V47" s="19">
        <f t="shared" si="14"/>
        <v>0.84004761137052597</v>
      </c>
      <c r="W47" s="2"/>
      <c r="X47" s="2">
        <f t="shared" si="15"/>
        <v>-23328</v>
      </c>
      <c r="Y47" s="2"/>
      <c r="Z47" s="19">
        <f t="shared" si="16"/>
        <v>-9.4408230610557552E-3</v>
      </c>
    </row>
    <row r="48" spans="1:26" s="24" customFormat="1" hidden="1" outlineLevel="1" x14ac:dyDescent="0.3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1"/>
      <c r="P48" s="2">
        <v>0</v>
      </c>
      <c r="Q48" s="2"/>
      <c r="R48" s="19">
        <f t="shared" si="13"/>
        <v>0</v>
      </c>
      <c r="S48" s="2"/>
      <c r="T48" s="2">
        <v>14.08</v>
      </c>
      <c r="U48" s="2"/>
      <c r="V48" s="19">
        <f t="shared" si="14"/>
        <v>4.7867297382676712E-6</v>
      </c>
      <c r="W48" s="2"/>
      <c r="X48" s="2">
        <f t="shared" si="15"/>
        <v>-14.08</v>
      </c>
      <c r="Y48" s="2"/>
      <c r="Z48" s="19">
        <f t="shared" si="16"/>
        <v>-1</v>
      </c>
    </row>
    <row r="49" spans="1:26" s="24" customFormat="1" hidden="1" outlineLevel="1" x14ac:dyDescent="0.3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1"/>
      <c r="P49" s="2">
        <v>137</v>
      </c>
      <c r="Q49" s="2"/>
      <c r="R49" s="19">
        <f t="shared" si="13"/>
        <v>4.7485514457162448E-5</v>
      </c>
      <c r="S49" s="2"/>
      <c r="T49" s="2"/>
      <c r="U49" s="2"/>
      <c r="V49" s="19">
        <f t="shared" si="14"/>
        <v>0</v>
      </c>
      <c r="W49" s="2"/>
      <c r="X49" s="2">
        <f t="shared" si="15"/>
        <v>137</v>
      </c>
      <c r="Y49" s="2"/>
      <c r="Z49" s="19">
        <f t="shared" si="16"/>
        <v>0</v>
      </c>
    </row>
    <row r="50" spans="1:26" s="24" customFormat="1" hidden="1" outlineLevel="1" x14ac:dyDescent="0.3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1"/>
      <c r="P50" s="2">
        <v>154.30000000000001</v>
      </c>
      <c r="Q50" s="2"/>
      <c r="R50" s="19">
        <f t="shared" si="13"/>
        <v>5.3481860443358875E-5</v>
      </c>
      <c r="S50" s="2"/>
      <c r="T50" s="2">
        <v>12</v>
      </c>
      <c r="U50" s="2"/>
      <c r="V50" s="19">
        <f t="shared" si="14"/>
        <v>4.0795992087508561E-6</v>
      </c>
      <c r="W50" s="2"/>
      <c r="X50" s="2">
        <f t="shared" si="15"/>
        <v>142.30000000000001</v>
      </c>
      <c r="Y50" s="2"/>
      <c r="Z50" s="19">
        <f t="shared" si="16"/>
        <v>11.858333333333334</v>
      </c>
    </row>
    <row r="51" spans="1:26" s="24" customFormat="1" hidden="1" outlineLevel="1" x14ac:dyDescent="0.3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1"/>
      <c r="P51" s="2">
        <v>96.55</v>
      </c>
      <c r="Q51" s="2"/>
      <c r="R51" s="19">
        <f t="shared" si="13"/>
        <v>3.3465156356489299E-5</v>
      </c>
      <c r="S51" s="2"/>
      <c r="T51" s="2">
        <v>93.42</v>
      </c>
      <c r="U51" s="2"/>
      <c r="V51" s="19">
        <f t="shared" si="14"/>
        <v>3.1759679840125417E-5</v>
      </c>
      <c r="W51" s="2"/>
      <c r="X51" s="2">
        <f t="shared" si="15"/>
        <v>3.1299999999999955</v>
      </c>
      <c r="Y51" s="2"/>
      <c r="Z51" s="19">
        <f t="shared" si="16"/>
        <v>3.3504602868764666E-2</v>
      </c>
    </row>
    <row r="52" spans="1:26" s="24" customFormat="1" hidden="1" outlineLevel="1" x14ac:dyDescent="0.35">
      <c r="A52" s="44"/>
      <c r="B52" s="11" t="str">
        <f>CONCATENATE("          ", "5585", " - ", "FREIGHT-IN-SOFTWARE")</f>
        <v xml:space="preserve">          5585 - FREIGHT-IN-SOFTWARE</v>
      </c>
      <c r="C52" s="11"/>
      <c r="D52" s="2"/>
      <c r="E52" s="2"/>
      <c r="F52" s="19">
        <f t="shared" si="9"/>
        <v>0</v>
      </c>
      <c r="G52" s="2"/>
      <c r="H52" s="2"/>
      <c r="I52" s="2"/>
      <c r="J52" s="19">
        <f t="shared" si="10"/>
        <v>0</v>
      </c>
      <c r="K52" s="2"/>
      <c r="L52" s="2">
        <f t="shared" si="11"/>
        <v>0</v>
      </c>
      <c r="M52" s="2"/>
      <c r="N52" s="19">
        <f t="shared" si="12"/>
        <v>0</v>
      </c>
      <c r="O52" s="11"/>
      <c r="P52" s="2">
        <v>10</v>
      </c>
      <c r="Q52" s="2"/>
      <c r="R52" s="19">
        <f t="shared" si="13"/>
        <v>3.4660959457782807E-6</v>
      </c>
      <c r="S52" s="2"/>
      <c r="T52" s="2"/>
      <c r="U52" s="2"/>
      <c r="V52" s="19">
        <f t="shared" si="14"/>
        <v>0</v>
      </c>
      <c r="W52" s="2"/>
      <c r="X52" s="2">
        <f t="shared" si="15"/>
        <v>10</v>
      </c>
      <c r="Y52" s="2"/>
      <c r="Z52" s="19">
        <f t="shared" si="16"/>
        <v>0</v>
      </c>
    </row>
    <row r="53" spans="1:26" s="24" customFormat="1" hidden="1" outlineLevel="1" x14ac:dyDescent="0.35">
      <c r="A53" s="44"/>
      <c r="B53" s="11" t="str">
        <f>CONCATENATE("          ", "5586", " - ", "FREIGHT-IN-COMPUTER SUPPLIES")</f>
        <v xml:space="preserve">          5586 - FREIGHT-IN-COMPUTER SUPPLIES</v>
      </c>
      <c r="C53" s="11"/>
      <c r="D53" s="2"/>
      <c r="E53" s="2"/>
      <c r="F53" s="19">
        <f t="shared" si="9"/>
        <v>0</v>
      </c>
      <c r="G53" s="2"/>
      <c r="H53" s="2"/>
      <c r="I53" s="2"/>
      <c r="J53" s="19">
        <f t="shared" si="10"/>
        <v>0</v>
      </c>
      <c r="K53" s="2"/>
      <c r="L53" s="2">
        <f t="shared" si="11"/>
        <v>0</v>
      </c>
      <c r="M53" s="2"/>
      <c r="N53" s="19">
        <f t="shared" si="12"/>
        <v>0</v>
      </c>
      <c r="O53" s="11"/>
      <c r="P53" s="2">
        <v>301.27</v>
      </c>
      <c r="Q53" s="2"/>
      <c r="R53" s="19">
        <f t="shared" si="13"/>
        <v>1.0442307255846226E-4</v>
      </c>
      <c r="S53" s="2"/>
      <c r="T53" s="2">
        <v>379.94</v>
      </c>
      <c r="U53" s="2"/>
      <c r="V53" s="19">
        <f t="shared" si="14"/>
        <v>1.2916691028106667E-4</v>
      </c>
      <c r="W53" s="2"/>
      <c r="X53" s="2">
        <f t="shared" si="15"/>
        <v>-78.670000000000016</v>
      </c>
      <c r="Y53" s="2"/>
      <c r="Z53" s="19">
        <f t="shared" si="16"/>
        <v>-0.20705900931726065</v>
      </c>
    </row>
    <row r="54" spans="1:26" x14ac:dyDescent="0.3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35">
      <c r="A55" s="10"/>
      <c r="B55" s="28" t="s">
        <v>6</v>
      </c>
      <c r="C55" s="28"/>
      <c r="D55" s="22">
        <f>D12-D38</f>
        <v>121722.01999999996</v>
      </c>
      <c r="E55" s="14"/>
      <c r="F55" s="21">
        <f>IF(D$12=0,0,D55/D$12)</f>
        <v>0.2719370978734344</v>
      </c>
      <c r="G55" s="14"/>
      <c r="H55" s="22">
        <f>H12-H38</f>
        <v>42309.060000000012</v>
      </c>
      <c r="I55" s="14"/>
      <c r="J55" s="21">
        <f>IF(H$12=0,0,H55/H$12)</f>
        <v>0.33819935020477471</v>
      </c>
      <c r="K55" s="15"/>
      <c r="L55" s="22">
        <f>+D55-H55</f>
        <v>79412.959999999948</v>
      </c>
      <c r="M55" s="15"/>
      <c r="N55" s="21">
        <f>IF(H55=0,0,L55/H55)</f>
        <v>1.876972922584428</v>
      </c>
      <c r="O55" s="29"/>
      <c r="P55" s="22">
        <f>P12-P38</f>
        <v>437444.84000000032</v>
      </c>
      <c r="Q55" s="14"/>
      <c r="R55" s="21">
        <f>IF(P$12=0,0,P55/P$12)</f>
        <v>0.15162257864256298</v>
      </c>
      <c r="S55" s="14"/>
      <c r="T55" s="22">
        <f>T12-T38</f>
        <v>470480.75999999931</v>
      </c>
      <c r="U55" s="14"/>
      <c r="V55" s="21">
        <f>IF(T$12=0,0,T55/T$12)</f>
        <v>0.15994774468570822</v>
      </c>
      <c r="W55" s="15"/>
      <c r="X55" s="22">
        <f>+P55-T55</f>
        <v>-33035.919999998994</v>
      </c>
      <c r="Y55" s="15"/>
      <c r="Z55" s="21">
        <f>IF(T55=0,0,X55/T55)</f>
        <v>-7.0217366593267369E-2</v>
      </c>
    </row>
    <row r="56" spans="1:26" x14ac:dyDescent="0.3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35">
      <c r="A57" s="10"/>
      <c r="B57" s="29" t="s">
        <v>9</v>
      </c>
      <c r="C57" s="10"/>
      <c r="D57" s="20">
        <f>SUM(OSRRefD22x_0)</f>
        <v>-32410.319999999996</v>
      </c>
      <c r="E57" s="20"/>
      <c r="F57" s="36">
        <f t="shared" ref="F57:F67" si="17">IF(D$12=0,0,D57/D$12)</f>
        <v>-7.240734553985656E-2</v>
      </c>
      <c r="G57" s="20"/>
      <c r="H57" s="20">
        <f>SUM(OSRRefH22x_0)</f>
        <v>-17669.039999999997</v>
      </c>
      <c r="I57" s="20"/>
      <c r="J57" s="36">
        <f t="shared" ref="J57:J67" si="18">IF(H$12=0,0,H57/H$12)</f>
        <v>-0.1412382559844669</v>
      </c>
      <c r="K57" s="4"/>
      <c r="L57" s="20">
        <f t="shared" ref="L57:L67" si="19">+D57-H57</f>
        <v>-14741.279999999999</v>
      </c>
      <c r="M57" s="4"/>
      <c r="N57" s="36">
        <f t="shared" ref="N57:N67" si="20">IF(H57=0,0,L57/H57)</f>
        <v>0.83429999592507575</v>
      </c>
      <c r="O57" s="10"/>
      <c r="P57" s="20">
        <f>SUM(OSRRefP22x_0)</f>
        <v>177712.97000000006</v>
      </c>
      <c r="Q57" s="20"/>
      <c r="R57" s="36">
        <f t="shared" ref="R57:R67" si="21">IF(P$12=0,0,P57/P$12)</f>
        <v>6.1597020482921747E-2</v>
      </c>
      <c r="S57" s="20"/>
      <c r="T57" s="20">
        <f>SUM(OSRRefT22x_0)</f>
        <v>228006.21999999997</v>
      </c>
      <c r="U57" s="20"/>
      <c r="V57" s="36">
        <f t="shared" ref="V57:V67" si="22">IF(T$12=0,0,T57/T$12)</f>
        <v>7.7514499558522784E-2</v>
      </c>
      <c r="W57" s="4"/>
      <c r="X57" s="20">
        <f t="shared" ref="X57:X67" si="23">+P57-T57</f>
        <v>-50293.249999999913</v>
      </c>
      <c r="Y57" s="4"/>
      <c r="Z57" s="36">
        <f t="shared" ref="Z57:Z67" si="24">IF(T57=0,0,X57/T57)</f>
        <v>-0.2205784122906819</v>
      </c>
    </row>
    <row r="58" spans="1:26" s="25" customFormat="1" outlineLevel="1" collapsed="1" x14ac:dyDescent="0.35">
      <c r="A58" s="26"/>
      <c r="B58" s="12" t="str">
        <f>CONCATENATE("     ","*Benefits                                         ")</f>
        <v xml:space="preserve">     *Benefits                                         </v>
      </c>
      <c r="C58" s="12"/>
      <c r="D58" s="1">
        <f>SUM(OSRRefD22_0x_0)</f>
        <v>2225.61</v>
      </c>
      <c r="E58" s="1"/>
      <c r="F58" s="5">
        <f t="shared" si="17"/>
        <v>4.9721975070582507E-3</v>
      </c>
      <c r="G58" s="1"/>
      <c r="H58" s="1">
        <f>SUM(OSRRefH22_0x_0)</f>
        <v>2216.1299999999997</v>
      </c>
      <c r="I58" s="1"/>
      <c r="J58" s="5">
        <f t="shared" si="18"/>
        <v>1.7714733581159849E-2</v>
      </c>
      <c r="K58" s="1"/>
      <c r="L58" s="1">
        <f t="shared" si="19"/>
        <v>9.4800000000004729</v>
      </c>
      <c r="M58" s="1"/>
      <c r="N58" s="5">
        <f t="shared" si="20"/>
        <v>4.2777273896389082E-3</v>
      </c>
      <c r="O58" s="12"/>
      <c r="P58" s="1">
        <f>SUM(OSRRefP22_0x_0)</f>
        <v>29115.980000000003</v>
      </c>
      <c r="Q58" s="1"/>
      <c r="R58" s="5">
        <f t="shared" si="21"/>
        <v>1.0091878023536153E-2</v>
      </c>
      <c r="S58" s="1"/>
      <c r="T58" s="1">
        <f>SUM(OSRRefT22_0x_0)</f>
        <v>27699.079999999998</v>
      </c>
      <c r="U58" s="1"/>
      <c r="V58" s="5">
        <f t="shared" si="22"/>
        <v>9.4167620709272211E-3</v>
      </c>
      <c r="W58" s="1"/>
      <c r="X58" s="1">
        <f t="shared" si="23"/>
        <v>1416.9000000000051</v>
      </c>
      <c r="Y58" s="1"/>
      <c r="Z58" s="5">
        <f t="shared" si="24"/>
        <v>5.1153323503885517E-2</v>
      </c>
    </row>
    <row r="59" spans="1:26" s="24" customFormat="1" hidden="1" outlineLevel="2" x14ac:dyDescent="0.35">
      <c r="A59" s="27"/>
      <c r="B59" s="11" t="str">
        <f>CONCATENATE("          ", "6111", " - ", "F.I.C.A.")</f>
        <v xml:space="preserve">          6111 - F.I.C.A.</v>
      </c>
      <c r="C59" s="11"/>
      <c r="D59" s="7">
        <v>424.75</v>
      </c>
      <c r="E59" s="2"/>
      <c r="F59" s="6">
        <f t="shared" si="17"/>
        <v>9.4892676215643887E-4</v>
      </c>
      <c r="G59" s="2"/>
      <c r="H59" s="7">
        <v>562.74</v>
      </c>
      <c r="I59" s="2"/>
      <c r="J59" s="6">
        <f t="shared" si="18"/>
        <v>4.4982871832707902E-3</v>
      </c>
      <c r="K59" s="2"/>
      <c r="L59" s="7">
        <f t="shared" si="19"/>
        <v>-137.99</v>
      </c>
      <c r="M59" s="2"/>
      <c r="N59" s="6">
        <f t="shared" si="20"/>
        <v>-0.24521093222447313</v>
      </c>
      <c r="O59" s="11"/>
      <c r="P59" s="7">
        <v>8039.26</v>
      </c>
      <c r="Q59" s="2"/>
      <c r="R59" s="6">
        <f t="shared" si="21"/>
        <v>2.7864846493057503E-3</v>
      </c>
      <c r="S59" s="2"/>
      <c r="T59" s="7">
        <v>5953.58</v>
      </c>
      <c r="U59" s="2"/>
      <c r="V59" s="6">
        <f t="shared" si="22"/>
        <v>2.0240183547695768E-3</v>
      </c>
      <c r="W59" s="2"/>
      <c r="X59" s="7">
        <f t="shared" si="23"/>
        <v>2085.6800000000003</v>
      </c>
      <c r="Y59" s="2"/>
      <c r="Z59" s="6">
        <f t="shared" si="24"/>
        <v>0.35032367079975413</v>
      </c>
    </row>
    <row r="60" spans="1:26" s="24" customFormat="1" hidden="1" outlineLevel="2" x14ac:dyDescent="0.35">
      <c r="A60" s="27"/>
      <c r="B60" s="11" t="str">
        <f>CONCATENATE("          ", "6112", " - ", "COMPENSATION INSURANCE")</f>
        <v xml:space="preserve">          6112 - COMPENSATION INSURANCE</v>
      </c>
      <c r="C60" s="11"/>
      <c r="D60" s="7">
        <v>54.45</v>
      </c>
      <c r="E60" s="2"/>
      <c r="F60" s="6">
        <f t="shared" si="17"/>
        <v>1.2164582036355056E-4</v>
      </c>
      <c r="G60" s="2"/>
      <c r="H60" s="7">
        <v>130.54</v>
      </c>
      <c r="I60" s="2"/>
      <c r="J60" s="6">
        <f t="shared" si="18"/>
        <v>1.043477287742419E-3</v>
      </c>
      <c r="K60" s="2"/>
      <c r="L60" s="7">
        <f t="shared" si="19"/>
        <v>-76.089999999999989</v>
      </c>
      <c r="M60" s="2"/>
      <c r="N60" s="6">
        <f t="shared" si="20"/>
        <v>-0.58288647157959239</v>
      </c>
      <c r="O60" s="11"/>
      <c r="P60" s="7">
        <v>2050.15</v>
      </c>
      <c r="Q60" s="2"/>
      <c r="R60" s="6">
        <f t="shared" si="21"/>
        <v>7.1060166032373422E-4</v>
      </c>
      <c r="S60" s="2"/>
      <c r="T60" s="7">
        <v>1090.5</v>
      </c>
      <c r="U60" s="2"/>
      <c r="V60" s="6">
        <f t="shared" si="22"/>
        <v>3.7073357809523405E-4</v>
      </c>
      <c r="W60" s="2"/>
      <c r="X60" s="7">
        <f t="shared" si="23"/>
        <v>959.65000000000009</v>
      </c>
      <c r="Y60" s="2"/>
      <c r="Z60" s="6">
        <f t="shared" si="24"/>
        <v>0.88000917010545632</v>
      </c>
    </row>
    <row r="61" spans="1:26" s="24" customFormat="1" hidden="1" outlineLevel="2" x14ac:dyDescent="0.35">
      <c r="A61" s="27"/>
      <c r="B61" s="11" t="str">
        <f>CONCATENATE("          ", "6113", " - ", "GROUP INSURANCE")</f>
        <v xml:space="preserve">          6113 - GROUP INSURANCE</v>
      </c>
      <c r="C61" s="11"/>
      <c r="D61" s="7">
        <v>1035.69</v>
      </c>
      <c r="E61" s="2"/>
      <c r="F61" s="6">
        <f t="shared" si="17"/>
        <v>2.313817441548681E-3</v>
      </c>
      <c r="G61" s="2"/>
      <c r="H61" s="7">
        <v>964.88</v>
      </c>
      <c r="I61" s="2"/>
      <c r="J61" s="6">
        <f t="shared" si="18"/>
        <v>7.7128111337283999E-3</v>
      </c>
      <c r="K61" s="2"/>
      <c r="L61" s="7">
        <f t="shared" si="19"/>
        <v>70.810000000000059</v>
      </c>
      <c r="M61" s="2"/>
      <c r="N61" s="6">
        <f t="shared" si="20"/>
        <v>7.3387364231821642E-2</v>
      </c>
      <c r="O61" s="11"/>
      <c r="P61" s="7">
        <v>13627.38</v>
      </c>
      <c r="Q61" s="2"/>
      <c r="R61" s="6">
        <f t="shared" si="21"/>
        <v>4.7233806569580029E-3</v>
      </c>
      <c r="S61" s="2"/>
      <c r="T61" s="7">
        <v>11327.94</v>
      </c>
      <c r="U61" s="2"/>
      <c r="V61" s="6">
        <f t="shared" si="22"/>
        <v>3.8511212550647643E-3</v>
      </c>
      <c r="W61" s="2"/>
      <c r="X61" s="7">
        <f t="shared" si="23"/>
        <v>2299.4399999999987</v>
      </c>
      <c r="Y61" s="2"/>
      <c r="Z61" s="6">
        <f t="shared" si="24"/>
        <v>0.20298836328582237</v>
      </c>
    </row>
    <row r="62" spans="1:26" s="24" customFormat="1" hidden="1" outlineLevel="2" x14ac:dyDescent="0.35">
      <c r="A62" s="27"/>
      <c r="B62" s="11" t="str">
        <f>CONCATENATE("          ", "6114", " - ", "STATE UNEMPLOYMENT INSURANCE")</f>
        <v xml:space="preserve">          6114 - STATE UNEMPLOYMENT INSURANCE</v>
      </c>
      <c r="C62" s="11"/>
      <c r="D62" s="7">
        <v>-322.33</v>
      </c>
      <c r="E62" s="2"/>
      <c r="F62" s="6">
        <f t="shared" si="17"/>
        <v>-7.2011197938995862E-4</v>
      </c>
      <c r="G62" s="2"/>
      <c r="H62" s="7">
        <v>28.52</v>
      </c>
      <c r="I62" s="2"/>
      <c r="J62" s="6">
        <f t="shared" si="18"/>
        <v>2.2797588667392211E-4</v>
      </c>
      <c r="K62" s="2"/>
      <c r="L62" s="7">
        <f t="shared" si="19"/>
        <v>-350.84999999999997</v>
      </c>
      <c r="M62" s="2"/>
      <c r="N62" s="6">
        <f t="shared" si="20"/>
        <v>-12.30189340813464</v>
      </c>
      <c r="O62" s="11"/>
      <c r="P62" s="7">
        <v>0</v>
      </c>
      <c r="Q62" s="2"/>
      <c r="R62" s="6">
        <f t="shared" si="21"/>
        <v>0</v>
      </c>
      <c r="S62" s="2"/>
      <c r="T62" s="7">
        <v>297.19</v>
      </c>
      <c r="U62" s="2"/>
      <c r="V62" s="6">
        <f t="shared" si="22"/>
        <v>1.0103467407072224E-4</v>
      </c>
      <c r="W62" s="2"/>
      <c r="X62" s="7">
        <f t="shared" si="23"/>
        <v>-297.19</v>
      </c>
      <c r="Y62" s="2"/>
      <c r="Z62" s="6">
        <f t="shared" si="24"/>
        <v>-1</v>
      </c>
    </row>
    <row r="63" spans="1:26" s="24" customFormat="1" hidden="1" outlineLevel="2" x14ac:dyDescent="0.35">
      <c r="A63" s="27"/>
      <c r="B63" s="11" t="str">
        <f>CONCATENATE("          ", "6115", " - ", "P.E.R.S.")</f>
        <v xml:space="preserve">          6115 - P.E.R.S.</v>
      </c>
      <c r="C63" s="11"/>
      <c r="D63" s="7">
        <v>159.41999999999999</v>
      </c>
      <c r="E63" s="2"/>
      <c r="F63" s="6">
        <f t="shared" si="17"/>
        <v>3.5615751482749732E-4</v>
      </c>
      <c r="G63" s="2"/>
      <c r="H63" s="7"/>
      <c r="I63" s="2"/>
      <c r="J63" s="6">
        <f t="shared" si="18"/>
        <v>0</v>
      </c>
      <c r="K63" s="2"/>
      <c r="L63" s="7">
        <f t="shared" si="19"/>
        <v>159.41999999999999</v>
      </c>
      <c r="M63" s="2"/>
      <c r="N63" s="6">
        <f t="shared" si="20"/>
        <v>0</v>
      </c>
      <c r="O63" s="11"/>
      <c r="P63" s="7">
        <v>2807.7</v>
      </c>
      <c r="Q63" s="2"/>
      <c r="R63" s="6">
        <f t="shared" si="21"/>
        <v>9.731757586961678E-4</v>
      </c>
      <c r="S63" s="2"/>
      <c r="T63" s="7">
        <v>2090.5</v>
      </c>
      <c r="U63" s="2"/>
      <c r="V63" s="6">
        <f t="shared" si="22"/>
        <v>7.1070017882447203E-4</v>
      </c>
      <c r="W63" s="2"/>
      <c r="X63" s="7">
        <f t="shared" si="23"/>
        <v>717.19999999999982</v>
      </c>
      <c r="Y63" s="2"/>
      <c r="Z63" s="6">
        <f t="shared" si="24"/>
        <v>0.3430758191820138</v>
      </c>
    </row>
    <row r="64" spans="1:26" s="24" customFormat="1" hidden="1" outlineLevel="2" x14ac:dyDescent="0.35">
      <c r="A64" s="27"/>
      <c r="B64" s="11" t="str">
        <f>CONCATENATE("          ", "6117", " - ", "RETIREMENT STAFF HOURLY")</f>
        <v xml:space="preserve">          6117 - RETIREMENT STAFF HOURLY</v>
      </c>
      <c r="C64" s="11"/>
      <c r="D64" s="7">
        <v>154.78</v>
      </c>
      <c r="E64" s="2"/>
      <c r="F64" s="6">
        <f t="shared" si="17"/>
        <v>3.4579136962112681E-4</v>
      </c>
      <c r="G64" s="2"/>
      <c r="H64" s="7">
        <v>137.33000000000001</v>
      </c>
      <c r="I64" s="2"/>
      <c r="J64" s="6">
        <f t="shared" si="18"/>
        <v>1.0977534543102989E-3</v>
      </c>
      <c r="K64" s="2"/>
      <c r="L64" s="7">
        <f t="shared" si="19"/>
        <v>17.449999999999989</v>
      </c>
      <c r="M64" s="2"/>
      <c r="N64" s="6">
        <f t="shared" si="20"/>
        <v>0.12706619092696414</v>
      </c>
      <c r="O64" s="11"/>
      <c r="P64" s="7">
        <v>2058.8200000000002</v>
      </c>
      <c r="Q64" s="2"/>
      <c r="R64" s="6">
        <f t="shared" si="21"/>
        <v>7.136067655087241E-4</v>
      </c>
      <c r="S64" s="2"/>
      <c r="T64" s="7">
        <v>1537.94</v>
      </c>
      <c r="U64" s="2"/>
      <c r="V64" s="6">
        <f t="shared" si="22"/>
        <v>5.2284823392552426E-4</v>
      </c>
      <c r="W64" s="2"/>
      <c r="X64" s="7">
        <f t="shared" si="23"/>
        <v>520.88000000000011</v>
      </c>
      <c r="Y64" s="2"/>
      <c r="Z64" s="6">
        <f t="shared" si="24"/>
        <v>0.3386868148302275</v>
      </c>
    </row>
    <row r="65" spans="1:26" s="24" customFormat="1" hidden="1" outlineLevel="2" x14ac:dyDescent="0.35">
      <c r="A65" s="27"/>
      <c r="B65" s="11" t="str">
        <f>CONCATENATE("          ", "6118", " - ", "VACATION")</f>
        <v xml:space="preserve">          6118 - VACATION</v>
      </c>
      <c r="C65" s="11"/>
      <c r="D65" s="7">
        <v>257.8</v>
      </c>
      <c r="E65" s="2"/>
      <c r="F65" s="6">
        <f t="shared" si="17"/>
        <v>5.7594660219877569E-4</v>
      </c>
      <c r="G65" s="2"/>
      <c r="H65" s="7">
        <v>146.9</v>
      </c>
      <c r="I65" s="2"/>
      <c r="J65" s="6">
        <f t="shared" si="18"/>
        <v>1.1742516743477966E-3</v>
      </c>
      <c r="K65" s="2"/>
      <c r="L65" s="7">
        <f t="shared" si="19"/>
        <v>110.9</v>
      </c>
      <c r="M65" s="2"/>
      <c r="N65" s="6">
        <f t="shared" si="20"/>
        <v>0.75493533015656911</v>
      </c>
      <c r="O65" s="11"/>
      <c r="P65" s="7">
        <v>3303.15</v>
      </c>
      <c r="Q65" s="2"/>
      <c r="R65" s="6">
        <f t="shared" si="21"/>
        <v>1.1449034823297528E-3</v>
      </c>
      <c r="S65" s="2"/>
      <c r="T65" s="7">
        <v>2059.62</v>
      </c>
      <c r="U65" s="2"/>
      <c r="V65" s="6">
        <f t="shared" si="22"/>
        <v>7.0020201019395313E-4</v>
      </c>
      <c r="W65" s="2"/>
      <c r="X65" s="7">
        <f t="shared" si="23"/>
        <v>1243.5300000000002</v>
      </c>
      <c r="Y65" s="2"/>
      <c r="Z65" s="6">
        <f t="shared" si="24"/>
        <v>0.60376671424825956</v>
      </c>
    </row>
    <row r="66" spans="1:26" s="24" customFormat="1" hidden="1" outlineLevel="2" x14ac:dyDescent="0.35">
      <c r="A66" s="27"/>
      <c r="B66" s="11" t="str">
        <f>CONCATENATE("          ", "6119", " - ", "SICK LEAVE")</f>
        <v xml:space="preserve">          6119 - SICK LEAVE</v>
      </c>
      <c r="C66" s="11"/>
      <c r="D66" s="7">
        <v>256.57</v>
      </c>
      <c r="E66" s="2"/>
      <c r="F66" s="6">
        <f t="shared" si="17"/>
        <v>5.7319868008588E-4</v>
      </c>
      <c r="G66" s="2"/>
      <c r="H66" s="7">
        <v>117.58</v>
      </c>
      <c r="I66" s="2"/>
      <c r="J66" s="6">
        <f t="shared" si="18"/>
        <v>9.3988095214304923E-4</v>
      </c>
      <c r="K66" s="2"/>
      <c r="L66" s="7">
        <f t="shared" si="19"/>
        <v>138.99</v>
      </c>
      <c r="M66" s="2"/>
      <c r="N66" s="6">
        <f t="shared" si="20"/>
        <v>1.1820887906106481</v>
      </c>
      <c r="O66" s="11"/>
      <c r="P66" s="7">
        <v>-4833.5600000000004</v>
      </c>
      <c r="Q66" s="2"/>
      <c r="R66" s="6">
        <f t="shared" si="21"/>
        <v>-1.6753582719676069E-3</v>
      </c>
      <c r="S66" s="2"/>
      <c r="T66" s="7">
        <v>1696.61</v>
      </c>
      <c r="U66" s="2"/>
      <c r="V66" s="6">
        <f t="shared" si="22"/>
        <v>5.767907344632324E-4</v>
      </c>
      <c r="W66" s="2"/>
      <c r="X66" s="7">
        <f t="shared" si="23"/>
        <v>-6530.17</v>
      </c>
      <c r="Y66" s="2"/>
      <c r="Z66" s="6">
        <f t="shared" si="24"/>
        <v>-3.8489517331620116</v>
      </c>
    </row>
    <row r="67" spans="1:26" s="24" customFormat="1" hidden="1" outlineLevel="2" x14ac:dyDescent="0.35">
      <c r="A67" s="27"/>
      <c r="B67" s="11" t="str">
        <f>CONCATENATE("          ", "6156", " - ", "EMPLOYEE MEALS")</f>
        <v xml:space="preserve">          6156 - EMPLOYEE MEALS</v>
      </c>
      <c r="C67" s="11"/>
      <c r="D67" s="7">
        <v>204.48</v>
      </c>
      <c r="E67" s="2"/>
      <c r="F67" s="6">
        <f t="shared" si="17"/>
        <v>4.5682529564625927E-4</v>
      </c>
      <c r="G67" s="2"/>
      <c r="H67" s="7">
        <v>127.64</v>
      </c>
      <c r="I67" s="2"/>
      <c r="J67" s="6">
        <f t="shared" si="18"/>
        <v>1.0202960089431773E-3</v>
      </c>
      <c r="K67" s="2"/>
      <c r="L67" s="7">
        <f t="shared" si="19"/>
        <v>76.839999999999989</v>
      </c>
      <c r="M67" s="2"/>
      <c r="N67" s="6">
        <f t="shared" si="20"/>
        <v>0.60200564086493258</v>
      </c>
      <c r="O67" s="11"/>
      <c r="P67" s="7">
        <v>2063.08</v>
      </c>
      <c r="Q67" s="2"/>
      <c r="R67" s="6">
        <f t="shared" si="21"/>
        <v>7.1508332238162556E-4</v>
      </c>
      <c r="S67" s="2"/>
      <c r="T67" s="7">
        <v>1645.2</v>
      </c>
      <c r="U67" s="2"/>
      <c r="V67" s="6">
        <f t="shared" si="22"/>
        <v>5.5931305151974233E-4</v>
      </c>
      <c r="W67" s="2"/>
      <c r="X67" s="7">
        <f t="shared" si="23"/>
        <v>417.87999999999988</v>
      </c>
      <c r="Y67" s="2"/>
      <c r="Z67" s="6">
        <f t="shared" si="24"/>
        <v>0.25399951373693158</v>
      </c>
    </row>
    <row r="68" spans="1:26" s="25" customFormat="1" outlineLevel="1" collapsed="1" x14ac:dyDescent="0.35">
      <c r="A68" s="26"/>
      <c r="B68" s="12" t="str">
        <f>CONCATENATE("     ","*Payroll                                          ")</f>
        <v xml:space="preserve">     *Payroll                                          </v>
      </c>
      <c r="C68" s="12"/>
      <c r="D68" s="1">
        <f>SUM(OSRRefD22_1x_0)</f>
        <v>5490.55</v>
      </c>
      <c r="E68" s="1"/>
      <c r="F68" s="5">
        <f t="shared" ref="F68:F73" si="25">IF(D$12=0,0,D68/D$12)</f>
        <v>1.226634451785294E-2</v>
      </c>
      <c r="G68" s="1"/>
      <c r="H68" s="1">
        <f>SUM(OSRRefH22_1x_0)</f>
        <v>6718.42</v>
      </c>
      <c r="I68" s="1"/>
      <c r="J68" s="5">
        <f t="shared" ref="J68:J73" si="26">IF(H$12=0,0,H68/H$12)</f>
        <v>5.370398865875918E-2</v>
      </c>
      <c r="K68" s="1"/>
      <c r="L68" s="1">
        <f t="shared" ref="L68:L73" si="27">+D68-H68</f>
        <v>-1227.8699999999999</v>
      </c>
      <c r="M68" s="1"/>
      <c r="N68" s="5">
        <f t="shared" ref="N68:N73" si="28">IF(H68=0,0,L68/H68)</f>
        <v>-0.1827617207617267</v>
      </c>
      <c r="O68" s="12"/>
      <c r="P68" s="1">
        <f>SUM(OSRRefP22_1x_0)</f>
        <v>106281.83000000002</v>
      </c>
      <c r="Q68" s="1"/>
      <c r="R68" s="5">
        <f t="shared" ref="R68:R73" si="29">IF(P$12=0,0,P68/P$12)</f>
        <v>3.6838302007289651E-2</v>
      </c>
      <c r="S68" s="1"/>
      <c r="T68" s="1">
        <f>SUM(OSRRefT22_1x_0)</f>
        <v>107854.66</v>
      </c>
      <c r="U68" s="1"/>
      <c r="V68" s="5">
        <f t="shared" ref="V68:V73" si="30">IF(T$12=0,0,T68/T$12)</f>
        <v>3.6666982133007717E-2</v>
      </c>
      <c r="W68" s="1"/>
      <c r="X68" s="1">
        <f t="shared" ref="X68:X73" si="31">+P68-T68</f>
        <v>-1572.8299999999872</v>
      </c>
      <c r="Y68" s="1"/>
      <c r="Z68" s="5">
        <f t="shared" ref="Z68:Z73" si="32">IF(T68=0,0,X68/T68)</f>
        <v>-1.4582865496956619E-2</v>
      </c>
    </row>
    <row r="69" spans="1:26" s="24" customFormat="1" hidden="1" outlineLevel="2" x14ac:dyDescent="0.35">
      <c r="A69" s="27"/>
      <c r="B69" s="11" t="str">
        <f>CONCATENATE("          ", "6002", " - ", "STAFF SALARIES")</f>
        <v xml:space="preserve">          6002 - STAFF SALARIES</v>
      </c>
      <c r="C69" s="11"/>
      <c r="D69" s="7">
        <v>2282.3000000000002</v>
      </c>
      <c r="E69" s="2"/>
      <c r="F69" s="6">
        <f t="shared" si="25"/>
        <v>5.0988476733834975E-3</v>
      </c>
      <c r="G69" s="2"/>
      <c r="H69" s="7">
        <v>1911.9</v>
      </c>
      <c r="I69" s="2"/>
      <c r="J69" s="6">
        <f t="shared" si="26"/>
        <v>1.5282857564231126E-2</v>
      </c>
      <c r="K69" s="2"/>
      <c r="L69" s="7">
        <f t="shared" si="27"/>
        <v>370.40000000000009</v>
      </c>
      <c r="M69" s="2"/>
      <c r="N69" s="6">
        <f t="shared" si="28"/>
        <v>0.19373398190281924</v>
      </c>
      <c r="O69" s="11"/>
      <c r="P69" s="7">
        <v>36505.870000000003</v>
      </c>
      <c r="Q69" s="2"/>
      <c r="R69" s="6">
        <f t="shared" si="29"/>
        <v>1.2653284800410898E-2</v>
      </c>
      <c r="S69" s="2"/>
      <c r="T69" s="7">
        <v>31100.240000000002</v>
      </c>
      <c r="U69" s="2"/>
      <c r="V69" s="6">
        <f t="shared" si="30"/>
        <v>1.0573042874663477E-2</v>
      </c>
      <c r="W69" s="2"/>
      <c r="X69" s="7">
        <f t="shared" si="31"/>
        <v>5405.630000000001</v>
      </c>
      <c r="Y69" s="2"/>
      <c r="Z69" s="6">
        <f t="shared" si="32"/>
        <v>0.17381312813020094</v>
      </c>
    </row>
    <row r="70" spans="1:26" s="24" customFormat="1" hidden="1" outlineLevel="2" x14ac:dyDescent="0.35">
      <c r="A70" s="27"/>
      <c r="B70" s="11" t="str">
        <f>CONCATENATE("          ", "6004", " - ", "STAFF HOURLY")</f>
        <v xml:space="preserve">          6004 - STAFF HOURLY</v>
      </c>
      <c r="C70" s="11"/>
      <c r="D70" s="7">
        <v>3208.25</v>
      </c>
      <c r="E70" s="2"/>
      <c r="F70" s="6">
        <f t="shared" si="25"/>
        <v>7.1674968444694412E-3</v>
      </c>
      <c r="G70" s="2"/>
      <c r="H70" s="7"/>
      <c r="I70" s="2"/>
      <c r="J70" s="6">
        <f t="shared" si="26"/>
        <v>0</v>
      </c>
      <c r="K70" s="2"/>
      <c r="L70" s="7">
        <f t="shared" si="27"/>
        <v>3208.25</v>
      </c>
      <c r="M70" s="2"/>
      <c r="N70" s="6">
        <f t="shared" si="28"/>
        <v>0</v>
      </c>
      <c r="O70" s="11"/>
      <c r="P70" s="7">
        <v>11783.41</v>
      </c>
      <c r="Q70" s="2"/>
      <c r="R70" s="6">
        <f t="shared" si="29"/>
        <v>4.0842429628443252E-3</v>
      </c>
      <c r="S70" s="2"/>
      <c r="T70" s="7"/>
      <c r="U70" s="2"/>
      <c r="V70" s="6">
        <f t="shared" si="30"/>
        <v>0</v>
      </c>
      <c r="W70" s="2"/>
      <c r="X70" s="7">
        <f t="shared" si="31"/>
        <v>11783.41</v>
      </c>
      <c r="Y70" s="2"/>
      <c r="Z70" s="6">
        <f t="shared" si="32"/>
        <v>0</v>
      </c>
    </row>
    <row r="71" spans="1:26" s="24" customFormat="1" hidden="1" outlineLevel="2" x14ac:dyDescent="0.35">
      <c r="A71" s="27"/>
      <c r="B71" s="11" t="str">
        <f>CONCATENATE("          ", "6005", " - ", "TEMPORARY WAGES-HOURLY")</f>
        <v xml:space="preserve">          6005 - TEMPORARY WAGES-HOURLY</v>
      </c>
      <c r="C71" s="11"/>
      <c r="D71" s="7"/>
      <c r="E71" s="2"/>
      <c r="F71" s="6">
        <f t="shared" si="25"/>
        <v>0</v>
      </c>
      <c r="G71" s="2"/>
      <c r="H71" s="7">
        <v>2862.89</v>
      </c>
      <c r="I71" s="2"/>
      <c r="J71" s="6">
        <f t="shared" si="26"/>
        <v>2.288463836605557E-2</v>
      </c>
      <c r="K71" s="2"/>
      <c r="L71" s="7">
        <f t="shared" si="27"/>
        <v>-2862.89</v>
      </c>
      <c r="M71" s="2"/>
      <c r="N71" s="6">
        <f t="shared" si="28"/>
        <v>-1</v>
      </c>
      <c r="O71" s="11"/>
      <c r="P71" s="7">
        <v>29960.57</v>
      </c>
      <c r="Q71" s="2"/>
      <c r="R71" s="6">
        <f t="shared" si="29"/>
        <v>1.0384621021020638E-2</v>
      </c>
      <c r="S71" s="2"/>
      <c r="T71" s="7">
        <v>30814.060000000005</v>
      </c>
      <c r="U71" s="2"/>
      <c r="V71" s="6">
        <f t="shared" si="30"/>
        <v>1.0475751232866785E-2</v>
      </c>
      <c r="W71" s="2"/>
      <c r="X71" s="7">
        <f t="shared" si="31"/>
        <v>-853.49000000000524</v>
      </c>
      <c r="Y71" s="2"/>
      <c r="Z71" s="6">
        <f t="shared" si="32"/>
        <v>-2.7698070296481705E-2</v>
      </c>
    </row>
    <row r="72" spans="1:26" s="24" customFormat="1" hidden="1" outlineLevel="2" x14ac:dyDescent="0.35">
      <c r="A72" s="27"/>
      <c r="B72" s="11" t="str">
        <f>CONCATENATE("          ", "6006", " - ", "TEMPORARY PART TIME")</f>
        <v xml:space="preserve">          6006 - TEMPORARY PART TIME</v>
      </c>
      <c r="C72" s="11"/>
      <c r="D72" s="7"/>
      <c r="E72" s="2"/>
      <c r="F72" s="6">
        <f t="shared" si="25"/>
        <v>0</v>
      </c>
      <c r="G72" s="2"/>
      <c r="H72" s="7">
        <v>1478.63</v>
      </c>
      <c r="I72" s="2"/>
      <c r="J72" s="6">
        <f t="shared" si="26"/>
        <v>1.1819494576180277E-2</v>
      </c>
      <c r="K72" s="2"/>
      <c r="L72" s="7">
        <f t="shared" si="27"/>
        <v>-1478.63</v>
      </c>
      <c r="M72" s="2"/>
      <c r="N72" s="6">
        <f t="shared" si="28"/>
        <v>-1</v>
      </c>
      <c r="O72" s="11"/>
      <c r="P72" s="7">
        <v>9008.99</v>
      </c>
      <c r="Q72" s="2"/>
      <c r="R72" s="6">
        <f t="shared" si="29"/>
        <v>3.1226023714557073E-3</v>
      </c>
      <c r="S72" s="2"/>
      <c r="T72" s="7">
        <v>1478.63</v>
      </c>
      <c r="U72" s="2"/>
      <c r="V72" s="6">
        <f t="shared" si="30"/>
        <v>5.026848148362732E-4</v>
      </c>
      <c r="W72" s="2"/>
      <c r="X72" s="7">
        <f t="shared" si="31"/>
        <v>7530.36</v>
      </c>
      <c r="Y72" s="2"/>
      <c r="Z72" s="6">
        <f t="shared" si="32"/>
        <v>5.0927953578650502</v>
      </c>
    </row>
    <row r="73" spans="1:26" s="24" customFormat="1" hidden="1" outlineLevel="2" x14ac:dyDescent="0.35">
      <c r="A73" s="27"/>
      <c r="B73" s="11" t="str">
        <f>CONCATENATE("          ", "6007", " - ", "STUDENT HOURLY")</f>
        <v xml:space="preserve">          6007 - STUDENT HOURLY</v>
      </c>
      <c r="C73" s="11"/>
      <c r="D73" s="7"/>
      <c r="E73" s="2"/>
      <c r="F73" s="6">
        <f t="shared" si="25"/>
        <v>0</v>
      </c>
      <c r="G73" s="2"/>
      <c r="H73" s="7">
        <v>465</v>
      </c>
      <c r="I73" s="2"/>
      <c r="J73" s="6">
        <f t="shared" si="26"/>
        <v>3.7169981522922084E-3</v>
      </c>
      <c r="K73" s="2"/>
      <c r="L73" s="7">
        <f t="shared" si="27"/>
        <v>-465</v>
      </c>
      <c r="M73" s="2"/>
      <c r="N73" s="6">
        <f t="shared" si="28"/>
        <v>-1</v>
      </c>
      <c r="O73" s="11"/>
      <c r="P73" s="7">
        <v>19022.990000000002</v>
      </c>
      <c r="Q73" s="2"/>
      <c r="R73" s="6">
        <f t="shared" si="29"/>
        <v>6.5935508515580785E-3</v>
      </c>
      <c r="S73" s="2"/>
      <c r="T73" s="7">
        <v>44461.729999999996</v>
      </c>
      <c r="U73" s="2"/>
      <c r="V73" s="6">
        <f t="shared" si="30"/>
        <v>1.5115503210641182E-2</v>
      </c>
      <c r="W73" s="2"/>
      <c r="X73" s="7">
        <f t="shared" si="31"/>
        <v>-25438.739999999994</v>
      </c>
      <c r="Y73" s="2"/>
      <c r="Z73" s="6">
        <f t="shared" si="32"/>
        <v>-0.57214912690081998</v>
      </c>
    </row>
    <row r="74" spans="1:26" s="25" customFormat="1" outlineLevel="1" collapsed="1" x14ac:dyDescent="0.35">
      <c r="A74" s="26"/>
      <c r="B74" s="12" t="str">
        <f>CONCATENATE("     ","Advertising/Promo                                 ")</f>
        <v xml:space="preserve">     Advertising/Promo                                 </v>
      </c>
      <c r="C74" s="12"/>
      <c r="D74" s="1">
        <f>SUM(OSRRefD22_2x_0)</f>
        <v>34.450000000000003</v>
      </c>
      <c r="E74" s="1"/>
      <c r="F74" s="5">
        <f t="shared" ref="F74:F86" si="33">IF(D$12=0,0,D74/D$12)</f>
        <v>7.6964159991263853E-5</v>
      </c>
      <c r="G74" s="1"/>
      <c r="H74" s="1">
        <f>SUM(OSRRefH22_2x_0)</f>
        <v>176.1</v>
      </c>
      <c r="I74" s="1"/>
      <c r="J74" s="5">
        <f t="shared" ref="J74:J86" si="34">IF(H$12=0,0,H74/H$12)</f>
        <v>1.4076631712229201E-3</v>
      </c>
      <c r="K74" s="1"/>
      <c r="L74" s="1">
        <f t="shared" ref="L74:L86" si="35">+D74-H74</f>
        <v>-141.64999999999998</v>
      </c>
      <c r="M74" s="1"/>
      <c r="N74" s="5">
        <f t="shared" ref="N74:N86" si="36">IF(H74=0,0,L74/H74)</f>
        <v>-0.8043725156161271</v>
      </c>
      <c r="O74" s="12"/>
      <c r="P74" s="1">
        <f>SUM(OSRRefP22_2x_0)</f>
        <v>1780.37</v>
      </c>
      <c r="Q74" s="1"/>
      <c r="R74" s="5">
        <f t="shared" ref="R74:R86" si="37">IF(P$12=0,0,P74/P$12)</f>
        <v>6.1709332389852777E-4</v>
      </c>
      <c r="S74" s="1"/>
      <c r="T74" s="1">
        <f>SUM(OSRRefT22_2x_0)</f>
        <v>4190.87</v>
      </c>
      <c r="U74" s="1"/>
      <c r="V74" s="5">
        <f t="shared" ref="V74:V86" si="38">IF(T$12=0,0,T74/T$12)</f>
        <v>1.4247558279981416E-3</v>
      </c>
      <c r="W74" s="1"/>
      <c r="X74" s="1">
        <f t="shared" ref="X74:X86" si="39">+P74-T74</f>
        <v>-2410.5</v>
      </c>
      <c r="Y74" s="1"/>
      <c r="Z74" s="5">
        <f t="shared" ref="Z74:Z86" si="40">IF(T74=0,0,X74/T74)</f>
        <v>-0.57517890080102696</v>
      </c>
    </row>
    <row r="75" spans="1:26" s="24" customFormat="1" hidden="1" outlineLevel="2" x14ac:dyDescent="0.35">
      <c r="A75" s="27"/>
      <c r="B75" s="11" t="str">
        <f>CONCATENATE("          ", "6362", " - ", "ADVERTISING EXPENSE")</f>
        <v xml:space="preserve">          6362 - ADVERTISING EXPENSE</v>
      </c>
      <c r="C75" s="11"/>
      <c r="D75" s="7">
        <v>34.450000000000003</v>
      </c>
      <c r="E75" s="2"/>
      <c r="F75" s="6">
        <f t="shared" si="33"/>
        <v>7.6964159991263853E-5</v>
      </c>
      <c r="G75" s="2"/>
      <c r="H75" s="7">
        <v>176.1</v>
      </c>
      <c r="I75" s="2"/>
      <c r="J75" s="6">
        <f t="shared" si="34"/>
        <v>1.4076631712229201E-3</v>
      </c>
      <c r="K75" s="2"/>
      <c r="L75" s="7">
        <f t="shared" si="35"/>
        <v>-141.64999999999998</v>
      </c>
      <c r="M75" s="2"/>
      <c r="N75" s="6">
        <f t="shared" si="36"/>
        <v>-0.8043725156161271</v>
      </c>
      <c r="O75" s="11"/>
      <c r="P75" s="7">
        <v>1780.37</v>
      </c>
      <c r="Q75" s="2"/>
      <c r="R75" s="6">
        <f t="shared" si="37"/>
        <v>6.1709332389852777E-4</v>
      </c>
      <c r="S75" s="2"/>
      <c r="T75" s="7">
        <v>4190.87</v>
      </c>
      <c r="U75" s="2"/>
      <c r="V75" s="6">
        <f t="shared" si="38"/>
        <v>1.4247558279981416E-3</v>
      </c>
      <c r="W75" s="2"/>
      <c r="X75" s="7">
        <f t="shared" si="39"/>
        <v>-2410.5</v>
      </c>
      <c r="Y75" s="2"/>
      <c r="Z75" s="6">
        <f t="shared" si="40"/>
        <v>-0.57517890080102696</v>
      </c>
    </row>
    <row r="76" spans="1:26" s="25" customFormat="1" outlineLevel="1" collapsed="1" x14ac:dyDescent="0.35">
      <c r="A76" s="26"/>
      <c r="B76" s="12" t="str">
        <f>CONCATENATE("     ","Depreciation                                      ")</f>
        <v xml:space="preserve">     Depreciation                                      </v>
      </c>
      <c r="C76" s="12"/>
      <c r="D76" s="1">
        <f>SUM(OSRRefD22_3x_0)</f>
        <v>280.45</v>
      </c>
      <c r="E76" s="1"/>
      <c r="F76" s="5">
        <f t="shared" si="33"/>
        <v>6.2654858257039036E-4</v>
      </c>
      <c r="G76" s="1"/>
      <c r="H76" s="1">
        <f>SUM(OSRRefH22_3x_0)</f>
        <v>280.45</v>
      </c>
      <c r="I76" s="1"/>
      <c r="J76" s="5">
        <f t="shared" si="34"/>
        <v>2.2417895307749458E-3</v>
      </c>
      <c r="K76" s="1"/>
      <c r="L76" s="1">
        <f t="shared" si="35"/>
        <v>0</v>
      </c>
      <c r="M76" s="1"/>
      <c r="N76" s="5">
        <f t="shared" si="36"/>
        <v>0</v>
      </c>
      <c r="O76" s="12"/>
      <c r="P76" s="1">
        <f>SUM(OSRRefP22_3x_0)</f>
        <v>3365.29</v>
      </c>
      <c r="Q76" s="1"/>
      <c r="R76" s="5">
        <f t="shared" si="37"/>
        <v>1.166441802536819E-3</v>
      </c>
      <c r="S76" s="1"/>
      <c r="T76" s="1">
        <f>SUM(OSRRefT22_3x_0)</f>
        <v>3365.29</v>
      </c>
      <c r="U76" s="1"/>
      <c r="V76" s="5">
        <f t="shared" si="38"/>
        <v>1.1440862017680973E-3</v>
      </c>
      <c r="W76" s="1"/>
      <c r="X76" s="1">
        <f t="shared" si="39"/>
        <v>0</v>
      </c>
      <c r="Y76" s="1"/>
      <c r="Z76" s="5">
        <f t="shared" si="40"/>
        <v>0</v>
      </c>
    </row>
    <row r="77" spans="1:26" s="24" customFormat="1" hidden="1" outlineLevel="2" x14ac:dyDescent="0.35">
      <c r="A77" s="27"/>
      <c r="B77" s="11" t="str">
        <f>CONCATENATE("          ", "6322", " - ", "EQUIPMENT DEPRECIATION EXPENSE")</f>
        <v xml:space="preserve">          6322 - EQUIPMENT DEPRECIATION EXPENSE</v>
      </c>
      <c r="C77" s="11"/>
      <c r="D77" s="7">
        <v>280.45</v>
      </c>
      <c r="E77" s="2"/>
      <c r="F77" s="6">
        <f t="shared" si="33"/>
        <v>6.2654858257039036E-4</v>
      </c>
      <c r="G77" s="2"/>
      <c r="H77" s="7">
        <v>280.45</v>
      </c>
      <c r="I77" s="2"/>
      <c r="J77" s="6">
        <f t="shared" si="34"/>
        <v>2.2417895307749458E-3</v>
      </c>
      <c r="K77" s="2"/>
      <c r="L77" s="7">
        <f t="shared" si="35"/>
        <v>0</v>
      </c>
      <c r="M77" s="2"/>
      <c r="N77" s="6">
        <f t="shared" si="36"/>
        <v>0</v>
      </c>
      <c r="O77" s="11"/>
      <c r="P77" s="7">
        <v>3365.29</v>
      </c>
      <c r="Q77" s="2"/>
      <c r="R77" s="6">
        <f t="shared" si="37"/>
        <v>1.166441802536819E-3</v>
      </c>
      <c r="S77" s="2"/>
      <c r="T77" s="7">
        <v>3365.29</v>
      </c>
      <c r="U77" s="2"/>
      <c r="V77" s="6">
        <f t="shared" si="38"/>
        <v>1.1440862017680973E-3</v>
      </c>
      <c r="W77" s="2"/>
      <c r="X77" s="7">
        <f t="shared" si="39"/>
        <v>0</v>
      </c>
      <c r="Y77" s="2"/>
      <c r="Z77" s="6">
        <f t="shared" si="40"/>
        <v>0</v>
      </c>
    </row>
    <row r="78" spans="1:26" s="25" customFormat="1" outlineLevel="1" collapsed="1" x14ac:dyDescent="0.35">
      <c r="A78" s="26"/>
      <c r="B78" s="12" t="str">
        <f>CONCATENATE("     ","Discounts and Markdowns                           ")</f>
        <v xml:space="preserve">     Discounts and Markdowns                           </v>
      </c>
      <c r="C78" s="12"/>
      <c r="D78" s="1">
        <f>SUM(OSRRefD22_4x_0)</f>
        <v>2379.19</v>
      </c>
      <c r="E78" s="1"/>
      <c r="F78" s="5">
        <f t="shared" si="33"/>
        <v>5.3153079770570403E-3</v>
      </c>
      <c r="G78" s="1"/>
      <c r="H78" s="1">
        <f>SUM(OSRRefH22_4x_0)</f>
        <v>2827.3</v>
      </c>
      <c r="I78" s="1"/>
      <c r="J78" s="5">
        <f t="shared" si="34"/>
        <v>2.2600148120377982E-2</v>
      </c>
      <c r="K78" s="1"/>
      <c r="L78" s="1">
        <f t="shared" si="35"/>
        <v>-448.11000000000013</v>
      </c>
      <c r="M78" s="1"/>
      <c r="N78" s="5">
        <f t="shared" si="36"/>
        <v>-0.15849396951154815</v>
      </c>
      <c r="O78" s="12"/>
      <c r="P78" s="1">
        <f>SUM(OSRRefP22_4x_0)</f>
        <v>76736.39</v>
      </c>
      <c r="Q78" s="1"/>
      <c r="R78" s="5">
        <f t="shared" si="37"/>
        <v>2.6597569027266101E-2</v>
      </c>
      <c r="S78" s="1"/>
      <c r="T78" s="1">
        <f>SUM(OSRRefT22_4x_0)</f>
        <v>95041.64</v>
      </c>
      <c r="U78" s="1"/>
      <c r="V78" s="5">
        <f t="shared" si="38"/>
        <v>3.2310983278531977E-2</v>
      </c>
      <c r="W78" s="1"/>
      <c r="X78" s="1">
        <f t="shared" si="39"/>
        <v>-18305.25</v>
      </c>
      <c r="Y78" s="1"/>
      <c r="Z78" s="5">
        <f t="shared" si="40"/>
        <v>-0.19260242142286266</v>
      </c>
    </row>
    <row r="79" spans="1:26" s="24" customFormat="1" hidden="1" outlineLevel="2" x14ac:dyDescent="0.35">
      <c r="A79" s="27"/>
      <c r="B79" s="11" t="str">
        <f>CONCATENATE("          ", "6382", " - ", "DISCOUNTS/MARK DOWNS")</f>
        <v xml:space="preserve">          6382 - DISCOUNTS/MARK DOWNS</v>
      </c>
      <c r="C79" s="11"/>
      <c r="D79" s="7">
        <v>2379.19</v>
      </c>
      <c r="E79" s="2"/>
      <c r="F79" s="6">
        <f t="shared" si="33"/>
        <v>5.3153079770570403E-3</v>
      </c>
      <c r="G79" s="2"/>
      <c r="H79" s="7">
        <v>2827.3</v>
      </c>
      <c r="I79" s="2"/>
      <c r="J79" s="6">
        <f t="shared" si="34"/>
        <v>2.2600148120377982E-2</v>
      </c>
      <c r="K79" s="2"/>
      <c r="L79" s="7">
        <f t="shared" si="35"/>
        <v>-448.11000000000013</v>
      </c>
      <c r="M79" s="2"/>
      <c r="N79" s="6">
        <f t="shared" si="36"/>
        <v>-0.15849396951154815</v>
      </c>
      <c r="O79" s="11"/>
      <c r="P79" s="7">
        <v>76736.39</v>
      </c>
      <c r="Q79" s="2"/>
      <c r="R79" s="6">
        <f t="shared" si="37"/>
        <v>2.6597569027266101E-2</v>
      </c>
      <c r="S79" s="2"/>
      <c r="T79" s="7">
        <v>95041.64</v>
      </c>
      <c r="U79" s="2"/>
      <c r="V79" s="6">
        <f t="shared" si="38"/>
        <v>3.2310983278531977E-2</v>
      </c>
      <c r="W79" s="2"/>
      <c r="X79" s="7">
        <f t="shared" si="39"/>
        <v>-18305.25</v>
      </c>
      <c r="Y79" s="2"/>
      <c r="Z79" s="6">
        <f t="shared" si="40"/>
        <v>-0.19260242142286266</v>
      </c>
    </row>
    <row r="80" spans="1:26" s="25" customFormat="1" outlineLevel="1" collapsed="1" x14ac:dyDescent="0.35">
      <c r="A80" s="26"/>
      <c r="B80" s="12" t="str">
        <f>CONCATENATE("     ","Donations                                         ")</f>
        <v xml:space="preserve">     Donations                                         </v>
      </c>
      <c r="C80" s="12"/>
      <c r="D80" s="1">
        <f>SUM(OSRRefD22_5x_0)</f>
        <v>0</v>
      </c>
      <c r="E80" s="1"/>
      <c r="F80" s="5">
        <f t="shared" si="33"/>
        <v>0</v>
      </c>
      <c r="G80" s="1"/>
      <c r="H80" s="1">
        <f>SUM(OSRRefH22_5x_0)</f>
        <v>0</v>
      </c>
      <c r="I80" s="1"/>
      <c r="J80" s="5">
        <f t="shared" si="34"/>
        <v>0</v>
      </c>
      <c r="K80" s="1"/>
      <c r="L80" s="1">
        <f t="shared" si="35"/>
        <v>0</v>
      </c>
      <c r="M80" s="1"/>
      <c r="N80" s="5">
        <f t="shared" si="36"/>
        <v>0</v>
      </c>
      <c r="O80" s="12"/>
      <c r="P80" s="1">
        <f>SUM(OSRRefP22_5x_0)</f>
        <v>0</v>
      </c>
      <c r="Q80" s="1"/>
      <c r="R80" s="5">
        <f t="shared" si="37"/>
        <v>0</v>
      </c>
      <c r="S80" s="1"/>
      <c r="T80" s="1">
        <f>SUM(OSRRefT22_5x_0)</f>
        <v>0</v>
      </c>
      <c r="U80" s="1"/>
      <c r="V80" s="5">
        <f t="shared" si="38"/>
        <v>0</v>
      </c>
      <c r="W80" s="1"/>
      <c r="X80" s="1">
        <f t="shared" si="39"/>
        <v>0</v>
      </c>
      <c r="Y80" s="1"/>
      <c r="Z80" s="5">
        <f t="shared" si="40"/>
        <v>0</v>
      </c>
    </row>
    <row r="81" spans="1:26" s="24" customFormat="1" hidden="1" outlineLevel="2" x14ac:dyDescent="0.35">
      <c r="A81" s="27"/>
      <c r="B81" s="11" t="str">
        <f>CONCATENATE("          ", "6399", " - ", "DONATION-ON CAMPUS")</f>
        <v xml:space="preserve">          6399 - DONATION-ON CAMPUS</v>
      </c>
      <c r="C81" s="11"/>
      <c r="D81" s="7"/>
      <c r="E81" s="2"/>
      <c r="F81" s="6">
        <f t="shared" si="33"/>
        <v>0</v>
      </c>
      <c r="G81" s="2"/>
      <c r="H81" s="7"/>
      <c r="I81" s="2"/>
      <c r="J81" s="6">
        <f t="shared" si="34"/>
        <v>0</v>
      </c>
      <c r="K81" s="2"/>
      <c r="L81" s="7">
        <f t="shared" si="35"/>
        <v>0</v>
      </c>
      <c r="M81" s="2"/>
      <c r="N81" s="6">
        <f t="shared" si="36"/>
        <v>0</v>
      </c>
      <c r="O81" s="11"/>
      <c r="P81" s="7"/>
      <c r="Q81" s="2"/>
      <c r="R81" s="6">
        <f t="shared" si="37"/>
        <v>0</v>
      </c>
      <c r="S81" s="2"/>
      <c r="T81" s="7">
        <v>0</v>
      </c>
      <c r="U81" s="2"/>
      <c r="V81" s="6">
        <f t="shared" si="38"/>
        <v>0</v>
      </c>
      <c r="W81" s="2"/>
      <c r="X81" s="7">
        <f t="shared" si="39"/>
        <v>0</v>
      </c>
      <c r="Y81" s="2"/>
      <c r="Z81" s="6">
        <f t="shared" si="40"/>
        <v>0</v>
      </c>
    </row>
    <row r="82" spans="1:26" s="25" customFormat="1" outlineLevel="1" collapsed="1" x14ac:dyDescent="0.35">
      <c r="A82" s="26"/>
      <c r="B82" s="12" t="str">
        <f>CONCATENATE("     ","Employees' Appreciation                           ")</f>
        <v xml:space="preserve">     Employees' Appreciation                           </v>
      </c>
      <c r="C82" s="12"/>
      <c r="D82" s="1">
        <f>SUM(OSRRefD22_6x_0)</f>
        <v>0</v>
      </c>
      <c r="E82" s="1"/>
      <c r="F82" s="5">
        <f t="shared" si="33"/>
        <v>0</v>
      </c>
      <c r="G82" s="1"/>
      <c r="H82" s="1">
        <f>SUM(OSRRefH22_6x_0)</f>
        <v>0</v>
      </c>
      <c r="I82" s="1"/>
      <c r="J82" s="5">
        <f t="shared" si="34"/>
        <v>0</v>
      </c>
      <c r="K82" s="1"/>
      <c r="L82" s="1">
        <f t="shared" si="35"/>
        <v>0</v>
      </c>
      <c r="M82" s="1"/>
      <c r="N82" s="5">
        <f t="shared" si="36"/>
        <v>0</v>
      </c>
      <c r="O82" s="12"/>
      <c r="P82" s="1">
        <f>SUM(OSRRefP22_6x_0)</f>
        <v>0</v>
      </c>
      <c r="Q82" s="1"/>
      <c r="R82" s="5">
        <f t="shared" si="37"/>
        <v>0</v>
      </c>
      <c r="S82" s="1"/>
      <c r="T82" s="1">
        <f>SUM(OSRRefT22_6x_0)</f>
        <v>266.14999999999998</v>
      </c>
      <c r="U82" s="1"/>
      <c r="V82" s="5">
        <f t="shared" si="38"/>
        <v>9.0482110784086689E-5</v>
      </c>
      <c r="W82" s="1"/>
      <c r="X82" s="1">
        <f t="shared" si="39"/>
        <v>-266.14999999999998</v>
      </c>
      <c r="Y82" s="1"/>
      <c r="Z82" s="5">
        <f t="shared" si="40"/>
        <v>-1</v>
      </c>
    </row>
    <row r="83" spans="1:26" s="24" customFormat="1" hidden="1" outlineLevel="2" x14ac:dyDescent="0.35">
      <c r="A83" s="27"/>
      <c r="B83" s="11" t="str">
        <f>CONCATENATE("          ", "6277", " - ", "EMPLOYEE APPRECIATION")</f>
        <v xml:space="preserve">          6277 - EMPLOYEE APPRECIATION</v>
      </c>
      <c r="C83" s="11"/>
      <c r="D83" s="7"/>
      <c r="E83" s="2"/>
      <c r="F83" s="6">
        <f t="shared" si="33"/>
        <v>0</v>
      </c>
      <c r="G83" s="2"/>
      <c r="H83" s="7"/>
      <c r="I83" s="2"/>
      <c r="J83" s="6">
        <f t="shared" si="34"/>
        <v>0</v>
      </c>
      <c r="K83" s="2"/>
      <c r="L83" s="7">
        <f t="shared" si="35"/>
        <v>0</v>
      </c>
      <c r="M83" s="2"/>
      <c r="N83" s="6">
        <f t="shared" si="36"/>
        <v>0</v>
      </c>
      <c r="O83" s="11"/>
      <c r="P83" s="7"/>
      <c r="Q83" s="2"/>
      <c r="R83" s="6">
        <f t="shared" si="37"/>
        <v>0</v>
      </c>
      <c r="S83" s="2"/>
      <c r="T83" s="7">
        <v>266.14999999999998</v>
      </c>
      <c r="U83" s="2"/>
      <c r="V83" s="6">
        <f t="shared" si="38"/>
        <v>9.0482110784086689E-5</v>
      </c>
      <c r="W83" s="2"/>
      <c r="X83" s="7">
        <f t="shared" si="39"/>
        <v>-266.14999999999998</v>
      </c>
      <c r="Y83" s="2"/>
      <c r="Z83" s="6">
        <f t="shared" si="40"/>
        <v>-1</v>
      </c>
    </row>
    <row r="84" spans="1:26" s="25" customFormat="1" outlineLevel="1" collapsed="1" x14ac:dyDescent="0.35">
      <c r="A84" s="26"/>
      <c r="B84" s="12" t="str">
        <f>CONCATENATE("     ","Freight out/Postage                               ")</f>
        <v xml:space="preserve">     Freight out/Postage                               </v>
      </c>
      <c r="C84" s="12"/>
      <c r="D84" s="1">
        <f>SUM(OSRRefD22_7x_0)</f>
        <v>142.69</v>
      </c>
      <c r="E84" s="1"/>
      <c r="F84" s="5">
        <f t="shared" si="33"/>
        <v>3.1878130592607952E-4</v>
      </c>
      <c r="G84" s="1"/>
      <c r="H84" s="1">
        <f>SUM(OSRRefH22_7x_0)</f>
        <v>0</v>
      </c>
      <c r="I84" s="1"/>
      <c r="J84" s="5">
        <f t="shared" si="34"/>
        <v>0</v>
      </c>
      <c r="K84" s="1"/>
      <c r="L84" s="1">
        <f t="shared" si="35"/>
        <v>142.69</v>
      </c>
      <c r="M84" s="1"/>
      <c r="N84" s="5">
        <f t="shared" si="36"/>
        <v>0</v>
      </c>
      <c r="O84" s="12"/>
      <c r="P84" s="1">
        <f>SUM(OSRRefP22_7x_0)</f>
        <v>263.27999999999997</v>
      </c>
      <c r="Q84" s="1"/>
      <c r="R84" s="5">
        <f t="shared" si="37"/>
        <v>9.1255374060450562E-5</v>
      </c>
      <c r="S84" s="1"/>
      <c r="T84" s="1">
        <f>SUM(OSRRefT22_7x_0)</f>
        <v>272.76</v>
      </c>
      <c r="U84" s="1"/>
      <c r="V84" s="5">
        <f t="shared" si="38"/>
        <v>9.2729290014906946E-5</v>
      </c>
      <c r="W84" s="1"/>
      <c r="X84" s="1">
        <f t="shared" si="39"/>
        <v>-9.4800000000000182</v>
      </c>
      <c r="Y84" s="1"/>
      <c r="Z84" s="5">
        <f t="shared" si="40"/>
        <v>-3.4755829300484008E-2</v>
      </c>
    </row>
    <row r="85" spans="1:26" s="24" customFormat="1" hidden="1" outlineLevel="2" x14ac:dyDescent="0.35">
      <c r="A85" s="27"/>
      <c r="B85" s="11" t="str">
        <f>CONCATENATE("          ", "6305", " - ", "FREIGHT OUT")</f>
        <v xml:space="preserve">          6305 - FREIGHT OUT</v>
      </c>
      <c r="C85" s="11"/>
      <c r="D85" s="7">
        <v>142.69</v>
      </c>
      <c r="E85" s="2"/>
      <c r="F85" s="6">
        <f t="shared" si="33"/>
        <v>3.1878130592607952E-4</v>
      </c>
      <c r="G85" s="2"/>
      <c r="H85" s="7"/>
      <c r="I85" s="2"/>
      <c r="J85" s="6">
        <f t="shared" si="34"/>
        <v>0</v>
      </c>
      <c r="K85" s="2"/>
      <c r="L85" s="7">
        <f t="shared" si="35"/>
        <v>142.69</v>
      </c>
      <c r="M85" s="2"/>
      <c r="N85" s="6">
        <f t="shared" si="36"/>
        <v>0</v>
      </c>
      <c r="O85" s="11"/>
      <c r="P85" s="7">
        <v>263.27999999999997</v>
      </c>
      <c r="Q85" s="2"/>
      <c r="R85" s="6">
        <f t="shared" si="37"/>
        <v>9.1255374060450562E-5</v>
      </c>
      <c r="S85" s="2"/>
      <c r="T85" s="7">
        <v>251.93</v>
      </c>
      <c r="U85" s="2"/>
      <c r="V85" s="6">
        <f t="shared" si="38"/>
        <v>8.5647785721716926E-5</v>
      </c>
      <c r="W85" s="2"/>
      <c r="X85" s="7">
        <f t="shared" si="39"/>
        <v>11.349999999999966</v>
      </c>
      <c r="Y85" s="2"/>
      <c r="Z85" s="6">
        <f t="shared" si="40"/>
        <v>4.5052197038859862E-2</v>
      </c>
    </row>
    <row r="86" spans="1:26" s="24" customFormat="1" hidden="1" outlineLevel="2" x14ac:dyDescent="0.35">
      <c r="A86" s="27"/>
      <c r="B86" s="11" t="str">
        <f>CONCATENATE("          ", "6307", " - ", "POSTAGE")</f>
        <v xml:space="preserve">          6307 - POSTAGE</v>
      </c>
      <c r="C86" s="11"/>
      <c r="D86" s="7"/>
      <c r="E86" s="2"/>
      <c r="F86" s="6">
        <f t="shared" si="33"/>
        <v>0</v>
      </c>
      <c r="G86" s="2"/>
      <c r="H86" s="7"/>
      <c r="I86" s="2"/>
      <c r="J86" s="6">
        <f t="shared" si="34"/>
        <v>0</v>
      </c>
      <c r="K86" s="2"/>
      <c r="L86" s="7">
        <f t="shared" si="35"/>
        <v>0</v>
      </c>
      <c r="M86" s="2"/>
      <c r="N86" s="6">
        <f t="shared" si="36"/>
        <v>0</v>
      </c>
      <c r="O86" s="11"/>
      <c r="P86" s="7"/>
      <c r="Q86" s="2"/>
      <c r="R86" s="6">
        <f t="shared" si="37"/>
        <v>0</v>
      </c>
      <c r="S86" s="2"/>
      <c r="T86" s="7">
        <v>20.83</v>
      </c>
      <c r="U86" s="2"/>
      <c r="V86" s="6">
        <f t="shared" si="38"/>
        <v>7.0815042931900269E-6</v>
      </c>
      <c r="W86" s="2"/>
      <c r="X86" s="7">
        <f t="shared" si="39"/>
        <v>-20.83</v>
      </c>
      <c r="Y86" s="2"/>
      <c r="Z86" s="6">
        <f t="shared" si="40"/>
        <v>-1</v>
      </c>
    </row>
    <row r="87" spans="1:26" s="25" customFormat="1" outlineLevel="1" collapsed="1" x14ac:dyDescent="0.35">
      <c r="A87" s="26"/>
      <c r="B87" s="12" t="str">
        <f>CONCATENATE("     ","General                                           ")</f>
        <v xml:space="preserve">     General                                           </v>
      </c>
      <c r="C87" s="12"/>
      <c r="D87" s="1">
        <f>SUM(OSRRefD22_8x_0)</f>
        <v>0</v>
      </c>
      <c r="E87" s="1"/>
      <c r="F87" s="5">
        <f t="shared" ref="F87:F97" si="41">IF(D$12=0,0,D87/D$12)</f>
        <v>0</v>
      </c>
      <c r="G87" s="1"/>
      <c r="H87" s="1">
        <f>SUM(OSRRefH22_8x_0)</f>
        <v>0</v>
      </c>
      <c r="I87" s="1"/>
      <c r="J87" s="5">
        <f t="shared" ref="J87:J97" si="42">IF(H$12=0,0,H87/H$12)</f>
        <v>0</v>
      </c>
      <c r="K87" s="1"/>
      <c r="L87" s="1">
        <f t="shared" ref="L87:L97" si="43">+D87-H87</f>
        <v>0</v>
      </c>
      <c r="M87" s="1"/>
      <c r="N87" s="5">
        <f t="shared" ref="N87:N97" si="44">IF(H87=0,0,L87/H87)</f>
        <v>0</v>
      </c>
      <c r="O87" s="12"/>
      <c r="P87" s="1">
        <f>SUM(OSRRefP22_8x_0)</f>
        <v>205</v>
      </c>
      <c r="Q87" s="1"/>
      <c r="R87" s="5">
        <f t="shared" ref="R87:R97" si="45">IF(P$12=0,0,P87/P$12)</f>
        <v>7.1054966888454759E-5</v>
      </c>
      <c r="S87" s="1"/>
      <c r="T87" s="1">
        <f>SUM(OSRRefT22_8x_0)</f>
        <v>597.39</v>
      </c>
      <c r="U87" s="1"/>
      <c r="V87" s="5">
        <f t="shared" ref="V87:V97" si="46">IF(T$12=0,0,T87/T$12)</f>
        <v>2.0309264760963948E-4</v>
      </c>
      <c r="W87" s="1"/>
      <c r="X87" s="1">
        <f t="shared" ref="X87:X97" si="47">+P87-T87</f>
        <v>-392.39</v>
      </c>
      <c r="Y87" s="1"/>
      <c r="Z87" s="5">
        <f t="shared" ref="Z87:Z97" si="48">IF(T87=0,0,X87/T87)</f>
        <v>-0.65684058989939564</v>
      </c>
    </row>
    <row r="88" spans="1:26" s="24" customFormat="1" hidden="1" outlineLevel="2" x14ac:dyDescent="0.35">
      <c r="A88" s="27"/>
      <c r="B88" s="11" t="str">
        <f>CONCATENATE("          ", "6279", " - ", "GENERAL EXPENSE")</f>
        <v xml:space="preserve">          6279 - GENERAL EXPENSE</v>
      </c>
      <c r="C88" s="11"/>
      <c r="D88" s="7"/>
      <c r="E88" s="2"/>
      <c r="F88" s="6">
        <f t="shared" si="41"/>
        <v>0</v>
      </c>
      <c r="G88" s="2"/>
      <c r="H88" s="7"/>
      <c r="I88" s="2"/>
      <c r="J88" s="6">
        <f t="shared" si="42"/>
        <v>0</v>
      </c>
      <c r="K88" s="2"/>
      <c r="L88" s="7">
        <f t="shared" si="43"/>
        <v>0</v>
      </c>
      <c r="M88" s="2"/>
      <c r="N88" s="6">
        <f t="shared" si="44"/>
        <v>0</v>
      </c>
      <c r="O88" s="11"/>
      <c r="P88" s="7">
        <v>205</v>
      </c>
      <c r="Q88" s="2"/>
      <c r="R88" s="6">
        <f t="shared" si="45"/>
        <v>7.1054966888454759E-5</v>
      </c>
      <c r="S88" s="2"/>
      <c r="T88" s="7">
        <v>597.39</v>
      </c>
      <c r="U88" s="2"/>
      <c r="V88" s="6">
        <f t="shared" si="46"/>
        <v>2.0309264760963948E-4</v>
      </c>
      <c r="W88" s="2"/>
      <c r="X88" s="7">
        <f t="shared" si="47"/>
        <v>-392.39</v>
      </c>
      <c r="Y88" s="2"/>
      <c r="Z88" s="6">
        <f t="shared" si="48"/>
        <v>-0.65684058989939564</v>
      </c>
    </row>
    <row r="89" spans="1:26" s="25" customFormat="1" outlineLevel="1" collapsed="1" x14ac:dyDescent="0.35">
      <c r="A89" s="26"/>
      <c r="B89" s="12" t="str">
        <f>CONCATENATE("     ","Inventory Adjustment                              ")</f>
        <v xml:space="preserve">     Inventory Adjustment                              </v>
      </c>
      <c r="C89" s="12"/>
      <c r="D89" s="1">
        <f>SUM(OSRRefD22_9x_0)</f>
        <v>-43236</v>
      </c>
      <c r="E89" s="1"/>
      <c r="F89" s="5">
        <f t="shared" si="41"/>
        <v>-9.6592813392809396E-2</v>
      </c>
      <c r="G89" s="1"/>
      <c r="H89" s="1">
        <f>SUM(OSRRefH22_9x_0)</f>
        <v>-30249</v>
      </c>
      <c r="I89" s="1"/>
      <c r="J89" s="5">
        <f t="shared" si="42"/>
        <v>-0.2417967249649183</v>
      </c>
      <c r="K89" s="1"/>
      <c r="L89" s="1">
        <f t="shared" si="43"/>
        <v>-12987</v>
      </c>
      <c r="M89" s="1"/>
      <c r="N89" s="5">
        <f t="shared" si="44"/>
        <v>0.42933650699196668</v>
      </c>
      <c r="O89" s="12"/>
      <c r="P89" s="1">
        <f>SUM(OSRRefP22_9x_0)</f>
        <v>-43236</v>
      </c>
      <c r="Q89" s="1"/>
      <c r="R89" s="5">
        <f t="shared" si="45"/>
        <v>-1.4986012431166975E-2</v>
      </c>
      <c r="S89" s="1"/>
      <c r="T89" s="1">
        <f>SUM(OSRRefT22_9x_0)</f>
        <v>-16099</v>
      </c>
      <c r="U89" s="1"/>
      <c r="V89" s="5">
        <f t="shared" si="46"/>
        <v>-5.4731223051400022E-3</v>
      </c>
      <c r="W89" s="1"/>
      <c r="X89" s="1">
        <f t="shared" si="47"/>
        <v>-27137</v>
      </c>
      <c r="Y89" s="1"/>
      <c r="Z89" s="5">
        <f t="shared" si="48"/>
        <v>1.6856326479905583</v>
      </c>
    </row>
    <row r="90" spans="1:26" s="24" customFormat="1" hidden="1" outlineLevel="2" x14ac:dyDescent="0.35">
      <c r="A90" s="27"/>
      <c r="B90" s="11" t="str">
        <f>CONCATENATE("          ", "6408", " - ", "INVENTORY ADJUSTMENT")</f>
        <v xml:space="preserve">          6408 - INVENTORY ADJUSTMENT</v>
      </c>
      <c r="C90" s="11"/>
      <c r="D90" s="7"/>
      <c r="E90" s="2"/>
      <c r="F90" s="6">
        <f t="shared" si="41"/>
        <v>0</v>
      </c>
      <c r="G90" s="2"/>
      <c r="H90" s="7">
        <v>-14150</v>
      </c>
      <c r="I90" s="2"/>
      <c r="J90" s="6">
        <f t="shared" si="42"/>
        <v>-0.11310865345147258</v>
      </c>
      <c r="K90" s="2"/>
      <c r="L90" s="7">
        <f t="shared" si="43"/>
        <v>14150</v>
      </c>
      <c r="M90" s="2"/>
      <c r="N90" s="6">
        <f t="shared" si="44"/>
        <v>-1</v>
      </c>
      <c r="O90" s="11"/>
      <c r="P90" s="7"/>
      <c r="Q90" s="2"/>
      <c r="R90" s="6">
        <f t="shared" si="45"/>
        <v>0</v>
      </c>
      <c r="S90" s="2"/>
      <c r="T90" s="7">
        <v>0</v>
      </c>
      <c r="U90" s="2"/>
      <c r="V90" s="6">
        <f t="shared" si="46"/>
        <v>0</v>
      </c>
      <c r="W90" s="2"/>
      <c r="X90" s="7">
        <f t="shared" si="47"/>
        <v>0</v>
      </c>
      <c r="Y90" s="2"/>
      <c r="Z90" s="6">
        <f t="shared" si="48"/>
        <v>0</v>
      </c>
    </row>
    <row r="91" spans="1:26" s="24" customFormat="1" hidden="1" outlineLevel="2" x14ac:dyDescent="0.35">
      <c r="A91" s="27"/>
      <c r="B91" s="11" t="str">
        <f>CONCATENATE("          ", "7781", " - ", "INV. SHRINKAGE-ELECTRONICS")</f>
        <v xml:space="preserve">          7781 - INV. SHRINKAGE-ELECTRONICS</v>
      </c>
      <c r="C91" s="11"/>
      <c r="D91" s="7">
        <v>-18505</v>
      </c>
      <c r="E91" s="2"/>
      <c r="F91" s="6">
        <f t="shared" si="41"/>
        <v>-4.1341706259458273E-2</v>
      </c>
      <c r="G91" s="2"/>
      <c r="H91" s="7">
        <v>4355</v>
      </c>
      <c r="I91" s="2"/>
      <c r="J91" s="6">
        <f t="shared" si="42"/>
        <v>3.4811885920930256E-2</v>
      </c>
      <c r="K91" s="2"/>
      <c r="L91" s="7">
        <f t="shared" si="43"/>
        <v>-22860</v>
      </c>
      <c r="M91" s="2"/>
      <c r="N91" s="6">
        <f t="shared" si="44"/>
        <v>-5.2491389207807115</v>
      </c>
      <c r="O91" s="11"/>
      <c r="P91" s="7">
        <v>-18505</v>
      </c>
      <c r="Q91" s="2"/>
      <c r="R91" s="6">
        <f t="shared" si="45"/>
        <v>-6.4140105476627081E-3</v>
      </c>
      <c r="S91" s="2"/>
      <c r="T91" s="7">
        <v>4355</v>
      </c>
      <c r="U91" s="2"/>
      <c r="V91" s="6">
        <f t="shared" si="46"/>
        <v>1.4805545461758314E-3</v>
      </c>
      <c r="W91" s="2"/>
      <c r="X91" s="7">
        <f t="shared" si="47"/>
        <v>-22860</v>
      </c>
      <c r="Y91" s="2"/>
      <c r="Z91" s="6">
        <f t="shared" si="48"/>
        <v>-5.2491389207807115</v>
      </c>
    </row>
    <row r="92" spans="1:26" s="24" customFormat="1" hidden="1" outlineLevel="2" x14ac:dyDescent="0.35">
      <c r="A92" s="27"/>
      <c r="B92" s="11" t="str">
        <f>CONCATENATE("          ", "7782", " - ", "INV. SHRINKAGE-COMPUTER HARDWA")</f>
        <v xml:space="preserve">          7782 - INV. SHRINKAGE-COMPUTER HARDWA</v>
      </c>
      <c r="C92" s="11"/>
      <c r="D92" s="7">
        <v>-30263</v>
      </c>
      <c r="E92" s="2"/>
      <c r="F92" s="6">
        <f t="shared" si="41"/>
        <v>-6.7610054392325633E-2</v>
      </c>
      <c r="G92" s="2"/>
      <c r="H92" s="7">
        <v>-29241</v>
      </c>
      <c r="I92" s="2"/>
      <c r="J92" s="6">
        <f t="shared" si="42"/>
        <v>-0.23373923219607842</v>
      </c>
      <c r="K92" s="2"/>
      <c r="L92" s="7">
        <f t="shared" si="43"/>
        <v>-1022</v>
      </c>
      <c r="M92" s="2"/>
      <c r="N92" s="6">
        <f t="shared" si="44"/>
        <v>3.4950925070962008E-2</v>
      </c>
      <c r="O92" s="11"/>
      <c r="P92" s="7">
        <v>-30263</v>
      </c>
      <c r="Q92" s="2"/>
      <c r="R92" s="6">
        <f t="shared" si="45"/>
        <v>-1.048944616070881E-2</v>
      </c>
      <c r="S92" s="2"/>
      <c r="T92" s="7">
        <v>-29241</v>
      </c>
      <c r="U92" s="2"/>
      <c r="V92" s="6">
        <f t="shared" si="46"/>
        <v>-9.9409633719236487E-3</v>
      </c>
      <c r="W92" s="2"/>
      <c r="X92" s="7">
        <f t="shared" si="47"/>
        <v>-1022</v>
      </c>
      <c r="Y92" s="2"/>
      <c r="Z92" s="6">
        <f t="shared" si="48"/>
        <v>3.4950925070962008E-2</v>
      </c>
    </row>
    <row r="93" spans="1:26" s="24" customFormat="1" hidden="1" outlineLevel="2" x14ac:dyDescent="0.35">
      <c r="A93" s="27"/>
      <c r="B93" s="11" t="str">
        <f>CONCATENATE("          ", "7783", " - ", "INV. SHRINKAGE-COMPUTER EQUIPM")</f>
        <v xml:space="preserve">          7783 - INV. SHRINKAGE-COMPUTER EQUIPM</v>
      </c>
      <c r="C93" s="11"/>
      <c r="D93" s="7">
        <v>2729</v>
      </c>
      <c r="E93" s="2"/>
      <c r="F93" s="6">
        <f t="shared" si="41"/>
        <v>6.096812557798521E-3</v>
      </c>
      <c r="G93" s="2"/>
      <c r="H93" s="7">
        <v>9199</v>
      </c>
      <c r="I93" s="2"/>
      <c r="J93" s="6">
        <f t="shared" si="42"/>
        <v>7.353261506007748E-2</v>
      </c>
      <c r="K93" s="2"/>
      <c r="L93" s="7">
        <f t="shared" si="43"/>
        <v>-6470</v>
      </c>
      <c r="M93" s="2"/>
      <c r="N93" s="6">
        <f t="shared" si="44"/>
        <v>-0.70333731927383414</v>
      </c>
      <c r="O93" s="11"/>
      <c r="P93" s="7">
        <v>2729</v>
      </c>
      <c r="Q93" s="2"/>
      <c r="R93" s="6">
        <f t="shared" si="45"/>
        <v>9.4589758360289281E-4</v>
      </c>
      <c r="S93" s="2"/>
      <c r="T93" s="7">
        <v>9199</v>
      </c>
      <c r="U93" s="2"/>
      <c r="V93" s="6">
        <f t="shared" si="46"/>
        <v>3.1273527601082601E-3</v>
      </c>
      <c r="W93" s="2"/>
      <c r="X93" s="7">
        <f t="shared" si="47"/>
        <v>-6470</v>
      </c>
      <c r="Y93" s="2"/>
      <c r="Z93" s="6">
        <f t="shared" si="48"/>
        <v>-0.70333731927383414</v>
      </c>
    </row>
    <row r="94" spans="1:26" s="24" customFormat="1" hidden="1" outlineLevel="2" x14ac:dyDescent="0.35">
      <c r="A94" s="27"/>
      <c r="B94" s="11" t="str">
        <f>CONCATENATE("          ", "7784", " - ", "INV. SHRINKAGE-SOFTWARE LICENS")</f>
        <v xml:space="preserve">          7784 - INV. SHRINKAGE-SOFTWARE LICENS</v>
      </c>
      <c r="C94" s="11"/>
      <c r="D94" s="7">
        <v>1394</v>
      </c>
      <c r="E94" s="2"/>
      <c r="F94" s="6">
        <f t="shared" si="41"/>
        <v>3.1143117279483832E-3</v>
      </c>
      <c r="G94" s="2"/>
      <c r="H94" s="7">
        <v>-357</v>
      </c>
      <c r="I94" s="2"/>
      <c r="J94" s="6">
        <f t="shared" si="42"/>
        <v>-2.8536953556307925E-3</v>
      </c>
      <c r="K94" s="2"/>
      <c r="L94" s="7">
        <f t="shared" si="43"/>
        <v>1751</v>
      </c>
      <c r="M94" s="2"/>
      <c r="N94" s="6">
        <f t="shared" si="44"/>
        <v>-4.9047619047619051</v>
      </c>
      <c r="O94" s="11"/>
      <c r="P94" s="7">
        <v>1394</v>
      </c>
      <c r="Q94" s="2"/>
      <c r="R94" s="6">
        <f t="shared" si="45"/>
        <v>4.8317377484149234E-4</v>
      </c>
      <c r="S94" s="2"/>
      <c r="T94" s="7">
        <v>-357</v>
      </c>
      <c r="U94" s="2"/>
      <c r="V94" s="6">
        <f t="shared" si="46"/>
        <v>-1.2136807646033796E-4</v>
      </c>
      <c r="W94" s="2"/>
      <c r="X94" s="7">
        <f t="shared" si="47"/>
        <v>1751</v>
      </c>
      <c r="Y94" s="2"/>
      <c r="Z94" s="6">
        <f t="shared" si="48"/>
        <v>-4.9047619047619051</v>
      </c>
    </row>
    <row r="95" spans="1:26" s="24" customFormat="1" hidden="1" outlineLevel="2" x14ac:dyDescent="0.35">
      <c r="A95" s="27"/>
      <c r="B95" s="11" t="str">
        <f>CONCATENATE("          ", "7785", " - ", "INV. SHRINKAGE-SOFTWARE")</f>
        <v xml:space="preserve">          7785 - INV. SHRINKAGE-SOFTWARE</v>
      </c>
      <c r="C95" s="11"/>
      <c r="D95" s="7">
        <v>-3743</v>
      </c>
      <c r="E95" s="2"/>
      <c r="F95" s="6">
        <f t="shared" si="41"/>
        <v>-8.3621727386734568E-3</v>
      </c>
      <c r="G95" s="2"/>
      <c r="H95" s="7">
        <v>-72</v>
      </c>
      <c r="I95" s="2"/>
      <c r="J95" s="6">
        <f t="shared" si="42"/>
        <v>-5.7553519777427749E-4</v>
      </c>
      <c r="K95" s="2"/>
      <c r="L95" s="7">
        <f t="shared" si="43"/>
        <v>-3671</v>
      </c>
      <c r="M95" s="2"/>
      <c r="N95" s="6">
        <f t="shared" si="44"/>
        <v>50.986111111111114</v>
      </c>
      <c r="O95" s="11"/>
      <c r="P95" s="7">
        <v>-3743</v>
      </c>
      <c r="Q95" s="2"/>
      <c r="R95" s="6">
        <f t="shared" si="45"/>
        <v>-1.2973597125048105E-3</v>
      </c>
      <c r="S95" s="2"/>
      <c r="T95" s="7">
        <v>-72</v>
      </c>
      <c r="U95" s="2"/>
      <c r="V95" s="6">
        <f t="shared" si="46"/>
        <v>-2.4477595252505137E-5</v>
      </c>
      <c r="W95" s="2"/>
      <c r="X95" s="7">
        <f t="shared" si="47"/>
        <v>-3671</v>
      </c>
      <c r="Y95" s="2"/>
      <c r="Z95" s="6">
        <f t="shared" si="48"/>
        <v>50.986111111111114</v>
      </c>
    </row>
    <row r="96" spans="1:26" s="24" customFormat="1" hidden="1" outlineLevel="2" x14ac:dyDescent="0.35">
      <c r="A96" s="27"/>
      <c r="B96" s="11" t="str">
        <f>CONCATENATE("          ", "7786", " - ", "INV. SHRINKAGE-COMPUTER SUPPLI")</f>
        <v xml:space="preserve">          7786 - INV. SHRINKAGE-COMPUTER SUPPLI</v>
      </c>
      <c r="C96" s="11"/>
      <c r="D96" s="7">
        <v>5000</v>
      </c>
      <c r="E96" s="2"/>
      <c r="F96" s="6">
        <f t="shared" si="41"/>
        <v>1.1170415093071677E-2</v>
      </c>
      <c r="G96" s="2"/>
      <c r="H96" s="7">
        <v>484</v>
      </c>
      <c r="I96" s="2"/>
      <c r="J96" s="6">
        <f t="shared" si="42"/>
        <v>3.8688754961493095E-3</v>
      </c>
      <c r="K96" s="2"/>
      <c r="L96" s="7">
        <f t="shared" si="43"/>
        <v>4516</v>
      </c>
      <c r="M96" s="2"/>
      <c r="N96" s="6">
        <f t="shared" si="44"/>
        <v>9.3305785123966949</v>
      </c>
      <c r="O96" s="11"/>
      <c r="P96" s="7">
        <v>5000</v>
      </c>
      <c r="Q96" s="2"/>
      <c r="R96" s="6">
        <f t="shared" si="45"/>
        <v>1.7330479728891403E-3</v>
      </c>
      <c r="S96" s="2"/>
      <c r="T96" s="7">
        <v>484</v>
      </c>
      <c r="U96" s="2"/>
      <c r="V96" s="6">
        <f t="shared" si="46"/>
        <v>1.6454383475295118E-4</v>
      </c>
      <c r="W96" s="2"/>
      <c r="X96" s="7">
        <f t="shared" si="47"/>
        <v>4516</v>
      </c>
      <c r="Y96" s="2"/>
      <c r="Z96" s="6">
        <f t="shared" si="48"/>
        <v>9.3305785123966949</v>
      </c>
    </row>
    <row r="97" spans="1:26" s="24" customFormat="1" hidden="1" outlineLevel="2" x14ac:dyDescent="0.35">
      <c r="A97" s="27"/>
      <c r="B97" s="11" t="str">
        <f>CONCATENATE("          ", "7788", " - ", "INV. SHRINKAGE-MUSIC")</f>
        <v xml:space="preserve">          7788 - INV. SHRINKAGE-MUSIC</v>
      </c>
      <c r="C97" s="11"/>
      <c r="D97" s="7">
        <v>152</v>
      </c>
      <c r="E97" s="2"/>
      <c r="F97" s="6">
        <f t="shared" si="41"/>
        <v>3.3958061882937899E-4</v>
      </c>
      <c r="G97" s="2"/>
      <c r="H97" s="7">
        <v>-467</v>
      </c>
      <c r="I97" s="2"/>
      <c r="J97" s="6">
        <f t="shared" si="42"/>
        <v>-3.7329852411192715E-3</v>
      </c>
      <c r="K97" s="2"/>
      <c r="L97" s="7">
        <f t="shared" si="43"/>
        <v>619</v>
      </c>
      <c r="M97" s="2"/>
      <c r="N97" s="6">
        <f t="shared" si="44"/>
        <v>-1.3254817987152034</v>
      </c>
      <c r="O97" s="11"/>
      <c r="P97" s="7">
        <v>152</v>
      </c>
      <c r="Q97" s="2"/>
      <c r="R97" s="6">
        <f t="shared" si="45"/>
        <v>5.2684658375829866E-5</v>
      </c>
      <c r="S97" s="2"/>
      <c r="T97" s="7">
        <v>-467</v>
      </c>
      <c r="U97" s="2"/>
      <c r="V97" s="6">
        <f t="shared" si="46"/>
        <v>-1.5876440254055415E-4</v>
      </c>
      <c r="W97" s="2"/>
      <c r="X97" s="7">
        <f t="shared" si="47"/>
        <v>619</v>
      </c>
      <c r="Y97" s="2"/>
      <c r="Z97" s="6">
        <f t="shared" si="48"/>
        <v>-1.3254817987152034</v>
      </c>
    </row>
    <row r="98" spans="1:26" s="25" customFormat="1" outlineLevel="1" collapsed="1" x14ac:dyDescent="0.35">
      <c r="A98" s="26"/>
      <c r="B98" s="12" t="str">
        <f>CONCATENATE("     ","Repair and Maintenance                            ")</f>
        <v xml:space="preserve">     Repair and Maintenance                            </v>
      </c>
      <c r="C98" s="12"/>
      <c r="D98" s="1">
        <f>SUM(OSRRefD22_10x_0)</f>
        <v>0</v>
      </c>
      <c r="E98" s="1"/>
      <c r="F98" s="5">
        <f t="shared" ref="F98:F104" si="49">IF(D$12=0,0,D98/D$12)</f>
        <v>0</v>
      </c>
      <c r="G98" s="1"/>
      <c r="H98" s="1">
        <f>SUM(OSRRefH22_10x_0)</f>
        <v>0</v>
      </c>
      <c r="I98" s="1"/>
      <c r="J98" s="5">
        <f t="shared" ref="J98:J104" si="50">IF(H$12=0,0,H98/H$12)</f>
        <v>0</v>
      </c>
      <c r="K98" s="1"/>
      <c r="L98" s="1">
        <f t="shared" ref="L98:L104" si="51">+D98-H98</f>
        <v>0</v>
      </c>
      <c r="M98" s="1"/>
      <c r="N98" s="5">
        <f t="shared" ref="N98:N104" si="52">IF(H98=0,0,L98/H98)</f>
        <v>0</v>
      </c>
      <c r="O98" s="12"/>
      <c r="P98" s="1">
        <f>SUM(OSRRefP22_10x_0)</f>
        <v>197.18</v>
      </c>
      <c r="Q98" s="1"/>
      <c r="R98" s="5">
        <f t="shared" ref="R98:R104" si="53">IF(P$12=0,0,P98/P$12)</f>
        <v>6.8344479858856137E-5</v>
      </c>
      <c r="S98" s="1"/>
      <c r="T98" s="1">
        <f>SUM(OSRRefT22_10x_0)</f>
        <v>0</v>
      </c>
      <c r="U98" s="1"/>
      <c r="V98" s="5">
        <f t="shared" ref="V98:V104" si="54">IF(T$12=0,0,T98/T$12)</f>
        <v>0</v>
      </c>
      <c r="W98" s="1"/>
      <c r="X98" s="1">
        <f t="shared" ref="X98:X104" si="55">+P98-T98</f>
        <v>197.18</v>
      </c>
      <c r="Y98" s="1"/>
      <c r="Z98" s="5">
        <f t="shared" ref="Z98:Z104" si="56">IF(T98=0,0,X98/T98)</f>
        <v>0</v>
      </c>
    </row>
    <row r="99" spans="1:26" s="24" customFormat="1" hidden="1" outlineLevel="2" x14ac:dyDescent="0.35">
      <c r="A99" s="27"/>
      <c r="B99" s="11" t="str">
        <f>CONCATENATE("          ", "6375", " - ", "OUTSIDE REPAIRS &amp; MAINTENANCE")</f>
        <v xml:space="preserve">          6375 - OUTSIDE REPAIRS &amp; MAINTENANCE</v>
      </c>
      <c r="C99" s="11"/>
      <c r="D99" s="7"/>
      <c r="E99" s="2"/>
      <c r="F99" s="6">
        <f t="shared" si="49"/>
        <v>0</v>
      </c>
      <c r="G99" s="2"/>
      <c r="H99" s="7"/>
      <c r="I99" s="2"/>
      <c r="J99" s="6">
        <f t="shared" si="50"/>
        <v>0</v>
      </c>
      <c r="K99" s="2"/>
      <c r="L99" s="7">
        <f t="shared" si="51"/>
        <v>0</v>
      </c>
      <c r="M99" s="2"/>
      <c r="N99" s="6">
        <f t="shared" si="52"/>
        <v>0</v>
      </c>
      <c r="O99" s="11"/>
      <c r="P99" s="7">
        <v>197.18</v>
      </c>
      <c r="Q99" s="2"/>
      <c r="R99" s="6">
        <f t="shared" si="53"/>
        <v>6.8344479858856137E-5</v>
      </c>
      <c r="S99" s="2"/>
      <c r="T99" s="7"/>
      <c r="U99" s="2"/>
      <c r="V99" s="6">
        <f t="shared" si="54"/>
        <v>0</v>
      </c>
      <c r="W99" s="2"/>
      <c r="X99" s="7">
        <f t="shared" si="55"/>
        <v>197.18</v>
      </c>
      <c r="Y99" s="2"/>
      <c r="Z99" s="6">
        <f t="shared" si="56"/>
        <v>0</v>
      </c>
    </row>
    <row r="100" spans="1:26" s="25" customFormat="1" outlineLevel="1" collapsed="1" x14ac:dyDescent="0.35">
      <c r="A100" s="26"/>
      <c r="B100" s="12" t="str">
        <f>CONCATENATE("     ","Subscriptions &amp; Dues                              ")</f>
        <v xml:space="preserve">     Subscriptions &amp; Dues                              </v>
      </c>
      <c r="C100" s="12"/>
      <c r="D100" s="1">
        <f>SUM(OSRRefD22_11x_0)</f>
        <v>0</v>
      </c>
      <c r="E100" s="1"/>
      <c r="F100" s="5">
        <f t="shared" si="49"/>
        <v>0</v>
      </c>
      <c r="G100" s="1"/>
      <c r="H100" s="1">
        <f>SUM(OSRRefH22_11x_0)</f>
        <v>-79.98</v>
      </c>
      <c r="I100" s="1"/>
      <c r="J100" s="5">
        <f t="shared" si="50"/>
        <v>-6.3932368219425987E-4</v>
      </c>
      <c r="K100" s="1"/>
      <c r="L100" s="1">
        <f t="shared" si="51"/>
        <v>79.98</v>
      </c>
      <c r="M100" s="1"/>
      <c r="N100" s="5">
        <f t="shared" si="52"/>
        <v>-1</v>
      </c>
      <c r="O100" s="12"/>
      <c r="P100" s="1">
        <f>SUM(OSRRefP22_11x_0)</f>
        <v>-4886.5</v>
      </c>
      <c r="Q100" s="1"/>
      <c r="R100" s="5">
        <f t="shared" si="53"/>
        <v>-1.693707783904557E-3</v>
      </c>
      <c r="S100" s="1"/>
      <c r="T100" s="1">
        <f>SUM(OSRRefT22_11x_0)</f>
        <v>-3232.94</v>
      </c>
      <c r="U100" s="1"/>
      <c r="V100" s="5">
        <f t="shared" si="54"/>
        <v>-1.0990916221615826E-3</v>
      </c>
      <c r="W100" s="1"/>
      <c r="X100" s="1">
        <f t="shared" si="55"/>
        <v>-1653.56</v>
      </c>
      <c r="Y100" s="1"/>
      <c r="Z100" s="5">
        <f t="shared" si="56"/>
        <v>0.51147252964793655</v>
      </c>
    </row>
    <row r="101" spans="1:26" s="24" customFormat="1" hidden="1" outlineLevel="2" x14ac:dyDescent="0.35">
      <c r="A101" s="27"/>
      <c r="B101" s="11" t="str">
        <f>CONCATENATE("          ", "6258", " - ", "MEMBERSHIP DUES")</f>
        <v xml:space="preserve">          6258 - MEMBERSHIP DUES</v>
      </c>
      <c r="C101" s="11"/>
      <c r="D101" s="7"/>
      <c r="E101" s="2"/>
      <c r="F101" s="6">
        <f t="shared" si="49"/>
        <v>0</v>
      </c>
      <c r="G101" s="2"/>
      <c r="H101" s="7">
        <v>-79.98</v>
      </c>
      <c r="I101" s="2"/>
      <c r="J101" s="6">
        <f t="shared" si="50"/>
        <v>-6.3932368219425987E-4</v>
      </c>
      <c r="K101" s="2"/>
      <c r="L101" s="7">
        <f t="shared" si="51"/>
        <v>79.98</v>
      </c>
      <c r="M101" s="2"/>
      <c r="N101" s="6">
        <f t="shared" si="52"/>
        <v>-1</v>
      </c>
      <c r="O101" s="11"/>
      <c r="P101" s="7">
        <v>-4886.5</v>
      </c>
      <c r="Q101" s="2"/>
      <c r="R101" s="6">
        <f t="shared" si="53"/>
        <v>-1.693707783904557E-3</v>
      </c>
      <c r="S101" s="2"/>
      <c r="T101" s="7">
        <v>-3232.94</v>
      </c>
      <c r="U101" s="2"/>
      <c r="V101" s="6">
        <f t="shared" si="54"/>
        <v>-1.0990916221615826E-3</v>
      </c>
      <c r="W101" s="2"/>
      <c r="X101" s="7">
        <f t="shared" si="55"/>
        <v>-1653.56</v>
      </c>
      <c r="Y101" s="2"/>
      <c r="Z101" s="6">
        <f t="shared" si="56"/>
        <v>0.51147252964793655</v>
      </c>
    </row>
    <row r="102" spans="1:26" s="25" customFormat="1" outlineLevel="1" collapsed="1" x14ac:dyDescent="0.35">
      <c r="A102" s="26"/>
      <c r="B102" s="12" t="str">
        <f>CONCATENATE("     ","Supplies                                          ")</f>
        <v xml:space="preserve">     Supplies                                          </v>
      </c>
      <c r="C102" s="12"/>
      <c r="D102" s="1">
        <f>SUM(OSRRefD22_12x_0)</f>
        <v>65.59</v>
      </c>
      <c r="E102" s="1"/>
      <c r="F102" s="5">
        <f t="shared" si="49"/>
        <v>1.4653350519091426E-4</v>
      </c>
      <c r="G102" s="1"/>
      <c r="H102" s="1">
        <f>SUM(OSRRefH22_12x_0)</f>
        <v>182.04000000000002</v>
      </c>
      <c r="I102" s="1"/>
      <c r="J102" s="5">
        <f t="shared" si="50"/>
        <v>1.4551448250392984E-3</v>
      </c>
      <c r="K102" s="1"/>
      <c r="L102" s="1">
        <f t="shared" si="51"/>
        <v>-116.45000000000002</v>
      </c>
      <c r="M102" s="1"/>
      <c r="N102" s="5">
        <f t="shared" si="52"/>
        <v>-0.63969457262140195</v>
      </c>
      <c r="O102" s="12"/>
      <c r="P102" s="1">
        <f>SUM(OSRRefP22_12x_0)</f>
        <v>3260.11</v>
      </c>
      <c r="Q102" s="1"/>
      <c r="R102" s="5">
        <f t="shared" si="53"/>
        <v>1.1299854053791231E-3</v>
      </c>
      <c r="S102" s="1"/>
      <c r="T102" s="1">
        <f>SUM(OSRRefT22_12x_0)</f>
        <v>2396.7600000000002</v>
      </c>
      <c r="U102" s="1"/>
      <c r="V102" s="5">
        <f t="shared" si="54"/>
        <v>8.1481834996380851E-4</v>
      </c>
      <c r="W102" s="1"/>
      <c r="X102" s="1">
        <f t="shared" si="55"/>
        <v>863.34999999999991</v>
      </c>
      <c r="Y102" s="1"/>
      <c r="Z102" s="5">
        <f t="shared" si="56"/>
        <v>0.36021545753433798</v>
      </c>
    </row>
    <row r="103" spans="1:26" s="24" customFormat="1" hidden="1" outlineLevel="2" x14ac:dyDescent="0.35">
      <c r="A103" s="27"/>
      <c r="B103" s="11" t="str">
        <f>CONCATENATE("          ", "6241", " - ", "OFFICE EXPENSE")</f>
        <v xml:space="preserve">          6241 - OFFICE EXPENSE</v>
      </c>
      <c r="C103" s="11"/>
      <c r="D103" s="7">
        <v>65.59</v>
      </c>
      <c r="E103" s="2"/>
      <c r="F103" s="6">
        <f t="shared" si="49"/>
        <v>1.4653350519091426E-4</v>
      </c>
      <c r="G103" s="2"/>
      <c r="H103" s="7">
        <v>159.36000000000001</v>
      </c>
      <c r="I103" s="2"/>
      <c r="J103" s="6">
        <f t="shared" si="50"/>
        <v>1.2738512377404008E-3</v>
      </c>
      <c r="K103" s="2"/>
      <c r="L103" s="7">
        <f t="shared" si="51"/>
        <v>-93.77000000000001</v>
      </c>
      <c r="M103" s="2"/>
      <c r="N103" s="6">
        <f t="shared" si="52"/>
        <v>-0.58841616465863456</v>
      </c>
      <c r="O103" s="11"/>
      <c r="P103" s="7">
        <v>1250.73</v>
      </c>
      <c r="Q103" s="2"/>
      <c r="R103" s="6">
        <f t="shared" si="53"/>
        <v>4.335150182263269E-4</v>
      </c>
      <c r="S103" s="2"/>
      <c r="T103" s="7">
        <v>1704.8</v>
      </c>
      <c r="U103" s="2"/>
      <c r="V103" s="6">
        <f t="shared" si="54"/>
        <v>5.7957506092320488E-4</v>
      </c>
      <c r="W103" s="2"/>
      <c r="X103" s="7">
        <f t="shared" si="55"/>
        <v>-454.06999999999994</v>
      </c>
      <c r="Y103" s="2"/>
      <c r="Z103" s="6">
        <f t="shared" si="56"/>
        <v>-0.26634795870483335</v>
      </c>
    </row>
    <row r="104" spans="1:26" s="24" customFormat="1" hidden="1" outlineLevel="2" x14ac:dyDescent="0.35">
      <c r="A104" s="27"/>
      <c r="B104" s="11" t="str">
        <f>CONCATENATE("          ", "6247", " - ", "STORE SUPPLIES")</f>
        <v xml:space="preserve">          6247 - STORE SUPPLIES</v>
      </c>
      <c r="C104" s="11"/>
      <c r="D104" s="7"/>
      <c r="E104" s="2"/>
      <c r="F104" s="6">
        <f t="shared" si="49"/>
        <v>0</v>
      </c>
      <c r="G104" s="2"/>
      <c r="H104" s="7">
        <v>22.68</v>
      </c>
      <c r="I104" s="2"/>
      <c r="J104" s="6">
        <f t="shared" si="50"/>
        <v>1.8129358729889738E-4</v>
      </c>
      <c r="K104" s="2"/>
      <c r="L104" s="7">
        <f t="shared" si="51"/>
        <v>-22.68</v>
      </c>
      <c r="M104" s="2"/>
      <c r="N104" s="6">
        <f t="shared" si="52"/>
        <v>-1</v>
      </c>
      <c r="O104" s="11"/>
      <c r="P104" s="7">
        <v>2009.38</v>
      </c>
      <c r="Q104" s="2"/>
      <c r="R104" s="6">
        <f t="shared" si="53"/>
        <v>6.9647038715279618E-4</v>
      </c>
      <c r="S104" s="2"/>
      <c r="T104" s="7">
        <v>691.96</v>
      </c>
      <c r="U104" s="2"/>
      <c r="V104" s="6">
        <f t="shared" si="54"/>
        <v>2.3524328904060354E-4</v>
      </c>
      <c r="W104" s="2"/>
      <c r="X104" s="7">
        <f t="shared" si="55"/>
        <v>1317.42</v>
      </c>
      <c r="Y104" s="2"/>
      <c r="Z104" s="6">
        <f t="shared" si="56"/>
        <v>1.9038961789698827</v>
      </c>
    </row>
    <row r="105" spans="1:26" s="25" customFormat="1" outlineLevel="1" collapsed="1" x14ac:dyDescent="0.35">
      <c r="A105" s="26"/>
      <c r="B105" s="12" t="str">
        <f>CONCATENATE("     ","Telephone/Data Lines                              ")</f>
        <v xml:space="preserve">     Telephone/Data Lines                              </v>
      </c>
      <c r="C105" s="12"/>
      <c r="D105" s="1">
        <f>SUM(OSRRefD22_13x_0)</f>
        <v>207.15</v>
      </c>
      <c r="E105" s="1"/>
      <c r="F105" s="5">
        <f t="shared" ref="F105:F111" si="57">IF(D$12=0,0,D105/D$12)</f>
        <v>4.6279029730595956E-4</v>
      </c>
      <c r="G105" s="1"/>
      <c r="H105" s="1">
        <f>SUM(OSRRefH22_13x_0)</f>
        <v>259.5</v>
      </c>
      <c r="I105" s="1"/>
      <c r="J105" s="5">
        <f t="shared" ref="J105:J111" si="58">IF(H$12=0,0,H105/H$12)</f>
        <v>2.0743247753114585E-3</v>
      </c>
      <c r="K105" s="1"/>
      <c r="L105" s="1">
        <f t="shared" ref="L105:L111" si="59">+D105-H105</f>
        <v>-52.349999999999994</v>
      </c>
      <c r="M105" s="1"/>
      <c r="N105" s="5">
        <f t="shared" ref="N105:N111" si="60">IF(H105=0,0,L105/H105)</f>
        <v>-0.20173410404624276</v>
      </c>
      <c r="O105" s="12"/>
      <c r="P105" s="1">
        <f>SUM(OSRRefP22_13x_0)</f>
        <v>2932.35</v>
      </c>
      <c r="Q105" s="1"/>
      <c r="R105" s="5">
        <f t="shared" ref="R105:R111" si="61">IF(P$12=0,0,P105/P$12)</f>
        <v>1.0163806446602942E-3</v>
      </c>
      <c r="S105" s="1"/>
      <c r="T105" s="1">
        <f>SUM(OSRRefT22_13x_0)</f>
        <v>3446.42</v>
      </c>
      <c r="U105" s="1"/>
      <c r="V105" s="5">
        <f t="shared" ref="V105:V111" si="62">IF(T$12=0,0,T105/T$12)</f>
        <v>1.1716676920852603E-3</v>
      </c>
      <c r="W105" s="1"/>
      <c r="X105" s="1">
        <f t="shared" ref="X105:X111" si="63">+P105-T105</f>
        <v>-514.07000000000016</v>
      </c>
      <c r="Y105" s="1"/>
      <c r="Z105" s="5">
        <f t="shared" ref="Z105:Z111" si="64">IF(T105=0,0,X105/T105)</f>
        <v>-0.14916057822319978</v>
      </c>
    </row>
    <row r="106" spans="1:26" s="24" customFormat="1" hidden="1" outlineLevel="2" x14ac:dyDescent="0.35">
      <c r="A106" s="27"/>
      <c r="B106" s="11" t="str">
        <f>CONCATENATE("          ", "6309", " - ", "TELEPHONE")</f>
        <v xml:space="preserve">          6309 - TELEPHONE</v>
      </c>
      <c r="C106" s="11"/>
      <c r="D106" s="7">
        <v>207.15</v>
      </c>
      <c r="E106" s="2"/>
      <c r="F106" s="6">
        <f t="shared" si="57"/>
        <v>4.6279029730595956E-4</v>
      </c>
      <c r="G106" s="2"/>
      <c r="H106" s="7">
        <v>259.5</v>
      </c>
      <c r="I106" s="2"/>
      <c r="J106" s="6">
        <f t="shared" si="58"/>
        <v>2.0743247753114585E-3</v>
      </c>
      <c r="K106" s="2"/>
      <c r="L106" s="7">
        <f t="shared" si="59"/>
        <v>-52.349999999999994</v>
      </c>
      <c r="M106" s="2"/>
      <c r="N106" s="6">
        <f t="shared" si="60"/>
        <v>-0.20173410404624276</v>
      </c>
      <c r="O106" s="11"/>
      <c r="P106" s="7">
        <v>2932.35</v>
      </c>
      <c r="Q106" s="2"/>
      <c r="R106" s="6">
        <f t="shared" si="61"/>
        <v>1.0163806446602942E-3</v>
      </c>
      <c r="S106" s="2"/>
      <c r="T106" s="7">
        <v>3446.42</v>
      </c>
      <c r="U106" s="2"/>
      <c r="V106" s="6">
        <f t="shared" si="62"/>
        <v>1.1716676920852603E-3</v>
      </c>
      <c r="W106" s="2"/>
      <c r="X106" s="7">
        <f t="shared" si="63"/>
        <v>-514.07000000000016</v>
      </c>
      <c r="Y106" s="2"/>
      <c r="Z106" s="6">
        <f t="shared" si="64"/>
        <v>-0.14916057822319978</v>
      </c>
    </row>
    <row r="107" spans="1:26" s="25" customFormat="1" outlineLevel="1" collapsed="1" x14ac:dyDescent="0.35">
      <c r="A107" s="26"/>
      <c r="B107" s="12" t="str">
        <f>CONCATENATE("     ","Training                                          ")</f>
        <v xml:space="preserve">     Training                                          </v>
      </c>
      <c r="C107" s="12"/>
      <c r="D107" s="1">
        <f>SUM(OSRRefD22_14x_0)</f>
        <v>0</v>
      </c>
      <c r="E107" s="1"/>
      <c r="F107" s="5">
        <f t="shared" si="57"/>
        <v>0</v>
      </c>
      <c r="G107" s="1"/>
      <c r="H107" s="1">
        <f>SUM(OSRRefH22_14x_0)</f>
        <v>0</v>
      </c>
      <c r="I107" s="1"/>
      <c r="J107" s="5">
        <f t="shared" si="58"/>
        <v>0</v>
      </c>
      <c r="K107" s="1"/>
      <c r="L107" s="1">
        <f t="shared" si="59"/>
        <v>0</v>
      </c>
      <c r="M107" s="1"/>
      <c r="N107" s="5">
        <f t="shared" si="60"/>
        <v>0</v>
      </c>
      <c r="O107" s="12"/>
      <c r="P107" s="1">
        <f>SUM(OSRRefP22_14x_0)</f>
        <v>1875.75</v>
      </c>
      <c r="Q107" s="1"/>
      <c r="R107" s="5">
        <f t="shared" si="61"/>
        <v>6.5015294702936105E-4</v>
      </c>
      <c r="S107" s="1"/>
      <c r="T107" s="1">
        <f>SUM(OSRRefT22_14x_0)</f>
        <v>568.94000000000005</v>
      </c>
      <c r="U107" s="1"/>
      <c r="V107" s="5">
        <f t="shared" si="62"/>
        <v>1.9342059781889267E-4</v>
      </c>
      <c r="W107" s="1"/>
      <c r="X107" s="1">
        <f t="shared" si="63"/>
        <v>1306.81</v>
      </c>
      <c r="Y107" s="1"/>
      <c r="Z107" s="5">
        <f t="shared" si="64"/>
        <v>2.2969205891658167</v>
      </c>
    </row>
    <row r="108" spans="1:26" s="24" customFormat="1" hidden="1" outlineLevel="2" x14ac:dyDescent="0.35">
      <c r="A108" s="27"/>
      <c r="B108" s="11" t="str">
        <f>CONCATENATE("          ", "6376", " - ", "TRAINING")</f>
        <v xml:space="preserve">          6376 - TRAINING</v>
      </c>
      <c r="C108" s="11"/>
      <c r="D108" s="7"/>
      <c r="E108" s="2"/>
      <c r="F108" s="6">
        <f t="shared" si="57"/>
        <v>0</v>
      </c>
      <c r="G108" s="2"/>
      <c r="H108" s="7"/>
      <c r="I108" s="2"/>
      <c r="J108" s="6">
        <f t="shared" si="58"/>
        <v>0</v>
      </c>
      <c r="K108" s="2"/>
      <c r="L108" s="7">
        <f t="shared" si="59"/>
        <v>0</v>
      </c>
      <c r="M108" s="2"/>
      <c r="N108" s="6">
        <f t="shared" si="60"/>
        <v>0</v>
      </c>
      <c r="O108" s="11"/>
      <c r="P108" s="7">
        <v>1875.75</v>
      </c>
      <c r="Q108" s="2"/>
      <c r="R108" s="6">
        <f t="shared" si="61"/>
        <v>6.5015294702936105E-4</v>
      </c>
      <c r="S108" s="2"/>
      <c r="T108" s="7">
        <v>568.94000000000005</v>
      </c>
      <c r="U108" s="2"/>
      <c r="V108" s="6">
        <f t="shared" si="62"/>
        <v>1.9342059781889267E-4</v>
      </c>
      <c r="W108" s="2"/>
      <c r="X108" s="7">
        <f t="shared" si="63"/>
        <v>1306.81</v>
      </c>
      <c r="Y108" s="2"/>
      <c r="Z108" s="6">
        <f t="shared" si="64"/>
        <v>2.2969205891658167</v>
      </c>
    </row>
    <row r="109" spans="1:26" s="25" customFormat="1" outlineLevel="1" collapsed="1" x14ac:dyDescent="0.35">
      <c r="A109" s="26"/>
      <c r="B109" s="12" t="str">
        <f>CONCATENATE("     ","Travel                                            ")</f>
        <v xml:space="preserve">     Travel                                            </v>
      </c>
      <c r="C109" s="12"/>
      <c r="D109" s="1">
        <f>SUM(OSRRefD22_15x_0)</f>
        <v>0</v>
      </c>
      <c r="E109" s="1"/>
      <c r="F109" s="5">
        <f t="shared" si="57"/>
        <v>0</v>
      </c>
      <c r="G109" s="1"/>
      <c r="H109" s="1">
        <f>SUM(OSRRefH22_15x_0)</f>
        <v>0</v>
      </c>
      <c r="I109" s="1"/>
      <c r="J109" s="5">
        <f t="shared" si="58"/>
        <v>0</v>
      </c>
      <c r="K109" s="1"/>
      <c r="L109" s="1">
        <f t="shared" si="59"/>
        <v>0</v>
      </c>
      <c r="M109" s="1"/>
      <c r="N109" s="5">
        <f t="shared" si="60"/>
        <v>0</v>
      </c>
      <c r="O109" s="12"/>
      <c r="P109" s="1">
        <f>SUM(OSRRefP22_15x_0)</f>
        <v>-178.06</v>
      </c>
      <c r="Q109" s="1"/>
      <c r="R109" s="5">
        <f t="shared" si="61"/>
        <v>-6.1717304410528067E-5</v>
      </c>
      <c r="S109" s="1"/>
      <c r="T109" s="1">
        <f>SUM(OSRRefT22_15x_0)</f>
        <v>1638.2</v>
      </c>
      <c r="U109" s="1"/>
      <c r="V109" s="5">
        <f t="shared" si="62"/>
        <v>5.5693328531463771E-4</v>
      </c>
      <c r="W109" s="1"/>
      <c r="X109" s="1">
        <f t="shared" si="63"/>
        <v>-1816.26</v>
      </c>
      <c r="Y109" s="1"/>
      <c r="Z109" s="5">
        <f t="shared" si="64"/>
        <v>-1.1086924673422047</v>
      </c>
    </row>
    <row r="110" spans="1:26" s="24" customFormat="1" hidden="1" outlineLevel="2" x14ac:dyDescent="0.35">
      <c r="A110" s="27"/>
      <c r="B110" s="11" t="str">
        <f>CONCATENATE("          ", "6292", " - ", "TRAVEL/CONFERENCE")</f>
        <v xml:space="preserve">          6292 - TRAVEL/CONFERENCE</v>
      </c>
      <c r="C110" s="11"/>
      <c r="D110" s="7"/>
      <c r="E110" s="2"/>
      <c r="F110" s="6">
        <f t="shared" si="57"/>
        <v>0</v>
      </c>
      <c r="G110" s="2"/>
      <c r="H110" s="7"/>
      <c r="I110" s="2"/>
      <c r="J110" s="6">
        <f t="shared" si="58"/>
        <v>0</v>
      </c>
      <c r="K110" s="2"/>
      <c r="L110" s="7">
        <f t="shared" si="59"/>
        <v>0</v>
      </c>
      <c r="M110" s="2"/>
      <c r="N110" s="6">
        <f t="shared" si="60"/>
        <v>0</v>
      </c>
      <c r="O110" s="11"/>
      <c r="P110" s="7">
        <v>-178.06</v>
      </c>
      <c r="Q110" s="2"/>
      <c r="R110" s="6">
        <f t="shared" si="61"/>
        <v>-6.1717304410528067E-5</v>
      </c>
      <c r="S110" s="2"/>
      <c r="T110" s="7">
        <v>1333.64</v>
      </c>
      <c r="U110" s="2"/>
      <c r="V110" s="6">
        <f t="shared" si="62"/>
        <v>4.5339305739654098E-4</v>
      </c>
      <c r="W110" s="2"/>
      <c r="X110" s="7">
        <f t="shared" si="63"/>
        <v>-1511.7</v>
      </c>
      <c r="Y110" s="2"/>
      <c r="Z110" s="6">
        <f t="shared" si="64"/>
        <v>-1.133514291712906</v>
      </c>
    </row>
    <row r="111" spans="1:26" s="24" customFormat="1" hidden="1" outlineLevel="2" x14ac:dyDescent="0.35">
      <c r="A111" s="27"/>
      <c r="B111" s="11" t="str">
        <f>CONCATENATE("          ", "6294", " - ", "TRAVEL OPERATIONAL")</f>
        <v xml:space="preserve">          6294 - TRAVEL OPERATIONAL</v>
      </c>
      <c r="C111" s="11"/>
      <c r="D111" s="7"/>
      <c r="E111" s="2"/>
      <c r="F111" s="6">
        <f t="shared" si="57"/>
        <v>0</v>
      </c>
      <c r="G111" s="2"/>
      <c r="H111" s="7"/>
      <c r="I111" s="2"/>
      <c r="J111" s="6">
        <f t="shared" si="58"/>
        <v>0</v>
      </c>
      <c r="K111" s="2"/>
      <c r="L111" s="7">
        <f t="shared" si="59"/>
        <v>0</v>
      </c>
      <c r="M111" s="2"/>
      <c r="N111" s="6">
        <f t="shared" si="60"/>
        <v>0</v>
      </c>
      <c r="O111" s="11"/>
      <c r="P111" s="7"/>
      <c r="Q111" s="2"/>
      <c r="R111" s="6">
        <f t="shared" si="61"/>
        <v>0</v>
      </c>
      <c r="S111" s="2"/>
      <c r="T111" s="7">
        <v>304.56</v>
      </c>
      <c r="U111" s="2"/>
      <c r="V111" s="6">
        <f t="shared" si="62"/>
        <v>1.0354022791809672E-4</v>
      </c>
      <c r="W111" s="2"/>
      <c r="X111" s="7">
        <f t="shared" si="63"/>
        <v>-304.56</v>
      </c>
      <c r="Y111" s="2"/>
      <c r="Z111" s="6">
        <f t="shared" si="64"/>
        <v>-1</v>
      </c>
    </row>
    <row r="112" spans="1:26" s="56" customFormat="1" x14ac:dyDescent="0.3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35">
      <c r="A113" s="10"/>
      <c r="B113" s="29" t="s">
        <v>0</v>
      </c>
      <c r="C113" s="10"/>
      <c r="D113" s="4">
        <f>SUM(OSRRefD25x_0)</f>
        <v>557.77</v>
      </c>
      <c r="E113" s="4"/>
      <c r="F113" s="13">
        <f t="shared" ref="F113:F117" si="65">IF(D$12=0,0,D113/D$12)</f>
        <v>1.2461044852925178E-3</v>
      </c>
      <c r="G113" s="4"/>
      <c r="H113" s="4">
        <f>SUM(OSRRefH25x_0)</f>
        <v>1565.7400000000002</v>
      </c>
      <c r="I113" s="4"/>
      <c r="J113" s="13">
        <f t="shared" ref="J113:J117" si="66">IF(H$12=0,0,H113/H$12)</f>
        <v>1.2515812230043019E-2</v>
      </c>
      <c r="K113" s="4"/>
      <c r="L113" s="4">
        <f t="shared" ref="L113:L117" si="67">+D113-H113</f>
        <v>-1007.9700000000003</v>
      </c>
      <c r="M113" s="4"/>
      <c r="N113" s="13">
        <f t="shared" ref="N113:N117" si="68">IF(H113=0,0,L113/H113)</f>
        <v>-0.64376588705659954</v>
      </c>
      <c r="O113" s="10"/>
      <c r="P113" s="4">
        <f>SUM(OSRRefP25x_0)</f>
        <v>13920.349999999999</v>
      </c>
      <c r="Q113" s="4"/>
      <c r="R113" s="13">
        <f t="shared" ref="R113:R117" si="69">IF(P$12=0,0,P113/P$12)</f>
        <v>4.8249268698814683E-3</v>
      </c>
      <c r="S113" s="4"/>
      <c r="T113" s="4">
        <f>SUM(OSRRefT25x_0)</f>
        <v>10176.24</v>
      </c>
      <c r="U113" s="4"/>
      <c r="V113" s="13">
        <f t="shared" ref="V113:V117" si="70">IF(T$12=0,0,T113/T$12)</f>
        <v>3.4595817210049009E-3</v>
      </c>
      <c r="W113" s="4"/>
      <c r="X113" s="4">
        <f t="shared" ref="X113:X117" si="71">+P113-T113</f>
        <v>3744.1099999999988</v>
      </c>
      <c r="Y113" s="4"/>
      <c r="Z113" s="13">
        <f t="shared" ref="Z113:Z117" si="72">IF(T113=0,0,X113/T113)</f>
        <v>0.36792666053473572</v>
      </c>
    </row>
    <row r="114" spans="1:26" s="24" customFormat="1" hidden="1" outlineLevel="1" x14ac:dyDescent="0.35">
      <c r="A114" s="44"/>
      <c r="B114" s="11" t="str">
        <f>CONCATENATE("          ", "4187", " - ", "NON-TAXABLE SALES-COMPUTER REP")</f>
        <v xml:space="preserve">          4187 - NON-TAXABLE SALES-COMPUTER REP</v>
      </c>
      <c r="C114" s="11"/>
      <c r="D114" s="2">
        <f>--166.52</f>
        <v>166.52</v>
      </c>
      <c r="E114" s="2"/>
      <c r="F114" s="19">
        <f t="shared" si="65"/>
        <v>3.7201950425965917E-4</v>
      </c>
      <c r="G114" s="2"/>
      <c r="H114" s="2">
        <f>--561.46</f>
        <v>561.46</v>
      </c>
      <c r="I114" s="2"/>
      <c r="J114" s="19">
        <f t="shared" si="66"/>
        <v>4.4880554464214696E-3</v>
      </c>
      <c r="K114" s="2"/>
      <c r="L114" s="2">
        <f t="shared" si="67"/>
        <v>-394.94000000000005</v>
      </c>
      <c r="M114" s="2"/>
      <c r="N114" s="19">
        <f t="shared" si="68"/>
        <v>-0.70341609375556591</v>
      </c>
      <c r="O114" s="11"/>
      <c r="P114" s="2">
        <f>--16449.71</f>
        <v>16449.71</v>
      </c>
      <c r="Q114" s="2"/>
      <c r="R114" s="19">
        <f t="shared" si="69"/>
        <v>5.7016273140228441E-3</v>
      </c>
      <c r="S114" s="2"/>
      <c r="T114" s="2">
        <f>--7817.04</f>
        <v>7817.04</v>
      </c>
      <c r="U114" s="2"/>
      <c r="V114" s="19">
        <f t="shared" si="70"/>
        <v>2.6575325165644824E-3</v>
      </c>
      <c r="W114" s="2"/>
      <c r="X114" s="2">
        <f t="shared" si="71"/>
        <v>8632.6699999999983</v>
      </c>
      <c r="Y114" s="2"/>
      <c r="Z114" s="19">
        <f t="shared" si="72"/>
        <v>1.1043400059357504</v>
      </c>
    </row>
    <row r="115" spans="1:26" s="24" customFormat="1" hidden="1" outlineLevel="1" x14ac:dyDescent="0.35">
      <c r="A115" s="44"/>
      <c r="B115" s="11" t="str">
        <f>CONCATENATE("          ", "4387", " - ", "SALES RETURN NON TAXABLE-COMPU")</f>
        <v xml:space="preserve">          4387 - SALES RETURN NON TAXABLE-COMPU</v>
      </c>
      <c r="C115" s="11"/>
      <c r="D115" s="2">
        <f t="shared" ref="D115:D116" si="73">0</f>
        <v>0</v>
      </c>
      <c r="E115" s="2"/>
      <c r="F115" s="19">
        <f t="shared" si="65"/>
        <v>0</v>
      </c>
      <c r="G115" s="2"/>
      <c r="H115" s="2">
        <f>--95.44</f>
        <v>95.44</v>
      </c>
      <c r="I115" s="2"/>
      <c r="J115" s="19">
        <f t="shared" si="66"/>
        <v>7.6290387882745883E-4</v>
      </c>
      <c r="K115" s="2"/>
      <c r="L115" s="2">
        <f t="shared" si="67"/>
        <v>-95.44</v>
      </c>
      <c r="M115" s="2"/>
      <c r="N115" s="19">
        <f t="shared" si="68"/>
        <v>-1</v>
      </c>
      <c r="O115" s="11"/>
      <c r="P115" s="2">
        <f>-7889</f>
        <v>-7889</v>
      </c>
      <c r="Q115" s="2"/>
      <c r="R115" s="19">
        <f t="shared" si="69"/>
        <v>-2.7344030916244856E-3</v>
      </c>
      <c r="S115" s="2"/>
      <c r="T115" s="2">
        <f>--95.44</f>
        <v>95.44</v>
      </c>
      <c r="U115" s="2"/>
      <c r="V115" s="19">
        <f t="shared" si="70"/>
        <v>3.2446412373598472E-5</v>
      </c>
      <c r="W115" s="2"/>
      <c r="X115" s="2">
        <f t="shared" si="71"/>
        <v>-7984.44</v>
      </c>
      <c r="Y115" s="2"/>
      <c r="Z115" s="19">
        <f t="shared" si="72"/>
        <v>-83.65926236378877</v>
      </c>
    </row>
    <row r="116" spans="1:26" s="24" customFormat="1" hidden="1" outlineLevel="1" x14ac:dyDescent="0.35">
      <c r="A116" s="44"/>
      <c r="B116" s="11" t="str">
        <f>CONCATENATE("          ", "5087", " - ", "PURCHASES @ COST-COMPUTER REPA")</f>
        <v xml:space="preserve">          5087 - PURCHASES @ COST-COMPUTER REPA</v>
      </c>
      <c r="C116" s="11"/>
      <c r="D116" s="2">
        <f t="shared" si="73"/>
        <v>0</v>
      </c>
      <c r="E116" s="2"/>
      <c r="F116" s="19">
        <f t="shared" si="65"/>
        <v>0</v>
      </c>
      <c r="G116" s="2"/>
      <c r="H116" s="2">
        <f>-72.06</f>
        <v>-72.06</v>
      </c>
      <c r="I116" s="2"/>
      <c r="J116" s="19">
        <f t="shared" si="66"/>
        <v>-5.7601481043908934E-4</v>
      </c>
      <c r="K116" s="2"/>
      <c r="L116" s="2">
        <f t="shared" si="67"/>
        <v>72.06</v>
      </c>
      <c r="M116" s="2"/>
      <c r="N116" s="19">
        <f t="shared" si="68"/>
        <v>-1</v>
      </c>
      <c r="O116" s="11"/>
      <c r="P116" s="2">
        <f>-72.06</f>
        <v>-72.06</v>
      </c>
      <c r="Q116" s="2"/>
      <c r="R116" s="19">
        <f t="shared" si="69"/>
        <v>-2.4976687385278291E-5</v>
      </c>
      <c r="S116" s="2"/>
      <c r="T116" s="2">
        <f>-312.26</f>
        <v>-312.26</v>
      </c>
      <c r="U116" s="2"/>
      <c r="V116" s="19">
        <f t="shared" si="70"/>
        <v>-1.0615797074371185E-4</v>
      </c>
      <c r="W116" s="2"/>
      <c r="X116" s="2">
        <f t="shared" si="71"/>
        <v>240.2</v>
      </c>
      <c r="Y116" s="2"/>
      <c r="Z116" s="19">
        <f t="shared" si="72"/>
        <v>-0.76923076923076916</v>
      </c>
    </row>
    <row r="117" spans="1:26" s="24" customFormat="1" hidden="1" outlineLevel="1" x14ac:dyDescent="0.35">
      <c r="A117" s="44"/>
      <c r="B117" s="11" t="str">
        <f>CONCATENATE("          ", "9150", " - ", "MISC. INCOME")</f>
        <v xml:space="preserve">          9150 - MISC. INCOME</v>
      </c>
      <c r="C117" s="11"/>
      <c r="D117" s="2">
        <f>--391.25</f>
        <v>391.25</v>
      </c>
      <c r="E117" s="2"/>
      <c r="F117" s="19">
        <f t="shared" si="65"/>
        <v>8.740849810328587E-4</v>
      </c>
      <c r="G117" s="2"/>
      <c r="H117" s="2">
        <f>--980.9</f>
        <v>980.9</v>
      </c>
      <c r="I117" s="2"/>
      <c r="J117" s="19">
        <f t="shared" si="66"/>
        <v>7.8408677152331761E-3</v>
      </c>
      <c r="K117" s="2"/>
      <c r="L117" s="2">
        <f t="shared" si="67"/>
        <v>-589.65</v>
      </c>
      <c r="M117" s="2"/>
      <c r="N117" s="19">
        <f t="shared" si="68"/>
        <v>-0.60113161382403912</v>
      </c>
      <c r="O117" s="11"/>
      <c r="P117" s="2">
        <f>--5431.7</f>
        <v>5431.7</v>
      </c>
      <c r="Q117" s="2"/>
      <c r="R117" s="19">
        <f t="shared" si="69"/>
        <v>1.8826793348683886E-3</v>
      </c>
      <c r="S117" s="2"/>
      <c r="T117" s="2">
        <f>--2576.02</f>
        <v>2576.02</v>
      </c>
      <c r="U117" s="2"/>
      <c r="V117" s="19">
        <f t="shared" si="70"/>
        <v>8.757607628105317E-4</v>
      </c>
      <c r="W117" s="2"/>
      <c r="X117" s="2">
        <f t="shared" si="71"/>
        <v>2855.68</v>
      </c>
      <c r="Y117" s="2"/>
      <c r="Z117" s="19">
        <f t="shared" si="72"/>
        <v>1.1085628217172225</v>
      </c>
    </row>
    <row r="118" spans="1:26" x14ac:dyDescent="0.3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35">
      <c r="A119" s="10"/>
      <c r="B119" s="28" t="s">
        <v>3</v>
      </c>
      <c r="C119" s="28"/>
      <c r="D119" s="22">
        <f>+D55-D57+D113</f>
        <v>154690.10999999996</v>
      </c>
      <c r="E119" s="14"/>
      <c r="F119" s="21">
        <f>IF(D$12=0,0,D119/D$12)</f>
        <v>0.34559054789858346</v>
      </c>
      <c r="G119" s="14"/>
      <c r="H119" s="22">
        <f>+H55-H57+H113</f>
        <v>61543.840000000004</v>
      </c>
      <c r="I119" s="14"/>
      <c r="J119" s="21">
        <f>IF(H$12=0,0,H119/H$12)</f>
        <v>0.49195341841928458</v>
      </c>
      <c r="K119" s="15"/>
      <c r="L119" s="22">
        <f>+D119-H119</f>
        <v>93146.26999999996</v>
      </c>
      <c r="M119" s="15"/>
      <c r="N119" s="21">
        <f>IF(H119=0,0,L119/H119)</f>
        <v>1.5134946080712539</v>
      </c>
      <c r="O119" s="29"/>
      <c r="P119" s="22">
        <f>+P55-P57+P113</f>
        <v>273652.22000000026</v>
      </c>
      <c r="Q119" s="14"/>
      <c r="R119" s="21">
        <f>IF(P$12=0,0,P119/P$12)</f>
        <v>9.4850485029522702E-2</v>
      </c>
      <c r="S119" s="14"/>
      <c r="T119" s="22">
        <f>+T55-T57+T113</f>
        <v>252650.77999999933</v>
      </c>
      <c r="U119" s="14"/>
      <c r="V119" s="21">
        <f>IF(T$12=0,0,T119/T$12)</f>
        <v>8.5892826848190315E-2</v>
      </c>
      <c r="W119" s="15"/>
      <c r="X119" s="22">
        <f>+P119-T119</f>
        <v>21001.440000000934</v>
      </c>
      <c r="Y119" s="15"/>
      <c r="Z119" s="21">
        <f>IF(T119=0,0,X119/T119)</f>
        <v>8.3124382200605085E-2</v>
      </c>
    </row>
    <row r="120" spans="1:26" x14ac:dyDescent="0.3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35">
      <c r="A121" s="51"/>
      <c r="B121" s="10" t="s">
        <v>13</v>
      </c>
      <c r="C121" s="10"/>
      <c r="D121" s="4">
        <v>148266.75999999998</v>
      </c>
      <c r="E121" s="4"/>
      <c r="F121" s="13">
        <f>IF(D$12=0,0,D121/D$12)</f>
        <v>0.33124025074096713</v>
      </c>
      <c r="G121" s="4"/>
      <c r="H121" s="4">
        <v>-83283.849999999991</v>
      </c>
      <c r="I121" s="4"/>
      <c r="J121" s="13">
        <f>IF(H$12=0,0,H121/H$12)</f>
        <v>-0.66573315390490628</v>
      </c>
      <c r="K121" s="4"/>
      <c r="L121" s="4">
        <f>+D121-H121</f>
        <v>231550.61</v>
      </c>
      <c r="M121" s="4"/>
      <c r="N121" s="13">
        <f>IF(H121=0,0,L121/H121)</f>
        <v>-2.7802582373413336</v>
      </c>
      <c r="O121" s="10"/>
      <c r="P121" s="4">
        <v>436914.47</v>
      </c>
      <c r="Q121" s="4"/>
      <c r="R121" s="13">
        <f>IF(P$12=0,0,P121/P$12)</f>
        <v>0.15143874731188661</v>
      </c>
      <c r="S121" s="4"/>
      <c r="T121" s="4">
        <v>209659.09999999998</v>
      </c>
      <c r="U121" s="4"/>
      <c r="V121" s="13">
        <f>IF(T$12=0,0,T121/T$12)</f>
        <v>7.127709153895137E-2</v>
      </c>
      <c r="W121" s="4"/>
      <c r="X121" s="4">
        <f>+P121-T121</f>
        <v>227255.37</v>
      </c>
      <c r="Y121" s="4"/>
      <c r="Z121" s="13">
        <f>IF(T121=0,0,X121/T121)</f>
        <v>1.0839280050329321</v>
      </c>
    </row>
    <row r="122" spans="1:26" x14ac:dyDescent="0.3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" thickBot="1" x14ac:dyDescent="0.4">
      <c r="A123" s="10"/>
      <c r="B123" s="28" t="s">
        <v>4</v>
      </c>
      <c r="C123" s="28"/>
      <c r="D123" s="34">
        <f>+D119-D121</f>
        <v>6423.3499999999767</v>
      </c>
      <c r="E123" s="14"/>
      <c r="F123" s="32">
        <f>IF(D$12=0,0,D123/D$12)</f>
        <v>1.4350297157616338E-2</v>
      </c>
      <c r="G123" s="14"/>
      <c r="H123" s="34">
        <f>+H119-H121</f>
        <v>144827.69</v>
      </c>
      <c r="I123" s="14"/>
      <c r="J123" s="32">
        <f>IF(H$12=0,0,H123/H$12)</f>
        <v>1.1576865723241909</v>
      </c>
      <c r="K123" s="15"/>
      <c r="L123" s="34">
        <f>D123-H123</f>
        <v>-138404.34000000003</v>
      </c>
      <c r="M123" s="15"/>
      <c r="N123" s="32">
        <f>IF(H123=0,0,L123/H123)</f>
        <v>-0.95564832940441169</v>
      </c>
      <c r="O123" s="29"/>
      <c r="P123" s="34">
        <f>+P119-P121</f>
        <v>-163262.24999999971</v>
      </c>
      <c r="Q123" s="14"/>
      <c r="R123" s="32">
        <f>IF(P$12=0,0,P123/P$12)</f>
        <v>-5.658826228236391E-2</v>
      </c>
      <c r="S123" s="14"/>
      <c r="T123" s="34">
        <f>+T119-T121</f>
        <v>42991.679999999353</v>
      </c>
      <c r="U123" s="14"/>
      <c r="V123" s="32">
        <f>IF(T$12=0,0,T123/T$12)</f>
        <v>1.4615735309238946E-2</v>
      </c>
      <c r="W123" s="15"/>
      <c r="X123" s="34">
        <f>P123-T123</f>
        <v>-206253.92999999906</v>
      </c>
      <c r="Y123" s="15"/>
      <c r="Z123" s="32">
        <f>IF(T123=0,0,X123/T123)</f>
        <v>-4.7975312897751881</v>
      </c>
    </row>
    <row r="124" spans="1:26" ht="15" thickTop="1" x14ac:dyDescent="0.3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3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" thickBot="1" x14ac:dyDescent="0.4">
      <c r="A126" s="10"/>
      <c r="B126" s="28" t="s">
        <v>5</v>
      </c>
      <c r="C126" s="28"/>
      <c r="D126" s="35">
        <f>SUM(D123:D125)</f>
        <v>6423.3499999999767</v>
      </c>
      <c r="E126" s="14"/>
      <c r="F126" s="33">
        <f>IF(D$12=0,0,D126/D$12)</f>
        <v>1.4350297157616338E-2</v>
      </c>
      <c r="G126" s="14"/>
      <c r="H126" s="35">
        <f>SUM(H123:H125)</f>
        <v>144827.69</v>
      </c>
      <c r="I126" s="14"/>
      <c r="J126" s="33">
        <f>IF(H$12=0,0,H126/H$12)</f>
        <v>1.1576865723241909</v>
      </c>
      <c r="K126" s="15"/>
      <c r="L126" s="35">
        <f>+D126-H126</f>
        <v>-138404.34000000003</v>
      </c>
      <c r="M126" s="15"/>
      <c r="N126" s="33">
        <f>IF(H126=0,0,L126/H126)</f>
        <v>-0.95564832940441169</v>
      </c>
      <c r="O126" s="29"/>
      <c r="P126" s="35">
        <f>SUM(P123:P125)</f>
        <v>-163262.24999999971</v>
      </c>
      <c r="Q126" s="14"/>
      <c r="R126" s="33">
        <f>IF(P$12=0,0,P126/P$12)</f>
        <v>-5.658826228236391E-2</v>
      </c>
      <c r="S126" s="14"/>
      <c r="T126" s="35">
        <f>SUM(T123:T125)</f>
        <v>42991.679999999353</v>
      </c>
      <c r="U126" s="14"/>
      <c r="V126" s="33">
        <f>IF(T$12=0,0,T126/T$12)</f>
        <v>1.4615735309238946E-2</v>
      </c>
      <c r="W126" s="15"/>
      <c r="X126" s="35">
        <f>+P126-T126</f>
        <v>-206253.92999999906</v>
      </c>
      <c r="Y126" s="15"/>
      <c r="Z126" s="33">
        <f>IF(T126=0,0,X126/T126)</f>
        <v>-4.7975312897751881</v>
      </c>
    </row>
    <row r="127" spans="1:26" ht="15" thickTop="1" x14ac:dyDescent="0.35">
      <c r="A127" s="9"/>
      <c r="C127" s="9"/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35">
      <c r="A128" s="9"/>
      <c r="B128" s="52">
        <v>44043.522547916669</v>
      </c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35">
      <c r="A129" s="9"/>
      <c r="B129" s="61" t="s">
        <v>313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35">
      <c r="A130" s="9"/>
      <c r="B130" s="54"/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35"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","317", " - ", "Computer Store")</f>
        <v>Department 317 - Computer Store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447610.93999999994</v>
      </c>
      <c r="E12" s="4"/>
      <c r="F12" s="13"/>
      <c r="G12" s="4"/>
      <c r="H12" s="4">
        <f>SUM(OSRRefH13x_0)</f>
        <v>125100.95000000001</v>
      </c>
      <c r="I12" s="4"/>
      <c r="J12" s="13"/>
      <c r="K12" s="4"/>
      <c r="L12" s="4">
        <f t="shared" ref="L12:L36" si="0">+D12-H12</f>
        <v>322509.98999999993</v>
      </c>
      <c r="M12" s="4"/>
      <c r="N12" s="13">
        <f t="shared" ref="N12:N36" si="1">IF(H12=0,0,L12/H12)</f>
        <v>2.5779979288726418</v>
      </c>
      <c r="O12" s="10"/>
      <c r="P12" s="4">
        <f>SUM(OSRRefP13x_0)</f>
        <v>2885090.36</v>
      </c>
      <c r="Q12" s="4"/>
      <c r="R12" s="13"/>
      <c r="S12" s="4"/>
      <c r="T12" s="4">
        <f>SUM(OSRRefT13x_0)</f>
        <v>2941465.419999999</v>
      </c>
      <c r="U12" s="4"/>
      <c r="V12" s="13"/>
      <c r="W12" s="4"/>
      <c r="X12" s="4">
        <f t="shared" ref="X12:X36" si="2">+P12-T12</f>
        <v>-56375.059999999125</v>
      </c>
      <c r="Y12" s="4"/>
      <c r="Z12" s="13">
        <f t="shared" ref="Z12:Z36" si="3">IF(T12=0,0,X12/T12)</f>
        <v>-1.9165637514106538E-2</v>
      </c>
    </row>
    <row r="13" spans="1:26" s="24" customFormat="1" hidden="1" outlineLevel="1" x14ac:dyDescent="0.3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--1708.99</f>
        <v>1708.99</v>
      </c>
      <c r="E13" s="2"/>
      <c r="F13" s="19"/>
      <c r="G13" s="2"/>
      <c r="H13" s="2">
        <f>--4245.99</f>
        <v>4245.99</v>
      </c>
      <c r="I13" s="2"/>
      <c r="J13" s="19"/>
      <c r="K13" s="2"/>
      <c r="L13" s="2">
        <f t="shared" si="0"/>
        <v>-2537</v>
      </c>
      <c r="M13" s="2"/>
      <c r="N13" s="19">
        <f t="shared" si="1"/>
        <v>-0.59750493995511067</v>
      </c>
      <c r="O13" s="11"/>
      <c r="P13" s="2">
        <f>--314869.02</f>
        <v>314869.02</v>
      </c>
      <c r="Q13" s="2"/>
      <c r="R13" s="19"/>
      <c r="S13" s="2"/>
      <c r="T13" s="2">
        <f>--235356.89</f>
        <v>235356.89</v>
      </c>
      <c r="U13" s="2"/>
      <c r="V13" s="19"/>
      <c r="W13" s="2"/>
      <c r="X13" s="2">
        <f t="shared" si="2"/>
        <v>79512.13</v>
      </c>
      <c r="Y13" s="2"/>
      <c r="Z13" s="19">
        <f t="shared" si="3"/>
        <v>0.33783642365430644</v>
      </c>
    </row>
    <row r="14" spans="1:26" s="24" customFormat="1" hidden="1" outlineLevel="1" x14ac:dyDescent="0.3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--391247.66</f>
        <v>391247.66</v>
      </c>
      <c r="E14" s="2"/>
      <c r="F14" s="19"/>
      <c r="G14" s="2"/>
      <c r="H14" s="2">
        <f>--124313.48</f>
        <v>124313.48</v>
      </c>
      <c r="I14" s="2"/>
      <c r="J14" s="19"/>
      <c r="K14" s="2"/>
      <c r="L14" s="2">
        <f t="shared" si="0"/>
        <v>266934.18</v>
      </c>
      <c r="M14" s="2"/>
      <c r="N14" s="19">
        <f t="shared" si="1"/>
        <v>2.1472665715737342</v>
      </c>
      <c r="O14" s="11"/>
      <c r="P14" s="2">
        <f>--2373486.44</f>
        <v>2373486.44</v>
      </c>
      <c r="Q14" s="2"/>
      <c r="R14" s="19"/>
      <c r="S14" s="2"/>
      <c r="T14" s="2">
        <f>--2285673.33</f>
        <v>2285673.33</v>
      </c>
      <c r="U14" s="2"/>
      <c r="V14" s="19"/>
      <c r="W14" s="2"/>
      <c r="X14" s="2">
        <f t="shared" si="2"/>
        <v>87813.10999999987</v>
      </c>
      <c r="Y14" s="2"/>
      <c r="Z14" s="19">
        <f t="shared" si="3"/>
        <v>3.8418924020082901E-2</v>
      </c>
    </row>
    <row r="15" spans="1:26" s="24" customFormat="1" hidden="1" outlineLevel="1" x14ac:dyDescent="0.3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--32731.49</f>
        <v>32731.49</v>
      </c>
      <c r="E15" s="2"/>
      <c r="F15" s="19"/>
      <c r="G15" s="2"/>
      <c r="H15" s="2">
        <f>--4327.03</f>
        <v>4327.03</v>
      </c>
      <c r="I15" s="2"/>
      <c r="J15" s="19"/>
      <c r="K15" s="2"/>
      <c r="L15" s="2">
        <f t="shared" si="0"/>
        <v>28404.460000000003</v>
      </c>
      <c r="M15" s="2"/>
      <c r="N15" s="19">
        <f t="shared" si="1"/>
        <v>6.5644240968978735</v>
      </c>
      <c r="O15" s="11"/>
      <c r="P15" s="2">
        <f>--138235.56</f>
        <v>138235.56</v>
      </c>
      <c r="Q15" s="2"/>
      <c r="R15" s="19"/>
      <c r="S15" s="2"/>
      <c r="T15" s="2">
        <f>--137267.09</f>
        <v>137267.09</v>
      </c>
      <c r="U15" s="2"/>
      <c r="V15" s="19"/>
      <c r="W15" s="2"/>
      <c r="X15" s="2">
        <f t="shared" si="2"/>
        <v>968.47000000000116</v>
      </c>
      <c r="Y15" s="2"/>
      <c r="Z15" s="19">
        <f t="shared" si="3"/>
        <v>7.0553692075791888E-3</v>
      </c>
    </row>
    <row r="16" spans="1:26" s="24" customFormat="1" hidden="1" outlineLevel="1" x14ac:dyDescent="0.3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--1563.99</f>
        <v>1563.99</v>
      </c>
      <c r="U16" s="2"/>
      <c r="V16" s="19"/>
      <c r="W16" s="2"/>
      <c r="X16" s="2">
        <f t="shared" si="2"/>
        <v>-1434.99</v>
      </c>
      <c r="Y16" s="2"/>
      <c r="Z16" s="19">
        <f t="shared" si="3"/>
        <v>-0.91751865421134404</v>
      </c>
    </row>
    <row r="17" spans="1:26" s="24" customFormat="1" hidden="1" outlineLevel="1" x14ac:dyDescent="0.3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--69.99</f>
        <v>69.989999999999995</v>
      </c>
      <c r="I17" s="2"/>
      <c r="J17" s="19"/>
      <c r="K17" s="2"/>
      <c r="L17" s="2">
        <f t="shared" si="0"/>
        <v>-69.989999999999995</v>
      </c>
      <c r="M17" s="2"/>
      <c r="N17" s="19">
        <f t="shared" si="1"/>
        <v>-1</v>
      </c>
      <c r="O17" s="11"/>
      <c r="P17" s="2">
        <f>--4587.93</f>
        <v>4587.93</v>
      </c>
      <c r="Q17" s="2"/>
      <c r="R17" s="19"/>
      <c r="S17" s="2"/>
      <c r="T17" s="2">
        <f>--13428.64</f>
        <v>13428.64</v>
      </c>
      <c r="U17" s="2"/>
      <c r="V17" s="19"/>
      <c r="W17" s="2"/>
      <c r="X17" s="2">
        <f t="shared" si="2"/>
        <v>-8840.7099999999991</v>
      </c>
      <c r="Y17" s="2"/>
      <c r="Z17" s="19">
        <f t="shared" si="3"/>
        <v>-0.65834738290698092</v>
      </c>
    </row>
    <row r="18" spans="1:26" s="24" customFormat="1" hidden="1" outlineLevel="1" x14ac:dyDescent="0.3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--114.95</f>
        <v>114.95</v>
      </c>
      <c r="E18" s="2"/>
      <c r="F18" s="19"/>
      <c r="G18" s="2"/>
      <c r="H18" s="2">
        <f>--1965.47</f>
        <v>1965.47</v>
      </c>
      <c r="I18" s="2"/>
      <c r="J18" s="19"/>
      <c r="K18" s="2"/>
      <c r="L18" s="2">
        <f t="shared" si="0"/>
        <v>-1850.52</v>
      </c>
      <c r="M18" s="2"/>
      <c r="N18" s="19">
        <f t="shared" si="1"/>
        <v>-0.94151526098083405</v>
      </c>
      <c r="O18" s="11"/>
      <c r="P18" s="2">
        <f>--48830.67</f>
        <v>48830.67</v>
      </c>
      <c r="Q18" s="2"/>
      <c r="R18" s="19"/>
      <c r="S18" s="2"/>
      <c r="T18" s="2">
        <f>--91581.11</f>
        <v>91581.11</v>
      </c>
      <c r="U18" s="2"/>
      <c r="V18" s="19"/>
      <c r="W18" s="2"/>
      <c r="X18" s="2">
        <f t="shared" si="2"/>
        <v>-42750.44</v>
      </c>
      <c r="Y18" s="2"/>
      <c r="Z18" s="19">
        <f t="shared" si="3"/>
        <v>-0.46680412587268272</v>
      </c>
    </row>
    <row r="19" spans="1:26" s="24" customFormat="1" hidden="1" outlineLevel="1" x14ac:dyDescent="0.3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--356</f>
        <v>356</v>
      </c>
      <c r="E19" s="2"/>
      <c r="F19" s="19"/>
      <c r="G19" s="2"/>
      <c r="H19" s="2">
        <f>--49.99</f>
        <v>49.99</v>
      </c>
      <c r="I19" s="2"/>
      <c r="J19" s="19"/>
      <c r="K19" s="2"/>
      <c r="L19" s="2">
        <f t="shared" si="0"/>
        <v>306.01</v>
      </c>
      <c r="M19" s="2"/>
      <c r="N19" s="19">
        <f t="shared" si="1"/>
        <v>6.1214242848569711</v>
      </c>
      <c r="O19" s="11"/>
      <c r="P19" s="2">
        <f>--3151.75</f>
        <v>3151.75</v>
      </c>
      <c r="Q19" s="2"/>
      <c r="R19" s="19"/>
      <c r="S19" s="2"/>
      <c r="T19" s="2">
        <f>--2170.76</f>
        <v>2170.7600000000002</v>
      </c>
      <c r="U19" s="2"/>
      <c r="V19" s="19"/>
      <c r="W19" s="2"/>
      <c r="X19" s="2">
        <f t="shared" si="2"/>
        <v>980.98999999999978</v>
      </c>
      <c r="Y19" s="2"/>
      <c r="Z19" s="19">
        <f t="shared" si="3"/>
        <v>0.451910851499014</v>
      </c>
    </row>
    <row r="20" spans="1:26" s="24" customFormat="1" hidden="1" outlineLevel="1" x14ac:dyDescent="0.3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--1267.95</f>
        <v>1267.95</v>
      </c>
      <c r="E20" s="2"/>
      <c r="F20" s="19"/>
      <c r="G20" s="2"/>
      <c r="H20" s="2">
        <f>--225.13</f>
        <v>225.13</v>
      </c>
      <c r="I20" s="2"/>
      <c r="J20" s="19"/>
      <c r="K20" s="2"/>
      <c r="L20" s="2">
        <f t="shared" si="0"/>
        <v>1042.8200000000002</v>
      </c>
      <c r="M20" s="2"/>
      <c r="N20" s="19">
        <f t="shared" si="1"/>
        <v>4.632079243103985</v>
      </c>
      <c r="O20" s="11"/>
      <c r="P20" s="2">
        <f>--3925.74</f>
        <v>3925.74</v>
      </c>
      <c r="Q20" s="2"/>
      <c r="R20" s="19"/>
      <c r="S20" s="2"/>
      <c r="T20" s="2">
        <f>--16357.65</f>
        <v>16357.65</v>
      </c>
      <c r="U20" s="2"/>
      <c r="V20" s="19"/>
      <c r="W20" s="2"/>
      <c r="X20" s="2">
        <f t="shared" si="2"/>
        <v>-12431.91</v>
      </c>
      <c r="Y20" s="2"/>
      <c r="Z20" s="19">
        <f t="shared" si="3"/>
        <v>-0.76000586881367438</v>
      </c>
    </row>
    <row r="21" spans="1:26" s="24" customFormat="1" hidden="1" outlineLevel="1" x14ac:dyDescent="0.3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--45022.25</f>
        <v>45022.25</v>
      </c>
      <c r="E21" s="2"/>
      <c r="F21" s="19"/>
      <c r="G21" s="2"/>
      <c r="H21" s="2">
        <f>--3372</f>
        <v>3372</v>
      </c>
      <c r="I21" s="2"/>
      <c r="J21" s="19"/>
      <c r="K21" s="2"/>
      <c r="L21" s="2">
        <f t="shared" si="0"/>
        <v>41650.25</v>
      </c>
      <c r="M21" s="2"/>
      <c r="N21" s="19">
        <f t="shared" si="1"/>
        <v>12.35179418742586</v>
      </c>
      <c r="O21" s="11"/>
      <c r="P21" s="2">
        <f>--221223.79</f>
        <v>221223.79</v>
      </c>
      <c r="Q21" s="2"/>
      <c r="R21" s="19"/>
      <c r="S21" s="2"/>
      <c r="T21" s="2">
        <f>--239193.82</f>
        <v>239193.82</v>
      </c>
      <c r="U21" s="2"/>
      <c r="V21" s="19"/>
      <c r="W21" s="2"/>
      <c r="X21" s="2">
        <f t="shared" si="2"/>
        <v>-17970.03</v>
      </c>
      <c r="Y21" s="2"/>
      <c r="Z21" s="19">
        <f t="shared" si="3"/>
        <v>-7.5127484480995363E-2</v>
      </c>
    </row>
    <row r="22" spans="1:26" s="24" customFormat="1" hidden="1" outlineLevel="1" x14ac:dyDescent="0.3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--1394.82</f>
        <v>1394.82</v>
      </c>
      <c r="E22" s="2"/>
      <c r="F22" s="19"/>
      <c r="G22" s="2"/>
      <c r="H22" s="2">
        <f t="shared" ref="H22:H23" si="5">0</f>
        <v>0</v>
      </c>
      <c r="I22" s="2"/>
      <c r="J22" s="19"/>
      <c r="K22" s="2"/>
      <c r="L22" s="2">
        <f t="shared" si="0"/>
        <v>1394.82</v>
      </c>
      <c r="M22" s="2"/>
      <c r="N22" s="19">
        <f t="shared" si="1"/>
        <v>0</v>
      </c>
      <c r="O22" s="11"/>
      <c r="P22" s="2">
        <f>--12822.38</f>
        <v>12822.38</v>
      </c>
      <c r="Q22" s="2"/>
      <c r="R22" s="19"/>
      <c r="S22" s="2"/>
      <c r="T22" s="2">
        <f>--9758.94</f>
        <v>9758.94</v>
      </c>
      <c r="U22" s="2"/>
      <c r="V22" s="19"/>
      <c r="W22" s="2"/>
      <c r="X22" s="2">
        <f t="shared" si="2"/>
        <v>3063.4399999999987</v>
      </c>
      <c r="Y22" s="2"/>
      <c r="Z22" s="19">
        <f t="shared" si="3"/>
        <v>0.31391114198878139</v>
      </c>
    </row>
    <row r="23" spans="1:26" s="24" customFormat="1" hidden="1" outlineLevel="1" x14ac:dyDescent="0.3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--2728</f>
        <v>2728</v>
      </c>
      <c r="Q23" s="2"/>
      <c r="R23" s="19"/>
      <c r="S23" s="2"/>
      <c r="T23" s="2">
        <f>--3840</f>
        <v>3840</v>
      </c>
      <c r="U23" s="2"/>
      <c r="V23" s="19"/>
      <c r="W23" s="2"/>
      <c r="X23" s="2">
        <f t="shared" si="2"/>
        <v>-1112</v>
      </c>
      <c r="Y23" s="2"/>
      <c r="Z23" s="19">
        <f t="shared" si="3"/>
        <v>-0.28958333333333336</v>
      </c>
    </row>
    <row r="24" spans="1:26" s="24" customFormat="1" hidden="1" outlineLevel="1" x14ac:dyDescent="0.3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--5267.75</f>
        <v>5267.75</v>
      </c>
      <c r="E24" s="2"/>
      <c r="F24" s="19"/>
      <c r="G24" s="2"/>
      <c r="H24" s="2">
        <f>--98</f>
        <v>98</v>
      </c>
      <c r="I24" s="2"/>
      <c r="J24" s="19"/>
      <c r="K24" s="2"/>
      <c r="L24" s="2">
        <f t="shared" si="0"/>
        <v>5169.75</v>
      </c>
      <c r="M24" s="2"/>
      <c r="N24" s="19">
        <f t="shared" si="1"/>
        <v>52.752551020408163</v>
      </c>
      <c r="O24" s="11"/>
      <c r="P24" s="2">
        <f>--25792.1</f>
        <v>25792.1</v>
      </c>
      <c r="Q24" s="2"/>
      <c r="R24" s="19"/>
      <c r="S24" s="2"/>
      <c r="T24" s="2">
        <f>--6664.76</f>
        <v>6664.76</v>
      </c>
      <c r="U24" s="2"/>
      <c r="V24" s="19"/>
      <c r="W24" s="2"/>
      <c r="X24" s="2">
        <f t="shared" si="2"/>
        <v>19127.339999999997</v>
      </c>
      <c r="Y24" s="2"/>
      <c r="Z24" s="19">
        <f t="shared" si="3"/>
        <v>2.8699217976341229</v>
      </c>
    </row>
    <row r="25" spans="1:26" s="24" customFormat="1" hidden="1" outlineLevel="1" x14ac:dyDescent="0.3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--431.97</f>
        <v>431.97</v>
      </c>
      <c r="E25" s="2"/>
      <c r="F25" s="19"/>
      <c r="G25" s="2"/>
      <c r="H25" s="2">
        <f>--85.95</f>
        <v>85.95</v>
      </c>
      <c r="I25" s="2"/>
      <c r="J25" s="19"/>
      <c r="K25" s="2"/>
      <c r="L25" s="2">
        <f t="shared" si="0"/>
        <v>346.02000000000004</v>
      </c>
      <c r="M25" s="2"/>
      <c r="N25" s="19">
        <f t="shared" si="1"/>
        <v>4.0258289703315882</v>
      </c>
      <c r="O25" s="11"/>
      <c r="P25" s="2">
        <f>--3358.05</f>
        <v>3358.05</v>
      </c>
      <c r="Q25" s="2"/>
      <c r="R25" s="19"/>
      <c r="S25" s="2"/>
      <c r="T25" s="2">
        <f>--6251.3</f>
        <v>6251.3</v>
      </c>
      <c r="U25" s="2"/>
      <c r="V25" s="19"/>
      <c r="W25" s="2"/>
      <c r="X25" s="2">
        <f t="shared" si="2"/>
        <v>-2893.25</v>
      </c>
      <c r="Y25" s="2"/>
      <c r="Z25" s="19">
        <f t="shared" si="3"/>
        <v>-0.46282373266360594</v>
      </c>
    </row>
    <row r="26" spans="1:26" s="24" customFormat="1" hidden="1" outlineLevel="1" x14ac:dyDescent="0.3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--343.94</f>
        <v>343.94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143.96</v>
      </c>
      <c r="Y26" s="2"/>
      <c r="Z26" s="19">
        <f t="shared" si="3"/>
        <v>0.71987198719871992</v>
      </c>
    </row>
    <row r="27" spans="1:26" s="24" customFormat="1" hidden="1" outlineLevel="1" x14ac:dyDescent="0.3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-159</f>
        <v>-159</v>
      </c>
      <c r="E27" s="2"/>
      <c r="F27" s="19"/>
      <c r="G27" s="2"/>
      <c r="H27" s="2">
        <f>-526.99</f>
        <v>-526.99</v>
      </c>
      <c r="I27" s="2"/>
      <c r="J27" s="19"/>
      <c r="K27" s="2"/>
      <c r="L27" s="2">
        <f t="shared" si="0"/>
        <v>367.99</v>
      </c>
      <c r="M27" s="2"/>
      <c r="N27" s="19">
        <f t="shared" si="1"/>
        <v>-0.69828649499990514</v>
      </c>
      <c r="O27" s="11"/>
      <c r="P27" s="2">
        <f>-8099.7</f>
        <v>-8099.7</v>
      </c>
      <c r="Q27" s="2"/>
      <c r="R27" s="19"/>
      <c r="S27" s="2"/>
      <c r="T27" s="2">
        <f>-7929.72</f>
        <v>-7929.72</v>
      </c>
      <c r="U27" s="2"/>
      <c r="V27" s="19"/>
      <c r="W27" s="2"/>
      <c r="X27" s="2">
        <f t="shared" si="2"/>
        <v>-169.97999999999956</v>
      </c>
      <c r="Y27" s="2"/>
      <c r="Z27" s="19">
        <f t="shared" si="3"/>
        <v>2.1435813622675146E-2</v>
      </c>
    </row>
    <row r="28" spans="1:26" s="24" customFormat="1" hidden="1" outlineLevel="1" x14ac:dyDescent="0.3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-31763.9</f>
        <v>-31763.9</v>
      </c>
      <c r="E28" s="2"/>
      <c r="F28" s="19"/>
      <c r="G28" s="2"/>
      <c r="H28" s="2">
        <f>-12647.15</f>
        <v>-12647.15</v>
      </c>
      <c r="I28" s="2"/>
      <c r="J28" s="19"/>
      <c r="K28" s="2"/>
      <c r="L28" s="2">
        <f t="shared" si="0"/>
        <v>-19116.75</v>
      </c>
      <c r="M28" s="2"/>
      <c r="N28" s="19">
        <f t="shared" si="1"/>
        <v>1.5115460795515197</v>
      </c>
      <c r="O28" s="11"/>
      <c r="P28" s="2">
        <f>-247392.7</f>
        <v>-247392.7</v>
      </c>
      <c r="Q28" s="2"/>
      <c r="R28" s="19"/>
      <c r="S28" s="2"/>
      <c r="T28" s="2">
        <f>-84999.98</f>
        <v>-84999.98</v>
      </c>
      <c r="U28" s="2"/>
      <c r="V28" s="19"/>
      <c r="W28" s="2"/>
      <c r="X28" s="2">
        <f t="shared" si="2"/>
        <v>-162392.72000000003</v>
      </c>
      <c r="Y28" s="2"/>
      <c r="Z28" s="19">
        <f t="shared" si="3"/>
        <v>1.9105030377654211</v>
      </c>
    </row>
    <row r="29" spans="1:26" s="24" customFormat="1" hidden="1" outlineLevel="1" x14ac:dyDescent="0.3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-9.99</f>
        <v>-9.99</v>
      </c>
      <c r="E29" s="2"/>
      <c r="F29" s="19"/>
      <c r="G29" s="2"/>
      <c r="H29" s="2">
        <f>-417.98</f>
        <v>-417.98</v>
      </c>
      <c r="I29" s="2"/>
      <c r="J29" s="19"/>
      <c r="K29" s="2"/>
      <c r="L29" s="2">
        <f t="shared" si="0"/>
        <v>407.99</v>
      </c>
      <c r="M29" s="2"/>
      <c r="N29" s="19">
        <f t="shared" si="1"/>
        <v>-0.97609933489640655</v>
      </c>
      <c r="O29" s="11"/>
      <c r="P29" s="2">
        <f>-6718.01</f>
        <v>-6718.01</v>
      </c>
      <c r="Q29" s="2"/>
      <c r="R29" s="19"/>
      <c r="S29" s="2"/>
      <c r="T29" s="2">
        <f>-7916.71</f>
        <v>-7916.71</v>
      </c>
      <c r="U29" s="2"/>
      <c r="V29" s="19"/>
      <c r="W29" s="2"/>
      <c r="X29" s="2">
        <f t="shared" si="2"/>
        <v>1198.6999999999998</v>
      </c>
      <c r="Y29" s="2"/>
      <c r="Z29" s="19">
        <f t="shared" si="3"/>
        <v>-0.15141390805018748</v>
      </c>
    </row>
    <row r="30" spans="1:26" s="24" customFormat="1" hidden="1" outlineLevel="1" x14ac:dyDescent="0.3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6" si="6">0</f>
        <v>0</v>
      </c>
      <c r="E30" s="2"/>
      <c r="F30" s="19"/>
      <c r="G30" s="2"/>
      <c r="H30" s="2">
        <f t="shared" ref="H30:H31" si="7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3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6"/>
        <v>0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-805.97</f>
        <v>-805.97</v>
      </c>
      <c r="Q31" s="2"/>
      <c r="R31" s="19"/>
      <c r="S31" s="2"/>
      <c r="T31" s="2">
        <f>-725.94</f>
        <v>-725.94</v>
      </c>
      <c r="U31" s="2"/>
      <c r="V31" s="19"/>
      <c r="W31" s="2"/>
      <c r="X31" s="2">
        <f t="shared" si="2"/>
        <v>-80.029999999999973</v>
      </c>
      <c r="Y31" s="2"/>
      <c r="Z31" s="19">
        <f t="shared" si="3"/>
        <v>0.11024327079372946</v>
      </c>
    </row>
    <row r="32" spans="1:26" s="24" customFormat="1" hidden="1" outlineLevel="1" x14ac:dyDescent="0.3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 t="shared" si="6"/>
        <v>0</v>
      </c>
      <c r="E32" s="2"/>
      <c r="F32" s="19"/>
      <c r="G32" s="2"/>
      <c r="H32" s="2">
        <f>-49.97</f>
        <v>-49.97</v>
      </c>
      <c r="I32" s="2"/>
      <c r="J32" s="19"/>
      <c r="K32" s="2"/>
      <c r="L32" s="2">
        <f t="shared" si="0"/>
        <v>49.97</v>
      </c>
      <c r="M32" s="2"/>
      <c r="N32" s="19">
        <f t="shared" si="1"/>
        <v>-1</v>
      </c>
      <c r="O32" s="11"/>
      <c r="P32" s="2">
        <f>-3660.86</f>
        <v>-3660.86</v>
      </c>
      <c r="Q32" s="2"/>
      <c r="R32" s="19"/>
      <c r="S32" s="2"/>
      <c r="T32" s="2">
        <f>-5583.83</f>
        <v>-5583.83</v>
      </c>
      <c r="U32" s="2"/>
      <c r="V32" s="19"/>
      <c r="W32" s="2"/>
      <c r="X32" s="2">
        <f t="shared" si="2"/>
        <v>1922.9699999999998</v>
      </c>
      <c r="Y32" s="2"/>
      <c r="Z32" s="19">
        <f t="shared" si="3"/>
        <v>-0.3443819027441738</v>
      </c>
    </row>
    <row r="33" spans="1:26" s="24" customFormat="1" hidden="1" outlineLevel="1" x14ac:dyDescent="0.3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si="6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-152.99</f>
        <v>-152.99</v>
      </c>
      <c r="Q33" s="2"/>
      <c r="R33" s="19"/>
      <c r="S33" s="2"/>
      <c r="T33" s="2">
        <f>-64.98</f>
        <v>-64.98</v>
      </c>
      <c r="U33" s="2"/>
      <c r="V33" s="19"/>
      <c r="W33" s="2"/>
      <c r="X33" s="2">
        <f t="shared" si="2"/>
        <v>-88.01</v>
      </c>
      <c r="Y33" s="2"/>
      <c r="Z33" s="19">
        <f t="shared" si="3"/>
        <v>1.3544167436134196</v>
      </c>
    </row>
    <row r="34" spans="1:26" s="24" customFormat="1" hidden="1" outlineLevel="1" x14ac:dyDescent="0.3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6"/>
        <v>0</v>
      </c>
      <c r="E34" s="2"/>
      <c r="F34" s="19"/>
      <c r="G34" s="2"/>
      <c r="H34" s="2">
        <f>-9.99</f>
        <v>-9.99</v>
      </c>
      <c r="I34" s="2"/>
      <c r="J34" s="19"/>
      <c r="K34" s="2"/>
      <c r="L34" s="2">
        <f t="shared" si="0"/>
        <v>9.99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-257.81</f>
        <v>-257.81</v>
      </c>
      <c r="U34" s="2"/>
      <c r="V34" s="19"/>
      <c r="W34" s="2"/>
      <c r="X34" s="2">
        <f t="shared" si="2"/>
        <v>-1022.03</v>
      </c>
      <c r="Y34" s="2"/>
      <c r="Z34" s="19">
        <f t="shared" si="3"/>
        <v>3.9642760172219851</v>
      </c>
    </row>
    <row r="35" spans="1:26" s="24" customFormat="1" hidden="1" outlineLevel="1" x14ac:dyDescent="0.3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6"/>
        <v>0</v>
      </c>
      <c r="E35" s="2"/>
      <c r="F35" s="19"/>
      <c r="G35" s="2"/>
      <c r="H35" s="2">
        <f t="shared" ref="H35:H36" si="8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-49.98</f>
        <v>-49.98</v>
      </c>
      <c r="Q35" s="2"/>
      <c r="R35" s="19"/>
      <c r="S35" s="2"/>
      <c r="T35" s="2">
        <f>-153.92</f>
        <v>-153.91999999999999</v>
      </c>
      <c r="U35" s="2"/>
      <c r="V35" s="19"/>
      <c r="W35" s="2"/>
      <c r="X35" s="2">
        <f t="shared" si="2"/>
        <v>103.94</v>
      </c>
      <c r="Y35" s="2"/>
      <c r="Z35" s="19">
        <f t="shared" si="3"/>
        <v>-0.67528586278586278</v>
      </c>
    </row>
    <row r="36" spans="1:26" s="24" customFormat="1" hidden="1" outlineLevel="1" x14ac:dyDescent="0.3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6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-104.96</f>
        <v>-104.96</v>
      </c>
      <c r="Q36" s="2"/>
      <c r="R36" s="19"/>
      <c r="S36" s="2"/>
      <c r="T36" s="2">
        <f>-209.95</f>
        <v>-209.95</v>
      </c>
      <c r="U36" s="2"/>
      <c r="V36" s="19"/>
      <c r="W36" s="2"/>
      <c r="X36" s="2">
        <f t="shared" si="2"/>
        <v>104.99</v>
      </c>
      <c r="Y36" s="2"/>
      <c r="Z36" s="19">
        <f t="shared" si="3"/>
        <v>-0.50007144558228145</v>
      </c>
    </row>
    <row r="37" spans="1:26" x14ac:dyDescent="0.3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5">
      <c r="A38" s="10"/>
      <c r="B38" s="29" t="s">
        <v>8</v>
      </c>
      <c r="C38" s="10"/>
      <c r="D38" s="4">
        <f>SUM(OSRRefD16x_0)</f>
        <v>325888.92</v>
      </c>
      <c r="E38" s="4"/>
      <c r="F38" s="13">
        <f t="shared" ref="F38:F53" si="9">IF(D$12=0,0,D38/D$12)</f>
        <v>0.72806290212656555</v>
      </c>
      <c r="G38" s="4"/>
      <c r="H38" s="4">
        <f>SUM(OSRRefH16x_0)</f>
        <v>82791.89</v>
      </c>
      <c r="I38" s="4"/>
      <c r="J38" s="13">
        <f t="shared" ref="J38:J53" si="10">IF(H$12=0,0,H38/H$12)</f>
        <v>0.66180064979522535</v>
      </c>
      <c r="K38" s="4"/>
      <c r="L38" s="4">
        <f t="shared" ref="L38:L53" si="11">+D38-H38</f>
        <v>243097.02999999997</v>
      </c>
      <c r="M38" s="4"/>
      <c r="N38" s="13">
        <f t="shared" ref="N38:N53" si="12">IF(H38=0,0,L38/H38)</f>
        <v>2.9362420642891469</v>
      </c>
      <c r="O38" s="10"/>
      <c r="P38" s="4">
        <f>SUM(OSRRefP16x_0)</f>
        <v>2447645.5199999996</v>
      </c>
      <c r="Q38" s="4"/>
      <c r="R38" s="13">
        <f t="shared" ref="R38:R53" si="13">IF(P$12=0,0,P38/P$12)</f>
        <v>0.84837742135743699</v>
      </c>
      <c r="S38" s="4"/>
      <c r="T38" s="4">
        <f>SUM(OSRRefT16x_0)</f>
        <v>2470984.6599999997</v>
      </c>
      <c r="U38" s="4"/>
      <c r="V38" s="13">
        <f t="shared" ref="V38:V53" si="14">IF(T$12=0,0,T38/T$12)</f>
        <v>0.84005225531429184</v>
      </c>
      <c r="W38" s="4"/>
      <c r="X38" s="4">
        <f t="shared" ref="X38:X53" si="15">+P38-T38</f>
        <v>-23339.14000000013</v>
      </c>
      <c r="Y38" s="4"/>
      <c r="Z38" s="13">
        <f t="shared" ref="Z38:Z53" si="16">IF(T38=0,0,X38/T38)</f>
        <v>-9.4452791948939629E-3</v>
      </c>
    </row>
    <row r="39" spans="1:26" s="24" customFormat="1" hidden="1" outlineLevel="1" x14ac:dyDescent="0.3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-173.28</v>
      </c>
      <c r="E39" s="2"/>
      <c r="F39" s="19">
        <f t="shared" si="9"/>
        <v>-3.8712190546549201E-4</v>
      </c>
      <c r="G39" s="2"/>
      <c r="H39" s="2">
        <v>29303.34</v>
      </c>
      <c r="I39" s="2"/>
      <c r="J39" s="19">
        <f t="shared" si="10"/>
        <v>0.23423754975481798</v>
      </c>
      <c r="K39" s="2"/>
      <c r="L39" s="2">
        <f t="shared" si="11"/>
        <v>-29476.62</v>
      </c>
      <c r="M39" s="2"/>
      <c r="N39" s="19">
        <f t="shared" si="12"/>
        <v>-1.0059133190960483</v>
      </c>
      <c r="O39" s="11"/>
      <c r="P39" s="2">
        <v>258288.3</v>
      </c>
      <c r="Q39" s="2"/>
      <c r="R39" s="19">
        <f t="shared" si="13"/>
        <v>8.9525202947196431E-2</v>
      </c>
      <c r="S39" s="2"/>
      <c r="T39" s="2">
        <v>235938.22999999998</v>
      </c>
      <c r="U39" s="2"/>
      <c r="V39" s="19">
        <f t="shared" si="14"/>
        <v>8.0211118035173112E-2</v>
      </c>
      <c r="W39" s="2"/>
      <c r="X39" s="2">
        <f t="shared" si="15"/>
        <v>22350.070000000007</v>
      </c>
      <c r="Y39" s="2"/>
      <c r="Z39" s="19">
        <f t="shared" si="16"/>
        <v>9.4728480416251357E-2</v>
      </c>
    </row>
    <row r="40" spans="1:26" s="24" customFormat="1" hidden="1" outlineLevel="1" x14ac:dyDescent="0.3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190200.93</v>
      </c>
      <c r="E40" s="2"/>
      <c r="F40" s="19">
        <f t="shared" si="9"/>
        <v>0.42492466783765387</v>
      </c>
      <c r="G40" s="2"/>
      <c r="H40" s="2">
        <v>53961.18</v>
      </c>
      <c r="I40" s="2"/>
      <c r="J40" s="19">
        <f t="shared" si="10"/>
        <v>0.4313410889365748</v>
      </c>
      <c r="K40" s="2"/>
      <c r="L40" s="2">
        <f t="shared" si="11"/>
        <v>136239.75</v>
      </c>
      <c r="M40" s="2"/>
      <c r="N40" s="19">
        <f t="shared" si="12"/>
        <v>2.5247733648522881</v>
      </c>
      <c r="O40" s="11"/>
      <c r="P40" s="2">
        <v>1831501.23</v>
      </c>
      <c r="Q40" s="2"/>
      <c r="R40" s="19">
        <f t="shared" si="13"/>
        <v>0.63481589879909339</v>
      </c>
      <c r="S40" s="2"/>
      <c r="T40" s="2">
        <v>1964228.5399999998</v>
      </c>
      <c r="U40" s="2"/>
      <c r="V40" s="19">
        <f t="shared" si="14"/>
        <v>0.66777209979915397</v>
      </c>
      <c r="W40" s="2"/>
      <c r="X40" s="2">
        <f t="shared" si="15"/>
        <v>-132727.30999999982</v>
      </c>
      <c r="Y40" s="2"/>
      <c r="Z40" s="19">
        <f t="shared" si="16"/>
        <v>-6.7572233727955011E-2</v>
      </c>
    </row>
    <row r="41" spans="1:26" s="24" customFormat="1" hidden="1" outlineLevel="1" x14ac:dyDescent="0.3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12873.49</v>
      </c>
      <c r="E41" s="2"/>
      <c r="F41" s="19">
        <f t="shared" si="9"/>
        <v>2.8760445399301459E-2</v>
      </c>
      <c r="G41" s="2"/>
      <c r="H41" s="2">
        <v>3371.86</v>
      </c>
      <c r="I41" s="2"/>
      <c r="J41" s="19">
        <f t="shared" si="10"/>
        <v>2.6953112666210768E-2</v>
      </c>
      <c r="K41" s="2"/>
      <c r="L41" s="2">
        <f t="shared" si="11"/>
        <v>9501.6299999999992</v>
      </c>
      <c r="M41" s="2"/>
      <c r="N41" s="19">
        <f t="shared" si="12"/>
        <v>2.8179194865741755</v>
      </c>
      <c r="O41" s="11"/>
      <c r="P41" s="2">
        <v>107424.25</v>
      </c>
      <c r="Q41" s="2"/>
      <c r="R41" s="19">
        <f t="shared" si="13"/>
        <v>3.7234275740327248E-2</v>
      </c>
      <c r="S41" s="2"/>
      <c r="T41" s="2">
        <v>111062.89</v>
      </c>
      <c r="U41" s="2"/>
      <c r="V41" s="19">
        <f t="shared" si="14"/>
        <v>3.775767318046528E-2</v>
      </c>
      <c r="W41" s="2"/>
      <c r="X41" s="2">
        <f t="shared" si="15"/>
        <v>-3638.6399999999994</v>
      </c>
      <c r="Y41" s="2"/>
      <c r="Z41" s="19">
        <f t="shared" si="16"/>
        <v>-3.2761978370993219E-2</v>
      </c>
    </row>
    <row r="42" spans="1:26" s="24" customFormat="1" hidden="1" outlineLevel="1" x14ac:dyDescent="0.3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1"/>
      <c r="P42" s="2">
        <v>2728</v>
      </c>
      <c r="Q42" s="2"/>
      <c r="R42" s="19">
        <f t="shared" si="13"/>
        <v>9.4555097400831495E-4</v>
      </c>
      <c r="S42" s="2"/>
      <c r="T42" s="2">
        <v>5183</v>
      </c>
      <c r="U42" s="2"/>
      <c r="V42" s="19">
        <f t="shared" si="14"/>
        <v>1.7620468915796406E-3</v>
      </c>
      <c r="W42" s="2"/>
      <c r="X42" s="2">
        <f t="shared" si="15"/>
        <v>-2455</v>
      </c>
      <c r="Y42" s="2"/>
      <c r="Z42" s="19">
        <f t="shared" si="16"/>
        <v>-0.47366390121551227</v>
      </c>
    </row>
    <row r="43" spans="1:26" s="24" customFormat="1" hidden="1" outlineLevel="1" x14ac:dyDescent="0.3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1996.51</v>
      </c>
      <c r="E43" s="2"/>
      <c r="F43" s="19">
        <f t="shared" si="9"/>
        <v>4.4603690874937063E-3</v>
      </c>
      <c r="G43" s="2"/>
      <c r="H43" s="2">
        <v>228.11</v>
      </c>
      <c r="I43" s="2"/>
      <c r="J43" s="19">
        <f t="shared" si="10"/>
        <v>1.8234074161707005E-3</v>
      </c>
      <c r="K43" s="2"/>
      <c r="L43" s="2">
        <f t="shared" si="11"/>
        <v>1768.4</v>
      </c>
      <c r="M43" s="2"/>
      <c r="N43" s="19">
        <f t="shared" si="12"/>
        <v>7.7524001578185961</v>
      </c>
      <c r="O43" s="11"/>
      <c r="P43" s="2">
        <v>17324.649999999998</v>
      </c>
      <c r="Q43" s="2"/>
      <c r="R43" s="19">
        <f t="shared" si="13"/>
        <v>6.0048899127027686E-3</v>
      </c>
      <c r="S43" s="2"/>
      <c r="T43" s="2">
        <v>12963.48</v>
      </c>
      <c r="U43" s="2"/>
      <c r="V43" s="19">
        <f t="shared" si="14"/>
        <v>4.4071502292214624E-3</v>
      </c>
      <c r="W43" s="2"/>
      <c r="X43" s="2">
        <f t="shared" si="15"/>
        <v>4361.1699999999983</v>
      </c>
      <c r="Y43" s="2"/>
      <c r="Z43" s="19">
        <f t="shared" si="16"/>
        <v>0.33641969594584159</v>
      </c>
    </row>
    <row r="44" spans="1:26" s="24" customFormat="1" hidden="1" outlineLevel="1" x14ac:dyDescent="0.3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127.27</v>
      </c>
      <c r="E44" s="2"/>
      <c r="F44" s="19">
        <f t="shared" si="9"/>
        <v>2.8433174577904645E-4</v>
      </c>
      <c r="G44" s="2"/>
      <c r="H44" s="2">
        <v>1084.4000000000001</v>
      </c>
      <c r="I44" s="2"/>
      <c r="J44" s="19">
        <f t="shared" si="10"/>
        <v>8.6681995620337023E-3</v>
      </c>
      <c r="K44" s="2"/>
      <c r="L44" s="2">
        <f t="shared" si="11"/>
        <v>-957.13000000000011</v>
      </c>
      <c r="M44" s="2"/>
      <c r="N44" s="19">
        <f t="shared" si="12"/>
        <v>-0.8826355588343785</v>
      </c>
      <c r="O44" s="11"/>
      <c r="P44" s="2">
        <v>30010.32</v>
      </c>
      <c r="Q44" s="2"/>
      <c r="R44" s="19">
        <f t="shared" si="13"/>
        <v>1.0401864848350885E-2</v>
      </c>
      <c r="S44" s="2"/>
      <c r="T44" s="2">
        <v>61180.08</v>
      </c>
      <c r="U44" s="2"/>
      <c r="V44" s="19">
        <f t="shared" si="14"/>
        <v>2.0799183829942839E-2</v>
      </c>
      <c r="W44" s="2"/>
      <c r="X44" s="2">
        <f t="shared" si="15"/>
        <v>-31169.760000000002</v>
      </c>
      <c r="Y44" s="2"/>
      <c r="Z44" s="19">
        <f t="shared" si="16"/>
        <v>-0.50947563324533085</v>
      </c>
    </row>
    <row r="45" spans="1:26" s="24" customFormat="1" hidden="1" outlineLevel="1" x14ac:dyDescent="0.3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9"/>
        <v>0</v>
      </c>
      <c r="G45" s="2"/>
      <c r="H45" s="2">
        <v>296</v>
      </c>
      <c r="I45" s="2"/>
      <c r="J45" s="19">
        <f t="shared" si="10"/>
        <v>2.3660891464053627E-3</v>
      </c>
      <c r="K45" s="2"/>
      <c r="L45" s="2">
        <f t="shared" si="11"/>
        <v>-296</v>
      </c>
      <c r="M45" s="2"/>
      <c r="N45" s="19">
        <f t="shared" si="12"/>
        <v>-1</v>
      </c>
      <c r="O45" s="11"/>
      <c r="P45" s="2">
        <v>95.65</v>
      </c>
      <c r="Q45" s="2"/>
      <c r="R45" s="19">
        <f t="shared" si="13"/>
        <v>3.3153207721369259E-5</v>
      </c>
      <c r="S45" s="2"/>
      <c r="T45" s="2">
        <v>2245</v>
      </c>
      <c r="U45" s="2"/>
      <c r="V45" s="19">
        <f t="shared" si="14"/>
        <v>7.6322501863713933E-4</v>
      </c>
      <c r="W45" s="2"/>
      <c r="X45" s="2">
        <f t="shared" si="15"/>
        <v>-2149.35</v>
      </c>
      <c r="Y45" s="2"/>
      <c r="Z45" s="19">
        <f t="shared" si="16"/>
        <v>-0.95739420935412023</v>
      </c>
    </row>
    <row r="46" spans="1:26" s="24" customFormat="1" hidden="1" outlineLevel="1" x14ac:dyDescent="0.3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-205025</v>
      </c>
      <c r="E46" s="2"/>
      <c r="F46" s="19">
        <f t="shared" si="9"/>
        <v>-0.45804287089140411</v>
      </c>
      <c r="G46" s="2"/>
      <c r="H46" s="2">
        <v>-88244</v>
      </c>
      <c r="I46" s="2"/>
      <c r="J46" s="19">
        <f t="shared" si="10"/>
        <v>-0.70538233322768529</v>
      </c>
      <c r="K46" s="2"/>
      <c r="L46" s="2">
        <f t="shared" si="11"/>
        <v>-116781</v>
      </c>
      <c r="M46" s="2"/>
      <c r="N46" s="19">
        <f t="shared" si="12"/>
        <v>1.3233874257739904</v>
      </c>
      <c r="O46" s="11"/>
      <c r="P46" s="2">
        <v>-2248069</v>
      </c>
      <c r="Q46" s="2"/>
      <c r="R46" s="19">
        <f t="shared" si="13"/>
        <v>-0.77920228467298336</v>
      </c>
      <c r="S46" s="2"/>
      <c r="T46" s="2">
        <v>-2393287</v>
      </c>
      <c r="U46" s="2"/>
      <c r="V46" s="19">
        <f t="shared" si="14"/>
        <v>-0.81363764595947585</v>
      </c>
      <c r="W46" s="2"/>
      <c r="X46" s="2">
        <f t="shared" si="15"/>
        <v>145218</v>
      </c>
      <c r="Y46" s="2"/>
      <c r="Z46" s="19">
        <f t="shared" si="16"/>
        <v>-6.0677219238645427E-2</v>
      </c>
    </row>
    <row r="47" spans="1:26" s="24" customFormat="1" hidden="1" outlineLevel="1" x14ac:dyDescent="0.35">
      <c r="A47" s="44"/>
      <c r="B47" s="11" t="str">
        <f>CONCATENATE("          ", "5300", " - ", "COG$ OFFSET")</f>
        <v xml:space="preserve">          5300 - COG$ OFFSET</v>
      </c>
      <c r="C47" s="11"/>
      <c r="D47" s="2">
        <v>325889</v>
      </c>
      <c r="E47" s="2"/>
      <c r="F47" s="19">
        <f t="shared" si="9"/>
        <v>0.72806308085320715</v>
      </c>
      <c r="G47" s="2"/>
      <c r="H47" s="2">
        <v>82791</v>
      </c>
      <c r="I47" s="2"/>
      <c r="J47" s="19">
        <f t="shared" si="10"/>
        <v>0.66179353554069731</v>
      </c>
      <c r="K47" s="2"/>
      <c r="L47" s="2">
        <f t="shared" si="11"/>
        <v>243098</v>
      </c>
      <c r="M47" s="2"/>
      <c r="N47" s="19">
        <f t="shared" si="12"/>
        <v>2.9362853450254254</v>
      </c>
      <c r="O47" s="11"/>
      <c r="P47" s="2">
        <v>2447643</v>
      </c>
      <c r="Q47" s="2"/>
      <c r="R47" s="19">
        <f t="shared" si="13"/>
        <v>0.84837654790125883</v>
      </c>
      <c r="S47" s="2"/>
      <c r="T47" s="2">
        <v>2470971</v>
      </c>
      <c r="U47" s="2"/>
      <c r="V47" s="19">
        <f t="shared" si="14"/>
        <v>0.84004761137052597</v>
      </c>
      <c r="W47" s="2"/>
      <c r="X47" s="2">
        <f t="shared" si="15"/>
        <v>-23328</v>
      </c>
      <c r="Y47" s="2"/>
      <c r="Z47" s="19">
        <f t="shared" si="16"/>
        <v>-9.4408230610557552E-3</v>
      </c>
    </row>
    <row r="48" spans="1:26" s="24" customFormat="1" hidden="1" outlineLevel="1" x14ac:dyDescent="0.3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1"/>
      <c r="P48" s="2">
        <v>0</v>
      </c>
      <c r="Q48" s="2"/>
      <c r="R48" s="19">
        <f t="shared" si="13"/>
        <v>0</v>
      </c>
      <c r="S48" s="2"/>
      <c r="T48" s="2">
        <v>14.08</v>
      </c>
      <c r="U48" s="2"/>
      <c r="V48" s="19">
        <f t="shared" si="14"/>
        <v>4.7867297382676712E-6</v>
      </c>
      <c r="W48" s="2"/>
      <c r="X48" s="2">
        <f t="shared" si="15"/>
        <v>-14.08</v>
      </c>
      <c r="Y48" s="2"/>
      <c r="Z48" s="19">
        <f t="shared" si="16"/>
        <v>-1</v>
      </c>
    </row>
    <row r="49" spans="1:26" s="24" customFormat="1" hidden="1" outlineLevel="1" x14ac:dyDescent="0.3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1"/>
      <c r="P49" s="2">
        <v>137</v>
      </c>
      <c r="Q49" s="2"/>
      <c r="R49" s="19">
        <f t="shared" si="13"/>
        <v>4.7485514457162448E-5</v>
      </c>
      <c r="S49" s="2"/>
      <c r="T49" s="2"/>
      <c r="U49" s="2"/>
      <c r="V49" s="19">
        <f t="shared" si="14"/>
        <v>0</v>
      </c>
      <c r="W49" s="2"/>
      <c r="X49" s="2">
        <f t="shared" si="15"/>
        <v>137</v>
      </c>
      <c r="Y49" s="2"/>
      <c r="Z49" s="19">
        <f t="shared" si="16"/>
        <v>0</v>
      </c>
    </row>
    <row r="50" spans="1:26" s="24" customFormat="1" hidden="1" outlineLevel="1" x14ac:dyDescent="0.3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1"/>
      <c r="P50" s="2">
        <v>154.30000000000001</v>
      </c>
      <c r="Q50" s="2"/>
      <c r="R50" s="19">
        <f t="shared" si="13"/>
        <v>5.3481860443358875E-5</v>
      </c>
      <c r="S50" s="2"/>
      <c r="T50" s="2">
        <v>12</v>
      </c>
      <c r="U50" s="2"/>
      <c r="V50" s="19">
        <f t="shared" si="14"/>
        <v>4.0795992087508561E-6</v>
      </c>
      <c r="W50" s="2"/>
      <c r="X50" s="2">
        <f t="shared" si="15"/>
        <v>142.30000000000001</v>
      </c>
      <c r="Y50" s="2"/>
      <c r="Z50" s="19">
        <f t="shared" si="16"/>
        <v>11.858333333333334</v>
      </c>
    </row>
    <row r="51" spans="1:26" s="24" customFormat="1" hidden="1" outlineLevel="1" x14ac:dyDescent="0.3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1"/>
      <c r="P51" s="2">
        <v>96.55</v>
      </c>
      <c r="Q51" s="2"/>
      <c r="R51" s="19">
        <f t="shared" si="13"/>
        <v>3.3465156356489299E-5</v>
      </c>
      <c r="S51" s="2"/>
      <c r="T51" s="2">
        <v>93.42</v>
      </c>
      <c r="U51" s="2"/>
      <c r="V51" s="19">
        <f t="shared" si="14"/>
        <v>3.1759679840125417E-5</v>
      </c>
      <c r="W51" s="2"/>
      <c r="X51" s="2">
        <f t="shared" si="15"/>
        <v>3.1299999999999955</v>
      </c>
      <c r="Y51" s="2"/>
      <c r="Z51" s="19">
        <f t="shared" si="16"/>
        <v>3.3504602868764666E-2</v>
      </c>
    </row>
    <row r="52" spans="1:26" s="24" customFormat="1" hidden="1" outlineLevel="1" x14ac:dyDescent="0.35">
      <c r="A52" s="44"/>
      <c r="B52" s="11" t="str">
        <f>CONCATENATE("          ", "5585", " - ", "FREIGHT-IN-SOFTWARE")</f>
        <v xml:space="preserve">          5585 - FREIGHT-IN-SOFTWARE</v>
      </c>
      <c r="C52" s="11"/>
      <c r="D52" s="2"/>
      <c r="E52" s="2"/>
      <c r="F52" s="19">
        <f t="shared" si="9"/>
        <v>0</v>
      </c>
      <c r="G52" s="2"/>
      <c r="H52" s="2"/>
      <c r="I52" s="2"/>
      <c r="J52" s="19">
        <f t="shared" si="10"/>
        <v>0</v>
      </c>
      <c r="K52" s="2"/>
      <c r="L52" s="2">
        <f t="shared" si="11"/>
        <v>0</v>
      </c>
      <c r="M52" s="2"/>
      <c r="N52" s="19">
        <f t="shared" si="12"/>
        <v>0</v>
      </c>
      <c r="O52" s="11"/>
      <c r="P52" s="2">
        <v>10</v>
      </c>
      <c r="Q52" s="2"/>
      <c r="R52" s="19">
        <f t="shared" si="13"/>
        <v>3.4660959457782807E-6</v>
      </c>
      <c r="S52" s="2"/>
      <c r="T52" s="2"/>
      <c r="U52" s="2"/>
      <c r="V52" s="19">
        <f t="shared" si="14"/>
        <v>0</v>
      </c>
      <c r="W52" s="2"/>
      <c r="X52" s="2">
        <f t="shared" si="15"/>
        <v>10</v>
      </c>
      <c r="Y52" s="2"/>
      <c r="Z52" s="19">
        <f t="shared" si="16"/>
        <v>0</v>
      </c>
    </row>
    <row r="53" spans="1:26" s="24" customFormat="1" hidden="1" outlineLevel="1" x14ac:dyDescent="0.35">
      <c r="A53" s="44"/>
      <c r="B53" s="11" t="str">
        <f>CONCATENATE("          ", "5586", " - ", "FREIGHT-IN-COMPUTER SUPPLIES")</f>
        <v xml:space="preserve">          5586 - FREIGHT-IN-COMPUTER SUPPLIES</v>
      </c>
      <c r="C53" s="11"/>
      <c r="D53" s="2"/>
      <c r="E53" s="2"/>
      <c r="F53" s="19">
        <f t="shared" si="9"/>
        <v>0</v>
      </c>
      <c r="G53" s="2"/>
      <c r="H53" s="2"/>
      <c r="I53" s="2"/>
      <c r="J53" s="19">
        <f t="shared" si="10"/>
        <v>0</v>
      </c>
      <c r="K53" s="2"/>
      <c r="L53" s="2">
        <f t="shared" si="11"/>
        <v>0</v>
      </c>
      <c r="M53" s="2"/>
      <c r="N53" s="19">
        <f t="shared" si="12"/>
        <v>0</v>
      </c>
      <c r="O53" s="11"/>
      <c r="P53" s="2">
        <v>301.27</v>
      </c>
      <c r="Q53" s="2"/>
      <c r="R53" s="19">
        <f t="shared" si="13"/>
        <v>1.0442307255846226E-4</v>
      </c>
      <c r="S53" s="2"/>
      <c r="T53" s="2">
        <v>379.94</v>
      </c>
      <c r="U53" s="2"/>
      <c r="V53" s="19">
        <f t="shared" si="14"/>
        <v>1.2916691028106667E-4</v>
      </c>
      <c r="W53" s="2"/>
      <c r="X53" s="2">
        <f t="shared" si="15"/>
        <v>-78.670000000000016</v>
      </c>
      <c r="Y53" s="2"/>
      <c r="Z53" s="19">
        <f t="shared" si="16"/>
        <v>-0.20705900931726065</v>
      </c>
    </row>
    <row r="54" spans="1:26" x14ac:dyDescent="0.3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35">
      <c r="A55" s="10"/>
      <c r="B55" s="28" t="s">
        <v>6</v>
      </c>
      <c r="C55" s="28"/>
      <c r="D55" s="22">
        <f>D12-D38</f>
        <v>121722.01999999996</v>
      </c>
      <c r="E55" s="14"/>
      <c r="F55" s="21">
        <f>IF(D$12=0,0,D55/D$12)</f>
        <v>0.2719370978734344</v>
      </c>
      <c r="G55" s="14"/>
      <c r="H55" s="22">
        <f>H12-H38</f>
        <v>42309.060000000012</v>
      </c>
      <c r="I55" s="14"/>
      <c r="J55" s="21">
        <f>IF(H$12=0,0,H55/H$12)</f>
        <v>0.33819935020477471</v>
      </c>
      <c r="K55" s="15"/>
      <c r="L55" s="22">
        <f>+D55-H55</f>
        <v>79412.959999999948</v>
      </c>
      <c r="M55" s="15"/>
      <c r="N55" s="21">
        <f>IF(H55=0,0,L55/H55)</f>
        <v>1.876972922584428</v>
      </c>
      <c r="O55" s="29"/>
      <c r="P55" s="22">
        <f>P12-P38</f>
        <v>437444.84000000032</v>
      </c>
      <c r="Q55" s="14"/>
      <c r="R55" s="21">
        <f>IF(P$12=0,0,P55/P$12)</f>
        <v>0.15162257864256298</v>
      </c>
      <c r="S55" s="14"/>
      <c r="T55" s="22">
        <f>T12-T38</f>
        <v>470480.75999999931</v>
      </c>
      <c r="U55" s="14"/>
      <c r="V55" s="21">
        <f>IF(T$12=0,0,T55/T$12)</f>
        <v>0.15994774468570822</v>
      </c>
      <c r="W55" s="15"/>
      <c r="X55" s="22">
        <f>+P55-T55</f>
        <v>-33035.919999998994</v>
      </c>
      <c r="Y55" s="15"/>
      <c r="Z55" s="21">
        <f>IF(T55=0,0,X55/T55)</f>
        <v>-7.0217366593267369E-2</v>
      </c>
    </row>
    <row r="56" spans="1:26" x14ac:dyDescent="0.3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35">
      <c r="A57" s="10"/>
      <c r="B57" s="29" t="s">
        <v>9</v>
      </c>
      <c r="C57" s="10"/>
      <c r="D57" s="20">
        <f>SUM(OSRRefD22x_0)</f>
        <v>-32410.319999999996</v>
      </c>
      <c r="E57" s="20"/>
      <c r="F57" s="36">
        <f t="shared" ref="F57:F67" si="17">IF(D$12=0,0,D57/D$12)</f>
        <v>-7.240734553985656E-2</v>
      </c>
      <c r="G57" s="20"/>
      <c r="H57" s="20">
        <f>SUM(OSRRefH22x_0)</f>
        <v>-17669.039999999997</v>
      </c>
      <c r="I57" s="20"/>
      <c r="J57" s="36">
        <f t="shared" ref="J57:J67" si="18">IF(H$12=0,0,H57/H$12)</f>
        <v>-0.1412382559844669</v>
      </c>
      <c r="K57" s="4"/>
      <c r="L57" s="20">
        <f t="shared" ref="L57:L67" si="19">+D57-H57</f>
        <v>-14741.279999999999</v>
      </c>
      <c r="M57" s="4"/>
      <c r="N57" s="36">
        <f t="shared" ref="N57:N67" si="20">IF(H57=0,0,L57/H57)</f>
        <v>0.83429999592507575</v>
      </c>
      <c r="O57" s="10"/>
      <c r="P57" s="20">
        <f>SUM(OSRRefP22x_0)</f>
        <v>177712.97000000006</v>
      </c>
      <c r="Q57" s="20"/>
      <c r="R57" s="36">
        <f t="shared" ref="R57:R67" si="21">IF(P$12=0,0,P57/P$12)</f>
        <v>6.1597020482921747E-2</v>
      </c>
      <c r="S57" s="20"/>
      <c r="T57" s="20">
        <f>SUM(OSRRefT22x_0)</f>
        <v>228006.21999999997</v>
      </c>
      <c r="U57" s="20"/>
      <c r="V57" s="36">
        <f t="shared" ref="V57:V67" si="22">IF(T$12=0,0,T57/T$12)</f>
        <v>7.7514499558522784E-2</v>
      </c>
      <c r="W57" s="4"/>
      <c r="X57" s="20">
        <f t="shared" ref="X57:X67" si="23">+P57-T57</f>
        <v>-50293.249999999913</v>
      </c>
      <c r="Y57" s="4"/>
      <c r="Z57" s="36">
        <f t="shared" ref="Z57:Z67" si="24">IF(T57=0,0,X57/T57)</f>
        <v>-0.2205784122906819</v>
      </c>
    </row>
    <row r="58" spans="1:26" s="25" customFormat="1" outlineLevel="1" collapsed="1" x14ac:dyDescent="0.35">
      <c r="A58" s="26"/>
      <c r="B58" s="12" t="str">
        <f>CONCATENATE("     ","*Benefits                                         ")</f>
        <v xml:space="preserve">     *Benefits                                         </v>
      </c>
      <c r="C58" s="12"/>
      <c r="D58" s="1">
        <f>SUM(OSRRefD22_0x_0)</f>
        <v>2225.61</v>
      </c>
      <c r="E58" s="1"/>
      <c r="F58" s="5">
        <f t="shared" si="17"/>
        <v>4.9721975070582507E-3</v>
      </c>
      <c r="G58" s="1"/>
      <c r="H58" s="1">
        <f>SUM(OSRRefH22_0x_0)</f>
        <v>2216.1299999999997</v>
      </c>
      <c r="I58" s="1"/>
      <c r="J58" s="5">
        <f t="shared" si="18"/>
        <v>1.7714733581159849E-2</v>
      </c>
      <c r="K58" s="1"/>
      <c r="L58" s="1">
        <f t="shared" si="19"/>
        <v>9.4800000000004729</v>
      </c>
      <c r="M58" s="1"/>
      <c r="N58" s="5">
        <f t="shared" si="20"/>
        <v>4.2777273896389082E-3</v>
      </c>
      <c r="O58" s="12"/>
      <c r="P58" s="1">
        <f>SUM(OSRRefP22_0x_0)</f>
        <v>29115.980000000003</v>
      </c>
      <c r="Q58" s="1"/>
      <c r="R58" s="5">
        <f t="shared" si="21"/>
        <v>1.0091878023536153E-2</v>
      </c>
      <c r="S58" s="1"/>
      <c r="T58" s="1">
        <f>SUM(OSRRefT22_0x_0)</f>
        <v>27699.079999999998</v>
      </c>
      <c r="U58" s="1"/>
      <c r="V58" s="5">
        <f t="shared" si="22"/>
        <v>9.4167620709272211E-3</v>
      </c>
      <c r="W58" s="1"/>
      <c r="X58" s="1">
        <f t="shared" si="23"/>
        <v>1416.9000000000051</v>
      </c>
      <c r="Y58" s="1"/>
      <c r="Z58" s="5">
        <f t="shared" si="24"/>
        <v>5.1153323503885517E-2</v>
      </c>
    </row>
    <row r="59" spans="1:26" s="24" customFormat="1" hidden="1" outlineLevel="2" x14ac:dyDescent="0.35">
      <c r="A59" s="27"/>
      <c r="B59" s="11" t="str">
        <f>CONCATENATE("          ", "6111", " - ", "F.I.C.A.")</f>
        <v xml:space="preserve">          6111 - F.I.C.A.</v>
      </c>
      <c r="C59" s="11"/>
      <c r="D59" s="7">
        <v>424.75</v>
      </c>
      <c r="E59" s="2"/>
      <c r="F59" s="6">
        <f t="shared" si="17"/>
        <v>9.4892676215643887E-4</v>
      </c>
      <c r="G59" s="2"/>
      <c r="H59" s="7">
        <v>562.74</v>
      </c>
      <c r="I59" s="2"/>
      <c r="J59" s="6">
        <f t="shared" si="18"/>
        <v>4.4982871832707902E-3</v>
      </c>
      <c r="K59" s="2"/>
      <c r="L59" s="7">
        <f t="shared" si="19"/>
        <v>-137.99</v>
      </c>
      <c r="M59" s="2"/>
      <c r="N59" s="6">
        <f t="shared" si="20"/>
        <v>-0.24521093222447313</v>
      </c>
      <c r="O59" s="11"/>
      <c r="P59" s="7">
        <v>8039.26</v>
      </c>
      <c r="Q59" s="2"/>
      <c r="R59" s="6">
        <f t="shared" si="21"/>
        <v>2.7864846493057503E-3</v>
      </c>
      <c r="S59" s="2"/>
      <c r="T59" s="7">
        <v>5953.58</v>
      </c>
      <c r="U59" s="2"/>
      <c r="V59" s="6">
        <f t="shared" si="22"/>
        <v>2.0240183547695768E-3</v>
      </c>
      <c r="W59" s="2"/>
      <c r="X59" s="7">
        <f t="shared" si="23"/>
        <v>2085.6800000000003</v>
      </c>
      <c r="Y59" s="2"/>
      <c r="Z59" s="6">
        <f t="shared" si="24"/>
        <v>0.35032367079975413</v>
      </c>
    </row>
    <row r="60" spans="1:26" s="24" customFormat="1" hidden="1" outlineLevel="2" x14ac:dyDescent="0.35">
      <c r="A60" s="27"/>
      <c r="B60" s="11" t="str">
        <f>CONCATENATE("          ", "6112", " - ", "COMPENSATION INSURANCE")</f>
        <v xml:space="preserve">          6112 - COMPENSATION INSURANCE</v>
      </c>
      <c r="C60" s="11"/>
      <c r="D60" s="7">
        <v>54.45</v>
      </c>
      <c r="E60" s="2"/>
      <c r="F60" s="6">
        <f t="shared" si="17"/>
        <v>1.2164582036355056E-4</v>
      </c>
      <c r="G60" s="2"/>
      <c r="H60" s="7">
        <v>130.54</v>
      </c>
      <c r="I60" s="2"/>
      <c r="J60" s="6">
        <f t="shared" si="18"/>
        <v>1.043477287742419E-3</v>
      </c>
      <c r="K60" s="2"/>
      <c r="L60" s="7">
        <f t="shared" si="19"/>
        <v>-76.089999999999989</v>
      </c>
      <c r="M60" s="2"/>
      <c r="N60" s="6">
        <f t="shared" si="20"/>
        <v>-0.58288647157959239</v>
      </c>
      <c r="O60" s="11"/>
      <c r="P60" s="7">
        <v>2050.15</v>
      </c>
      <c r="Q60" s="2"/>
      <c r="R60" s="6">
        <f t="shared" si="21"/>
        <v>7.1060166032373422E-4</v>
      </c>
      <c r="S60" s="2"/>
      <c r="T60" s="7">
        <v>1090.5</v>
      </c>
      <c r="U60" s="2"/>
      <c r="V60" s="6">
        <f t="shared" si="22"/>
        <v>3.7073357809523405E-4</v>
      </c>
      <c r="W60" s="2"/>
      <c r="X60" s="7">
        <f t="shared" si="23"/>
        <v>959.65000000000009</v>
      </c>
      <c r="Y60" s="2"/>
      <c r="Z60" s="6">
        <f t="shared" si="24"/>
        <v>0.88000917010545632</v>
      </c>
    </row>
    <row r="61" spans="1:26" s="24" customFormat="1" hidden="1" outlineLevel="2" x14ac:dyDescent="0.35">
      <c r="A61" s="27"/>
      <c r="B61" s="11" t="str">
        <f>CONCATENATE("          ", "6113", " - ", "GROUP INSURANCE")</f>
        <v xml:space="preserve">          6113 - GROUP INSURANCE</v>
      </c>
      <c r="C61" s="11"/>
      <c r="D61" s="7">
        <v>1035.69</v>
      </c>
      <c r="E61" s="2"/>
      <c r="F61" s="6">
        <f t="shared" si="17"/>
        <v>2.313817441548681E-3</v>
      </c>
      <c r="G61" s="2"/>
      <c r="H61" s="7">
        <v>964.88</v>
      </c>
      <c r="I61" s="2"/>
      <c r="J61" s="6">
        <f t="shared" si="18"/>
        <v>7.7128111337283999E-3</v>
      </c>
      <c r="K61" s="2"/>
      <c r="L61" s="7">
        <f t="shared" si="19"/>
        <v>70.810000000000059</v>
      </c>
      <c r="M61" s="2"/>
      <c r="N61" s="6">
        <f t="shared" si="20"/>
        <v>7.3387364231821642E-2</v>
      </c>
      <c r="O61" s="11"/>
      <c r="P61" s="7">
        <v>13627.38</v>
      </c>
      <c r="Q61" s="2"/>
      <c r="R61" s="6">
        <f t="shared" si="21"/>
        <v>4.7233806569580029E-3</v>
      </c>
      <c r="S61" s="2"/>
      <c r="T61" s="7">
        <v>11327.94</v>
      </c>
      <c r="U61" s="2"/>
      <c r="V61" s="6">
        <f t="shared" si="22"/>
        <v>3.8511212550647643E-3</v>
      </c>
      <c r="W61" s="2"/>
      <c r="X61" s="7">
        <f t="shared" si="23"/>
        <v>2299.4399999999987</v>
      </c>
      <c r="Y61" s="2"/>
      <c r="Z61" s="6">
        <f t="shared" si="24"/>
        <v>0.20298836328582237</v>
      </c>
    </row>
    <row r="62" spans="1:26" s="24" customFormat="1" hidden="1" outlineLevel="2" x14ac:dyDescent="0.35">
      <c r="A62" s="27"/>
      <c r="B62" s="11" t="str">
        <f>CONCATENATE("          ", "6114", " - ", "STATE UNEMPLOYMENT INSURANCE")</f>
        <v xml:space="preserve">          6114 - STATE UNEMPLOYMENT INSURANCE</v>
      </c>
      <c r="C62" s="11"/>
      <c r="D62" s="7">
        <v>-322.33</v>
      </c>
      <c r="E62" s="2"/>
      <c r="F62" s="6">
        <f t="shared" si="17"/>
        <v>-7.2011197938995862E-4</v>
      </c>
      <c r="G62" s="2"/>
      <c r="H62" s="7">
        <v>28.52</v>
      </c>
      <c r="I62" s="2"/>
      <c r="J62" s="6">
        <f t="shared" si="18"/>
        <v>2.2797588667392211E-4</v>
      </c>
      <c r="K62" s="2"/>
      <c r="L62" s="7">
        <f t="shared" si="19"/>
        <v>-350.84999999999997</v>
      </c>
      <c r="M62" s="2"/>
      <c r="N62" s="6">
        <f t="shared" si="20"/>
        <v>-12.30189340813464</v>
      </c>
      <c r="O62" s="11"/>
      <c r="P62" s="7">
        <v>0</v>
      </c>
      <c r="Q62" s="2"/>
      <c r="R62" s="6">
        <f t="shared" si="21"/>
        <v>0</v>
      </c>
      <c r="S62" s="2"/>
      <c r="T62" s="7">
        <v>297.19</v>
      </c>
      <c r="U62" s="2"/>
      <c r="V62" s="6">
        <f t="shared" si="22"/>
        <v>1.0103467407072224E-4</v>
      </c>
      <c r="W62" s="2"/>
      <c r="X62" s="7">
        <f t="shared" si="23"/>
        <v>-297.19</v>
      </c>
      <c r="Y62" s="2"/>
      <c r="Z62" s="6">
        <f t="shared" si="24"/>
        <v>-1</v>
      </c>
    </row>
    <row r="63" spans="1:26" s="24" customFormat="1" hidden="1" outlineLevel="2" x14ac:dyDescent="0.35">
      <c r="A63" s="27"/>
      <c r="B63" s="11" t="str">
        <f>CONCATENATE("          ", "6115", " - ", "P.E.R.S.")</f>
        <v xml:space="preserve">          6115 - P.E.R.S.</v>
      </c>
      <c r="C63" s="11"/>
      <c r="D63" s="7">
        <v>159.41999999999999</v>
      </c>
      <c r="E63" s="2"/>
      <c r="F63" s="6">
        <f t="shared" si="17"/>
        <v>3.5615751482749732E-4</v>
      </c>
      <c r="G63" s="2"/>
      <c r="H63" s="7"/>
      <c r="I63" s="2"/>
      <c r="J63" s="6">
        <f t="shared" si="18"/>
        <v>0</v>
      </c>
      <c r="K63" s="2"/>
      <c r="L63" s="7">
        <f t="shared" si="19"/>
        <v>159.41999999999999</v>
      </c>
      <c r="M63" s="2"/>
      <c r="N63" s="6">
        <f t="shared" si="20"/>
        <v>0</v>
      </c>
      <c r="O63" s="11"/>
      <c r="P63" s="7">
        <v>2807.7</v>
      </c>
      <c r="Q63" s="2"/>
      <c r="R63" s="6">
        <f t="shared" si="21"/>
        <v>9.731757586961678E-4</v>
      </c>
      <c r="S63" s="2"/>
      <c r="T63" s="7">
        <v>2090.5</v>
      </c>
      <c r="U63" s="2"/>
      <c r="V63" s="6">
        <f t="shared" si="22"/>
        <v>7.1070017882447203E-4</v>
      </c>
      <c r="W63" s="2"/>
      <c r="X63" s="7">
        <f t="shared" si="23"/>
        <v>717.19999999999982</v>
      </c>
      <c r="Y63" s="2"/>
      <c r="Z63" s="6">
        <f t="shared" si="24"/>
        <v>0.3430758191820138</v>
      </c>
    </row>
    <row r="64" spans="1:26" s="24" customFormat="1" hidden="1" outlineLevel="2" x14ac:dyDescent="0.35">
      <c r="A64" s="27"/>
      <c r="B64" s="11" t="str">
        <f>CONCATENATE("          ", "6117", " - ", "RETIREMENT STAFF HOURLY")</f>
        <v xml:space="preserve">          6117 - RETIREMENT STAFF HOURLY</v>
      </c>
      <c r="C64" s="11"/>
      <c r="D64" s="7">
        <v>154.78</v>
      </c>
      <c r="E64" s="2"/>
      <c r="F64" s="6">
        <f t="shared" si="17"/>
        <v>3.4579136962112681E-4</v>
      </c>
      <c r="G64" s="2"/>
      <c r="H64" s="7">
        <v>137.33000000000001</v>
      </c>
      <c r="I64" s="2"/>
      <c r="J64" s="6">
        <f t="shared" si="18"/>
        <v>1.0977534543102989E-3</v>
      </c>
      <c r="K64" s="2"/>
      <c r="L64" s="7">
        <f t="shared" si="19"/>
        <v>17.449999999999989</v>
      </c>
      <c r="M64" s="2"/>
      <c r="N64" s="6">
        <f t="shared" si="20"/>
        <v>0.12706619092696414</v>
      </c>
      <c r="O64" s="11"/>
      <c r="P64" s="7">
        <v>2058.8200000000002</v>
      </c>
      <c r="Q64" s="2"/>
      <c r="R64" s="6">
        <f t="shared" si="21"/>
        <v>7.136067655087241E-4</v>
      </c>
      <c r="S64" s="2"/>
      <c r="T64" s="7">
        <v>1537.94</v>
      </c>
      <c r="U64" s="2"/>
      <c r="V64" s="6">
        <f t="shared" si="22"/>
        <v>5.2284823392552426E-4</v>
      </c>
      <c r="W64" s="2"/>
      <c r="X64" s="7">
        <f t="shared" si="23"/>
        <v>520.88000000000011</v>
      </c>
      <c r="Y64" s="2"/>
      <c r="Z64" s="6">
        <f t="shared" si="24"/>
        <v>0.3386868148302275</v>
      </c>
    </row>
    <row r="65" spans="1:26" s="24" customFormat="1" hidden="1" outlineLevel="2" x14ac:dyDescent="0.35">
      <c r="A65" s="27"/>
      <c r="B65" s="11" t="str">
        <f>CONCATENATE("          ", "6118", " - ", "VACATION")</f>
        <v xml:space="preserve">          6118 - VACATION</v>
      </c>
      <c r="C65" s="11"/>
      <c r="D65" s="7">
        <v>257.8</v>
      </c>
      <c r="E65" s="2"/>
      <c r="F65" s="6">
        <f t="shared" si="17"/>
        <v>5.7594660219877569E-4</v>
      </c>
      <c r="G65" s="2"/>
      <c r="H65" s="7">
        <v>146.9</v>
      </c>
      <c r="I65" s="2"/>
      <c r="J65" s="6">
        <f t="shared" si="18"/>
        <v>1.1742516743477966E-3</v>
      </c>
      <c r="K65" s="2"/>
      <c r="L65" s="7">
        <f t="shared" si="19"/>
        <v>110.9</v>
      </c>
      <c r="M65" s="2"/>
      <c r="N65" s="6">
        <f t="shared" si="20"/>
        <v>0.75493533015656911</v>
      </c>
      <c r="O65" s="11"/>
      <c r="P65" s="7">
        <v>3303.15</v>
      </c>
      <c r="Q65" s="2"/>
      <c r="R65" s="6">
        <f t="shared" si="21"/>
        <v>1.1449034823297528E-3</v>
      </c>
      <c r="S65" s="2"/>
      <c r="T65" s="7">
        <v>2059.62</v>
      </c>
      <c r="U65" s="2"/>
      <c r="V65" s="6">
        <f t="shared" si="22"/>
        <v>7.0020201019395313E-4</v>
      </c>
      <c r="W65" s="2"/>
      <c r="X65" s="7">
        <f t="shared" si="23"/>
        <v>1243.5300000000002</v>
      </c>
      <c r="Y65" s="2"/>
      <c r="Z65" s="6">
        <f t="shared" si="24"/>
        <v>0.60376671424825956</v>
      </c>
    </row>
    <row r="66" spans="1:26" s="24" customFormat="1" hidden="1" outlineLevel="2" x14ac:dyDescent="0.35">
      <c r="A66" s="27"/>
      <c r="B66" s="11" t="str">
        <f>CONCATENATE("          ", "6119", " - ", "SICK LEAVE")</f>
        <v xml:space="preserve">          6119 - SICK LEAVE</v>
      </c>
      <c r="C66" s="11"/>
      <c r="D66" s="7">
        <v>256.57</v>
      </c>
      <c r="E66" s="2"/>
      <c r="F66" s="6">
        <f t="shared" si="17"/>
        <v>5.7319868008588E-4</v>
      </c>
      <c r="G66" s="2"/>
      <c r="H66" s="7">
        <v>117.58</v>
      </c>
      <c r="I66" s="2"/>
      <c r="J66" s="6">
        <f t="shared" si="18"/>
        <v>9.3988095214304923E-4</v>
      </c>
      <c r="K66" s="2"/>
      <c r="L66" s="7">
        <f t="shared" si="19"/>
        <v>138.99</v>
      </c>
      <c r="M66" s="2"/>
      <c r="N66" s="6">
        <f t="shared" si="20"/>
        <v>1.1820887906106481</v>
      </c>
      <c r="O66" s="11"/>
      <c r="P66" s="7">
        <v>-4833.5600000000004</v>
      </c>
      <c r="Q66" s="2"/>
      <c r="R66" s="6">
        <f t="shared" si="21"/>
        <v>-1.6753582719676069E-3</v>
      </c>
      <c r="S66" s="2"/>
      <c r="T66" s="7">
        <v>1696.61</v>
      </c>
      <c r="U66" s="2"/>
      <c r="V66" s="6">
        <f t="shared" si="22"/>
        <v>5.767907344632324E-4</v>
      </c>
      <c r="W66" s="2"/>
      <c r="X66" s="7">
        <f t="shared" si="23"/>
        <v>-6530.17</v>
      </c>
      <c r="Y66" s="2"/>
      <c r="Z66" s="6">
        <f t="shared" si="24"/>
        <v>-3.8489517331620116</v>
      </c>
    </row>
    <row r="67" spans="1:26" s="24" customFormat="1" hidden="1" outlineLevel="2" x14ac:dyDescent="0.35">
      <c r="A67" s="27"/>
      <c r="B67" s="11" t="str">
        <f>CONCATENATE("          ", "6156", " - ", "EMPLOYEE MEALS")</f>
        <v xml:space="preserve">          6156 - EMPLOYEE MEALS</v>
      </c>
      <c r="C67" s="11"/>
      <c r="D67" s="7">
        <v>204.48</v>
      </c>
      <c r="E67" s="2"/>
      <c r="F67" s="6">
        <f t="shared" si="17"/>
        <v>4.5682529564625927E-4</v>
      </c>
      <c r="G67" s="2"/>
      <c r="H67" s="7">
        <v>127.64</v>
      </c>
      <c r="I67" s="2"/>
      <c r="J67" s="6">
        <f t="shared" si="18"/>
        <v>1.0202960089431773E-3</v>
      </c>
      <c r="K67" s="2"/>
      <c r="L67" s="7">
        <f t="shared" si="19"/>
        <v>76.839999999999989</v>
      </c>
      <c r="M67" s="2"/>
      <c r="N67" s="6">
        <f t="shared" si="20"/>
        <v>0.60200564086493258</v>
      </c>
      <c r="O67" s="11"/>
      <c r="P67" s="7">
        <v>2063.08</v>
      </c>
      <c r="Q67" s="2"/>
      <c r="R67" s="6">
        <f t="shared" si="21"/>
        <v>7.1508332238162556E-4</v>
      </c>
      <c r="S67" s="2"/>
      <c r="T67" s="7">
        <v>1645.2</v>
      </c>
      <c r="U67" s="2"/>
      <c r="V67" s="6">
        <f t="shared" si="22"/>
        <v>5.5931305151974233E-4</v>
      </c>
      <c r="W67" s="2"/>
      <c r="X67" s="7">
        <f t="shared" si="23"/>
        <v>417.87999999999988</v>
      </c>
      <c r="Y67" s="2"/>
      <c r="Z67" s="6">
        <f t="shared" si="24"/>
        <v>0.25399951373693158</v>
      </c>
    </row>
    <row r="68" spans="1:26" s="25" customFormat="1" outlineLevel="1" collapsed="1" x14ac:dyDescent="0.35">
      <c r="A68" s="26"/>
      <c r="B68" s="12" t="str">
        <f>CONCATENATE("     ","*Payroll                                          ")</f>
        <v xml:space="preserve">     *Payroll                                          </v>
      </c>
      <c r="C68" s="12"/>
      <c r="D68" s="1">
        <f>SUM(OSRRefD22_1x_0)</f>
        <v>5490.55</v>
      </c>
      <c r="E68" s="1"/>
      <c r="F68" s="5">
        <f t="shared" ref="F68:F73" si="25">IF(D$12=0,0,D68/D$12)</f>
        <v>1.226634451785294E-2</v>
      </c>
      <c r="G68" s="1"/>
      <c r="H68" s="1">
        <f>SUM(OSRRefH22_1x_0)</f>
        <v>6718.42</v>
      </c>
      <c r="I68" s="1"/>
      <c r="J68" s="5">
        <f t="shared" ref="J68:J73" si="26">IF(H$12=0,0,H68/H$12)</f>
        <v>5.370398865875918E-2</v>
      </c>
      <c r="K68" s="1"/>
      <c r="L68" s="1">
        <f t="shared" ref="L68:L73" si="27">+D68-H68</f>
        <v>-1227.8699999999999</v>
      </c>
      <c r="M68" s="1"/>
      <c r="N68" s="5">
        <f t="shared" ref="N68:N73" si="28">IF(H68=0,0,L68/H68)</f>
        <v>-0.1827617207617267</v>
      </c>
      <c r="O68" s="12"/>
      <c r="P68" s="1">
        <f>SUM(OSRRefP22_1x_0)</f>
        <v>106281.83000000002</v>
      </c>
      <c r="Q68" s="1"/>
      <c r="R68" s="5">
        <f t="shared" ref="R68:R73" si="29">IF(P$12=0,0,P68/P$12)</f>
        <v>3.6838302007289651E-2</v>
      </c>
      <c r="S68" s="1"/>
      <c r="T68" s="1">
        <f>SUM(OSRRefT22_1x_0)</f>
        <v>107854.66</v>
      </c>
      <c r="U68" s="1"/>
      <c r="V68" s="5">
        <f t="shared" ref="V68:V73" si="30">IF(T$12=0,0,T68/T$12)</f>
        <v>3.6666982133007717E-2</v>
      </c>
      <c r="W68" s="1"/>
      <c r="X68" s="1">
        <f t="shared" ref="X68:X73" si="31">+P68-T68</f>
        <v>-1572.8299999999872</v>
      </c>
      <c r="Y68" s="1"/>
      <c r="Z68" s="5">
        <f t="shared" ref="Z68:Z73" si="32">IF(T68=0,0,X68/T68)</f>
        <v>-1.4582865496956619E-2</v>
      </c>
    </row>
    <row r="69" spans="1:26" s="24" customFormat="1" hidden="1" outlineLevel="2" x14ac:dyDescent="0.35">
      <c r="A69" s="27"/>
      <c r="B69" s="11" t="str">
        <f>CONCATENATE("          ", "6002", " - ", "STAFF SALARIES")</f>
        <v xml:space="preserve">          6002 - STAFF SALARIES</v>
      </c>
      <c r="C69" s="11"/>
      <c r="D69" s="7">
        <v>2282.3000000000002</v>
      </c>
      <c r="E69" s="2"/>
      <c r="F69" s="6">
        <f t="shared" si="25"/>
        <v>5.0988476733834975E-3</v>
      </c>
      <c r="G69" s="2"/>
      <c r="H69" s="7">
        <v>1911.9</v>
      </c>
      <c r="I69" s="2"/>
      <c r="J69" s="6">
        <f t="shared" si="26"/>
        <v>1.5282857564231126E-2</v>
      </c>
      <c r="K69" s="2"/>
      <c r="L69" s="7">
        <f t="shared" si="27"/>
        <v>370.40000000000009</v>
      </c>
      <c r="M69" s="2"/>
      <c r="N69" s="6">
        <f t="shared" si="28"/>
        <v>0.19373398190281924</v>
      </c>
      <c r="O69" s="11"/>
      <c r="P69" s="7">
        <v>36505.870000000003</v>
      </c>
      <c r="Q69" s="2"/>
      <c r="R69" s="6">
        <f t="shared" si="29"/>
        <v>1.2653284800410898E-2</v>
      </c>
      <c r="S69" s="2"/>
      <c r="T69" s="7">
        <v>31100.240000000002</v>
      </c>
      <c r="U69" s="2"/>
      <c r="V69" s="6">
        <f t="shared" si="30"/>
        <v>1.0573042874663477E-2</v>
      </c>
      <c r="W69" s="2"/>
      <c r="X69" s="7">
        <f t="shared" si="31"/>
        <v>5405.630000000001</v>
      </c>
      <c r="Y69" s="2"/>
      <c r="Z69" s="6">
        <f t="shared" si="32"/>
        <v>0.17381312813020094</v>
      </c>
    </row>
    <row r="70" spans="1:26" s="24" customFormat="1" hidden="1" outlineLevel="2" x14ac:dyDescent="0.35">
      <c r="A70" s="27"/>
      <c r="B70" s="11" t="str">
        <f>CONCATENATE("          ", "6004", " - ", "STAFF HOURLY")</f>
        <v xml:space="preserve">          6004 - STAFF HOURLY</v>
      </c>
      <c r="C70" s="11"/>
      <c r="D70" s="7">
        <v>3208.25</v>
      </c>
      <c r="E70" s="2"/>
      <c r="F70" s="6">
        <f t="shared" si="25"/>
        <v>7.1674968444694412E-3</v>
      </c>
      <c r="G70" s="2"/>
      <c r="H70" s="7"/>
      <c r="I70" s="2"/>
      <c r="J70" s="6">
        <f t="shared" si="26"/>
        <v>0</v>
      </c>
      <c r="K70" s="2"/>
      <c r="L70" s="7">
        <f t="shared" si="27"/>
        <v>3208.25</v>
      </c>
      <c r="M70" s="2"/>
      <c r="N70" s="6">
        <f t="shared" si="28"/>
        <v>0</v>
      </c>
      <c r="O70" s="11"/>
      <c r="P70" s="7">
        <v>11783.41</v>
      </c>
      <c r="Q70" s="2"/>
      <c r="R70" s="6">
        <f t="shared" si="29"/>
        <v>4.0842429628443252E-3</v>
      </c>
      <c r="S70" s="2"/>
      <c r="T70" s="7"/>
      <c r="U70" s="2"/>
      <c r="V70" s="6">
        <f t="shared" si="30"/>
        <v>0</v>
      </c>
      <c r="W70" s="2"/>
      <c r="X70" s="7">
        <f t="shared" si="31"/>
        <v>11783.41</v>
      </c>
      <c r="Y70" s="2"/>
      <c r="Z70" s="6">
        <f t="shared" si="32"/>
        <v>0</v>
      </c>
    </row>
    <row r="71" spans="1:26" s="24" customFormat="1" hidden="1" outlineLevel="2" x14ac:dyDescent="0.35">
      <c r="A71" s="27"/>
      <c r="B71" s="11" t="str">
        <f>CONCATENATE("          ", "6005", " - ", "TEMPORARY WAGES-HOURLY")</f>
        <v xml:space="preserve">          6005 - TEMPORARY WAGES-HOURLY</v>
      </c>
      <c r="C71" s="11"/>
      <c r="D71" s="7"/>
      <c r="E71" s="2"/>
      <c r="F71" s="6">
        <f t="shared" si="25"/>
        <v>0</v>
      </c>
      <c r="G71" s="2"/>
      <c r="H71" s="7">
        <v>2862.89</v>
      </c>
      <c r="I71" s="2"/>
      <c r="J71" s="6">
        <f t="shared" si="26"/>
        <v>2.288463836605557E-2</v>
      </c>
      <c r="K71" s="2"/>
      <c r="L71" s="7">
        <f t="shared" si="27"/>
        <v>-2862.89</v>
      </c>
      <c r="M71" s="2"/>
      <c r="N71" s="6">
        <f t="shared" si="28"/>
        <v>-1</v>
      </c>
      <c r="O71" s="11"/>
      <c r="P71" s="7">
        <v>29960.57</v>
      </c>
      <c r="Q71" s="2"/>
      <c r="R71" s="6">
        <f t="shared" si="29"/>
        <v>1.0384621021020638E-2</v>
      </c>
      <c r="S71" s="2"/>
      <c r="T71" s="7">
        <v>30814.060000000005</v>
      </c>
      <c r="U71" s="2"/>
      <c r="V71" s="6">
        <f t="shared" si="30"/>
        <v>1.0475751232866785E-2</v>
      </c>
      <c r="W71" s="2"/>
      <c r="X71" s="7">
        <f t="shared" si="31"/>
        <v>-853.49000000000524</v>
      </c>
      <c r="Y71" s="2"/>
      <c r="Z71" s="6">
        <f t="shared" si="32"/>
        <v>-2.7698070296481705E-2</v>
      </c>
    </row>
    <row r="72" spans="1:26" s="24" customFormat="1" hidden="1" outlineLevel="2" x14ac:dyDescent="0.35">
      <c r="A72" s="27"/>
      <c r="B72" s="11" t="str">
        <f>CONCATENATE("          ", "6006", " - ", "TEMPORARY PART TIME")</f>
        <v xml:space="preserve">          6006 - TEMPORARY PART TIME</v>
      </c>
      <c r="C72" s="11"/>
      <c r="D72" s="7"/>
      <c r="E72" s="2"/>
      <c r="F72" s="6">
        <f t="shared" si="25"/>
        <v>0</v>
      </c>
      <c r="G72" s="2"/>
      <c r="H72" s="7">
        <v>1478.63</v>
      </c>
      <c r="I72" s="2"/>
      <c r="J72" s="6">
        <f t="shared" si="26"/>
        <v>1.1819494576180277E-2</v>
      </c>
      <c r="K72" s="2"/>
      <c r="L72" s="7">
        <f t="shared" si="27"/>
        <v>-1478.63</v>
      </c>
      <c r="M72" s="2"/>
      <c r="N72" s="6">
        <f t="shared" si="28"/>
        <v>-1</v>
      </c>
      <c r="O72" s="11"/>
      <c r="P72" s="7">
        <v>9008.99</v>
      </c>
      <c r="Q72" s="2"/>
      <c r="R72" s="6">
        <f t="shared" si="29"/>
        <v>3.1226023714557073E-3</v>
      </c>
      <c r="S72" s="2"/>
      <c r="T72" s="7">
        <v>1478.63</v>
      </c>
      <c r="U72" s="2"/>
      <c r="V72" s="6">
        <f t="shared" si="30"/>
        <v>5.026848148362732E-4</v>
      </c>
      <c r="W72" s="2"/>
      <c r="X72" s="7">
        <f t="shared" si="31"/>
        <v>7530.36</v>
      </c>
      <c r="Y72" s="2"/>
      <c r="Z72" s="6">
        <f t="shared" si="32"/>
        <v>5.0927953578650502</v>
      </c>
    </row>
    <row r="73" spans="1:26" s="24" customFormat="1" hidden="1" outlineLevel="2" x14ac:dyDescent="0.35">
      <c r="A73" s="27"/>
      <c r="B73" s="11" t="str">
        <f>CONCATENATE("          ", "6007", " - ", "STUDENT HOURLY")</f>
        <v xml:space="preserve">          6007 - STUDENT HOURLY</v>
      </c>
      <c r="C73" s="11"/>
      <c r="D73" s="7"/>
      <c r="E73" s="2"/>
      <c r="F73" s="6">
        <f t="shared" si="25"/>
        <v>0</v>
      </c>
      <c r="G73" s="2"/>
      <c r="H73" s="7">
        <v>465</v>
      </c>
      <c r="I73" s="2"/>
      <c r="J73" s="6">
        <f t="shared" si="26"/>
        <v>3.7169981522922084E-3</v>
      </c>
      <c r="K73" s="2"/>
      <c r="L73" s="7">
        <f t="shared" si="27"/>
        <v>-465</v>
      </c>
      <c r="M73" s="2"/>
      <c r="N73" s="6">
        <f t="shared" si="28"/>
        <v>-1</v>
      </c>
      <c r="O73" s="11"/>
      <c r="P73" s="7">
        <v>19022.990000000002</v>
      </c>
      <c r="Q73" s="2"/>
      <c r="R73" s="6">
        <f t="shared" si="29"/>
        <v>6.5935508515580785E-3</v>
      </c>
      <c r="S73" s="2"/>
      <c r="T73" s="7">
        <v>44461.729999999996</v>
      </c>
      <c r="U73" s="2"/>
      <c r="V73" s="6">
        <f t="shared" si="30"/>
        <v>1.5115503210641182E-2</v>
      </c>
      <c r="W73" s="2"/>
      <c r="X73" s="7">
        <f t="shared" si="31"/>
        <v>-25438.739999999994</v>
      </c>
      <c r="Y73" s="2"/>
      <c r="Z73" s="6">
        <f t="shared" si="32"/>
        <v>-0.57214912690081998</v>
      </c>
    </row>
    <row r="74" spans="1:26" s="25" customFormat="1" outlineLevel="1" collapsed="1" x14ac:dyDescent="0.35">
      <c r="A74" s="26"/>
      <c r="B74" s="12" t="str">
        <f>CONCATENATE("     ","Advertising/Promo                                 ")</f>
        <v xml:space="preserve">     Advertising/Promo                                 </v>
      </c>
      <c r="C74" s="12"/>
      <c r="D74" s="1">
        <f>SUM(OSRRefD22_2x_0)</f>
        <v>34.450000000000003</v>
      </c>
      <c r="E74" s="1"/>
      <c r="F74" s="5">
        <f t="shared" ref="F74:F86" si="33">IF(D$12=0,0,D74/D$12)</f>
        <v>7.6964159991263853E-5</v>
      </c>
      <c r="G74" s="1"/>
      <c r="H74" s="1">
        <f>SUM(OSRRefH22_2x_0)</f>
        <v>176.1</v>
      </c>
      <c r="I74" s="1"/>
      <c r="J74" s="5">
        <f t="shared" ref="J74:J86" si="34">IF(H$12=0,0,H74/H$12)</f>
        <v>1.4076631712229201E-3</v>
      </c>
      <c r="K74" s="1"/>
      <c r="L74" s="1">
        <f t="shared" ref="L74:L86" si="35">+D74-H74</f>
        <v>-141.64999999999998</v>
      </c>
      <c r="M74" s="1"/>
      <c r="N74" s="5">
        <f t="shared" ref="N74:N86" si="36">IF(H74=0,0,L74/H74)</f>
        <v>-0.8043725156161271</v>
      </c>
      <c r="O74" s="12"/>
      <c r="P74" s="1">
        <f>SUM(OSRRefP22_2x_0)</f>
        <v>1780.37</v>
      </c>
      <c r="Q74" s="1"/>
      <c r="R74" s="5">
        <f t="shared" ref="R74:R86" si="37">IF(P$12=0,0,P74/P$12)</f>
        <v>6.1709332389852777E-4</v>
      </c>
      <c r="S74" s="1"/>
      <c r="T74" s="1">
        <f>SUM(OSRRefT22_2x_0)</f>
        <v>4190.87</v>
      </c>
      <c r="U74" s="1"/>
      <c r="V74" s="5">
        <f t="shared" ref="V74:V86" si="38">IF(T$12=0,0,T74/T$12)</f>
        <v>1.4247558279981416E-3</v>
      </c>
      <c r="W74" s="1"/>
      <c r="X74" s="1">
        <f t="shared" ref="X74:X86" si="39">+P74-T74</f>
        <v>-2410.5</v>
      </c>
      <c r="Y74" s="1"/>
      <c r="Z74" s="5">
        <f t="shared" ref="Z74:Z86" si="40">IF(T74=0,0,X74/T74)</f>
        <v>-0.57517890080102696</v>
      </c>
    </row>
    <row r="75" spans="1:26" s="24" customFormat="1" hidden="1" outlineLevel="2" x14ac:dyDescent="0.35">
      <c r="A75" s="27"/>
      <c r="B75" s="11" t="str">
        <f>CONCATENATE("          ", "6362", " - ", "ADVERTISING EXPENSE")</f>
        <v xml:space="preserve">          6362 - ADVERTISING EXPENSE</v>
      </c>
      <c r="C75" s="11"/>
      <c r="D75" s="7">
        <v>34.450000000000003</v>
      </c>
      <c r="E75" s="2"/>
      <c r="F75" s="6">
        <f t="shared" si="33"/>
        <v>7.6964159991263853E-5</v>
      </c>
      <c r="G75" s="2"/>
      <c r="H75" s="7">
        <v>176.1</v>
      </c>
      <c r="I75" s="2"/>
      <c r="J75" s="6">
        <f t="shared" si="34"/>
        <v>1.4076631712229201E-3</v>
      </c>
      <c r="K75" s="2"/>
      <c r="L75" s="7">
        <f t="shared" si="35"/>
        <v>-141.64999999999998</v>
      </c>
      <c r="M75" s="2"/>
      <c r="N75" s="6">
        <f t="shared" si="36"/>
        <v>-0.8043725156161271</v>
      </c>
      <c r="O75" s="11"/>
      <c r="P75" s="7">
        <v>1780.37</v>
      </c>
      <c r="Q75" s="2"/>
      <c r="R75" s="6">
        <f t="shared" si="37"/>
        <v>6.1709332389852777E-4</v>
      </c>
      <c r="S75" s="2"/>
      <c r="T75" s="7">
        <v>4190.87</v>
      </c>
      <c r="U75" s="2"/>
      <c r="V75" s="6">
        <f t="shared" si="38"/>
        <v>1.4247558279981416E-3</v>
      </c>
      <c r="W75" s="2"/>
      <c r="X75" s="7">
        <f t="shared" si="39"/>
        <v>-2410.5</v>
      </c>
      <c r="Y75" s="2"/>
      <c r="Z75" s="6">
        <f t="shared" si="40"/>
        <v>-0.57517890080102696</v>
      </c>
    </row>
    <row r="76" spans="1:26" s="25" customFormat="1" outlineLevel="1" collapsed="1" x14ac:dyDescent="0.35">
      <c r="A76" s="26"/>
      <c r="B76" s="12" t="str">
        <f>CONCATENATE("     ","Depreciation                                      ")</f>
        <v xml:space="preserve">     Depreciation                                      </v>
      </c>
      <c r="C76" s="12"/>
      <c r="D76" s="1">
        <f>SUM(OSRRefD22_3x_0)</f>
        <v>280.45</v>
      </c>
      <c r="E76" s="1"/>
      <c r="F76" s="5">
        <f t="shared" si="33"/>
        <v>6.2654858257039036E-4</v>
      </c>
      <c r="G76" s="1"/>
      <c r="H76" s="1">
        <f>SUM(OSRRefH22_3x_0)</f>
        <v>280.45</v>
      </c>
      <c r="I76" s="1"/>
      <c r="J76" s="5">
        <f t="shared" si="34"/>
        <v>2.2417895307749458E-3</v>
      </c>
      <c r="K76" s="1"/>
      <c r="L76" s="1">
        <f t="shared" si="35"/>
        <v>0</v>
      </c>
      <c r="M76" s="1"/>
      <c r="N76" s="5">
        <f t="shared" si="36"/>
        <v>0</v>
      </c>
      <c r="O76" s="12"/>
      <c r="P76" s="1">
        <f>SUM(OSRRefP22_3x_0)</f>
        <v>3365.29</v>
      </c>
      <c r="Q76" s="1"/>
      <c r="R76" s="5">
        <f t="shared" si="37"/>
        <v>1.166441802536819E-3</v>
      </c>
      <c r="S76" s="1"/>
      <c r="T76" s="1">
        <f>SUM(OSRRefT22_3x_0)</f>
        <v>3365.29</v>
      </c>
      <c r="U76" s="1"/>
      <c r="V76" s="5">
        <f t="shared" si="38"/>
        <v>1.1440862017680973E-3</v>
      </c>
      <c r="W76" s="1"/>
      <c r="X76" s="1">
        <f t="shared" si="39"/>
        <v>0</v>
      </c>
      <c r="Y76" s="1"/>
      <c r="Z76" s="5">
        <f t="shared" si="40"/>
        <v>0</v>
      </c>
    </row>
    <row r="77" spans="1:26" s="24" customFormat="1" hidden="1" outlineLevel="2" x14ac:dyDescent="0.35">
      <c r="A77" s="27"/>
      <c r="B77" s="11" t="str">
        <f>CONCATENATE("          ", "6322", " - ", "EQUIPMENT DEPRECIATION EXPENSE")</f>
        <v xml:space="preserve">          6322 - EQUIPMENT DEPRECIATION EXPENSE</v>
      </c>
      <c r="C77" s="11"/>
      <c r="D77" s="7">
        <v>280.45</v>
      </c>
      <c r="E77" s="2"/>
      <c r="F77" s="6">
        <f t="shared" si="33"/>
        <v>6.2654858257039036E-4</v>
      </c>
      <c r="G77" s="2"/>
      <c r="H77" s="7">
        <v>280.45</v>
      </c>
      <c r="I77" s="2"/>
      <c r="J77" s="6">
        <f t="shared" si="34"/>
        <v>2.2417895307749458E-3</v>
      </c>
      <c r="K77" s="2"/>
      <c r="L77" s="7">
        <f t="shared" si="35"/>
        <v>0</v>
      </c>
      <c r="M77" s="2"/>
      <c r="N77" s="6">
        <f t="shared" si="36"/>
        <v>0</v>
      </c>
      <c r="O77" s="11"/>
      <c r="P77" s="7">
        <v>3365.29</v>
      </c>
      <c r="Q77" s="2"/>
      <c r="R77" s="6">
        <f t="shared" si="37"/>
        <v>1.166441802536819E-3</v>
      </c>
      <c r="S77" s="2"/>
      <c r="T77" s="7">
        <v>3365.29</v>
      </c>
      <c r="U77" s="2"/>
      <c r="V77" s="6">
        <f t="shared" si="38"/>
        <v>1.1440862017680973E-3</v>
      </c>
      <c r="W77" s="2"/>
      <c r="X77" s="7">
        <f t="shared" si="39"/>
        <v>0</v>
      </c>
      <c r="Y77" s="2"/>
      <c r="Z77" s="6">
        <f t="shared" si="40"/>
        <v>0</v>
      </c>
    </row>
    <row r="78" spans="1:26" s="25" customFormat="1" outlineLevel="1" collapsed="1" x14ac:dyDescent="0.35">
      <c r="A78" s="26"/>
      <c r="B78" s="12" t="str">
        <f>CONCATENATE("     ","Discounts and Markdowns                           ")</f>
        <v xml:space="preserve">     Discounts and Markdowns                           </v>
      </c>
      <c r="C78" s="12"/>
      <c r="D78" s="1">
        <f>SUM(OSRRefD22_4x_0)</f>
        <v>2379.19</v>
      </c>
      <c r="E78" s="1"/>
      <c r="F78" s="5">
        <f t="shared" si="33"/>
        <v>5.3153079770570403E-3</v>
      </c>
      <c r="G78" s="1"/>
      <c r="H78" s="1">
        <f>SUM(OSRRefH22_4x_0)</f>
        <v>2827.3</v>
      </c>
      <c r="I78" s="1"/>
      <c r="J78" s="5">
        <f t="shared" si="34"/>
        <v>2.2600148120377982E-2</v>
      </c>
      <c r="K78" s="1"/>
      <c r="L78" s="1">
        <f t="shared" si="35"/>
        <v>-448.11000000000013</v>
      </c>
      <c r="M78" s="1"/>
      <c r="N78" s="5">
        <f t="shared" si="36"/>
        <v>-0.15849396951154815</v>
      </c>
      <c r="O78" s="12"/>
      <c r="P78" s="1">
        <f>SUM(OSRRefP22_4x_0)</f>
        <v>76736.39</v>
      </c>
      <c r="Q78" s="1"/>
      <c r="R78" s="5">
        <f t="shared" si="37"/>
        <v>2.6597569027266101E-2</v>
      </c>
      <c r="S78" s="1"/>
      <c r="T78" s="1">
        <f>SUM(OSRRefT22_4x_0)</f>
        <v>95041.64</v>
      </c>
      <c r="U78" s="1"/>
      <c r="V78" s="5">
        <f t="shared" si="38"/>
        <v>3.2310983278531977E-2</v>
      </c>
      <c r="W78" s="1"/>
      <c r="X78" s="1">
        <f t="shared" si="39"/>
        <v>-18305.25</v>
      </c>
      <c r="Y78" s="1"/>
      <c r="Z78" s="5">
        <f t="shared" si="40"/>
        <v>-0.19260242142286266</v>
      </c>
    </row>
    <row r="79" spans="1:26" s="24" customFormat="1" hidden="1" outlineLevel="2" x14ac:dyDescent="0.35">
      <c r="A79" s="27"/>
      <c r="B79" s="11" t="str">
        <f>CONCATENATE("          ", "6382", " - ", "DISCOUNTS/MARK DOWNS")</f>
        <v xml:space="preserve">          6382 - DISCOUNTS/MARK DOWNS</v>
      </c>
      <c r="C79" s="11"/>
      <c r="D79" s="7">
        <v>2379.19</v>
      </c>
      <c r="E79" s="2"/>
      <c r="F79" s="6">
        <f t="shared" si="33"/>
        <v>5.3153079770570403E-3</v>
      </c>
      <c r="G79" s="2"/>
      <c r="H79" s="7">
        <v>2827.3</v>
      </c>
      <c r="I79" s="2"/>
      <c r="J79" s="6">
        <f t="shared" si="34"/>
        <v>2.2600148120377982E-2</v>
      </c>
      <c r="K79" s="2"/>
      <c r="L79" s="7">
        <f t="shared" si="35"/>
        <v>-448.11000000000013</v>
      </c>
      <c r="M79" s="2"/>
      <c r="N79" s="6">
        <f t="shared" si="36"/>
        <v>-0.15849396951154815</v>
      </c>
      <c r="O79" s="11"/>
      <c r="P79" s="7">
        <v>76736.39</v>
      </c>
      <c r="Q79" s="2"/>
      <c r="R79" s="6">
        <f t="shared" si="37"/>
        <v>2.6597569027266101E-2</v>
      </c>
      <c r="S79" s="2"/>
      <c r="T79" s="7">
        <v>95041.64</v>
      </c>
      <c r="U79" s="2"/>
      <c r="V79" s="6">
        <f t="shared" si="38"/>
        <v>3.2310983278531977E-2</v>
      </c>
      <c r="W79" s="2"/>
      <c r="X79" s="7">
        <f t="shared" si="39"/>
        <v>-18305.25</v>
      </c>
      <c r="Y79" s="2"/>
      <c r="Z79" s="6">
        <f t="shared" si="40"/>
        <v>-0.19260242142286266</v>
      </c>
    </row>
    <row r="80" spans="1:26" s="25" customFormat="1" outlineLevel="1" collapsed="1" x14ac:dyDescent="0.35">
      <c r="A80" s="26"/>
      <c r="B80" s="12" t="str">
        <f>CONCATENATE("     ","Donations                                         ")</f>
        <v xml:space="preserve">     Donations                                         </v>
      </c>
      <c r="C80" s="12"/>
      <c r="D80" s="1">
        <f>SUM(OSRRefD22_5x_0)</f>
        <v>0</v>
      </c>
      <c r="E80" s="1"/>
      <c r="F80" s="5">
        <f t="shared" si="33"/>
        <v>0</v>
      </c>
      <c r="G80" s="1"/>
      <c r="H80" s="1">
        <f>SUM(OSRRefH22_5x_0)</f>
        <v>0</v>
      </c>
      <c r="I80" s="1"/>
      <c r="J80" s="5">
        <f t="shared" si="34"/>
        <v>0</v>
      </c>
      <c r="K80" s="1"/>
      <c r="L80" s="1">
        <f t="shared" si="35"/>
        <v>0</v>
      </c>
      <c r="M80" s="1"/>
      <c r="N80" s="5">
        <f t="shared" si="36"/>
        <v>0</v>
      </c>
      <c r="O80" s="12"/>
      <c r="P80" s="1">
        <f>SUM(OSRRefP22_5x_0)</f>
        <v>0</v>
      </c>
      <c r="Q80" s="1"/>
      <c r="R80" s="5">
        <f t="shared" si="37"/>
        <v>0</v>
      </c>
      <c r="S80" s="1"/>
      <c r="T80" s="1">
        <f>SUM(OSRRefT22_5x_0)</f>
        <v>0</v>
      </c>
      <c r="U80" s="1"/>
      <c r="V80" s="5">
        <f t="shared" si="38"/>
        <v>0</v>
      </c>
      <c r="W80" s="1"/>
      <c r="X80" s="1">
        <f t="shared" si="39"/>
        <v>0</v>
      </c>
      <c r="Y80" s="1"/>
      <c r="Z80" s="5">
        <f t="shared" si="40"/>
        <v>0</v>
      </c>
    </row>
    <row r="81" spans="1:26" s="24" customFormat="1" hidden="1" outlineLevel="2" x14ac:dyDescent="0.35">
      <c r="A81" s="27"/>
      <c r="B81" s="11" t="str">
        <f>CONCATENATE("          ", "6399", " - ", "DONATION-ON CAMPUS")</f>
        <v xml:space="preserve">          6399 - DONATION-ON CAMPUS</v>
      </c>
      <c r="C81" s="11"/>
      <c r="D81" s="7"/>
      <c r="E81" s="2"/>
      <c r="F81" s="6">
        <f t="shared" si="33"/>
        <v>0</v>
      </c>
      <c r="G81" s="2"/>
      <c r="H81" s="7"/>
      <c r="I81" s="2"/>
      <c r="J81" s="6">
        <f t="shared" si="34"/>
        <v>0</v>
      </c>
      <c r="K81" s="2"/>
      <c r="L81" s="7">
        <f t="shared" si="35"/>
        <v>0</v>
      </c>
      <c r="M81" s="2"/>
      <c r="N81" s="6">
        <f t="shared" si="36"/>
        <v>0</v>
      </c>
      <c r="O81" s="11"/>
      <c r="P81" s="7"/>
      <c r="Q81" s="2"/>
      <c r="R81" s="6">
        <f t="shared" si="37"/>
        <v>0</v>
      </c>
      <c r="S81" s="2"/>
      <c r="T81" s="7">
        <v>0</v>
      </c>
      <c r="U81" s="2"/>
      <c r="V81" s="6">
        <f t="shared" si="38"/>
        <v>0</v>
      </c>
      <c r="W81" s="2"/>
      <c r="X81" s="7">
        <f t="shared" si="39"/>
        <v>0</v>
      </c>
      <c r="Y81" s="2"/>
      <c r="Z81" s="6">
        <f t="shared" si="40"/>
        <v>0</v>
      </c>
    </row>
    <row r="82" spans="1:26" s="25" customFormat="1" outlineLevel="1" collapsed="1" x14ac:dyDescent="0.35">
      <c r="A82" s="26"/>
      <c r="B82" s="12" t="str">
        <f>CONCATENATE("     ","Employees' Appreciation                           ")</f>
        <v xml:space="preserve">     Employees' Appreciation                           </v>
      </c>
      <c r="C82" s="12"/>
      <c r="D82" s="1">
        <f>SUM(OSRRefD22_6x_0)</f>
        <v>0</v>
      </c>
      <c r="E82" s="1"/>
      <c r="F82" s="5">
        <f t="shared" si="33"/>
        <v>0</v>
      </c>
      <c r="G82" s="1"/>
      <c r="H82" s="1">
        <f>SUM(OSRRefH22_6x_0)</f>
        <v>0</v>
      </c>
      <c r="I82" s="1"/>
      <c r="J82" s="5">
        <f t="shared" si="34"/>
        <v>0</v>
      </c>
      <c r="K82" s="1"/>
      <c r="L82" s="1">
        <f t="shared" si="35"/>
        <v>0</v>
      </c>
      <c r="M82" s="1"/>
      <c r="N82" s="5">
        <f t="shared" si="36"/>
        <v>0</v>
      </c>
      <c r="O82" s="12"/>
      <c r="P82" s="1">
        <f>SUM(OSRRefP22_6x_0)</f>
        <v>0</v>
      </c>
      <c r="Q82" s="1"/>
      <c r="R82" s="5">
        <f t="shared" si="37"/>
        <v>0</v>
      </c>
      <c r="S82" s="1"/>
      <c r="T82" s="1">
        <f>SUM(OSRRefT22_6x_0)</f>
        <v>266.14999999999998</v>
      </c>
      <c r="U82" s="1"/>
      <c r="V82" s="5">
        <f t="shared" si="38"/>
        <v>9.0482110784086689E-5</v>
      </c>
      <c r="W82" s="1"/>
      <c r="X82" s="1">
        <f t="shared" si="39"/>
        <v>-266.14999999999998</v>
      </c>
      <c r="Y82" s="1"/>
      <c r="Z82" s="5">
        <f t="shared" si="40"/>
        <v>-1</v>
      </c>
    </row>
    <row r="83" spans="1:26" s="24" customFormat="1" hidden="1" outlineLevel="2" x14ac:dyDescent="0.35">
      <c r="A83" s="27"/>
      <c r="B83" s="11" t="str">
        <f>CONCATENATE("          ", "6277", " - ", "EMPLOYEE APPRECIATION")</f>
        <v xml:space="preserve">          6277 - EMPLOYEE APPRECIATION</v>
      </c>
      <c r="C83" s="11"/>
      <c r="D83" s="7"/>
      <c r="E83" s="2"/>
      <c r="F83" s="6">
        <f t="shared" si="33"/>
        <v>0</v>
      </c>
      <c r="G83" s="2"/>
      <c r="H83" s="7"/>
      <c r="I83" s="2"/>
      <c r="J83" s="6">
        <f t="shared" si="34"/>
        <v>0</v>
      </c>
      <c r="K83" s="2"/>
      <c r="L83" s="7">
        <f t="shared" si="35"/>
        <v>0</v>
      </c>
      <c r="M83" s="2"/>
      <c r="N83" s="6">
        <f t="shared" si="36"/>
        <v>0</v>
      </c>
      <c r="O83" s="11"/>
      <c r="P83" s="7"/>
      <c r="Q83" s="2"/>
      <c r="R83" s="6">
        <f t="shared" si="37"/>
        <v>0</v>
      </c>
      <c r="S83" s="2"/>
      <c r="T83" s="7">
        <v>266.14999999999998</v>
      </c>
      <c r="U83" s="2"/>
      <c r="V83" s="6">
        <f t="shared" si="38"/>
        <v>9.0482110784086689E-5</v>
      </c>
      <c r="W83" s="2"/>
      <c r="X83" s="7">
        <f t="shared" si="39"/>
        <v>-266.14999999999998</v>
      </c>
      <c r="Y83" s="2"/>
      <c r="Z83" s="6">
        <f t="shared" si="40"/>
        <v>-1</v>
      </c>
    </row>
    <row r="84" spans="1:26" s="25" customFormat="1" outlineLevel="1" collapsed="1" x14ac:dyDescent="0.35">
      <c r="A84" s="26"/>
      <c r="B84" s="12" t="str">
        <f>CONCATENATE("     ","Freight out/Postage                               ")</f>
        <v xml:space="preserve">     Freight out/Postage                               </v>
      </c>
      <c r="C84" s="12"/>
      <c r="D84" s="1">
        <f>SUM(OSRRefD22_7x_0)</f>
        <v>142.69</v>
      </c>
      <c r="E84" s="1"/>
      <c r="F84" s="5">
        <f t="shared" si="33"/>
        <v>3.1878130592607952E-4</v>
      </c>
      <c r="G84" s="1"/>
      <c r="H84" s="1">
        <f>SUM(OSRRefH22_7x_0)</f>
        <v>0</v>
      </c>
      <c r="I84" s="1"/>
      <c r="J84" s="5">
        <f t="shared" si="34"/>
        <v>0</v>
      </c>
      <c r="K84" s="1"/>
      <c r="L84" s="1">
        <f t="shared" si="35"/>
        <v>142.69</v>
      </c>
      <c r="M84" s="1"/>
      <c r="N84" s="5">
        <f t="shared" si="36"/>
        <v>0</v>
      </c>
      <c r="O84" s="12"/>
      <c r="P84" s="1">
        <f>SUM(OSRRefP22_7x_0)</f>
        <v>263.27999999999997</v>
      </c>
      <c r="Q84" s="1"/>
      <c r="R84" s="5">
        <f t="shared" si="37"/>
        <v>9.1255374060450562E-5</v>
      </c>
      <c r="S84" s="1"/>
      <c r="T84" s="1">
        <f>SUM(OSRRefT22_7x_0)</f>
        <v>272.76</v>
      </c>
      <c r="U84" s="1"/>
      <c r="V84" s="5">
        <f t="shared" si="38"/>
        <v>9.2729290014906946E-5</v>
      </c>
      <c r="W84" s="1"/>
      <c r="X84" s="1">
        <f t="shared" si="39"/>
        <v>-9.4800000000000182</v>
      </c>
      <c r="Y84" s="1"/>
      <c r="Z84" s="5">
        <f t="shared" si="40"/>
        <v>-3.4755829300484008E-2</v>
      </c>
    </row>
    <row r="85" spans="1:26" s="24" customFormat="1" hidden="1" outlineLevel="2" x14ac:dyDescent="0.35">
      <c r="A85" s="27"/>
      <c r="B85" s="11" t="str">
        <f>CONCATENATE("          ", "6305", " - ", "FREIGHT OUT")</f>
        <v xml:space="preserve">          6305 - FREIGHT OUT</v>
      </c>
      <c r="C85" s="11"/>
      <c r="D85" s="7">
        <v>142.69</v>
      </c>
      <c r="E85" s="2"/>
      <c r="F85" s="6">
        <f t="shared" si="33"/>
        <v>3.1878130592607952E-4</v>
      </c>
      <c r="G85" s="2"/>
      <c r="H85" s="7"/>
      <c r="I85" s="2"/>
      <c r="J85" s="6">
        <f t="shared" si="34"/>
        <v>0</v>
      </c>
      <c r="K85" s="2"/>
      <c r="L85" s="7">
        <f t="shared" si="35"/>
        <v>142.69</v>
      </c>
      <c r="M85" s="2"/>
      <c r="N85" s="6">
        <f t="shared" si="36"/>
        <v>0</v>
      </c>
      <c r="O85" s="11"/>
      <c r="P85" s="7">
        <v>263.27999999999997</v>
      </c>
      <c r="Q85" s="2"/>
      <c r="R85" s="6">
        <f t="shared" si="37"/>
        <v>9.1255374060450562E-5</v>
      </c>
      <c r="S85" s="2"/>
      <c r="T85" s="7">
        <v>251.93</v>
      </c>
      <c r="U85" s="2"/>
      <c r="V85" s="6">
        <f t="shared" si="38"/>
        <v>8.5647785721716926E-5</v>
      </c>
      <c r="W85" s="2"/>
      <c r="X85" s="7">
        <f t="shared" si="39"/>
        <v>11.349999999999966</v>
      </c>
      <c r="Y85" s="2"/>
      <c r="Z85" s="6">
        <f t="shared" si="40"/>
        <v>4.5052197038859862E-2</v>
      </c>
    </row>
    <row r="86" spans="1:26" s="24" customFormat="1" hidden="1" outlineLevel="2" x14ac:dyDescent="0.35">
      <c r="A86" s="27"/>
      <c r="B86" s="11" t="str">
        <f>CONCATENATE("          ", "6307", " - ", "POSTAGE")</f>
        <v xml:space="preserve">          6307 - POSTAGE</v>
      </c>
      <c r="C86" s="11"/>
      <c r="D86" s="7"/>
      <c r="E86" s="2"/>
      <c r="F86" s="6">
        <f t="shared" si="33"/>
        <v>0</v>
      </c>
      <c r="G86" s="2"/>
      <c r="H86" s="7"/>
      <c r="I86" s="2"/>
      <c r="J86" s="6">
        <f t="shared" si="34"/>
        <v>0</v>
      </c>
      <c r="K86" s="2"/>
      <c r="L86" s="7">
        <f t="shared" si="35"/>
        <v>0</v>
      </c>
      <c r="M86" s="2"/>
      <c r="N86" s="6">
        <f t="shared" si="36"/>
        <v>0</v>
      </c>
      <c r="O86" s="11"/>
      <c r="P86" s="7"/>
      <c r="Q86" s="2"/>
      <c r="R86" s="6">
        <f t="shared" si="37"/>
        <v>0</v>
      </c>
      <c r="S86" s="2"/>
      <c r="T86" s="7">
        <v>20.83</v>
      </c>
      <c r="U86" s="2"/>
      <c r="V86" s="6">
        <f t="shared" si="38"/>
        <v>7.0815042931900269E-6</v>
      </c>
      <c r="W86" s="2"/>
      <c r="X86" s="7">
        <f t="shared" si="39"/>
        <v>-20.83</v>
      </c>
      <c r="Y86" s="2"/>
      <c r="Z86" s="6">
        <f t="shared" si="40"/>
        <v>-1</v>
      </c>
    </row>
    <row r="87" spans="1:26" s="25" customFormat="1" outlineLevel="1" collapsed="1" x14ac:dyDescent="0.35">
      <c r="A87" s="26"/>
      <c r="B87" s="12" t="str">
        <f>CONCATENATE("     ","General                                           ")</f>
        <v xml:space="preserve">     General                                           </v>
      </c>
      <c r="C87" s="12"/>
      <c r="D87" s="1">
        <f>SUM(OSRRefD22_8x_0)</f>
        <v>0</v>
      </c>
      <c r="E87" s="1"/>
      <c r="F87" s="5">
        <f t="shared" ref="F87:F97" si="41">IF(D$12=0,0,D87/D$12)</f>
        <v>0</v>
      </c>
      <c r="G87" s="1"/>
      <c r="H87" s="1">
        <f>SUM(OSRRefH22_8x_0)</f>
        <v>0</v>
      </c>
      <c r="I87" s="1"/>
      <c r="J87" s="5">
        <f t="shared" ref="J87:J97" si="42">IF(H$12=0,0,H87/H$12)</f>
        <v>0</v>
      </c>
      <c r="K87" s="1"/>
      <c r="L87" s="1">
        <f t="shared" ref="L87:L97" si="43">+D87-H87</f>
        <v>0</v>
      </c>
      <c r="M87" s="1"/>
      <c r="N87" s="5">
        <f t="shared" ref="N87:N97" si="44">IF(H87=0,0,L87/H87)</f>
        <v>0</v>
      </c>
      <c r="O87" s="12"/>
      <c r="P87" s="1">
        <f>SUM(OSRRefP22_8x_0)</f>
        <v>205</v>
      </c>
      <c r="Q87" s="1"/>
      <c r="R87" s="5">
        <f t="shared" ref="R87:R97" si="45">IF(P$12=0,0,P87/P$12)</f>
        <v>7.1054966888454759E-5</v>
      </c>
      <c r="S87" s="1"/>
      <c r="T87" s="1">
        <f>SUM(OSRRefT22_8x_0)</f>
        <v>597.39</v>
      </c>
      <c r="U87" s="1"/>
      <c r="V87" s="5">
        <f t="shared" ref="V87:V97" si="46">IF(T$12=0,0,T87/T$12)</f>
        <v>2.0309264760963948E-4</v>
      </c>
      <c r="W87" s="1"/>
      <c r="X87" s="1">
        <f t="shared" ref="X87:X97" si="47">+P87-T87</f>
        <v>-392.39</v>
      </c>
      <c r="Y87" s="1"/>
      <c r="Z87" s="5">
        <f t="shared" ref="Z87:Z97" si="48">IF(T87=0,0,X87/T87)</f>
        <v>-0.65684058989939564</v>
      </c>
    </row>
    <row r="88" spans="1:26" s="24" customFormat="1" hidden="1" outlineLevel="2" x14ac:dyDescent="0.35">
      <c r="A88" s="27"/>
      <c r="B88" s="11" t="str">
        <f>CONCATENATE("          ", "6279", " - ", "GENERAL EXPENSE")</f>
        <v xml:space="preserve">          6279 - GENERAL EXPENSE</v>
      </c>
      <c r="C88" s="11"/>
      <c r="D88" s="7"/>
      <c r="E88" s="2"/>
      <c r="F88" s="6">
        <f t="shared" si="41"/>
        <v>0</v>
      </c>
      <c r="G88" s="2"/>
      <c r="H88" s="7"/>
      <c r="I88" s="2"/>
      <c r="J88" s="6">
        <f t="shared" si="42"/>
        <v>0</v>
      </c>
      <c r="K88" s="2"/>
      <c r="L88" s="7">
        <f t="shared" si="43"/>
        <v>0</v>
      </c>
      <c r="M88" s="2"/>
      <c r="N88" s="6">
        <f t="shared" si="44"/>
        <v>0</v>
      </c>
      <c r="O88" s="11"/>
      <c r="P88" s="7">
        <v>205</v>
      </c>
      <c r="Q88" s="2"/>
      <c r="R88" s="6">
        <f t="shared" si="45"/>
        <v>7.1054966888454759E-5</v>
      </c>
      <c r="S88" s="2"/>
      <c r="T88" s="7">
        <v>597.39</v>
      </c>
      <c r="U88" s="2"/>
      <c r="V88" s="6">
        <f t="shared" si="46"/>
        <v>2.0309264760963948E-4</v>
      </c>
      <c r="W88" s="2"/>
      <c r="X88" s="7">
        <f t="shared" si="47"/>
        <v>-392.39</v>
      </c>
      <c r="Y88" s="2"/>
      <c r="Z88" s="6">
        <f t="shared" si="48"/>
        <v>-0.65684058989939564</v>
      </c>
    </row>
    <row r="89" spans="1:26" s="25" customFormat="1" outlineLevel="1" collapsed="1" x14ac:dyDescent="0.35">
      <c r="A89" s="26"/>
      <c r="B89" s="12" t="str">
        <f>CONCATENATE("     ","Inventory Adjustment                              ")</f>
        <v xml:space="preserve">     Inventory Adjustment                              </v>
      </c>
      <c r="C89" s="12"/>
      <c r="D89" s="1">
        <f>SUM(OSRRefD22_9x_0)</f>
        <v>-43236</v>
      </c>
      <c r="E89" s="1"/>
      <c r="F89" s="5">
        <f t="shared" si="41"/>
        <v>-9.6592813392809396E-2</v>
      </c>
      <c r="G89" s="1"/>
      <c r="H89" s="1">
        <f>SUM(OSRRefH22_9x_0)</f>
        <v>-30249</v>
      </c>
      <c r="I89" s="1"/>
      <c r="J89" s="5">
        <f t="shared" si="42"/>
        <v>-0.2417967249649183</v>
      </c>
      <c r="K89" s="1"/>
      <c r="L89" s="1">
        <f t="shared" si="43"/>
        <v>-12987</v>
      </c>
      <c r="M89" s="1"/>
      <c r="N89" s="5">
        <f t="shared" si="44"/>
        <v>0.42933650699196668</v>
      </c>
      <c r="O89" s="12"/>
      <c r="P89" s="1">
        <f>SUM(OSRRefP22_9x_0)</f>
        <v>-43236</v>
      </c>
      <c r="Q89" s="1"/>
      <c r="R89" s="5">
        <f t="shared" si="45"/>
        <v>-1.4986012431166975E-2</v>
      </c>
      <c r="S89" s="1"/>
      <c r="T89" s="1">
        <f>SUM(OSRRefT22_9x_0)</f>
        <v>-16099</v>
      </c>
      <c r="U89" s="1"/>
      <c r="V89" s="5">
        <f t="shared" si="46"/>
        <v>-5.4731223051400022E-3</v>
      </c>
      <c r="W89" s="1"/>
      <c r="X89" s="1">
        <f t="shared" si="47"/>
        <v>-27137</v>
      </c>
      <c r="Y89" s="1"/>
      <c r="Z89" s="5">
        <f t="shared" si="48"/>
        <v>1.6856326479905583</v>
      </c>
    </row>
    <row r="90" spans="1:26" s="24" customFormat="1" hidden="1" outlineLevel="2" x14ac:dyDescent="0.35">
      <c r="A90" s="27"/>
      <c r="B90" s="11" t="str">
        <f>CONCATENATE("          ", "6408", " - ", "INVENTORY ADJUSTMENT")</f>
        <v xml:space="preserve">          6408 - INVENTORY ADJUSTMENT</v>
      </c>
      <c r="C90" s="11"/>
      <c r="D90" s="7"/>
      <c r="E90" s="2"/>
      <c r="F90" s="6">
        <f t="shared" si="41"/>
        <v>0</v>
      </c>
      <c r="G90" s="2"/>
      <c r="H90" s="7">
        <v>-14150</v>
      </c>
      <c r="I90" s="2"/>
      <c r="J90" s="6">
        <f t="shared" si="42"/>
        <v>-0.11310865345147258</v>
      </c>
      <c r="K90" s="2"/>
      <c r="L90" s="7">
        <f t="shared" si="43"/>
        <v>14150</v>
      </c>
      <c r="M90" s="2"/>
      <c r="N90" s="6">
        <f t="shared" si="44"/>
        <v>-1</v>
      </c>
      <c r="O90" s="11"/>
      <c r="P90" s="7"/>
      <c r="Q90" s="2"/>
      <c r="R90" s="6">
        <f t="shared" si="45"/>
        <v>0</v>
      </c>
      <c r="S90" s="2"/>
      <c r="T90" s="7">
        <v>0</v>
      </c>
      <c r="U90" s="2"/>
      <c r="V90" s="6">
        <f t="shared" si="46"/>
        <v>0</v>
      </c>
      <c r="W90" s="2"/>
      <c r="X90" s="7">
        <f t="shared" si="47"/>
        <v>0</v>
      </c>
      <c r="Y90" s="2"/>
      <c r="Z90" s="6">
        <f t="shared" si="48"/>
        <v>0</v>
      </c>
    </row>
    <row r="91" spans="1:26" s="24" customFormat="1" hidden="1" outlineLevel="2" x14ac:dyDescent="0.35">
      <c r="A91" s="27"/>
      <c r="B91" s="11" t="str">
        <f>CONCATENATE("          ", "7781", " - ", "INV. SHRINKAGE-ELECTRONICS")</f>
        <v xml:space="preserve">          7781 - INV. SHRINKAGE-ELECTRONICS</v>
      </c>
      <c r="C91" s="11"/>
      <c r="D91" s="7">
        <v>-18505</v>
      </c>
      <c r="E91" s="2"/>
      <c r="F91" s="6">
        <f t="shared" si="41"/>
        <v>-4.1341706259458273E-2</v>
      </c>
      <c r="G91" s="2"/>
      <c r="H91" s="7">
        <v>4355</v>
      </c>
      <c r="I91" s="2"/>
      <c r="J91" s="6">
        <f t="shared" si="42"/>
        <v>3.4811885920930256E-2</v>
      </c>
      <c r="K91" s="2"/>
      <c r="L91" s="7">
        <f t="shared" si="43"/>
        <v>-22860</v>
      </c>
      <c r="M91" s="2"/>
      <c r="N91" s="6">
        <f t="shared" si="44"/>
        <v>-5.2491389207807115</v>
      </c>
      <c r="O91" s="11"/>
      <c r="P91" s="7">
        <v>-18505</v>
      </c>
      <c r="Q91" s="2"/>
      <c r="R91" s="6">
        <f t="shared" si="45"/>
        <v>-6.4140105476627081E-3</v>
      </c>
      <c r="S91" s="2"/>
      <c r="T91" s="7">
        <v>4355</v>
      </c>
      <c r="U91" s="2"/>
      <c r="V91" s="6">
        <f t="shared" si="46"/>
        <v>1.4805545461758314E-3</v>
      </c>
      <c r="W91" s="2"/>
      <c r="X91" s="7">
        <f t="shared" si="47"/>
        <v>-22860</v>
      </c>
      <c r="Y91" s="2"/>
      <c r="Z91" s="6">
        <f t="shared" si="48"/>
        <v>-5.2491389207807115</v>
      </c>
    </row>
    <row r="92" spans="1:26" s="24" customFormat="1" hidden="1" outlineLevel="2" x14ac:dyDescent="0.35">
      <c r="A92" s="27"/>
      <c r="B92" s="11" t="str">
        <f>CONCATENATE("          ", "7782", " - ", "INV. SHRINKAGE-COMPUTER HARDWA")</f>
        <v xml:space="preserve">          7782 - INV. SHRINKAGE-COMPUTER HARDWA</v>
      </c>
      <c r="C92" s="11"/>
      <c r="D92" s="7">
        <v>-30263</v>
      </c>
      <c r="E92" s="2"/>
      <c r="F92" s="6">
        <f t="shared" si="41"/>
        <v>-6.7610054392325633E-2</v>
      </c>
      <c r="G92" s="2"/>
      <c r="H92" s="7">
        <v>-29241</v>
      </c>
      <c r="I92" s="2"/>
      <c r="J92" s="6">
        <f t="shared" si="42"/>
        <v>-0.23373923219607842</v>
      </c>
      <c r="K92" s="2"/>
      <c r="L92" s="7">
        <f t="shared" si="43"/>
        <v>-1022</v>
      </c>
      <c r="M92" s="2"/>
      <c r="N92" s="6">
        <f t="shared" si="44"/>
        <v>3.4950925070962008E-2</v>
      </c>
      <c r="O92" s="11"/>
      <c r="P92" s="7">
        <v>-30263</v>
      </c>
      <c r="Q92" s="2"/>
      <c r="R92" s="6">
        <f t="shared" si="45"/>
        <v>-1.048944616070881E-2</v>
      </c>
      <c r="S92" s="2"/>
      <c r="T92" s="7">
        <v>-29241</v>
      </c>
      <c r="U92" s="2"/>
      <c r="V92" s="6">
        <f t="shared" si="46"/>
        <v>-9.9409633719236487E-3</v>
      </c>
      <c r="W92" s="2"/>
      <c r="X92" s="7">
        <f t="shared" si="47"/>
        <v>-1022</v>
      </c>
      <c r="Y92" s="2"/>
      <c r="Z92" s="6">
        <f t="shared" si="48"/>
        <v>3.4950925070962008E-2</v>
      </c>
    </row>
    <row r="93" spans="1:26" s="24" customFormat="1" hidden="1" outlineLevel="2" x14ac:dyDescent="0.35">
      <c r="A93" s="27"/>
      <c r="B93" s="11" t="str">
        <f>CONCATENATE("          ", "7783", " - ", "INV. SHRINKAGE-COMPUTER EQUIPM")</f>
        <v xml:space="preserve">          7783 - INV. SHRINKAGE-COMPUTER EQUIPM</v>
      </c>
      <c r="C93" s="11"/>
      <c r="D93" s="7">
        <v>2729</v>
      </c>
      <c r="E93" s="2"/>
      <c r="F93" s="6">
        <f t="shared" si="41"/>
        <v>6.096812557798521E-3</v>
      </c>
      <c r="G93" s="2"/>
      <c r="H93" s="7">
        <v>9199</v>
      </c>
      <c r="I93" s="2"/>
      <c r="J93" s="6">
        <f t="shared" si="42"/>
        <v>7.353261506007748E-2</v>
      </c>
      <c r="K93" s="2"/>
      <c r="L93" s="7">
        <f t="shared" si="43"/>
        <v>-6470</v>
      </c>
      <c r="M93" s="2"/>
      <c r="N93" s="6">
        <f t="shared" si="44"/>
        <v>-0.70333731927383414</v>
      </c>
      <c r="O93" s="11"/>
      <c r="P93" s="7">
        <v>2729</v>
      </c>
      <c r="Q93" s="2"/>
      <c r="R93" s="6">
        <f t="shared" si="45"/>
        <v>9.4589758360289281E-4</v>
      </c>
      <c r="S93" s="2"/>
      <c r="T93" s="7">
        <v>9199</v>
      </c>
      <c r="U93" s="2"/>
      <c r="V93" s="6">
        <f t="shared" si="46"/>
        <v>3.1273527601082601E-3</v>
      </c>
      <c r="W93" s="2"/>
      <c r="X93" s="7">
        <f t="shared" si="47"/>
        <v>-6470</v>
      </c>
      <c r="Y93" s="2"/>
      <c r="Z93" s="6">
        <f t="shared" si="48"/>
        <v>-0.70333731927383414</v>
      </c>
    </row>
    <row r="94" spans="1:26" s="24" customFormat="1" hidden="1" outlineLevel="2" x14ac:dyDescent="0.35">
      <c r="A94" s="27"/>
      <c r="B94" s="11" t="str">
        <f>CONCATENATE("          ", "7784", " - ", "INV. SHRINKAGE-SOFTWARE LICENS")</f>
        <v xml:space="preserve">          7784 - INV. SHRINKAGE-SOFTWARE LICENS</v>
      </c>
      <c r="C94" s="11"/>
      <c r="D94" s="7">
        <v>1394</v>
      </c>
      <c r="E94" s="2"/>
      <c r="F94" s="6">
        <f t="shared" si="41"/>
        <v>3.1143117279483832E-3</v>
      </c>
      <c r="G94" s="2"/>
      <c r="H94" s="7">
        <v>-357</v>
      </c>
      <c r="I94" s="2"/>
      <c r="J94" s="6">
        <f t="shared" si="42"/>
        <v>-2.8536953556307925E-3</v>
      </c>
      <c r="K94" s="2"/>
      <c r="L94" s="7">
        <f t="shared" si="43"/>
        <v>1751</v>
      </c>
      <c r="M94" s="2"/>
      <c r="N94" s="6">
        <f t="shared" si="44"/>
        <v>-4.9047619047619051</v>
      </c>
      <c r="O94" s="11"/>
      <c r="P94" s="7">
        <v>1394</v>
      </c>
      <c r="Q94" s="2"/>
      <c r="R94" s="6">
        <f t="shared" si="45"/>
        <v>4.8317377484149234E-4</v>
      </c>
      <c r="S94" s="2"/>
      <c r="T94" s="7">
        <v>-357</v>
      </c>
      <c r="U94" s="2"/>
      <c r="V94" s="6">
        <f t="shared" si="46"/>
        <v>-1.2136807646033796E-4</v>
      </c>
      <c r="W94" s="2"/>
      <c r="X94" s="7">
        <f t="shared" si="47"/>
        <v>1751</v>
      </c>
      <c r="Y94" s="2"/>
      <c r="Z94" s="6">
        <f t="shared" si="48"/>
        <v>-4.9047619047619051</v>
      </c>
    </row>
    <row r="95" spans="1:26" s="24" customFormat="1" hidden="1" outlineLevel="2" x14ac:dyDescent="0.35">
      <c r="A95" s="27"/>
      <c r="B95" s="11" t="str">
        <f>CONCATENATE("          ", "7785", " - ", "INV. SHRINKAGE-SOFTWARE")</f>
        <v xml:space="preserve">          7785 - INV. SHRINKAGE-SOFTWARE</v>
      </c>
      <c r="C95" s="11"/>
      <c r="D95" s="7">
        <v>-3743</v>
      </c>
      <c r="E95" s="2"/>
      <c r="F95" s="6">
        <f t="shared" si="41"/>
        <v>-8.3621727386734568E-3</v>
      </c>
      <c r="G95" s="2"/>
      <c r="H95" s="7">
        <v>-72</v>
      </c>
      <c r="I95" s="2"/>
      <c r="J95" s="6">
        <f t="shared" si="42"/>
        <v>-5.7553519777427749E-4</v>
      </c>
      <c r="K95" s="2"/>
      <c r="L95" s="7">
        <f t="shared" si="43"/>
        <v>-3671</v>
      </c>
      <c r="M95" s="2"/>
      <c r="N95" s="6">
        <f t="shared" si="44"/>
        <v>50.986111111111114</v>
      </c>
      <c r="O95" s="11"/>
      <c r="P95" s="7">
        <v>-3743</v>
      </c>
      <c r="Q95" s="2"/>
      <c r="R95" s="6">
        <f t="shared" si="45"/>
        <v>-1.2973597125048105E-3</v>
      </c>
      <c r="S95" s="2"/>
      <c r="T95" s="7">
        <v>-72</v>
      </c>
      <c r="U95" s="2"/>
      <c r="V95" s="6">
        <f t="shared" si="46"/>
        <v>-2.4477595252505137E-5</v>
      </c>
      <c r="W95" s="2"/>
      <c r="X95" s="7">
        <f t="shared" si="47"/>
        <v>-3671</v>
      </c>
      <c r="Y95" s="2"/>
      <c r="Z95" s="6">
        <f t="shared" si="48"/>
        <v>50.986111111111114</v>
      </c>
    </row>
    <row r="96" spans="1:26" s="24" customFormat="1" hidden="1" outlineLevel="2" x14ac:dyDescent="0.35">
      <c r="A96" s="27"/>
      <c r="B96" s="11" t="str">
        <f>CONCATENATE("          ", "7786", " - ", "INV. SHRINKAGE-COMPUTER SUPPLI")</f>
        <v xml:space="preserve">          7786 - INV. SHRINKAGE-COMPUTER SUPPLI</v>
      </c>
      <c r="C96" s="11"/>
      <c r="D96" s="7">
        <v>5000</v>
      </c>
      <c r="E96" s="2"/>
      <c r="F96" s="6">
        <f t="shared" si="41"/>
        <v>1.1170415093071677E-2</v>
      </c>
      <c r="G96" s="2"/>
      <c r="H96" s="7">
        <v>484</v>
      </c>
      <c r="I96" s="2"/>
      <c r="J96" s="6">
        <f t="shared" si="42"/>
        <v>3.8688754961493095E-3</v>
      </c>
      <c r="K96" s="2"/>
      <c r="L96" s="7">
        <f t="shared" si="43"/>
        <v>4516</v>
      </c>
      <c r="M96" s="2"/>
      <c r="N96" s="6">
        <f t="shared" si="44"/>
        <v>9.3305785123966949</v>
      </c>
      <c r="O96" s="11"/>
      <c r="P96" s="7">
        <v>5000</v>
      </c>
      <c r="Q96" s="2"/>
      <c r="R96" s="6">
        <f t="shared" si="45"/>
        <v>1.7330479728891403E-3</v>
      </c>
      <c r="S96" s="2"/>
      <c r="T96" s="7">
        <v>484</v>
      </c>
      <c r="U96" s="2"/>
      <c r="V96" s="6">
        <f t="shared" si="46"/>
        <v>1.6454383475295118E-4</v>
      </c>
      <c r="W96" s="2"/>
      <c r="X96" s="7">
        <f t="shared" si="47"/>
        <v>4516</v>
      </c>
      <c r="Y96" s="2"/>
      <c r="Z96" s="6">
        <f t="shared" si="48"/>
        <v>9.3305785123966949</v>
      </c>
    </row>
    <row r="97" spans="1:26" s="24" customFormat="1" hidden="1" outlineLevel="2" x14ac:dyDescent="0.35">
      <c r="A97" s="27"/>
      <c r="B97" s="11" t="str">
        <f>CONCATENATE("          ", "7788", " - ", "INV. SHRINKAGE-MUSIC")</f>
        <v xml:space="preserve">          7788 - INV. SHRINKAGE-MUSIC</v>
      </c>
      <c r="C97" s="11"/>
      <c r="D97" s="7">
        <v>152</v>
      </c>
      <c r="E97" s="2"/>
      <c r="F97" s="6">
        <f t="shared" si="41"/>
        <v>3.3958061882937899E-4</v>
      </c>
      <c r="G97" s="2"/>
      <c r="H97" s="7">
        <v>-467</v>
      </c>
      <c r="I97" s="2"/>
      <c r="J97" s="6">
        <f t="shared" si="42"/>
        <v>-3.7329852411192715E-3</v>
      </c>
      <c r="K97" s="2"/>
      <c r="L97" s="7">
        <f t="shared" si="43"/>
        <v>619</v>
      </c>
      <c r="M97" s="2"/>
      <c r="N97" s="6">
        <f t="shared" si="44"/>
        <v>-1.3254817987152034</v>
      </c>
      <c r="O97" s="11"/>
      <c r="P97" s="7">
        <v>152</v>
      </c>
      <c r="Q97" s="2"/>
      <c r="R97" s="6">
        <f t="shared" si="45"/>
        <v>5.2684658375829866E-5</v>
      </c>
      <c r="S97" s="2"/>
      <c r="T97" s="7">
        <v>-467</v>
      </c>
      <c r="U97" s="2"/>
      <c r="V97" s="6">
        <f t="shared" si="46"/>
        <v>-1.5876440254055415E-4</v>
      </c>
      <c r="W97" s="2"/>
      <c r="X97" s="7">
        <f t="shared" si="47"/>
        <v>619</v>
      </c>
      <c r="Y97" s="2"/>
      <c r="Z97" s="6">
        <f t="shared" si="48"/>
        <v>-1.3254817987152034</v>
      </c>
    </row>
    <row r="98" spans="1:26" s="25" customFormat="1" outlineLevel="1" collapsed="1" x14ac:dyDescent="0.35">
      <c r="A98" s="26"/>
      <c r="B98" s="12" t="str">
        <f>CONCATENATE("     ","Repair and Maintenance                            ")</f>
        <v xml:space="preserve">     Repair and Maintenance                            </v>
      </c>
      <c r="C98" s="12"/>
      <c r="D98" s="1">
        <f>SUM(OSRRefD22_10x_0)</f>
        <v>0</v>
      </c>
      <c r="E98" s="1"/>
      <c r="F98" s="5">
        <f t="shared" ref="F98:F104" si="49">IF(D$12=0,0,D98/D$12)</f>
        <v>0</v>
      </c>
      <c r="G98" s="1"/>
      <c r="H98" s="1">
        <f>SUM(OSRRefH22_10x_0)</f>
        <v>0</v>
      </c>
      <c r="I98" s="1"/>
      <c r="J98" s="5">
        <f t="shared" ref="J98:J104" si="50">IF(H$12=0,0,H98/H$12)</f>
        <v>0</v>
      </c>
      <c r="K98" s="1"/>
      <c r="L98" s="1">
        <f t="shared" ref="L98:L104" si="51">+D98-H98</f>
        <v>0</v>
      </c>
      <c r="M98" s="1"/>
      <c r="N98" s="5">
        <f t="shared" ref="N98:N104" si="52">IF(H98=0,0,L98/H98)</f>
        <v>0</v>
      </c>
      <c r="O98" s="12"/>
      <c r="P98" s="1">
        <f>SUM(OSRRefP22_10x_0)</f>
        <v>197.18</v>
      </c>
      <c r="Q98" s="1"/>
      <c r="R98" s="5">
        <f t="shared" ref="R98:R104" si="53">IF(P$12=0,0,P98/P$12)</f>
        <v>6.8344479858856137E-5</v>
      </c>
      <c r="S98" s="1"/>
      <c r="T98" s="1">
        <f>SUM(OSRRefT22_10x_0)</f>
        <v>0</v>
      </c>
      <c r="U98" s="1"/>
      <c r="V98" s="5">
        <f t="shared" ref="V98:V104" si="54">IF(T$12=0,0,T98/T$12)</f>
        <v>0</v>
      </c>
      <c r="W98" s="1"/>
      <c r="X98" s="1">
        <f t="shared" ref="X98:X104" si="55">+P98-T98</f>
        <v>197.18</v>
      </c>
      <c r="Y98" s="1"/>
      <c r="Z98" s="5">
        <f t="shared" ref="Z98:Z104" si="56">IF(T98=0,0,X98/T98)</f>
        <v>0</v>
      </c>
    </row>
    <row r="99" spans="1:26" s="24" customFormat="1" hidden="1" outlineLevel="2" x14ac:dyDescent="0.35">
      <c r="A99" s="27"/>
      <c r="B99" s="11" t="str">
        <f>CONCATENATE("          ", "6375", " - ", "OUTSIDE REPAIRS &amp; MAINTENANCE")</f>
        <v xml:space="preserve">          6375 - OUTSIDE REPAIRS &amp; MAINTENANCE</v>
      </c>
      <c r="C99" s="11"/>
      <c r="D99" s="7"/>
      <c r="E99" s="2"/>
      <c r="F99" s="6">
        <f t="shared" si="49"/>
        <v>0</v>
      </c>
      <c r="G99" s="2"/>
      <c r="H99" s="7"/>
      <c r="I99" s="2"/>
      <c r="J99" s="6">
        <f t="shared" si="50"/>
        <v>0</v>
      </c>
      <c r="K99" s="2"/>
      <c r="L99" s="7">
        <f t="shared" si="51"/>
        <v>0</v>
      </c>
      <c r="M99" s="2"/>
      <c r="N99" s="6">
        <f t="shared" si="52"/>
        <v>0</v>
      </c>
      <c r="O99" s="11"/>
      <c r="P99" s="7">
        <v>197.18</v>
      </c>
      <c r="Q99" s="2"/>
      <c r="R99" s="6">
        <f t="shared" si="53"/>
        <v>6.8344479858856137E-5</v>
      </c>
      <c r="S99" s="2"/>
      <c r="T99" s="7"/>
      <c r="U99" s="2"/>
      <c r="V99" s="6">
        <f t="shared" si="54"/>
        <v>0</v>
      </c>
      <c r="W99" s="2"/>
      <c r="X99" s="7">
        <f t="shared" si="55"/>
        <v>197.18</v>
      </c>
      <c r="Y99" s="2"/>
      <c r="Z99" s="6">
        <f t="shared" si="56"/>
        <v>0</v>
      </c>
    </row>
    <row r="100" spans="1:26" s="25" customFormat="1" outlineLevel="1" collapsed="1" x14ac:dyDescent="0.35">
      <c r="A100" s="26"/>
      <c r="B100" s="12" t="str">
        <f>CONCATENATE("     ","Subscriptions &amp; Dues                              ")</f>
        <v xml:space="preserve">     Subscriptions &amp; Dues                              </v>
      </c>
      <c r="C100" s="12"/>
      <c r="D100" s="1">
        <f>SUM(OSRRefD22_11x_0)</f>
        <v>0</v>
      </c>
      <c r="E100" s="1"/>
      <c r="F100" s="5">
        <f t="shared" si="49"/>
        <v>0</v>
      </c>
      <c r="G100" s="1"/>
      <c r="H100" s="1">
        <f>SUM(OSRRefH22_11x_0)</f>
        <v>-79.98</v>
      </c>
      <c r="I100" s="1"/>
      <c r="J100" s="5">
        <f t="shared" si="50"/>
        <v>-6.3932368219425987E-4</v>
      </c>
      <c r="K100" s="1"/>
      <c r="L100" s="1">
        <f t="shared" si="51"/>
        <v>79.98</v>
      </c>
      <c r="M100" s="1"/>
      <c r="N100" s="5">
        <f t="shared" si="52"/>
        <v>-1</v>
      </c>
      <c r="O100" s="12"/>
      <c r="P100" s="1">
        <f>SUM(OSRRefP22_11x_0)</f>
        <v>-4886.5</v>
      </c>
      <c r="Q100" s="1"/>
      <c r="R100" s="5">
        <f t="shared" si="53"/>
        <v>-1.693707783904557E-3</v>
      </c>
      <c r="S100" s="1"/>
      <c r="T100" s="1">
        <f>SUM(OSRRefT22_11x_0)</f>
        <v>-3232.94</v>
      </c>
      <c r="U100" s="1"/>
      <c r="V100" s="5">
        <f t="shared" si="54"/>
        <v>-1.0990916221615826E-3</v>
      </c>
      <c r="W100" s="1"/>
      <c r="X100" s="1">
        <f t="shared" si="55"/>
        <v>-1653.56</v>
      </c>
      <c r="Y100" s="1"/>
      <c r="Z100" s="5">
        <f t="shared" si="56"/>
        <v>0.51147252964793655</v>
      </c>
    </row>
    <row r="101" spans="1:26" s="24" customFormat="1" hidden="1" outlineLevel="2" x14ac:dyDescent="0.35">
      <c r="A101" s="27"/>
      <c r="B101" s="11" t="str">
        <f>CONCATENATE("          ", "6258", " - ", "MEMBERSHIP DUES")</f>
        <v xml:space="preserve">          6258 - MEMBERSHIP DUES</v>
      </c>
      <c r="C101" s="11"/>
      <c r="D101" s="7"/>
      <c r="E101" s="2"/>
      <c r="F101" s="6">
        <f t="shared" si="49"/>
        <v>0</v>
      </c>
      <c r="G101" s="2"/>
      <c r="H101" s="7">
        <v>-79.98</v>
      </c>
      <c r="I101" s="2"/>
      <c r="J101" s="6">
        <f t="shared" si="50"/>
        <v>-6.3932368219425987E-4</v>
      </c>
      <c r="K101" s="2"/>
      <c r="L101" s="7">
        <f t="shared" si="51"/>
        <v>79.98</v>
      </c>
      <c r="M101" s="2"/>
      <c r="N101" s="6">
        <f t="shared" si="52"/>
        <v>-1</v>
      </c>
      <c r="O101" s="11"/>
      <c r="P101" s="7">
        <v>-4886.5</v>
      </c>
      <c r="Q101" s="2"/>
      <c r="R101" s="6">
        <f t="shared" si="53"/>
        <v>-1.693707783904557E-3</v>
      </c>
      <c r="S101" s="2"/>
      <c r="T101" s="7">
        <v>-3232.94</v>
      </c>
      <c r="U101" s="2"/>
      <c r="V101" s="6">
        <f t="shared" si="54"/>
        <v>-1.0990916221615826E-3</v>
      </c>
      <c r="W101" s="2"/>
      <c r="X101" s="7">
        <f t="shared" si="55"/>
        <v>-1653.56</v>
      </c>
      <c r="Y101" s="2"/>
      <c r="Z101" s="6">
        <f t="shared" si="56"/>
        <v>0.51147252964793655</v>
      </c>
    </row>
    <row r="102" spans="1:26" s="25" customFormat="1" outlineLevel="1" collapsed="1" x14ac:dyDescent="0.35">
      <c r="A102" s="26"/>
      <c r="B102" s="12" t="str">
        <f>CONCATENATE("     ","Supplies                                          ")</f>
        <v xml:space="preserve">     Supplies                                          </v>
      </c>
      <c r="C102" s="12"/>
      <c r="D102" s="1">
        <f>SUM(OSRRefD22_12x_0)</f>
        <v>65.59</v>
      </c>
      <c r="E102" s="1"/>
      <c r="F102" s="5">
        <f t="shared" si="49"/>
        <v>1.4653350519091426E-4</v>
      </c>
      <c r="G102" s="1"/>
      <c r="H102" s="1">
        <f>SUM(OSRRefH22_12x_0)</f>
        <v>182.04000000000002</v>
      </c>
      <c r="I102" s="1"/>
      <c r="J102" s="5">
        <f t="shared" si="50"/>
        <v>1.4551448250392984E-3</v>
      </c>
      <c r="K102" s="1"/>
      <c r="L102" s="1">
        <f t="shared" si="51"/>
        <v>-116.45000000000002</v>
      </c>
      <c r="M102" s="1"/>
      <c r="N102" s="5">
        <f t="shared" si="52"/>
        <v>-0.63969457262140195</v>
      </c>
      <c r="O102" s="12"/>
      <c r="P102" s="1">
        <f>SUM(OSRRefP22_12x_0)</f>
        <v>3260.11</v>
      </c>
      <c r="Q102" s="1"/>
      <c r="R102" s="5">
        <f t="shared" si="53"/>
        <v>1.1299854053791231E-3</v>
      </c>
      <c r="S102" s="1"/>
      <c r="T102" s="1">
        <f>SUM(OSRRefT22_12x_0)</f>
        <v>2396.7600000000002</v>
      </c>
      <c r="U102" s="1"/>
      <c r="V102" s="5">
        <f t="shared" si="54"/>
        <v>8.1481834996380851E-4</v>
      </c>
      <c r="W102" s="1"/>
      <c r="X102" s="1">
        <f t="shared" si="55"/>
        <v>863.34999999999991</v>
      </c>
      <c r="Y102" s="1"/>
      <c r="Z102" s="5">
        <f t="shared" si="56"/>
        <v>0.36021545753433798</v>
      </c>
    </row>
    <row r="103" spans="1:26" s="24" customFormat="1" hidden="1" outlineLevel="2" x14ac:dyDescent="0.35">
      <c r="A103" s="27"/>
      <c r="B103" s="11" t="str">
        <f>CONCATENATE("          ", "6241", " - ", "OFFICE EXPENSE")</f>
        <v xml:space="preserve">          6241 - OFFICE EXPENSE</v>
      </c>
      <c r="C103" s="11"/>
      <c r="D103" s="7">
        <v>65.59</v>
      </c>
      <c r="E103" s="2"/>
      <c r="F103" s="6">
        <f t="shared" si="49"/>
        <v>1.4653350519091426E-4</v>
      </c>
      <c r="G103" s="2"/>
      <c r="H103" s="7">
        <v>159.36000000000001</v>
      </c>
      <c r="I103" s="2"/>
      <c r="J103" s="6">
        <f t="shared" si="50"/>
        <v>1.2738512377404008E-3</v>
      </c>
      <c r="K103" s="2"/>
      <c r="L103" s="7">
        <f t="shared" si="51"/>
        <v>-93.77000000000001</v>
      </c>
      <c r="M103" s="2"/>
      <c r="N103" s="6">
        <f t="shared" si="52"/>
        <v>-0.58841616465863456</v>
      </c>
      <c r="O103" s="11"/>
      <c r="P103" s="7">
        <v>1250.73</v>
      </c>
      <c r="Q103" s="2"/>
      <c r="R103" s="6">
        <f t="shared" si="53"/>
        <v>4.335150182263269E-4</v>
      </c>
      <c r="S103" s="2"/>
      <c r="T103" s="7">
        <v>1704.8</v>
      </c>
      <c r="U103" s="2"/>
      <c r="V103" s="6">
        <f t="shared" si="54"/>
        <v>5.7957506092320488E-4</v>
      </c>
      <c r="W103" s="2"/>
      <c r="X103" s="7">
        <f t="shared" si="55"/>
        <v>-454.06999999999994</v>
      </c>
      <c r="Y103" s="2"/>
      <c r="Z103" s="6">
        <f t="shared" si="56"/>
        <v>-0.26634795870483335</v>
      </c>
    </row>
    <row r="104" spans="1:26" s="24" customFormat="1" hidden="1" outlineLevel="2" x14ac:dyDescent="0.35">
      <c r="A104" s="27"/>
      <c r="B104" s="11" t="str">
        <f>CONCATENATE("          ", "6247", " - ", "STORE SUPPLIES")</f>
        <v xml:space="preserve">          6247 - STORE SUPPLIES</v>
      </c>
      <c r="C104" s="11"/>
      <c r="D104" s="7"/>
      <c r="E104" s="2"/>
      <c r="F104" s="6">
        <f t="shared" si="49"/>
        <v>0</v>
      </c>
      <c r="G104" s="2"/>
      <c r="H104" s="7">
        <v>22.68</v>
      </c>
      <c r="I104" s="2"/>
      <c r="J104" s="6">
        <f t="shared" si="50"/>
        <v>1.8129358729889738E-4</v>
      </c>
      <c r="K104" s="2"/>
      <c r="L104" s="7">
        <f t="shared" si="51"/>
        <v>-22.68</v>
      </c>
      <c r="M104" s="2"/>
      <c r="N104" s="6">
        <f t="shared" si="52"/>
        <v>-1</v>
      </c>
      <c r="O104" s="11"/>
      <c r="P104" s="7">
        <v>2009.38</v>
      </c>
      <c r="Q104" s="2"/>
      <c r="R104" s="6">
        <f t="shared" si="53"/>
        <v>6.9647038715279618E-4</v>
      </c>
      <c r="S104" s="2"/>
      <c r="T104" s="7">
        <v>691.96</v>
      </c>
      <c r="U104" s="2"/>
      <c r="V104" s="6">
        <f t="shared" si="54"/>
        <v>2.3524328904060354E-4</v>
      </c>
      <c r="W104" s="2"/>
      <c r="X104" s="7">
        <f t="shared" si="55"/>
        <v>1317.42</v>
      </c>
      <c r="Y104" s="2"/>
      <c r="Z104" s="6">
        <f t="shared" si="56"/>
        <v>1.9038961789698827</v>
      </c>
    </row>
    <row r="105" spans="1:26" s="25" customFormat="1" outlineLevel="1" collapsed="1" x14ac:dyDescent="0.35">
      <c r="A105" s="26"/>
      <c r="B105" s="12" t="str">
        <f>CONCATENATE("     ","Telephone/Data Lines                              ")</f>
        <v xml:space="preserve">     Telephone/Data Lines                              </v>
      </c>
      <c r="C105" s="12"/>
      <c r="D105" s="1">
        <f>SUM(OSRRefD22_13x_0)</f>
        <v>207.15</v>
      </c>
      <c r="E105" s="1"/>
      <c r="F105" s="5">
        <f t="shared" ref="F105:F111" si="57">IF(D$12=0,0,D105/D$12)</f>
        <v>4.6279029730595956E-4</v>
      </c>
      <c r="G105" s="1"/>
      <c r="H105" s="1">
        <f>SUM(OSRRefH22_13x_0)</f>
        <v>259.5</v>
      </c>
      <c r="I105" s="1"/>
      <c r="J105" s="5">
        <f t="shared" ref="J105:J111" si="58">IF(H$12=0,0,H105/H$12)</f>
        <v>2.0743247753114585E-3</v>
      </c>
      <c r="K105" s="1"/>
      <c r="L105" s="1">
        <f t="shared" ref="L105:L111" si="59">+D105-H105</f>
        <v>-52.349999999999994</v>
      </c>
      <c r="M105" s="1"/>
      <c r="N105" s="5">
        <f t="shared" ref="N105:N111" si="60">IF(H105=0,0,L105/H105)</f>
        <v>-0.20173410404624276</v>
      </c>
      <c r="O105" s="12"/>
      <c r="P105" s="1">
        <f>SUM(OSRRefP22_13x_0)</f>
        <v>2932.35</v>
      </c>
      <c r="Q105" s="1"/>
      <c r="R105" s="5">
        <f t="shared" ref="R105:R111" si="61">IF(P$12=0,0,P105/P$12)</f>
        <v>1.0163806446602942E-3</v>
      </c>
      <c r="S105" s="1"/>
      <c r="T105" s="1">
        <f>SUM(OSRRefT22_13x_0)</f>
        <v>3446.42</v>
      </c>
      <c r="U105" s="1"/>
      <c r="V105" s="5">
        <f t="shared" ref="V105:V111" si="62">IF(T$12=0,0,T105/T$12)</f>
        <v>1.1716676920852603E-3</v>
      </c>
      <c r="W105" s="1"/>
      <c r="X105" s="1">
        <f t="shared" ref="X105:X111" si="63">+P105-T105</f>
        <v>-514.07000000000016</v>
      </c>
      <c r="Y105" s="1"/>
      <c r="Z105" s="5">
        <f t="shared" ref="Z105:Z111" si="64">IF(T105=0,0,X105/T105)</f>
        <v>-0.14916057822319978</v>
      </c>
    </row>
    <row r="106" spans="1:26" s="24" customFormat="1" hidden="1" outlineLevel="2" x14ac:dyDescent="0.35">
      <c r="A106" s="27"/>
      <c r="B106" s="11" t="str">
        <f>CONCATENATE("          ", "6309", " - ", "TELEPHONE")</f>
        <v xml:space="preserve">          6309 - TELEPHONE</v>
      </c>
      <c r="C106" s="11"/>
      <c r="D106" s="7">
        <v>207.15</v>
      </c>
      <c r="E106" s="2"/>
      <c r="F106" s="6">
        <f t="shared" si="57"/>
        <v>4.6279029730595956E-4</v>
      </c>
      <c r="G106" s="2"/>
      <c r="H106" s="7">
        <v>259.5</v>
      </c>
      <c r="I106" s="2"/>
      <c r="J106" s="6">
        <f t="shared" si="58"/>
        <v>2.0743247753114585E-3</v>
      </c>
      <c r="K106" s="2"/>
      <c r="L106" s="7">
        <f t="shared" si="59"/>
        <v>-52.349999999999994</v>
      </c>
      <c r="M106" s="2"/>
      <c r="N106" s="6">
        <f t="shared" si="60"/>
        <v>-0.20173410404624276</v>
      </c>
      <c r="O106" s="11"/>
      <c r="P106" s="7">
        <v>2932.35</v>
      </c>
      <c r="Q106" s="2"/>
      <c r="R106" s="6">
        <f t="shared" si="61"/>
        <v>1.0163806446602942E-3</v>
      </c>
      <c r="S106" s="2"/>
      <c r="T106" s="7">
        <v>3446.42</v>
      </c>
      <c r="U106" s="2"/>
      <c r="V106" s="6">
        <f t="shared" si="62"/>
        <v>1.1716676920852603E-3</v>
      </c>
      <c r="W106" s="2"/>
      <c r="X106" s="7">
        <f t="shared" si="63"/>
        <v>-514.07000000000016</v>
      </c>
      <c r="Y106" s="2"/>
      <c r="Z106" s="6">
        <f t="shared" si="64"/>
        <v>-0.14916057822319978</v>
      </c>
    </row>
    <row r="107" spans="1:26" s="25" customFormat="1" outlineLevel="1" collapsed="1" x14ac:dyDescent="0.35">
      <c r="A107" s="26"/>
      <c r="B107" s="12" t="str">
        <f>CONCATENATE("     ","Training                                          ")</f>
        <v xml:space="preserve">     Training                                          </v>
      </c>
      <c r="C107" s="12"/>
      <c r="D107" s="1">
        <f>SUM(OSRRefD22_14x_0)</f>
        <v>0</v>
      </c>
      <c r="E107" s="1"/>
      <c r="F107" s="5">
        <f t="shared" si="57"/>
        <v>0</v>
      </c>
      <c r="G107" s="1"/>
      <c r="H107" s="1">
        <f>SUM(OSRRefH22_14x_0)</f>
        <v>0</v>
      </c>
      <c r="I107" s="1"/>
      <c r="J107" s="5">
        <f t="shared" si="58"/>
        <v>0</v>
      </c>
      <c r="K107" s="1"/>
      <c r="L107" s="1">
        <f t="shared" si="59"/>
        <v>0</v>
      </c>
      <c r="M107" s="1"/>
      <c r="N107" s="5">
        <f t="shared" si="60"/>
        <v>0</v>
      </c>
      <c r="O107" s="12"/>
      <c r="P107" s="1">
        <f>SUM(OSRRefP22_14x_0)</f>
        <v>1875.75</v>
      </c>
      <c r="Q107" s="1"/>
      <c r="R107" s="5">
        <f t="shared" si="61"/>
        <v>6.5015294702936105E-4</v>
      </c>
      <c r="S107" s="1"/>
      <c r="T107" s="1">
        <f>SUM(OSRRefT22_14x_0)</f>
        <v>568.94000000000005</v>
      </c>
      <c r="U107" s="1"/>
      <c r="V107" s="5">
        <f t="shared" si="62"/>
        <v>1.9342059781889267E-4</v>
      </c>
      <c r="W107" s="1"/>
      <c r="X107" s="1">
        <f t="shared" si="63"/>
        <v>1306.81</v>
      </c>
      <c r="Y107" s="1"/>
      <c r="Z107" s="5">
        <f t="shared" si="64"/>
        <v>2.2969205891658167</v>
      </c>
    </row>
    <row r="108" spans="1:26" s="24" customFormat="1" hidden="1" outlineLevel="2" x14ac:dyDescent="0.35">
      <c r="A108" s="27"/>
      <c r="B108" s="11" t="str">
        <f>CONCATENATE("          ", "6376", " - ", "TRAINING")</f>
        <v xml:space="preserve">          6376 - TRAINING</v>
      </c>
      <c r="C108" s="11"/>
      <c r="D108" s="7"/>
      <c r="E108" s="2"/>
      <c r="F108" s="6">
        <f t="shared" si="57"/>
        <v>0</v>
      </c>
      <c r="G108" s="2"/>
      <c r="H108" s="7"/>
      <c r="I108" s="2"/>
      <c r="J108" s="6">
        <f t="shared" si="58"/>
        <v>0</v>
      </c>
      <c r="K108" s="2"/>
      <c r="L108" s="7">
        <f t="shared" si="59"/>
        <v>0</v>
      </c>
      <c r="M108" s="2"/>
      <c r="N108" s="6">
        <f t="shared" si="60"/>
        <v>0</v>
      </c>
      <c r="O108" s="11"/>
      <c r="P108" s="7">
        <v>1875.75</v>
      </c>
      <c r="Q108" s="2"/>
      <c r="R108" s="6">
        <f t="shared" si="61"/>
        <v>6.5015294702936105E-4</v>
      </c>
      <c r="S108" s="2"/>
      <c r="T108" s="7">
        <v>568.94000000000005</v>
      </c>
      <c r="U108" s="2"/>
      <c r="V108" s="6">
        <f t="shared" si="62"/>
        <v>1.9342059781889267E-4</v>
      </c>
      <c r="W108" s="2"/>
      <c r="X108" s="7">
        <f t="shared" si="63"/>
        <v>1306.81</v>
      </c>
      <c r="Y108" s="2"/>
      <c r="Z108" s="6">
        <f t="shared" si="64"/>
        <v>2.2969205891658167</v>
      </c>
    </row>
    <row r="109" spans="1:26" s="25" customFormat="1" outlineLevel="1" collapsed="1" x14ac:dyDescent="0.35">
      <c r="A109" s="26"/>
      <c r="B109" s="12" t="str">
        <f>CONCATENATE("     ","Travel                                            ")</f>
        <v xml:space="preserve">     Travel                                            </v>
      </c>
      <c r="C109" s="12"/>
      <c r="D109" s="1">
        <f>SUM(OSRRefD22_15x_0)</f>
        <v>0</v>
      </c>
      <c r="E109" s="1"/>
      <c r="F109" s="5">
        <f t="shared" si="57"/>
        <v>0</v>
      </c>
      <c r="G109" s="1"/>
      <c r="H109" s="1">
        <f>SUM(OSRRefH22_15x_0)</f>
        <v>0</v>
      </c>
      <c r="I109" s="1"/>
      <c r="J109" s="5">
        <f t="shared" si="58"/>
        <v>0</v>
      </c>
      <c r="K109" s="1"/>
      <c r="L109" s="1">
        <f t="shared" si="59"/>
        <v>0</v>
      </c>
      <c r="M109" s="1"/>
      <c r="N109" s="5">
        <f t="shared" si="60"/>
        <v>0</v>
      </c>
      <c r="O109" s="12"/>
      <c r="P109" s="1">
        <f>SUM(OSRRefP22_15x_0)</f>
        <v>-178.06</v>
      </c>
      <c r="Q109" s="1"/>
      <c r="R109" s="5">
        <f t="shared" si="61"/>
        <v>-6.1717304410528067E-5</v>
      </c>
      <c r="S109" s="1"/>
      <c r="T109" s="1">
        <f>SUM(OSRRefT22_15x_0)</f>
        <v>1638.2</v>
      </c>
      <c r="U109" s="1"/>
      <c r="V109" s="5">
        <f t="shared" si="62"/>
        <v>5.5693328531463771E-4</v>
      </c>
      <c r="W109" s="1"/>
      <c r="X109" s="1">
        <f t="shared" si="63"/>
        <v>-1816.26</v>
      </c>
      <c r="Y109" s="1"/>
      <c r="Z109" s="5">
        <f t="shared" si="64"/>
        <v>-1.1086924673422047</v>
      </c>
    </row>
    <row r="110" spans="1:26" s="24" customFormat="1" hidden="1" outlineLevel="2" x14ac:dyDescent="0.35">
      <c r="A110" s="27"/>
      <c r="B110" s="11" t="str">
        <f>CONCATENATE("          ", "6292", " - ", "TRAVEL/CONFERENCE")</f>
        <v xml:space="preserve">          6292 - TRAVEL/CONFERENCE</v>
      </c>
      <c r="C110" s="11"/>
      <c r="D110" s="7"/>
      <c r="E110" s="2"/>
      <c r="F110" s="6">
        <f t="shared" si="57"/>
        <v>0</v>
      </c>
      <c r="G110" s="2"/>
      <c r="H110" s="7"/>
      <c r="I110" s="2"/>
      <c r="J110" s="6">
        <f t="shared" si="58"/>
        <v>0</v>
      </c>
      <c r="K110" s="2"/>
      <c r="L110" s="7">
        <f t="shared" si="59"/>
        <v>0</v>
      </c>
      <c r="M110" s="2"/>
      <c r="N110" s="6">
        <f t="shared" si="60"/>
        <v>0</v>
      </c>
      <c r="O110" s="11"/>
      <c r="P110" s="7">
        <v>-178.06</v>
      </c>
      <c r="Q110" s="2"/>
      <c r="R110" s="6">
        <f t="shared" si="61"/>
        <v>-6.1717304410528067E-5</v>
      </c>
      <c r="S110" s="2"/>
      <c r="T110" s="7">
        <v>1333.64</v>
      </c>
      <c r="U110" s="2"/>
      <c r="V110" s="6">
        <f t="shared" si="62"/>
        <v>4.5339305739654098E-4</v>
      </c>
      <c r="W110" s="2"/>
      <c r="X110" s="7">
        <f t="shared" si="63"/>
        <v>-1511.7</v>
      </c>
      <c r="Y110" s="2"/>
      <c r="Z110" s="6">
        <f t="shared" si="64"/>
        <v>-1.133514291712906</v>
      </c>
    </row>
    <row r="111" spans="1:26" s="24" customFormat="1" hidden="1" outlineLevel="2" x14ac:dyDescent="0.35">
      <c r="A111" s="27"/>
      <c r="B111" s="11" t="str">
        <f>CONCATENATE("          ", "6294", " - ", "TRAVEL OPERATIONAL")</f>
        <v xml:space="preserve">          6294 - TRAVEL OPERATIONAL</v>
      </c>
      <c r="C111" s="11"/>
      <c r="D111" s="7"/>
      <c r="E111" s="2"/>
      <c r="F111" s="6">
        <f t="shared" si="57"/>
        <v>0</v>
      </c>
      <c r="G111" s="2"/>
      <c r="H111" s="7"/>
      <c r="I111" s="2"/>
      <c r="J111" s="6">
        <f t="shared" si="58"/>
        <v>0</v>
      </c>
      <c r="K111" s="2"/>
      <c r="L111" s="7">
        <f t="shared" si="59"/>
        <v>0</v>
      </c>
      <c r="M111" s="2"/>
      <c r="N111" s="6">
        <f t="shared" si="60"/>
        <v>0</v>
      </c>
      <c r="O111" s="11"/>
      <c r="P111" s="7"/>
      <c r="Q111" s="2"/>
      <c r="R111" s="6">
        <f t="shared" si="61"/>
        <v>0</v>
      </c>
      <c r="S111" s="2"/>
      <c r="T111" s="7">
        <v>304.56</v>
      </c>
      <c r="U111" s="2"/>
      <c r="V111" s="6">
        <f t="shared" si="62"/>
        <v>1.0354022791809672E-4</v>
      </c>
      <c r="W111" s="2"/>
      <c r="X111" s="7">
        <f t="shared" si="63"/>
        <v>-304.56</v>
      </c>
      <c r="Y111" s="2"/>
      <c r="Z111" s="6">
        <f t="shared" si="64"/>
        <v>-1</v>
      </c>
    </row>
    <row r="112" spans="1:26" s="56" customFormat="1" x14ac:dyDescent="0.3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35">
      <c r="A113" s="10"/>
      <c r="B113" s="29" t="s">
        <v>0</v>
      </c>
      <c r="C113" s="10"/>
      <c r="D113" s="4">
        <f>SUM(OSRRefD25x_0)</f>
        <v>557.77</v>
      </c>
      <c r="E113" s="4"/>
      <c r="F113" s="13">
        <f t="shared" ref="F113:F117" si="65">IF(D$12=0,0,D113/D$12)</f>
        <v>1.2461044852925178E-3</v>
      </c>
      <c r="G113" s="4"/>
      <c r="H113" s="4">
        <f>SUM(OSRRefH25x_0)</f>
        <v>1565.7400000000002</v>
      </c>
      <c r="I113" s="4"/>
      <c r="J113" s="13">
        <f t="shared" ref="J113:J117" si="66">IF(H$12=0,0,H113/H$12)</f>
        <v>1.2515812230043019E-2</v>
      </c>
      <c r="K113" s="4"/>
      <c r="L113" s="4">
        <f t="shared" ref="L113:L117" si="67">+D113-H113</f>
        <v>-1007.9700000000003</v>
      </c>
      <c r="M113" s="4"/>
      <c r="N113" s="13">
        <f t="shared" ref="N113:N117" si="68">IF(H113=0,0,L113/H113)</f>
        <v>-0.64376588705659954</v>
      </c>
      <c r="O113" s="10"/>
      <c r="P113" s="4">
        <f>SUM(OSRRefP25x_0)</f>
        <v>13920.349999999999</v>
      </c>
      <c r="Q113" s="4"/>
      <c r="R113" s="13">
        <f t="shared" ref="R113:R117" si="69">IF(P$12=0,0,P113/P$12)</f>
        <v>4.8249268698814683E-3</v>
      </c>
      <c r="S113" s="4"/>
      <c r="T113" s="4">
        <f>SUM(OSRRefT25x_0)</f>
        <v>10176.24</v>
      </c>
      <c r="U113" s="4"/>
      <c r="V113" s="13">
        <f t="shared" ref="V113:V117" si="70">IF(T$12=0,0,T113/T$12)</f>
        <v>3.4595817210049009E-3</v>
      </c>
      <c r="W113" s="4"/>
      <c r="X113" s="4">
        <f t="shared" ref="X113:X117" si="71">+P113-T113</f>
        <v>3744.1099999999988</v>
      </c>
      <c r="Y113" s="4"/>
      <c r="Z113" s="13">
        <f t="shared" ref="Z113:Z117" si="72">IF(T113=0,0,X113/T113)</f>
        <v>0.36792666053473572</v>
      </c>
    </row>
    <row r="114" spans="1:26" s="24" customFormat="1" hidden="1" outlineLevel="1" x14ac:dyDescent="0.35">
      <c r="A114" s="44"/>
      <c r="B114" s="11" t="str">
        <f>CONCATENATE("          ", "4187", " - ", "NON-TAXABLE SALES-COMPUTER REP")</f>
        <v xml:space="preserve">          4187 - NON-TAXABLE SALES-COMPUTER REP</v>
      </c>
      <c r="C114" s="11"/>
      <c r="D114" s="2">
        <f>--166.52</f>
        <v>166.52</v>
      </c>
      <c r="E114" s="2"/>
      <c r="F114" s="19">
        <f t="shared" si="65"/>
        <v>3.7201950425965917E-4</v>
      </c>
      <c r="G114" s="2"/>
      <c r="H114" s="2">
        <f>--561.46</f>
        <v>561.46</v>
      </c>
      <c r="I114" s="2"/>
      <c r="J114" s="19">
        <f t="shared" si="66"/>
        <v>4.4880554464214696E-3</v>
      </c>
      <c r="K114" s="2"/>
      <c r="L114" s="2">
        <f t="shared" si="67"/>
        <v>-394.94000000000005</v>
      </c>
      <c r="M114" s="2"/>
      <c r="N114" s="19">
        <f t="shared" si="68"/>
        <v>-0.70341609375556591</v>
      </c>
      <c r="O114" s="11"/>
      <c r="P114" s="2">
        <f>--16449.71</f>
        <v>16449.71</v>
      </c>
      <c r="Q114" s="2"/>
      <c r="R114" s="19">
        <f t="shared" si="69"/>
        <v>5.7016273140228441E-3</v>
      </c>
      <c r="S114" s="2"/>
      <c r="T114" s="2">
        <f>--7817.04</f>
        <v>7817.04</v>
      </c>
      <c r="U114" s="2"/>
      <c r="V114" s="19">
        <f t="shared" si="70"/>
        <v>2.6575325165644824E-3</v>
      </c>
      <c r="W114" s="2"/>
      <c r="X114" s="2">
        <f t="shared" si="71"/>
        <v>8632.6699999999983</v>
      </c>
      <c r="Y114" s="2"/>
      <c r="Z114" s="19">
        <f t="shared" si="72"/>
        <v>1.1043400059357504</v>
      </c>
    </row>
    <row r="115" spans="1:26" s="24" customFormat="1" hidden="1" outlineLevel="1" x14ac:dyDescent="0.35">
      <c r="A115" s="44"/>
      <c r="B115" s="11" t="str">
        <f>CONCATENATE("          ", "4387", " - ", "SALES RETURN NON TAXABLE-COMPU")</f>
        <v xml:space="preserve">          4387 - SALES RETURN NON TAXABLE-COMPU</v>
      </c>
      <c r="C115" s="11"/>
      <c r="D115" s="2">
        <f t="shared" ref="D115:D116" si="73">0</f>
        <v>0</v>
      </c>
      <c r="E115" s="2"/>
      <c r="F115" s="19">
        <f t="shared" si="65"/>
        <v>0</v>
      </c>
      <c r="G115" s="2"/>
      <c r="H115" s="2">
        <f>--95.44</f>
        <v>95.44</v>
      </c>
      <c r="I115" s="2"/>
      <c r="J115" s="19">
        <f t="shared" si="66"/>
        <v>7.6290387882745883E-4</v>
      </c>
      <c r="K115" s="2"/>
      <c r="L115" s="2">
        <f t="shared" si="67"/>
        <v>-95.44</v>
      </c>
      <c r="M115" s="2"/>
      <c r="N115" s="19">
        <f t="shared" si="68"/>
        <v>-1</v>
      </c>
      <c r="O115" s="11"/>
      <c r="P115" s="2">
        <f>-7889</f>
        <v>-7889</v>
      </c>
      <c r="Q115" s="2"/>
      <c r="R115" s="19">
        <f t="shared" si="69"/>
        <v>-2.7344030916244856E-3</v>
      </c>
      <c r="S115" s="2"/>
      <c r="T115" s="2">
        <f>--95.44</f>
        <v>95.44</v>
      </c>
      <c r="U115" s="2"/>
      <c r="V115" s="19">
        <f t="shared" si="70"/>
        <v>3.2446412373598472E-5</v>
      </c>
      <c r="W115" s="2"/>
      <c r="X115" s="2">
        <f t="shared" si="71"/>
        <v>-7984.44</v>
      </c>
      <c r="Y115" s="2"/>
      <c r="Z115" s="19">
        <f t="shared" si="72"/>
        <v>-83.65926236378877</v>
      </c>
    </row>
    <row r="116" spans="1:26" s="24" customFormat="1" hidden="1" outlineLevel="1" x14ac:dyDescent="0.35">
      <c r="A116" s="44"/>
      <c r="B116" s="11" t="str">
        <f>CONCATENATE("          ", "5087", " - ", "PURCHASES @ COST-COMPUTER REPA")</f>
        <v xml:space="preserve">          5087 - PURCHASES @ COST-COMPUTER REPA</v>
      </c>
      <c r="C116" s="11"/>
      <c r="D116" s="2">
        <f t="shared" si="73"/>
        <v>0</v>
      </c>
      <c r="E116" s="2"/>
      <c r="F116" s="19">
        <f t="shared" si="65"/>
        <v>0</v>
      </c>
      <c r="G116" s="2"/>
      <c r="H116" s="2">
        <f>-72.06</f>
        <v>-72.06</v>
      </c>
      <c r="I116" s="2"/>
      <c r="J116" s="19">
        <f t="shared" si="66"/>
        <v>-5.7601481043908934E-4</v>
      </c>
      <c r="K116" s="2"/>
      <c r="L116" s="2">
        <f t="shared" si="67"/>
        <v>72.06</v>
      </c>
      <c r="M116" s="2"/>
      <c r="N116" s="19">
        <f t="shared" si="68"/>
        <v>-1</v>
      </c>
      <c r="O116" s="11"/>
      <c r="P116" s="2">
        <f>-72.06</f>
        <v>-72.06</v>
      </c>
      <c r="Q116" s="2"/>
      <c r="R116" s="19">
        <f t="shared" si="69"/>
        <v>-2.4976687385278291E-5</v>
      </c>
      <c r="S116" s="2"/>
      <c r="T116" s="2">
        <f>-312.26</f>
        <v>-312.26</v>
      </c>
      <c r="U116" s="2"/>
      <c r="V116" s="19">
        <f t="shared" si="70"/>
        <v>-1.0615797074371185E-4</v>
      </c>
      <c r="W116" s="2"/>
      <c r="X116" s="2">
        <f t="shared" si="71"/>
        <v>240.2</v>
      </c>
      <c r="Y116" s="2"/>
      <c r="Z116" s="19">
        <f t="shared" si="72"/>
        <v>-0.76923076923076916</v>
      </c>
    </row>
    <row r="117" spans="1:26" s="24" customFormat="1" hidden="1" outlineLevel="1" x14ac:dyDescent="0.35">
      <c r="A117" s="44"/>
      <c r="B117" s="11" t="str">
        <f>CONCATENATE("          ", "9150", " - ", "MISC. INCOME")</f>
        <v xml:space="preserve">          9150 - MISC. INCOME</v>
      </c>
      <c r="C117" s="11"/>
      <c r="D117" s="2">
        <f>--391.25</f>
        <v>391.25</v>
      </c>
      <c r="E117" s="2"/>
      <c r="F117" s="19">
        <f t="shared" si="65"/>
        <v>8.740849810328587E-4</v>
      </c>
      <c r="G117" s="2"/>
      <c r="H117" s="2">
        <f>--980.9</f>
        <v>980.9</v>
      </c>
      <c r="I117" s="2"/>
      <c r="J117" s="19">
        <f t="shared" si="66"/>
        <v>7.8408677152331761E-3</v>
      </c>
      <c r="K117" s="2"/>
      <c r="L117" s="2">
        <f t="shared" si="67"/>
        <v>-589.65</v>
      </c>
      <c r="M117" s="2"/>
      <c r="N117" s="19">
        <f t="shared" si="68"/>
        <v>-0.60113161382403912</v>
      </c>
      <c r="O117" s="11"/>
      <c r="P117" s="2">
        <f>--5431.7</f>
        <v>5431.7</v>
      </c>
      <c r="Q117" s="2"/>
      <c r="R117" s="19">
        <f t="shared" si="69"/>
        <v>1.8826793348683886E-3</v>
      </c>
      <c r="S117" s="2"/>
      <c r="T117" s="2">
        <f>--2576.02</f>
        <v>2576.02</v>
      </c>
      <c r="U117" s="2"/>
      <c r="V117" s="19">
        <f t="shared" si="70"/>
        <v>8.757607628105317E-4</v>
      </c>
      <c r="W117" s="2"/>
      <c r="X117" s="2">
        <f t="shared" si="71"/>
        <v>2855.68</v>
      </c>
      <c r="Y117" s="2"/>
      <c r="Z117" s="19">
        <f t="shared" si="72"/>
        <v>1.1085628217172225</v>
      </c>
    </row>
    <row r="118" spans="1:26" x14ac:dyDescent="0.3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35">
      <c r="A119" s="10"/>
      <c r="B119" s="28" t="s">
        <v>3</v>
      </c>
      <c r="C119" s="28"/>
      <c r="D119" s="22">
        <f>+D55-D57+D113</f>
        <v>154690.10999999996</v>
      </c>
      <c r="E119" s="14"/>
      <c r="F119" s="21">
        <f>IF(D$12=0,0,D119/D$12)</f>
        <v>0.34559054789858346</v>
      </c>
      <c r="G119" s="14"/>
      <c r="H119" s="22">
        <f>+H55-H57+H113</f>
        <v>61543.840000000004</v>
      </c>
      <c r="I119" s="14"/>
      <c r="J119" s="21">
        <f>IF(H$12=0,0,H119/H$12)</f>
        <v>0.49195341841928458</v>
      </c>
      <c r="K119" s="15"/>
      <c r="L119" s="22">
        <f>+D119-H119</f>
        <v>93146.26999999996</v>
      </c>
      <c r="M119" s="15"/>
      <c r="N119" s="21">
        <f>IF(H119=0,0,L119/H119)</f>
        <v>1.5134946080712539</v>
      </c>
      <c r="O119" s="29"/>
      <c r="P119" s="22">
        <f>+P55-P57+P113</f>
        <v>273652.22000000026</v>
      </c>
      <c r="Q119" s="14"/>
      <c r="R119" s="21">
        <f>IF(P$12=0,0,P119/P$12)</f>
        <v>9.4850485029522702E-2</v>
      </c>
      <c r="S119" s="14"/>
      <c r="T119" s="22">
        <f>+T55-T57+T113</f>
        <v>252650.77999999933</v>
      </c>
      <c r="U119" s="14"/>
      <c r="V119" s="21">
        <f>IF(T$12=0,0,T119/T$12)</f>
        <v>8.5892826848190315E-2</v>
      </c>
      <c r="W119" s="15"/>
      <c r="X119" s="22">
        <f>+P119-T119</f>
        <v>21001.440000000934</v>
      </c>
      <c r="Y119" s="15"/>
      <c r="Z119" s="21">
        <f>IF(T119=0,0,X119/T119)</f>
        <v>8.3124382200605085E-2</v>
      </c>
    </row>
    <row r="120" spans="1:26" x14ac:dyDescent="0.3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35">
      <c r="A121" s="51"/>
      <c r="B121" s="10" t="s">
        <v>13</v>
      </c>
      <c r="C121" s="10"/>
      <c r="D121" s="4">
        <v>148266.75999999998</v>
      </c>
      <c r="E121" s="4"/>
      <c r="F121" s="13">
        <f>IF(D$12=0,0,D121/D$12)</f>
        <v>0.33124025074096713</v>
      </c>
      <c r="G121" s="4"/>
      <c r="H121" s="4">
        <v>-83283.849999999991</v>
      </c>
      <c r="I121" s="4"/>
      <c r="J121" s="13">
        <f>IF(H$12=0,0,H121/H$12)</f>
        <v>-0.66573315390490628</v>
      </c>
      <c r="K121" s="4"/>
      <c r="L121" s="4">
        <f>+D121-H121</f>
        <v>231550.61</v>
      </c>
      <c r="M121" s="4"/>
      <c r="N121" s="13">
        <f>IF(H121=0,0,L121/H121)</f>
        <v>-2.7802582373413336</v>
      </c>
      <c r="O121" s="10"/>
      <c r="P121" s="4">
        <v>436914.47</v>
      </c>
      <c r="Q121" s="4"/>
      <c r="R121" s="13">
        <f>IF(P$12=0,0,P121/P$12)</f>
        <v>0.15143874731188661</v>
      </c>
      <c r="S121" s="4"/>
      <c r="T121" s="4">
        <v>209659.09999999998</v>
      </c>
      <c r="U121" s="4"/>
      <c r="V121" s="13">
        <f>IF(T$12=0,0,T121/T$12)</f>
        <v>7.127709153895137E-2</v>
      </c>
      <c r="W121" s="4"/>
      <c r="X121" s="4">
        <f>+P121-T121</f>
        <v>227255.37</v>
      </c>
      <c r="Y121" s="4"/>
      <c r="Z121" s="13">
        <f>IF(T121=0,0,X121/T121)</f>
        <v>1.0839280050329321</v>
      </c>
    </row>
    <row r="122" spans="1:26" x14ac:dyDescent="0.3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" thickBot="1" x14ac:dyDescent="0.4">
      <c r="A123" s="10"/>
      <c r="B123" s="28" t="s">
        <v>4</v>
      </c>
      <c r="C123" s="28"/>
      <c r="D123" s="34">
        <f>+D119-D121</f>
        <v>6423.3499999999767</v>
      </c>
      <c r="E123" s="14"/>
      <c r="F123" s="32">
        <f>IF(D$12=0,0,D123/D$12)</f>
        <v>1.4350297157616338E-2</v>
      </c>
      <c r="G123" s="14"/>
      <c r="H123" s="34">
        <f>+H119-H121</f>
        <v>144827.69</v>
      </c>
      <c r="I123" s="14"/>
      <c r="J123" s="32">
        <f>IF(H$12=0,0,H123/H$12)</f>
        <v>1.1576865723241909</v>
      </c>
      <c r="K123" s="15"/>
      <c r="L123" s="34">
        <f>D123-H123</f>
        <v>-138404.34000000003</v>
      </c>
      <c r="M123" s="15"/>
      <c r="N123" s="32">
        <f>IF(H123=0,0,L123/H123)</f>
        <v>-0.95564832940441169</v>
      </c>
      <c r="O123" s="29"/>
      <c r="P123" s="34">
        <f>+P119-P121</f>
        <v>-163262.24999999971</v>
      </c>
      <c r="Q123" s="14"/>
      <c r="R123" s="32">
        <f>IF(P$12=0,0,P123/P$12)</f>
        <v>-5.658826228236391E-2</v>
      </c>
      <c r="S123" s="14"/>
      <c r="T123" s="34">
        <f>+T119-T121</f>
        <v>42991.679999999353</v>
      </c>
      <c r="U123" s="14"/>
      <c r="V123" s="32">
        <f>IF(T$12=0,0,T123/T$12)</f>
        <v>1.4615735309238946E-2</v>
      </c>
      <c r="W123" s="15"/>
      <c r="X123" s="34">
        <f>P123-T123</f>
        <v>-206253.92999999906</v>
      </c>
      <c r="Y123" s="15"/>
      <c r="Z123" s="32">
        <f>IF(T123=0,0,X123/T123)</f>
        <v>-4.7975312897751881</v>
      </c>
    </row>
    <row r="124" spans="1:26" ht="15" thickTop="1" x14ac:dyDescent="0.3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3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" thickBot="1" x14ac:dyDescent="0.4">
      <c r="A126" s="10"/>
      <c r="B126" s="28" t="s">
        <v>5</v>
      </c>
      <c r="C126" s="28"/>
      <c r="D126" s="35">
        <f>SUM(D123:D125)</f>
        <v>6423.3499999999767</v>
      </c>
      <c r="E126" s="14"/>
      <c r="F126" s="33">
        <f>IF(D$12=0,0,D126/D$12)</f>
        <v>1.4350297157616338E-2</v>
      </c>
      <c r="G126" s="14"/>
      <c r="H126" s="35">
        <f>SUM(H123:H125)</f>
        <v>144827.69</v>
      </c>
      <c r="I126" s="14"/>
      <c r="J126" s="33">
        <f>IF(H$12=0,0,H126/H$12)</f>
        <v>1.1576865723241909</v>
      </c>
      <c r="K126" s="15"/>
      <c r="L126" s="35">
        <f>+D126-H126</f>
        <v>-138404.34000000003</v>
      </c>
      <c r="M126" s="15"/>
      <c r="N126" s="33">
        <f>IF(H126=0,0,L126/H126)</f>
        <v>-0.95564832940441169</v>
      </c>
      <c r="O126" s="29"/>
      <c r="P126" s="35">
        <f>SUM(P123:P125)</f>
        <v>-163262.24999999971</v>
      </c>
      <c r="Q126" s="14"/>
      <c r="R126" s="33">
        <f>IF(P$12=0,0,P126/P$12)</f>
        <v>-5.658826228236391E-2</v>
      </c>
      <c r="S126" s="14"/>
      <c r="T126" s="35">
        <f>SUM(T123:T125)</f>
        <v>42991.679999999353</v>
      </c>
      <c r="U126" s="14"/>
      <c r="V126" s="33">
        <f>IF(T$12=0,0,T126/T$12)</f>
        <v>1.4615735309238946E-2</v>
      </c>
      <c r="W126" s="15"/>
      <c r="X126" s="35">
        <f>+P126-T126</f>
        <v>-206253.92999999906</v>
      </c>
      <c r="Y126" s="15"/>
      <c r="Z126" s="33">
        <f>IF(T126=0,0,X126/T126)</f>
        <v>-4.7975312897751881</v>
      </c>
    </row>
    <row r="127" spans="1:26" ht="15" thickTop="1" x14ac:dyDescent="0.35">
      <c r="A127" s="9"/>
      <c r="C127" s="9"/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35">
      <c r="A128" s="9"/>
      <c r="B128" s="52">
        <v>44043.522931562497</v>
      </c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35">
      <c r="A129" s="9"/>
      <c r="B129" s="61" t="s">
        <v>313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35">
      <c r="A130" s="9"/>
      <c r="B130" s="54"/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35"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305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119.47</v>
      </c>
      <c r="E12" s="4"/>
      <c r="F12" s="13"/>
      <c r="G12" s="4"/>
      <c r="H12" s="4">
        <f>SUM(OSRRefH13x_0)</f>
        <v>45697.29</v>
      </c>
      <c r="I12" s="4"/>
      <c r="J12" s="13"/>
      <c r="K12" s="4"/>
      <c r="L12" s="4">
        <f t="shared" ref="L12:L24" si="0">+D12-H12</f>
        <v>-45577.82</v>
      </c>
      <c r="M12" s="4"/>
      <c r="N12" s="13">
        <f t="shared" ref="N12:N24" si="1">IF(H12=0,0,L12/H12)</f>
        <v>-0.99738562177319479</v>
      </c>
      <c r="O12" s="10"/>
      <c r="P12" s="4">
        <f>SUM(OSRRefP13x_0)</f>
        <v>2364728.7199999997</v>
      </c>
      <c r="Q12" s="4"/>
      <c r="R12" s="13"/>
      <c r="S12" s="4"/>
      <c r="T12" s="4">
        <f>SUM(OSRRefT13x_0)</f>
        <v>3028129.24</v>
      </c>
      <c r="U12" s="4"/>
      <c r="V12" s="13"/>
      <c r="W12" s="4"/>
      <c r="X12" s="4">
        <f t="shared" ref="X12:X24" si="2">+P12-T12</f>
        <v>-663400.52000000048</v>
      </c>
      <c r="Y12" s="4"/>
      <c r="Z12" s="13">
        <f t="shared" ref="Z12:Z24" si="3">IF(T12=0,0,X12/T12)</f>
        <v>-0.21907932833144217</v>
      </c>
    </row>
    <row r="13" spans="1:26" s="24" customFormat="1" hidden="1" outlineLevel="1" x14ac:dyDescent="0.3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7" si="4">0</f>
        <v>0</v>
      </c>
      <c r="E13" s="2"/>
      <c r="F13" s="19"/>
      <c r="G13" s="2"/>
      <c r="H13" s="2">
        <f>--4700.12</f>
        <v>4700.12</v>
      </c>
      <c r="I13" s="2"/>
      <c r="J13" s="19"/>
      <c r="K13" s="2"/>
      <c r="L13" s="2">
        <f t="shared" si="0"/>
        <v>-4700.12</v>
      </c>
      <c r="M13" s="2"/>
      <c r="N13" s="19">
        <f t="shared" si="1"/>
        <v>-1</v>
      </c>
      <c r="O13" s="11"/>
      <c r="P13" s="2">
        <f>--275749.46</f>
        <v>275749.46000000002</v>
      </c>
      <c r="Q13" s="2"/>
      <c r="R13" s="19"/>
      <c r="S13" s="2"/>
      <c r="T13" s="2">
        <f>--370158.89</f>
        <v>370158.89</v>
      </c>
      <c r="U13" s="2"/>
      <c r="V13" s="19"/>
      <c r="W13" s="2"/>
      <c r="X13" s="2">
        <f t="shared" si="2"/>
        <v>-94409.43</v>
      </c>
      <c r="Y13" s="2"/>
      <c r="Z13" s="19">
        <f t="shared" si="3"/>
        <v>-0.25505109440975465</v>
      </c>
    </row>
    <row r="14" spans="1:26" s="24" customFormat="1" hidden="1" outlineLevel="1" x14ac:dyDescent="0.3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3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>
        <f>--133.64</f>
        <v>133.63999999999999</v>
      </c>
      <c r="I15" s="2"/>
      <c r="J15" s="19"/>
      <c r="K15" s="2"/>
      <c r="L15" s="2">
        <f t="shared" si="0"/>
        <v>-133.63999999999999</v>
      </c>
      <c r="M15" s="2"/>
      <c r="N15" s="19">
        <f t="shared" si="1"/>
        <v>-1</v>
      </c>
      <c r="O15" s="11"/>
      <c r="P15" s="2">
        <f>--3121.95</f>
        <v>3121.95</v>
      </c>
      <c r="Q15" s="2"/>
      <c r="R15" s="19"/>
      <c r="S15" s="2"/>
      <c r="T15" s="2">
        <f>--2843.76</f>
        <v>2843.76</v>
      </c>
      <c r="U15" s="2"/>
      <c r="V15" s="19"/>
      <c r="W15" s="2"/>
      <c r="X15" s="2">
        <f t="shared" si="2"/>
        <v>278.1899999999996</v>
      </c>
      <c r="Y15" s="2"/>
      <c r="Z15" s="19">
        <f t="shared" si="3"/>
        <v>9.7824710946071244E-2</v>
      </c>
    </row>
    <row r="16" spans="1:26" s="24" customFormat="1" hidden="1" outlineLevel="1" x14ac:dyDescent="0.3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si="4"/>
        <v>0</v>
      </c>
      <c r="E16" s="2"/>
      <c r="F16" s="19"/>
      <c r="G16" s="2"/>
      <c r="H16" s="2">
        <f>--3983.11</f>
        <v>3983.11</v>
      </c>
      <c r="I16" s="2"/>
      <c r="J16" s="19"/>
      <c r="K16" s="2"/>
      <c r="L16" s="2">
        <f t="shared" si="0"/>
        <v>-3983.11</v>
      </c>
      <c r="M16" s="2"/>
      <c r="N16" s="19">
        <f t="shared" si="1"/>
        <v>-1</v>
      </c>
      <c r="O16" s="11"/>
      <c r="P16" s="2">
        <f>--149404.53</f>
        <v>149404.53</v>
      </c>
      <c r="Q16" s="2"/>
      <c r="R16" s="19"/>
      <c r="S16" s="2"/>
      <c r="T16" s="2">
        <f>--238608.7</f>
        <v>238608.7</v>
      </c>
      <c r="U16" s="2"/>
      <c r="V16" s="19"/>
      <c r="W16" s="2"/>
      <c r="X16" s="2">
        <f t="shared" si="2"/>
        <v>-89204.170000000013</v>
      </c>
      <c r="Y16" s="2"/>
      <c r="Z16" s="19">
        <f t="shared" si="3"/>
        <v>-0.37385128874177687</v>
      </c>
    </row>
    <row r="17" spans="1:26" s="24" customFormat="1" hidden="1" outlineLevel="1" x14ac:dyDescent="0.35">
      <c r="A17" s="44"/>
      <c r="B17" s="11" t="str">
        <f>CONCATENATE("          ", "4131", " - ", "NON-TAXABLE SALES-FOOD")</f>
        <v xml:space="preserve">          4131 - NON-TAXABLE SALES-FOOD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--2.48</f>
        <v>2.48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2.48</v>
      </c>
      <c r="Y17" s="2"/>
      <c r="Z17" s="19">
        <f t="shared" si="3"/>
        <v>0</v>
      </c>
    </row>
    <row r="18" spans="1:26" s="24" customFormat="1" hidden="1" outlineLevel="1" x14ac:dyDescent="0.3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>--114.48</f>
        <v>114.48</v>
      </c>
      <c r="E18" s="2"/>
      <c r="F18" s="19"/>
      <c r="G18" s="2"/>
      <c r="H18" s="2">
        <f>--19854.42</f>
        <v>19854.419999999998</v>
      </c>
      <c r="I18" s="2"/>
      <c r="J18" s="19"/>
      <c r="K18" s="2"/>
      <c r="L18" s="2">
        <f t="shared" si="0"/>
        <v>-19739.939999999999</v>
      </c>
      <c r="M18" s="2"/>
      <c r="N18" s="19">
        <f t="shared" si="1"/>
        <v>-0.99423402950073592</v>
      </c>
      <c r="O18" s="11"/>
      <c r="P18" s="2">
        <f>--1093892.63</f>
        <v>1093892.6299999999</v>
      </c>
      <c r="Q18" s="2"/>
      <c r="R18" s="19"/>
      <c r="S18" s="2"/>
      <c r="T18" s="2">
        <f>--1305186.95</f>
        <v>1305186.95</v>
      </c>
      <c r="U18" s="2"/>
      <c r="V18" s="19"/>
      <c r="W18" s="2"/>
      <c r="X18" s="2">
        <f t="shared" si="2"/>
        <v>-211294.32000000007</v>
      </c>
      <c r="Y18" s="2"/>
      <c r="Z18" s="19">
        <f t="shared" si="3"/>
        <v>-0.16188816475678069</v>
      </c>
    </row>
    <row r="19" spans="1:26" s="24" customFormat="1" hidden="1" outlineLevel="1" x14ac:dyDescent="0.35">
      <c r="A19" s="44"/>
      <c r="B19" s="11" t="str">
        <f>CONCATENATE("          ", "4133", " - ", "NON-TAXABLE SALES-CANDY")</f>
        <v xml:space="preserve">          4133 - NON-TAXABLE SALES-CANDY</v>
      </c>
      <c r="C19" s="11"/>
      <c r="D19" s="2">
        <f>0</f>
        <v>0</v>
      </c>
      <c r="E19" s="2"/>
      <c r="F19" s="19"/>
      <c r="G19" s="2"/>
      <c r="H19" s="2">
        <f t="shared" ref="H19:H20" si="5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--1.59</f>
        <v>1.59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1.59</v>
      </c>
      <c r="Y19" s="2"/>
      <c r="Z19" s="19">
        <f t="shared" si="3"/>
        <v>0</v>
      </c>
    </row>
    <row r="20" spans="1:26" s="24" customFormat="1" hidden="1" outlineLevel="1" x14ac:dyDescent="0.35">
      <c r="A20" s="44"/>
      <c r="B20" s="11" t="str">
        <f>CONCATENATE("          ", "4134", " - ", "NON-TAXABLE SALES-SODA")</f>
        <v xml:space="preserve">          4134 - NON-TAXABLE SALES-SODA</v>
      </c>
      <c r="C20" s="11"/>
      <c r="D20" s="2">
        <f>--4.99</f>
        <v>4.99</v>
      </c>
      <c r="E20" s="2"/>
      <c r="F20" s="19"/>
      <c r="G20" s="2"/>
      <c r="H20" s="2">
        <f t="shared" si="5"/>
        <v>0</v>
      </c>
      <c r="I20" s="2"/>
      <c r="J20" s="19"/>
      <c r="K20" s="2"/>
      <c r="L20" s="2">
        <f t="shared" si="0"/>
        <v>4.99</v>
      </c>
      <c r="M20" s="2"/>
      <c r="N20" s="19">
        <f t="shared" si="1"/>
        <v>0</v>
      </c>
      <c r="O20" s="11"/>
      <c r="P20" s="2">
        <f>--99.83</f>
        <v>99.83</v>
      </c>
      <c r="Q20" s="2"/>
      <c r="R20" s="19"/>
      <c r="S20" s="2"/>
      <c r="T20" s="2">
        <f>--55.83</f>
        <v>55.83</v>
      </c>
      <c r="U20" s="2"/>
      <c r="V20" s="19"/>
      <c r="W20" s="2"/>
      <c r="X20" s="2">
        <f t="shared" si="2"/>
        <v>44</v>
      </c>
      <c r="Y20" s="2"/>
      <c r="Z20" s="19">
        <f t="shared" si="3"/>
        <v>0.78810675264194885</v>
      </c>
    </row>
    <row r="21" spans="1:26" s="24" customFormat="1" hidden="1" outlineLevel="1" x14ac:dyDescent="0.35">
      <c r="A21" s="44"/>
      <c r="B21" s="11" t="str">
        <f>CONCATENATE("          ", "4137", " - ", "NON-TAXABLE SALES-WATER")</f>
        <v xml:space="preserve">          4137 - NON-TAXABLE SALES-WATER</v>
      </c>
      <c r="C21" s="11"/>
      <c r="D21" s="2">
        <f t="shared" ref="D21:D24" si="6">0</f>
        <v>0</v>
      </c>
      <c r="E21" s="2"/>
      <c r="F21" s="19"/>
      <c r="G21" s="2"/>
      <c r="H21" s="2">
        <f>--78.5</f>
        <v>78.5</v>
      </c>
      <c r="I21" s="2"/>
      <c r="J21" s="19"/>
      <c r="K21" s="2"/>
      <c r="L21" s="2">
        <f t="shared" si="0"/>
        <v>-78.5</v>
      </c>
      <c r="M21" s="2"/>
      <c r="N21" s="19">
        <f t="shared" si="1"/>
        <v>-1</v>
      </c>
      <c r="O21" s="11"/>
      <c r="P21" s="2">
        <f>--1575.68</f>
        <v>1575.68</v>
      </c>
      <c r="Q21" s="2"/>
      <c r="R21" s="19"/>
      <c r="S21" s="2"/>
      <c r="T21" s="2">
        <f>--2318.79</f>
        <v>2318.79</v>
      </c>
      <c r="U21" s="2"/>
      <c r="V21" s="19"/>
      <c r="W21" s="2"/>
      <c r="X21" s="2">
        <f t="shared" si="2"/>
        <v>-743.1099999999999</v>
      </c>
      <c r="Y21" s="2"/>
      <c r="Z21" s="19">
        <f t="shared" si="3"/>
        <v>-0.32047317782119117</v>
      </c>
    </row>
    <row r="22" spans="1:26" s="24" customFormat="1" hidden="1" outlineLevel="1" x14ac:dyDescent="0.35">
      <c r="A22" s="44"/>
      <c r="B22" s="11" t="str">
        <f>CONCATENATE("          ", "4151", " - ", "NON-TAXABLE SALES-FOOD")</f>
        <v xml:space="preserve">          4151 - NON-TAXABLE SALES-FOOD</v>
      </c>
      <c r="C22" s="11"/>
      <c r="D22" s="2">
        <f t="shared" si="6"/>
        <v>0</v>
      </c>
      <c r="E22" s="2"/>
      <c r="F22" s="19"/>
      <c r="G22" s="2"/>
      <c r="H22" s="2">
        <f>--16645.25</f>
        <v>16645.25</v>
      </c>
      <c r="I22" s="2"/>
      <c r="J22" s="19"/>
      <c r="K22" s="2"/>
      <c r="L22" s="2">
        <f t="shared" si="0"/>
        <v>-16645.25</v>
      </c>
      <c r="M22" s="2"/>
      <c r="N22" s="19">
        <f t="shared" si="1"/>
        <v>-1</v>
      </c>
      <c r="O22" s="11"/>
      <c r="P22" s="2">
        <f>--828068.07</f>
        <v>828068.07</v>
      </c>
      <c r="Q22" s="2"/>
      <c r="R22" s="19"/>
      <c r="S22" s="2"/>
      <c r="T22" s="2">
        <f>--1094407.35</f>
        <v>1094407.3500000001</v>
      </c>
      <c r="U22" s="2"/>
      <c r="V22" s="19"/>
      <c r="W22" s="2"/>
      <c r="X22" s="2">
        <f t="shared" si="2"/>
        <v>-266339.28000000014</v>
      </c>
      <c r="Y22" s="2"/>
      <c r="Z22" s="19">
        <f t="shared" si="3"/>
        <v>-0.24336393574111151</v>
      </c>
    </row>
    <row r="23" spans="1:26" s="24" customFormat="1" hidden="1" outlineLevel="1" x14ac:dyDescent="0.35">
      <c r="A23" s="44"/>
      <c r="B23" s="11" t="str">
        <f>CONCATENATE("          ", "4153", " - ", "NON-TAXABLE SALES-FOOD")</f>
        <v xml:space="preserve">          4153 - NON-TAXABLE SALES-FOOD</v>
      </c>
      <c r="C23" s="11"/>
      <c r="D23" s="2">
        <f t="shared" si="6"/>
        <v>0</v>
      </c>
      <c r="E23" s="2"/>
      <c r="F23" s="19"/>
      <c r="G23" s="2"/>
      <c r="H23" s="2">
        <f>--302.25</f>
        <v>302.25</v>
      </c>
      <c r="I23" s="2"/>
      <c r="J23" s="19"/>
      <c r="K23" s="2"/>
      <c r="L23" s="2">
        <f t="shared" si="0"/>
        <v>-302.25</v>
      </c>
      <c r="M23" s="2"/>
      <c r="N23" s="19">
        <f t="shared" si="1"/>
        <v>-1</v>
      </c>
      <c r="O23" s="11"/>
      <c r="P23" s="2">
        <f>--12812.5</f>
        <v>12812.5</v>
      </c>
      <c r="Q23" s="2"/>
      <c r="R23" s="19"/>
      <c r="S23" s="2"/>
      <c r="T23" s="2">
        <f>--14530.67</f>
        <v>14530.67</v>
      </c>
      <c r="U23" s="2"/>
      <c r="V23" s="19"/>
      <c r="W23" s="2"/>
      <c r="X23" s="2">
        <f t="shared" si="2"/>
        <v>-1718.17</v>
      </c>
      <c r="Y23" s="2"/>
      <c r="Z23" s="19">
        <f t="shared" si="3"/>
        <v>-0.11824437551744001</v>
      </c>
    </row>
    <row r="24" spans="1:26" s="24" customFormat="1" hidden="1" outlineLevel="1" x14ac:dyDescent="0.35">
      <c r="A24" s="44"/>
      <c r="B24" s="11" t="str">
        <f>CONCATENATE("          ", "4233", " - ", "SALES RETURN TAXABLE-CANDY")</f>
        <v xml:space="preserve">          4233 - SALES RETURN TAXABLE-CANDY</v>
      </c>
      <c r="C24" s="11"/>
      <c r="D24" s="2">
        <f t="shared" si="6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-1.69</f>
        <v>-1.69</v>
      </c>
      <c r="U24" s="2"/>
      <c r="V24" s="19"/>
      <c r="W24" s="2"/>
      <c r="X24" s="2">
        <f t="shared" si="2"/>
        <v>1.69</v>
      </c>
      <c r="Y24" s="2"/>
      <c r="Z24" s="19">
        <f t="shared" si="3"/>
        <v>-1</v>
      </c>
    </row>
    <row r="25" spans="1:26" x14ac:dyDescent="0.3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35">
      <c r="A26" s="10"/>
      <c r="B26" s="29" t="s">
        <v>8</v>
      </c>
      <c r="C26" s="10"/>
      <c r="D26" s="4">
        <f>SUM(OSRRefD16x_0)</f>
        <v>3589.06</v>
      </c>
      <c r="E26" s="4"/>
      <c r="F26" s="13">
        <f t="shared" ref="F26:F28" si="7">IF(D$12=0,0,D26/D$12)</f>
        <v>30.041516698752826</v>
      </c>
      <c r="G26" s="4"/>
      <c r="H26" s="4">
        <f>SUM(OSRRefH16x_0)</f>
        <v>63256.289999999994</v>
      </c>
      <c r="I26" s="4"/>
      <c r="J26" s="13">
        <f t="shared" ref="J26:J28" si="8">IF(H$12=0,0,H26/H$12)</f>
        <v>1.3842459804509193</v>
      </c>
      <c r="K26" s="4"/>
      <c r="L26" s="4">
        <f t="shared" ref="L26:L28" si="9">+D26-H26</f>
        <v>-59667.229999999996</v>
      </c>
      <c r="M26" s="4"/>
      <c r="N26" s="13">
        <f t="shared" ref="N26:N28" si="10">IF(H26=0,0,L26/H26)</f>
        <v>-0.94326161082162741</v>
      </c>
      <c r="O26" s="10"/>
      <c r="P26" s="4">
        <f>SUM(OSRRefP16x_0)</f>
        <v>1235919.8999999999</v>
      </c>
      <c r="Q26" s="4"/>
      <c r="R26" s="13">
        <f t="shared" ref="R26:R28" si="11">IF(P$12=0,0,P26/P$12)</f>
        <v>0.52264764644969508</v>
      </c>
      <c r="S26" s="4"/>
      <c r="T26" s="4">
        <f>SUM(OSRRefT16x_0)</f>
        <v>1481578.4700000002</v>
      </c>
      <c r="U26" s="4"/>
      <c r="V26" s="13">
        <f t="shared" ref="V26:V28" si="12">IF(T$12=0,0,T26/T$12)</f>
        <v>0.48927187467071259</v>
      </c>
      <c r="W26" s="4"/>
      <c r="X26" s="4">
        <f t="shared" ref="X26:X28" si="13">+P26-T26</f>
        <v>-245658.5700000003</v>
      </c>
      <c r="Y26" s="4"/>
      <c r="Z26" s="13">
        <f t="shared" ref="Z26:Z28" si="14">IF(T26=0,0,X26/T26)</f>
        <v>-0.16580867971171331</v>
      </c>
    </row>
    <row r="27" spans="1:26" s="24" customFormat="1" hidden="1" outlineLevel="1" x14ac:dyDescent="0.3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-2889.94</v>
      </c>
      <c r="E27" s="2"/>
      <c r="F27" s="19">
        <f t="shared" si="7"/>
        <v>-24.189671047124801</v>
      </c>
      <c r="G27" s="2"/>
      <c r="H27" s="2">
        <v>10938.6</v>
      </c>
      <c r="I27" s="2"/>
      <c r="J27" s="19">
        <f t="shared" si="8"/>
        <v>0.23937086860074197</v>
      </c>
      <c r="K27" s="2"/>
      <c r="L27" s="2">
        <f t="shared" si="9"/>
        <v>-13828.54</v>
      </c>
      <c r="M27" s="2"/>
      <c r="N27" s="19">
        <f t="shared" si="10"/>
        <v>-1.2641965150933392</v>
      </c>
      <c r="O27" s="11"/>
      <c r="P27" s="2">
        <v>1155614.0999999999</v>
      </c>
      <c r="Q27" s="2"/>
      <c r="R27" s="19">
        <f t="shared" si="11"/>
        <v>0.48868781024488933</v>
      </c>
      <c r="S27" s="2"/>
      <c r="T27" s="2">
        <v>1367213.59</v>
      </c>
      <c r="U27" s="2"/>
      <c r="V27" s="19">
        <f t="shared" si="12"/>
        <v>0.45150437172225844</v>
      </c>
      <c r="W27" s="2"/>
      <c r="X27" s="2">
        <f t="shared" si="13"/>
        <v>-211599.49000000022</v>
      </c>
      <c r="Y27" s="2"/>
      <c r="Z27" s="19">
        <f t="shared" si="14"/>
        <v>-0.15476695927225256</v>
      </c>
    </row>
    <row r="28" spans="1:26" s="24" customFormat="1" hidden="1" outlineLevel="1" x14ac:dyDescent="0.3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6479</v>
      </c>
      <c r="E28" s="2"/>
      <c r="F28" s="19">
        <f t="shared" si="7"/>
        <v>54.231187745877627</v>
      </c>
      <c r="G28" s="2"/>
      <c r="H28" s="2">
        <v>52317.689999999995</v>
      </c>
      <c r="I28" s="2"/>
      <c r="J28" s="19">
        <f t="shared" si="8"/>
        <v>1.1448751118501774</v>
      </c>
      <c r="K28" s="2"/>
      <c r="L28" s="2">
        <f t="shared" si="9"/>
        <v>-45838.689999999995</v>
      </c>
      <c r="M28" s="2"/>
      <c r="N28" s="19">
        <f t="shared" si="10"/>
        <v>-0.8761604344534325</v>
      </c>
      <c r="O28" s="11"/>
      <c r="P28" s="2">
        <v>80305.799999999988</v>
      </c>
      <c r="Q28" s="2"/>
      <c r="R28" s="19">
        <f t="shared" si="11"/>
        <v>3.3959836204805763E-2</v>
      </c>
      <c r="S28" s="2"/>
      <c r="T28" s="2">
        <v>114364.88</v>
      </c>
      <c r="U28" s="2"/>
      <c r="V28" s="19">
        <f t="shared" si="12"/>
        <v>3.7767502948454074E-2</v>
      </c>
      <c r="W28" s="2"/>
      <c r="X28" s="2">
        <f t="shared" si="13"/>
        <v>-34059.080000000016</v>
      </c>
      <c r="Y28" s="2"/>
      <c r="Z28" s="19">
        <f t="shared" si="14"/>
        <v>-0.29781065655820227</v>
      </c>
    </row>
    <row r="29" spans="1:26" x14ac:dyDescent="0.3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5">
      <c r="A30" s="10"/>
      <c r="B30" s="28" t="s">
        <v>6</v>
      </c>
      <c r="C30" s="28"/>
      <c r="D30" s="22">
        <f>D12-D26</f>
        <v>-3469.59</v>
      </c>
      <c r="E30" s="14"/>
      <c r="F30" s="21">
        <f>IF(D$12=0,0,D30/D$12)</f>
        <v>-29.041516698752826</v>
      </c>
      <c r="G30" s="14"/>
      <c r="H30" s="22">
        <f>H12-H26</f>
        <v>-17558.999999999993</v>
      </c>
      <c r="I30" s="14"/>
      <c r="J30" s="21">
        <f>IF(H$12=0,0,H30/H$12)</f>
        <v>-0.38424598045091934</v>
      </c>
      <c r="K30" s="15"/>
      <c r="L30" s="22">
        <f>+D30-H30</f>
        <v>14089.409999999993</v>
      </c>
      <c r="M30" s="15"/>
      <c r="N30" s="21">
        <f>IF(H30=0,0,L30/H30)</f>
        <v>-0.80240389543823676</v>
      </c>
      <c r="O30" s="29"/>
      <c r="P30" s="22">
        <f>P12-P26</f>
        <v>1128808.8199999998</v>
      </c>
      <c r="Q30" s="14"/>
      <c r="R30" s="21">
        <f>IF(P$12=0,0,P30/P$12)</f>
        <v>0.47735235355030492</v>
      </c>
      <c r="S30" s="14"/>
      <c r="T30" s="22">
        <f>T12-T26</f>
        <v>1546550.77</v>
      </c>
      <c r="U30" s="14"/>
      <c r="V30" s="21">
        <f>IF(T$12=0,0,T30/T$12)</f>
        <v>0.51072812532928746</v>
      </c>
      <c r="W30" s="15"/>
      <c r="X30" s="22">
        <f>+P30-T30</f>
        <v>-417741.95000000019</v>
      </c>
      <c r="Y30" s="15"/>
      <c r="Z30" s="21">
        <f>IF(T30=0,0,X30/T30)</f>
        <v>-0.27011201837234233</v>
      </c>
    </row>
    <row r="31" spans="1:26" x14ac:dyDescent="0.3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5">
      <c r="A32" s="10"/>
      <c r="B32" s="29" t="s">
        <v>9</v>
      </c>
      <c r="C32" s="10"/>
      <c r="D32" s="20">
        <f>SUM(OSRRefD22x_0)</f>
        <v>42396.920000000006</v>
      </c>
      <c r="E32" s="20"/>
      <c r="F32" s="36">
        <f t="shared" ref="F32:F41" si="15">IF(D$12=0,0,D32/D$12)</f>
        <v>354.8750313886332</v>
      </c>
      <c r="G32" s="20"/>
      <c r="H32" s="20">
        <f>SUM(OSRRefH22x_0)</f>
        <v>76305.819999999992</v>
      </c>
      <c r="I32" s="20"/>
      <c r="J32" s="36">
        <f t="shared" ref="J32:J41" si="16">IF(H$12=0,0,H32/H$12)</f>
        <v>1.6698106167783688</v>
      </c>
      <c r="K32" s="4"/>
      <c r="L32" s="20">
        <f t="shared" ref="L32:L41" si="17">+D32-H32</f>
        <v>-33908.899999999987</v>
      </c>
      <c r="M32" s="4"/>
      <c r="N32" s="36">
        <f t="shared" ref="N32:N41" si="18">IF(H32=0,0,L32/H32)</f>
        <v>-0.44438156879776652</v>
      </c>
      <c r="O32" s="10"/>
      <c r="P32" s="20">
        <f>SUM(OSRRefP22x_0)</f>
        <v>1074075.23</v>
      </c>
      <c r="Q32" s="20"/>
      <c r="R32" s="36">
        <f t="shared" ref="R32:R41" si="19">IF(P$12=0,0,P32/P$12)</f>
        <v>0.45420653156358676</v>
      </c>
      <c r="S32" s="20"/>
      <c r="T32" s="20">
        <f>SUM(OSRRefT22x_0)</f>
        <v>1227461.72</v>
      </c>
      <c r="U32" s="20"/>
      <c r="V32" s="36">
        <f t="shared" ref="V32:V41" si="20">IF(T$12=0,0,T32/T$12)</f>
        <v>0.40535314800500388</v>
      </c>
      <c r="W32" s="4"/>
      <c r="X32" s="20">
        <f t="shared" ref="X32:X41" si="21">+P32-T32</f>
        <v>-153386.49</v>
      </c>
      <c r="Y32" s="4"/>
      <c r="Z32" s="36">
        <f t="shared" ref="Z32:Z41" si="22">IF(T32=0,0,X32/T32)</f>
        <v>-0.12496234098445042</v>
      </c>
    </row>
    <row r="33" spans="1:26" s="25" customFormat="1" outlineLevel="1" collapsed="1" x14ac:dyDescent="0.35">
      <c r="A33" s="26"/>
      <c r="B33" s="12" t="str">
        <f>CONCATENATE("     ","*Benefits                                         ")</f>
        <v xml:space="preserve">     *Benefits                                         </v>
      </c>
      <c r="C33" s="12"/>
      <c r="D33" s="1">
        <f>SUM(OSRRefD22_0x_0)</f>
        <v>7380.7699999999995</v>
      </c>
      <c r="E33" s="1"/>
      <c r="F33" s="5">
        <f t="shared" si="15"/>
        <v>61.779275131832257</v>
      </c>
      <c r="G33" s="1"/>
      <c r="H33" s="1">
        <f>SUM(OSRRefH22_0x_0)</f>
        <v>12226.890000000001</v>
      </c>
      <c r="I33" s="1"/>
      <c r="J33" s="5">
        <f t="shared" si="16"/>
        <v>0.26756269354265866</v>
      </c>
      <c r="K33" s="1"/>
      <c r="L33" s="1">
        <f t="shared" si="17"/>
        <v>-4846.1200000000017</v>
      </c>
      <c r="M33" s="1"/>
      <c r="N33" s="5">
        <f t="shared" si="18"/>
        <v>-0.39634935784978853</v>
      </c>
      <c r="O33" s="12"/>
      <c r="P33" s="1">
        <f>SUM(OSRRefP22_0x_0)</f>
        <v>144729.35999999999</v>
      </c>
      <c r="Q33" s="1"/>
      <c r="R33" s="5">
        <f t="shared" si="19"/>
        <v>6.1203367124496207E-2</v>
      </c>
      <c r="S33" s="1"/>
      <c r="T33" s="1">
        <f>SUM(OSRRefT22_0x_0)</f>
        <v>160813.89000000001</v>
      </c>
      <c r="U33" s="1"/>
      <c r="V33" s="5">
        <f t="shared" si="20"/>
        <v>5.310667981925369E-2</v>
      </c>
      <c r="W33" s="1"/>
      <c r="X33" s="1">
        <f t="shared" si="21"/>
        <v>-16084.530000000028</v>
      </c>
      <c r="Y33" s="1"/>
      <c r="Z33" s="5">
        <f t="shared" si="22"/>
        <v>-0.10001953189491297</v>
      </c>
    </row>
    <row r="34" spans="1:26" s="24" customFormat="1" hidden="1" outlineLevel="2" x14ac:dyDescent="0.35">
      <c r="A34" s="27"/>
      <c r="B34" s="11" t="str">
        <f>CONCATENATE("          ", "6111", " - ", "F.I.C.A.")</f>
        <v xml:space="preserve">          6111 - F.I.C.A.</v>
      </c>
      <c r="C34" s="11"/>
      <c r="D34" s="7">
        <v>994.16</v>
      </c>
      <c r="E34" s="2"/>
      <c r="F34" s="6">
        <f t="shared" si="15"/>
        <v>8.3214196032476764</v>
      </c>
      <c r="G34" s="2"/>
      <c r="H34" s="7">
        <v>2556.0100000000002</v>
      </c>
      <c r="I34" s="2"/>
      <c r="J34" s="6">
        <f t="shared" si="16"/>
        <v>5.5933513781670642E-2</v>
      </c>
      <c r="K34" s="2"/>
      <c r="L34" s="7">
        <f t="shared" si="17"/>
        <v>-1561.8500000000004</v>
      </c>
      <c r="M34" s="2"/>
      <c r="N34" s="6">
        <f t="shared" si="18"/>
        <v>-0.61105003501551258</v>
      </c>
      <c r="O34" s="11"/>
      <c r="P34" s="7">
        <v>24045.040000000001</v>
      </c>
      <c r="Q34" s="2"/>
      <c r="R34" s="6">
        <f t="shared" si="19"/>
        <v>1.0168202295948774E-2</v>
      </c>
      <c r="S34" s="2"/>
      <c r="T34" s="7">
        <v>27804.959999999999</v>
      </c>
      <c r="U34" s="2"/>
      <c r="V34" s="6">
        <f t="shared" si="20"/>
        <v>9.1822236754993975E-3</v>
      </c>
      <c r="W34" s="2"/>
      <c r="X34" s="7">
        <f t="shared" si="21"/>
        <v>-3759.9199999999983</v>
      </c>
      <c r="Y34" s="2"/>
      <c r="Z34" s="6">
        <f t="shared" si="22"/>
        <v>-0.13522479442516724</v>
      </c>
    </row>
    <row r="35" spans="1:26" s="24" customFormat="1" hidden="1" outlineLevel="2" x14ac:dyDescent="0.35">
      <c r="A35" s="27"/>
      <c r="B35" s="11" t="str">
        <f>CONCATENATE("          ", "6112", " - ", "COMPENSATION INSURANCE")</f>
        <v xml:space="preserve">          6112 - COMPENSATION INSURANCE</v>
      </c>
      <c r="C35" s="11"/>
      <c r="D35" s="7">
        <v>246.92</v>
      </c>
      <c r="E35" s="2"/>
      <c r="F35" s="6">
        <f t="shared" si="15"/>
        <v>2.0667950112999081</v>
      </c>
      <c r="G35" s="2"/>
      <c r="H35" s="7">
        <v>732.04</v>
      </c>
      <c r="I35" s="2"/>
      <c r="J35" s="6">
        <f t="shared" si="16"/>
        <v>1.6019330686786896E-2</v>
      </c>
      <c r="K35" s="2"/>
      <c r="L35" s="7">
        <f t="shared" si="17"/>
        <v>-485.12</v>
      </c>
      <c r="M35" s="2"/>
      <c r="N35" s="6">
        <f t="shared" si="18"/>
        <v>-0.66269602753947876</v>
      </c>
      <c r="O35" s="11"/>
      <c r="P35" s="7">
        <v>9516.2099999999991</v>
      </c>
      <c r="Q35" s="2"/>
      <c r="R35" s="6">
        <f t="shared" si="19"/>
        <v>4.0242290456048591E-3</v>
      </c>
      <c r="S35" s="2"/>
      <c r="T35" s="7">
        <v>8318.6</v>
      </c>
      <c r="U35" s="2"/>
      <c r="V35" s="6">
        <f t="shared" si="20"/>
        <v>2.7471086405810078E-3</v>
      </c>
      <c r="W35" s="2"/>
      <c r="X35" s="7">
        <f t="shared" si="21"/>
        <v>1197.6099999999988</v>
      </c>
      <c r="Y35" s="2"/>
      <c r="Z35" s="6">
        <f t="shared" si="22"/>
        <v>0.14396773495540099</v>
      </c>
    </row>
    <row r="36" spans="1:26" s="24" customFormat="1" hidden="1" outlineLevel="2" x14ac:dyDescent="0.35">
      <c r="A36" s="27"/>
      <c r="B36" s="11" t="str">
        <f>CONCATENATE("          ", "6113", " - ", "GROUP INSURANCE")</f>
        <v xml:space="preserve">          6113 - GROUP INSURANCE</v>
      </c>
      <c r="C36" s="11"/>
      <c r="D36" s="7">
        <v>4620.57</v>
      </c>
      <c r="E36" s="2"/>
      <c r="F36" s="6">
        <f t="shared" si="15"/>
        <v>38.675567087971871</v>
      </c>
      <c r="G36" s="2"/>
      <c r="H36" s="7">
        <v>6378.17</v>
      </c>
      <c r="I36" s="2"/>
      <c r="J36" s="6">
        <f t="shared" si="16"/>
        <v>0.13957435987998412</v>
      </c>
      <c r="K36" s="2"/>
      <c r="L36" s="7">
        <f t="shared" si="17"/>
        <v>-1757.6000000000004</v>
      </c>
      <c r="M36" s="2"/>
      <c r="N36" s="6">
        <f t="shared" si="18"/>
        <v>-0.27556493476969107</v>
      </c>
      <c r="O36" s="11"/>
      <c r="P36" s="7">
        <v>64558.850000000006</v>
      </c>
      <c r="Q36" s="2"/>
      <c r="R36" s="6">
        <f t="shared" si="19"/>
        <v>2.7300742556211698E-2</v>
      </c>
      <c r="S36" s="2"/>
      <c r="T36" s="7">
        <v>74378.040000000008</v>
      </c>
      <c r="U36" s="2"/>
      <c r="V36" s="6">
        <f t="shared" si="20"/>
        <v>2.456237303794867E-2</v>
      </c>
      <c r="W36" s="2"/>
      <c r="X36" s="7">
        <f t="shared" si="21"/>
        <v>-9819.1900000000023</v>
      </c>
      <c r="Y36" s="2"/>
      <c r="Z36" s="6">
        <f t="shared" si="22"/>
        <v>-0.13201732661952373</v>
      </c>
    </row>
    <row r="37" spans="1:26" s="24" customFormat="1" hidden="1" outlineLevel="2" x14ac:dyDescent="0.35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7">
        <v>-1401.68</v>
      </c>
      <c r="E37" s="2"/>
      <c r="F37" s="6">
        <f t="shared" si="15"/>
        <v>-11.732485142713653</v>
      </c>
      <c r="G37" s="2"/>
      <c r="H37" s="7">
        <v>139.33000000000001</v>
      </c>
      <c r="I37" s="2"/>
      <c r="J37" s="6">
        <f t="shared" si="16"/>
        <v>3.0489773025927798E-3</v>
      </c>
      <c r="K37" s="2"/>
      <c r="L37" s="7">
        <f t="shared" si="17"/>
        <v>-1541.01</v>
      </c>
      <c r="M37" s="2"/>
      <c r="N37" s="6">
        <f t="shared" si="18"/>
        <v>-11.060144979544964</v>
      </c>
      <c r="O37" s="11"/>
      <c r="P37" s="7">
        <v>0</v>
      </c>
      <c r="Q37" s="2"/>
      <c r="R37" s="6">
        <f t="shared" si="19"/>
        <v>0</v>
      </c>
      <c r="S37" s="2"/>
      <c r="T37" s="7">
        <v>1785.44</v>
      </c>
      <c r="U37" s="2"/>
      <c r="V37" s="6">
        <f t="shared" si="20"/>
        <v>5.8961816306096629E-4</v>
      </c>
      <c r="W37" s="2"/>
      <c r="X37" s="7">
        <f t="shared" si="21"/>
        <v>-1785.44</v>
      </c>
      <c r="Y37" s="2"/>
      <c r="Z37" s="6">
        <f t="shared" si="22"/>
        <v>-1</v>
      </c>
    </row>
    <row r="38" spans="1:26" s="24" customFormat="1" hidden="1" outlineLevel="2" x14ac:dyDescent="0.35">
      <c r="A38" s="27"/>
      <c r="B38" s="11" t="str">
        <f>CONCATENATE("          ", "6115", " - ", "P.E.R.S.")</f>
        <v xml:space="preserve">          6115 - P.E.R.S.</v>
      </c>
      <c r="C38" s="11"/>
      <c r="D38" s="7">
        <v>1284.74</v>
      </c>
      <c r="E38" s="2"/>
      <c r="F38" s="6">
        <f t="shared" si="15"/>
        <v>10.753662007198461</v>
      </c>
      <c r="G38" s="2"/>
      <c r="H38" s="7"/>
      <c r="I38" s="2"/>
      <c r="J38" s="6">
        <f t="shared" si="16"/>
        <v>0</v>
      </c>
      <c r="K38" s="2"/>
      <c r="L38" s="7">
        <f t="shared" si="17"/>
        <v>1284.74</v>
      </c>
      <c r="M38" s="2"/>
      <c r="N38" s="6">
        <f t="shared" si="18"/>
        <v>0</v>
      </c>
      <c r="O38" s="11"/>
      <c r="P38" s="7">
        <v>17974.95</v>
      </c>
      <c r="Q38" s="2"/>
      <c r="R38" s="6">
        <f t="shared" si="19"/>
        <v>7.6012736040183089E-3</v>
      </c>
      <c r="S38" s="2"/>
      <c r="T38" s="7">
        <v>17155.57</v>
      </c>
      <c r="U38" s="2"/>
      <c r="V38" s="6">
        <f t="shared" si="20"/>
        <v>5.6654021807867085E-3</v>
      </c>
      <c r="W38" s="2"/>
      <c r="X38" s="7">
        <f t="shared" si="21"/>
        <v>819.38000000000102</v>
      </c>
      <c r="Y38" s="2"/>
      <c r="Z38" s="6">
        <f t="shared" si="22"/>
        <v>4.7761747350860452E-2</v>
      </c>
    </row>
    <row r="39" spans="1:26" s="24" customFormat="1" hidden="1" outlineLevel="2" x14ac:dyDescent="0.35">
      <c r="A39" s="27"/>
      <c r="B39" s="11" t="str">
        <f>CONCATENATE("          ", "6118", " - ", "VACATION")</f>
        <v xml:space="preserve">          6118 - VACATION</v>
      </c>
      <c r="C39" s="11"/>
      <c r="D39" s="7">
        <v>950.98</v>
      </c>
      <c r="E39" s="2"/>
      <c r="F39" s="6">
        <f t="shared" si="15"/>
        <v>7.9599899556373988</v>
      </c>
      <c r="G39" s="2"/>
      <c r="H39" s="7">
        <v>1045.1199999999999</v>
      </c>
      <c r="I39" s="2"/>
      <c r="J39" s="6">
        <f t="shared" si="16"/>
        <v>2.2870502824128079E-2</v>
      </c>
      <c r="K39" s="2"/>
      <c r="L39" s="7">
        <f t="shared" si="17"/>
        <v>-94.139999999999873</v>
      </c>
      <c r="M39" s="2"/>
      <c r="N39" s="6">
        <f t="shared" si="18"/>
        <v>-9.0075780771585928E-2</v>
      </c>
      <c r="O39" s="11"/>
      <c r="P39" s="7">
        <v>13978.95</v>
      </c>
      <c r="Q39" s="2"/>
      <c r="R39" s="6">
        <f t="shared" si="19"/>
        <v>5.9114391776829275E-3</v>
      </c>
      <c r="S39" s="2"/>
      <c r="T39" s="7">
        <v>13806.63</v>
      </c>
      <c r="U39" s="2"/>
      <c r="V39" s="6">
        <f t="shared" si="20"/>
        <v>4.5594586312967273E-3</v>
      </c>
      <c r="W39" s="2"/>
      <c r="X39" s="7">
        <f t="shared" si="21"/>
        <v>172.32000000000153</v>
      </c>
      <c r="Y39" s="2"/>
      <c r="Z39" s="6">
        <f t="shared" si="22"/>
        <v>1.2480960234322318E-2</v>
      </c>
    </row>
    <row r="40" spans="1:26" s="24" customFormat="1" hidden="1" outlineLevel="2" x14ac:dyDescent="0.35">
      <c r="A40" s="27"/>
      <c r="B40" s="11" t="str">
        <f>CONCATENATE("          ", "6119", " - ", "SICK LEAVE")</f>
        <v xml:space="preserve">          6119 - SICK LEAVE</v>
      </c>
      <c r="C40" s="11"/>
      <c r="D40" s="7">
        <v>640.52</v>
      </c>
      <c r="E40" s="2"/>
      <c r="F40" s="6">
        <f t="shared" si="15"/>
        <v>5.3613459445885994</v>
      </c>
      <c r="G40" s="2"/>
      <c r="H40" s="7">
        <v>780.64</v>
      </c>
      <c r="I40" s="2"/>
      <c r="J40" s="6">
        <f t="shared" si="16"/>
        <v>1.7082851083729471E-2</v>
      </c>
      <c r="K40" s="2"/>
      <c r="L40" s="7">
        <f t="shared" si="17"/>
        <v>-140.12</v>
      </c>
      <c r="M40" s="2"/>
      <c r="N40" s="6">
        <f t="shared" si="18"/>
        <v>-0.17949374871899981</v>
      </c>
      <c r="O40" s="11"/>
      <c r="P40" s="7">
        <v>9513.4599999999991</v>
      </c>
      <c r="Q40" s="2"/>
      <c r="R40" s="6">
        <f t="shared" si="19"/>
        <v>4.0230661215126615E-3</v>
      </c>
      <c r="S40" s="2"/>
      <c r="T40" s="7">
        <v>11177.18</v>
      </c>
      <c r="U40" s="2"/>
      <c r="V40" s="6">
        <f t="shared" si="20"/>
        <v>3.6911172258948894E-3</v>
      </c>
      <c r="W40" s="2"/>
      <c r="X40" s="7">
        <f t="shared" si="21"/>
        <v>-1663.7200000000012</v>
      </c>
      <c r="Y40" s="2"/>
      <c r="Z40" s="6">
        <f t="shared" si="22"/>
        <v>-0.14884970985525875</v>
      </c>
    </row>
    <row r="41" spans="1:26" s="24" customFormat="1" hidden="1" outlineLevel="2" x14ac:dyDescent="0.35">
      <c r="A41" s="27"/>
      <c r="B41" s="11" t="str">
        <f>CONCATENATE("          ", "6156", " - ", "EMPLOYEE MEALS")</f>
        <v xml:space="preserve">          6156 - EMPLOYEE MEALS</v>
      </c>
      <c r="C41" s="11"/>
      <c r="D41" s="7">
        <v>44.56</v>
      </c>
      <c r="E41" s="2"/>
      <c r="F41" s="6">
        <f t="shared" si="15"/>
        <v>0.37298066460199214</v>
      </c>
      <c r="G41" s="2"/>
      <c r="H41" s="7">
        <v>595.58000000000004</v>
      </c>
      <c r="I41" s="2"/>
      <c r="J41" s="6">
        <f t="shared" si="16"/>
        <v>1.3033157983766653E-2</v>
      </c>
      <c r="K41" s="2"/>
      <c r="L41" s="7">
        <f t="shared" si="17"/>
        <v>-551.02</v>
      </c>
      <c r="M41" s="2"/>
      <c r="N41" s="6">
        <f t="shared" si="18"/>
        <v>-0.92518217535847402</v>
      </c>
      <c r="O41" s="11"/>
      <c r="P41" s="7">
        <v>5141.8999999999996</v>
      </c>
      <c r="Q41" s="2"/>
      <c r="R41" s="6">
        <f t="shared" si="19"/>
        <v>2.1744143235169909E-3</v>
      </c>
      <c r="S41" s="2"/>
      <c r="T41" s="7">
        <v>6387.47</v>
      </c>
      <c r="U41" s="2"/>
      <c r="V41" s="6">
        <f t="shared" si="20"/>
        <v>2.1093782641853158E-3</v>
      </c>
      <c r="W41" s="2"/>
      <c r="X41" s="7">
        <f t="shared" si="21"/>
        <v>-1245.5700000000006</v>
      </c>
      <c r="Y41" s="2"/>
      <c r="Z41" s="6">
        <f t="shared" si="22"/>
        <v>-0.19500209002938573</v>
      </c>
    </row>
    <row r="42" spans="1:26" s="25" customFormat="1" outlineLevel="1" collapsed="1" x14ac:dyDescent="0.35">
      <c r="A42" s="26"/>
      <c r="B42" s="12" t="str">
        <f>CONCATENATE("     ","*Payroll                                          ")</f>
        <v xml:space="preserve">     *Payroll                                          </v>
      </c>
      <c r="C42" s="12"/>
      <c r="D42" s="1">
        <f>SUM(OSRRefD22_1x_0)</f>
        <v>9732.81</v>
      </c>
      <c r="E42" s="1"/>
      <c r="F42" s="5">
        <f t="shared" ref="F42:F48" si="23">IF(D$12=0,0,D42/D$12)</f>
        <v>81.466560642839198</v>
      </c>
      <c r="G42" s="1"/>
      <c r="H42" s="1">
        <f>SUM(OSRRefH22_1x_0)</f>
        <v>36157.049999999996</v>
      </c>
      <c r="I42" s="1"/>
      <c r="J42" s="5">
        <f t="shared" ref="J42:J48" si="24">IF(H$12=0,0,H42/H$12)</f>
        <v>0.79122963309202787</v>
      </c>
      <c r="K42" s="1"/>
      <c r="L42" s="1">
        <f t="shared" ref="L42:L48" si="25">+D42-H42</f>
        <v>-26424.239999999998</v>
      </c>
      <c r="M42" s="1"/>
      <c r="N42" s="5">
        <f t="shared" ref="N42:N48" si="26">IF(H42=0,0,L42/H42)</f>
        <v>-0.73081847108655162</v>
      </c>
      <c r="O42" s="12"/>
      <c r="P42" s="1">
        <f>SUM(OSRRefP22_1x_0)</f>
        <v>517542.44999999995</v>
      </c>
      <c r="Q42" s="1"/>
      <c r="R42" s="5">
        <f t="shared" ref="R42:R48" si="27">IF(P$12=0,0,P42/P$12)</f>
        <v>0.2188591213963858</v>
      </c>
      <c r="S42" s="1"/>
      <c r="T42" s="1">
        <f>SUM(OSRRefT22_1x_0)</f>
        <v>654458.0199999999</v>
      </c>
      <c r="U42" s="1"/>
      <c r="V42" s="5">
        <f t="shared" ref="V42:V48" si="28">IF(T$12=0,0,T42/T$12)</f>
        <v>0.21612618489163291</v>
      </c>
      <c r="W42" s="1"/>
      <c r="X42" s="1">
        <f t="shared" ref="X42:X48" si="29">+P42-T42</f>
        <v>-136915.56999999995</v>
      </c>
      <c r="Y42" s="1"/>
      <c r="Z42" s="5">
        <f t="shared" ref="Z42:Z48" si="30">IF(T42=0,0,X42/T42)</f>
        <v>-0.20920451093257283</v>
      </c>
    </row>
    <row r="43" spans="1:26" s="24" customFormat="1" hidden="1" outlineLevel="2" x14ac:dyDescent="0.35">
      <c r="A43" s="27"/>
      <c r="B43" s="11" t="str">
        <f>CONCATENATE("          ", "6002", " - ", "STAFF SALARIES")</f>
        <v xml:space="preserve">          6002 - STAFF SALARIES</v>
      </c>
      <c r="C43" s="11"/>
      <c r="D43" s="7">
        <v>9732.81</v>
      </c>
      <c r="E43" s="2"/>
      <c r="F43" s="6">
        <f t="shared" si="23"/>
        <v>81.466560642839198</v>
      </c>
      <c r="G43" s="2"/>
      <c r="H43" s="7">
        <v>16540.52</v>
      </c>
      <c r="I43" s="2"/>
      <c r="J43" s="6">
        <f t="shared" si="24"/>
        <v>0.36195844436289332</v>
      </c>
      <c r="K43" s="2"/>
      <c r="L43" s="7">
        <f t="shared" si="25"/>
        <v>-6807.7100000000009</v>
      </c>
      <c r="M43" s="2"/>
      <c r="N43" s="6">
        <f t="shared" si="26"/>
        <v>-0.41157774967171534</v>
      </c>
      <c r="O43" s="11"/>
      <c r="P43" s="7">
        <v>170946.37</v>
      </c>
      <c r="Q43" s="2"/>
      <c r="R43" s="6">
        <f t="shared" si="27"/>
        <v>7.2290055326092548E-2</v>
      </c>
      <c r="S43" s="2"/>
      <c r="T43" s="7">
        <v>201379.69999999998</v>
      </c>
      <c r="U43" s="2"/>
      <c r="V43" s="6">
        <f t="shared" si="28"/>
        <v>6.6503006985263277E-2</v>
      </c>
      <c r="W43" s="2"/>
      <c r="X43" s="7">
        <f t="shared" si="29"/>
        <v>-30433.329999999987</v>
      </c>
      <c r="Y43" s="2"/>
      <c r="Z43" s="6">
        <f t="shared" si="30"/>
        <v>-0.15112412025641109</v>
      </c>
    </row>
    <row r="44" spans="1:26" s="24" customFormat="1" hidden="1" outlineLevel="2" x14ac:dyDescent="0.35">
      <c r="A44" s="27"/>
      <c r="B44" s="11" t="str">
        <f>CONCATENATE("          ", "6004", " - ", "STAFF HOURLY")</f>
        <v xml:space="preserve">          6004 - STAFF HOURLY</v>
      </c>
      <c r="C44" s="11"/>
      <c r="D44" s="7"/>
      <c r="E44" s="2"/>
      <c r="F44" s="6">
        <f t="shared" si="23"/>
        <v>0</v>
      </c>
      <c r="G44" s="2"/>
      <c r="H44" s="7"/>
      <c r="I44" s="2"/>
      <c r="J44" s="6">
        <f t="shared" si="24"/>
        <v>0</v>
      </c>
      <c r="K44" s="2"/>
      <c r="L44" s="7">
        <f t="shared" si="25"/>
        <v>0</v>
      </c>
      <c r="M44" s="2"/>
      <c r="N44" s="6">
        <f t="shared" si="26"/>
        <v>0</v>
      </c>
      <c r="O44" s="11"/>
      <c r="P44" s="7">
        <v>-3363.69</v>
      </c>
      <c r="Q44" s="2"/>
      <c r="R44" s="6">
        <f t="shared" si="27"/>
        <v>-1.4224422326126274E-3</v>
      </c>
      <c r="S44" s="2"/>
      <c r="T44" s="7"/>
      <c r="U44" s="2"/>
      <c r="V44" s="6">
        <f t="shared" si="28"/>
        <v>0</v>
      </c>
      <c r="W44" s="2"/>
      <c r="X44" s="7">
        <f t="shared" si="29"/>
        <v>-3363.69</v>
      </c>
      <c r="Y44" s="2"/>
      <c r="Z44" s="6">
        <f t="shared" si="30"/>
        <v>0</v>
      </c>
    </row>
    <row r="45" spans="1:26" s="24" customFormat="1" hidden="1" outlineLevel="2" x14ac:dyDescent="0.35">
      <c r="A45" s="27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23"/>
        <v>0</v>
      </c>
      <c r="G45" s="2"/>
      <c r="H45" s="7">
        <v>4437.33</v>
      </c>
      <c r="I45" s="2"/>
      <c r="J45" s="6">
        <f t="shared" si="24"/>
        <v>9.7102694711218102E-2</v>
      </c>
      <c r="K45" s="2"/>
      <c r="L45" s="7">
        <f t="shared" si="25"/>
        <v>-4437.33</v>
      </c>
      <c r="M45" s="2"/>
      <c r="N45" s="6">
        <f t="shared" si="26"/>
        <v>-1</v>
      </c>
      <c r="O45" s="11"/>
      <c r="P45" s="7">
        <v>67287.22</v>
      </c>
      <c r="Q45" s="2"/>
      <c r="R45" s="6">
        <f t="shared" si="27"/>
        <v>2.8454519721822471E-2</v>
      </c>
      <c r="S45" s="2"/>
      <c r="T45" s="7">
        <v>73866.290000000008</v>
      </c>
      <c r="U45" s="2"/>
      <c r="V45" s="6">
        <f t="shared" si="28"/>
        <v>2.4393374306573522E-2</v>
      </c>
      <c r="W45" s="2"/>
      <c r="X45" s="7">
        <f t="shared" si="29"/>
        <v>-6579.070000000007</v>
      </c>
      <c r="Y45" s="2"/>
      <c r="Z45" s="6">
        <f t="shared" si="30"/>
        <v>-8.9067286308815649E-2</v>
      </c>
    </row>
    <row r="46" spans="1:26" s="24" customFormat="1" hidden="1" outlineLevel="2" x14ac:dyDescent="0.35">
      <c r="A46" s="27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23"/>
        <v>0</v>
      </c>
      <c r="G46" s="2"/>
      <c r="H46" s="7">
        <v>1724.36</v>
      </c>
      <c r="I46" s="2"/>
      <c r="J46" s="6">
        <f t="shared" si="24"/>
        <v>3.7734403943866256E-2</v>
      </c>
      <c r="K46" s="2"/>
      <c r="L46" s="7">
        <f t="shared" si="25"/>
        <v>-1724.36</v>
      </c>
      <c r="M46" s="2"/>
      <c r="N46" s="6">
        <f t="shared" si="26"/>
        <v>-1</v>
      </c>
      <c r="O46" s="11"/>
      <c r="P46" s="7">
        <v>21785.59</v>
      </c>
      <c r="Q46" s="2"/>
      <c r="R46" s="6">
        <f t="shared" si="27"/>
        <v>9.2127227177246796E-3</v>
      </c>
      <c r="S46" s="2"/>
      <c r="T46" s="7">
        <v>35478.879999999997</v>
      </c>
      <c r="U46" s="2"/>
      <c r="V46" s="6">
        <f t="shared" si="28"/>
        <v>1.1716435194159677E-2</v>
      </c>
      <c r="W46" s="2"/>
      <c r="X46" s="7">
        <f t="shared" si="29"/>
        <v>-13693.289999999997</v>
      </c>
      <c r="Y46" s="2"/>
      <c r="Z46" s="6">
        <f t="shared" si="30"/>
        <v>-0.38595609557009686</v>
      </c>
    </row>
    <row r="47" spans="1:26" s="24" customFormat="1" hidden="1" outlineLevel="2" x14ac:dyDescent="0.35">
      <c r="A47" s="27"/>
      <c r="B47" s="11" t="str">
        <f>CONCATENATE("          ", "6007", " - ", "STUDENT HOURLY")</f>
        <v xml:space="preserve">          6007 - STUDENT HOURLY</v>
      </c>
      <c r="C47" s="11"/>
      <c r="D47" s="7"/>
      <c r="E47" s="2"/>
      <c r="F47" s="6">
        <f t="shared" si="23"/>
        <v>0</v>
      </c>
      <c r="G47" s="2"/>
      <c r="H47" s="7">
        <v>11157.77</v>
      </c>
      <c r="I47" s="2"/>
      <c r="J47" s="6">
        <f t="shared" si="24"/>
        <v>0.24416699546078116</v>
      </c>
      <c r="K47" s="2"/>
      <c r="L47" s="7">
        <f t="shared" si="25"/>
        <v>-11157.77</v>
      </c>
      <c r="M47" s="2"/>
      <c r="N47" s="6">
        <f t="shared" si="26"/>
        <v>-1</v>
      </c>
      <c r="O47" s="11"/>
      <c r="P47" s="7">
        <v>250050.06999999998</v>
      </c>
      <c r="Q47" s="2"/>
      <c r="R47" s="6">
        <f t="shared" si="27"/>
        <v>0.10574154569408706</v>
      </c>
      <c r="S47" s="2"/>
      <c r="T47" s="7">
        <v>314376.03999999998</v>
      </c>
      <c r="U47" s="2"/>
      <c r="V47" s="6">
        <f t="shared" si="28"/>
        <v>0.10381856753247426</v>
      </c>
      <c r="W47" s="2"/>
      <c r="X47" s="7">
        <f t="shared" si="29"/>
        <v>-64325.97</v>
      </c>
      <c r="Y47" s="2"/>
      <c r="Z47" s="6">
        <f t="shared" si="30"/>
        <v>-0.204614734634357</v>
      </c>
    </row>
    <row r="48" spans="1:26" s="24" customFormat="1" hidden="1" outlineLevel="2" x14ac:dyDescent="0.35">
      <c r="A48" s="27"/>
      <c r="B48" s="11" t="str">
        <f>CONCATENATE("          ", "6008", " - ", "STUDENT HOURLY-FICA EXEMPT")</f>
        <v xml:space="preserve">          6008 - STUDENT HOURLY-FICA EXEMPT</v>
      </c>
      <c r="C48" s="11"/>
      <c r="D48" s="7"/>
      <c r="E48" s="2"/>
      <c r="F48" s="6">
        <f t="shared" si="23"/>
        <v>0</v>
      </c>
      <c r="G48" s="2"/>
      <c r="H48" s="7">
        <v>2297.0700000000002</v>
      </c>
      <c r="I48" s="2"/>
      <c r="J48" s="6">
        <f t="shared" si="24"/>
        <v>5.0267094613269191E-2</v>
      </c>
      <c r="K48" s="2"/>
      <c r="L48" s="7">
        <f t="shared" si="25"/>
        <v>-2297.0700000000002</v>
      </c>
      <c r="M48" s="2"/>
      <c r="N48" s="6">
        <f t="shared" si="26"/>
        <v>-1</v>
      </c>
      <c r="O48" s="11"/>
      <c r="P48" s="7">
        <v>10836.89</v>
      </c>
      <c r="Q48" s="2"/>
      <c r="R48" s="6">
        <f t="shared" si="27"/>
        <v>4.5827201692716793E-3</v>
      </c>
      <c r="S48" s="2"/>
      <c r="T48" s="7">
        <v>29357.11</v>
      </c>
      <c r="U48" s="2"/>
      <c r="V48" s="6">
        <f t="shared" si="28"/>
        <v>9.6948008731622039E-3</v>
      </c>
      <c r="W48" s="2"/>
      <c r="X48" s="7">
        <f t="shared" si="29"/>
        <v>-18520.22</v>
      </c>
      <c r="Y48" s="2"/>
      <c r="Z48" s="6">
        <f t="shared" si="30"/>
        <v>-0.63085978149756572</v>
      </c>
    </row>
    <row r="49" spans="1:26" s="25" customFormat="1" outlineLevel="1" collapsed="1" x14ac:dyDescent="0.35">
      <c r="A49" s="26"/>
      <c r="B49" s="12" t="str">
        <f>CONCATENATE("     ","Advertising/Promo                                 ")</f>
        <v xml:space="preserve">     Advertising/Promo                                 </v>
      </c>
      <c r="C49" s="12"/>
      <c r="D49" s="1">
        <f>SUM(OSRRefD22_2x_0)</f>
        <v>0</v>
      </c>
      <c r="E49" s="1"/>
      <c r="F49" s="5">
        <f t="shared" ref="F49:F57" si="31">IF(D$12=0,0,D49/D$12)</f>
        <v>0</v>
      </c>
      <c r="G49" s="1"/>
      <c r="H49" s="1">
        <f>SUM(OSRRefH22_2x_0)</f>
        <v>6</v>
      </c>
      <c r="I49" s="1"/>
      <c r="J49" s="5">
        <f t="shared" ref="J49:J57" si="32">IF(H$12=0,0,H49/H$12)</f>
        <v>1.3129881443735503E-4</v>
      </c>
      <c r="K49" s="1"/>
      <c r="L49" s="1">
        <f t="shared" ref="L49:L57" si="33">+D49-H49</f>
        <v>-6</v>
      </c>
      <c r="M49" s="1"/>
      <c r="N49" s="5">
        <f t="shared" ref="N49:N57" si="34">IF(H49=0,0,L49/H49)</f>
        <v>-1</v>
      </c>
      <c r="O49" s="12"/>
      <c r="P49" s="1">
        <f>SUM(OSRRefP22_2x_0)</f>
        <v>3607.19</v>
      </c>
      <c r="Q49" s="1"/>
      <c r="R49" s="5">
        <f t="shared" ref="R49:R57" si="35">IF(P$12=0,0,P49/P$12)</f>
        <v>1.5254138749581391E-3</v>
      </c>
      <c r="S49" s="1"/>
      <c r="T49" s="1">
        <f>SUM(OSRRefT22_2x_0)</f>
        <v>5580.66</v>
      </c>
      <c r="U49" s="1"/>
      <c r="V49" s="5">
        <f t="shared" ref="V49:V57" si="36">IF(T$12=0,0,T49/T$12)</f>
        <v>1.842939834364533E-3</v>
      </c>
      <c r="W49" s="1"/>
      <c r="X49" s="1">
        <f t="shared" ref="X49:X57" si="37">+P49-T49</f>
        <v>-1973.4699999999998</v>
      </c>
      <c r="Y49" s="1"/>
      <c r="Z49" s="5">
        <f t="shared" ref="Z49:Z57" si="38">IF(T49=0,0,X49/T49)</f>
        <v>-0.35362663197542943</v>
      </c>
    </row>
    <row r="50" spans="1:26" s="24" customFormat="1" hidden="1" outlineLevel="2" x14ac:dyDescent="0.35">
      <c r="A50" s="27"/>
      <c r="B50" s="11" t="str">
        <f>CONCATENATE("          ", "6362", " - ", "ADVERTISING EXPENSE")</f>
        <v xml:space="preserve">          6362 - ADVERTISING EXPENSE</v>
      </c>
      <c r="C50" s="11"/>
      <c r="D50" s="7"/>
      <c r="E50" s="2"/>
      <c r="F50" s="6">
        <f t="shared" si="31"/>
        <v>0</v>
      </c>
      <c r="G50" s="2"/>
      <c r="H50" s="7">
        <v>6</v>
      </c>
      <c r="I50" s="2"/>
      <c r="J50" s="6">
        <f t="shared" si="32"/>
        <v>1.3129881443735503E-4</v>
      </c>
      <c r="K50" s="2"/>
      <c r="L50" s="7">
        <f t="shared" si="33"/>
        <v>-6</v>
      </c>
      <c r="M50" s="2"/>
      <c r="N50" s="6">
        <f t="shared" si="34"/>
        <v>-1</v>
      </c>
      <c r="O50" s="11"/>
      <c r="P50" s="7">
        <v>3607.19</v>
      </c>
      <c r="Q50" s="2"/>
      <c r="R50" s="6">
        <f t="shared" si="35"/>
        <v>1.5254138749581391E-3</v>
      </c>
      <c r="S50" s="2"/>
      <c r="T50" s="7">
        <v>5580.66</v>
      </c>
      <c r="U50" s="2"/>
      <c r="V50" s="6">
        <f t="shared" si="36"/>
        <v>1.842939834364533E-3</v>
      </c>
      <c r="W50" s="2"/>
      <c r="X50" s="7">
        <f t="shared" si="37"/>
        <v>-1973.4699999999998</v>
      </c>
      <c r="Y50" s="2"/>
      <c r="Z50" s="6">
        <f t="shared" si="38"/>
        <v>-0.35362663197542943</v>
      </c>
    </row>
    <row r="51" spans="1:26" s="25" customFormat="1" outlineLevel="1" collapsed="1" x14ac:dyDescent="0.35">
      <c r="A51" s="26"/>
      <c r="B51" s="12" t="str">
        <f>CONCATENATE("     ","Bad Debts/Over/Short                              ")</f>
        <v xml:space="preserve">     Bad Debts/Over/Short                              </v>
      </c>
      <c r="C51" s="12"/>
      <c r="D51" s="1">
        <f>SUM(OSRRefD22_3x_0)</f>
        <v>0</v>
      </c>
      <c r="E51" s="1"/>
      <c r="F51" s="5">
        <f t="shared" si="31"/>
        <v>0</v>
      </c>
      <c r="G51" s="1"/>
      <c r="H51" s="1">
        <f>SUM(OSRRefH22_3x_0)</f>
        <v>5163.4799999999996</v>
      </c>
      <c r="I51" s="1"/>
      <c r="J51" s="5">
        <f t="shared" si="32"/>
        <v>0.11299313372849899</v>
      </c>
      <c r="K51" s="1"/>
      <c r="L51" s="1">
        <f t="shared" si="33"/>
        <v>-5163.4799999999996</v>
      </c>
      <c r="M51" s="1"/>
      <c r="N51" s="5">
        <f t="shared" si="34"/>
        <v>-1</v>
      </c>
      <c r="O51" s="12"/>
      <c r="P51" s="1">
        <f>SUM(OSRRefP22_3x_0)</f>
        <v>-428.92</v>
      </c>
      <c r="Q51" s="1"/>
      <c r="R51" s="5">
        <f t="shared" si="35"/>
        <v>-1.8138232786380675E-4</v>
      </c>
      <c r="S51" s="1"/>
      <c r="T51" s="1">
        <f>SUM(OSRRefT22_3x_0)</f>
        <v>3995.1</v>
      </c>
      <c r="U51" s="1"/>
      <c r="V51" s="5">
        <f t="shared" si="36"/>
        <v>1.3193294220163469E-3</v>
      </c>
      <c r="W51" s="1"/>
      <c r="X51" s="1">
        <f t="shared" si="37"/>
        <v>-4424.0199999999995</v>
      </c>
      <c r="Y51" s="1"/>
      <c r="Z51" s="5">
        <f t="shared" si="38"/>
        <v>-1.1073615178593776</v>
      </c>
    </row>
    <row r="52" spans="1:26" s="24" customFormat="1" hidden="1" outlineLevel="2" x14ac:dyDescent="0.35">
      <c r="A52" s="27"/>
      <c r="B52" s="11" t="str">
        <f>CONCATENATE("          ", "6272", " - ", "CASH (OVER/SHORT)")</f>
        <v xml:space="preserve">          6272 - CASH (OVER/SHORT)</v>
      </c>
      <c r="C52" s="11"/>
      <c r="D52" s="7"/>
      <c r="E52" s="2"/>
      <c r="F52" s="6">
        <f t="shared" si="31"/>
        <v>0</v>
      </c>
      <c r="G52" s="2"/>
      <c r="H52" s="7">
        <v>5163.4799999999996</v>
      </c>
      <c r="I52" s="2"/>
      <c r="J52" s="6">
        <f t="shared" si="32"/>
        <v>0.11299313372849899</v>
      </c>
      <c r="K52" s="2"/>
      <c r="L52" s="7">
        <f t="shared" si="33"/>
        <v>-5163.4799999999996</v>
      </c>
      <c r="M52" s="2"/>
      <c r="N52" s="6">
        <f t="shared" si="34"/>
        <v>-1</v>
      </c>
      <c r="O52" s="11"/>
      <c r="P52" s="7">
        <v>-428.92</v>
      </c>
      <c r="Q52" s="2"/>
      <c r="R52" s="6">
        <f t="shared" si="35"/>
        <v>-1.8138232786380675E-4</v>
      </c>
      <c r="S52" s="2"/>
      <c r="T52" s="7">
        <v>3995.1</v>
      </c>
      <c r="U52" s="2"/>
      <c r="V52" s="6">
        <f t="shared" si="36"/>
        <v>1.3193294220163469E-3</v>
      </c>
      <c r="W52" s="2"/>
      <c r="X52" s="7">
        <f t="shared" si="37"/>
        <v>-4424.0199999999995</v>
      </c>
      <c r="Y52" s="2"/>
      <c r="Z52" s="6">
        <f t="shared" si="38"/>
        <v>-1.1073615178593776</v>
      </c>
    </row>
    <row r="53" spans="1:26" s="25" customFormat="1" outlineLevel="1" collapsed="1" x14ac:dyDescent="0.35">
      <c r="A53" s="26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60</v>
      </c>
      <c r="E53" s="1"/>
      <c r="F53" s="5">
        <f t="shared" si="31"/>
        <v>0.50221813007449567</v>
      </c>
      <c r="G53" s="1"/>
      <c r="H53" s="1">
        <f>SUM(OSRRefH22_4x_0)</f>
        <v>1455.41</v>
      </c>
      <c r="I53" s="1"/>
      <c r="J53" s="5">
        <f t="shared" si="32"/>
        <v>3.184893458671182E-2</v>
      </c>
      <c r="K53" s="1"/>
      <c r="L53" s="1">
        <f t="shared" si="33"/>
        <v>-1395.41</v>
      </c>
      <c r="M53" s="1"/>
      <c r="N53" s="5">
        <f t="shared" si="34"/>
        <v>-0.95877450340453896</v>
      </c>
      <c r="O53" s="12"/>
      <c r="P53" s="1">
        <f>SUM(OSRRefP22_4x_0)</f>
        <v>89280.63</v>
      </c>
      <c r="Q53" s="1"/>
      <c r="R53" s="5">
        <f t="shared" si="35"/>
        <v>3.7755125670398258E-2</v>
      </c>
      <c r="S53" s="1"/>
      <c r="T53" s="1">
        <f>SUM(OSRRefT22_4x_0)</f>
        <v>99661.94</v>
      </c>
      <c r="U53" s="1"/>
      <c r="V53" s="5">
        <f t="shared" si="36"/>
        <v>3.2912049685171293E-2</v>
      </c>
      <c r="W53" s="1"/>
      <c r="X53" s="1">
        <f t="shared" si="37"/>
        <v>-10381.309999999998</v>
      </c>
      <c r="Y53" s="1"/>
      <c r="Z53" s="5">
        <f t="shared" si="38"/>
        <v>-0.10416524101377113</v>
      </c>
    </row>
    <row r="54" spans="1:26" s="24" customFormat="1" hidden="1" outlineLevel="2" x14ac:dyDescent="0.35">
      <c r="A54" s="27"/>
      <c r="B54" s="11" t="str">
        <f>CONCATENATE("          ", "6381", " - ", "BANK/CREDIT CARD FEES")</f>
        <v xml:space="preserve">          6381 - BANK/CREDIT CARD FEES</v>
      </c>
      <c r="C54" s="11"/>
      <c r="D54" s="7">
        <v>60</v>
      </c>
      <c r="E54" s="2"/>
      <c r="F54" s="6">
        <f t="shared" si="31"/>
        <v>0.50221813007449567</v>
      </c>
      <c r="G54" s="2"/>
      <c r="H54" s="7">
        <v>1455.41</v>
      </c>
      <c r="I54" s="2"/>
      <c r="J54" s="6">
        <f t="shared" si="32"/>
        <v>3.184893458671182E-2</v>
      </c>
      <c r="K54" s="2"/>
      <c r="L54" s="7">
        <f t="shared" si="33"/>
        <v>-1395.41</v>
      </c>
      <c r="M54" s="2"/>
      <c r="N54" s="6">
        <f t="shared" si="34"/>
        <v>-0.95877450340453896</v>
      </c>
      <c r="O54" s="11"/>
      <c r="P54" s="7">
        <v>89280.63</v>
      </c>
      <c r="Q54" s="2"/>
      <c r="R54" s="6">
        <f t="shared" si="35"/>
        <v>3.7755125670398258E-2</v>
      </c>
      <c r="S54" s="2"/>
      <c r="T54" s="7">
        <v>99661.94</v>
      </c>
      <c r="U54" s="2"/>
      <c r="V54" s="6">
        <f t="shared" si="36"/>
        <v>3.2912049685171293E-2</v>
      </c>
      <c r="W54" s="2"/>
      <c r="X54" s="7">
        <f t="shared" si="37"/>
        <v>-10381.309999999998</v>
      </c>
      <c r="Y54" s="2"/>
      <c r="Z54" s="6">
        <f t="shared" si="38"/>
        <v>-0.10416524101377113</v>
      </c>
    </row>
    <row r="55" spans="1:26" s="25" customFormat="1" outlineLevel="1" collapsed="1" x14ac:dyDescent="0.35">
      <c r="A55" s="26"/>
      <c r="B55" s="12" t="str">
        <f>CONCATENATE("     ","Depreciation                                      ")</f>
        <v xml:space="preserve">     Depreciation                                      </v>
      </c>
      <c r="C55" s="12"/>
      <c r="D55" s="1">
        <f>SUM(OSRRefD22_5x_0)</f>
        <v>8990.6999999999989</v>
      </c>
      <c r="E55" s="1"/>
      <c r="F55" s="5">
        <f t="shared" si="31"/>
        <v>75.254875701012793</v>
      </c>
      <c r="G55" s="1"/>
      <c r="H55" s="1">
        <f>SUM(OSRRefH22_5x_0)</f>
        <v>8398.2199999999993</v>
      </c>
      <c r="I55" s="1"/>
      <c r="J55" s="5">
        <f t="shared" si="32"/>
        <v>0.18377938823068063</v>
      </c>
      <c r="K55" s="1"/>
      <c r="L55" s="1">
        <f t="shared" si="33"/>
        <v>592.47999999999956</v>
      </c>
      <c r="M55" s="1"/>
      <c r="N55" s="5">
        <f t="shared" si="34"/>
        <v>7.0548282850413493E-2</v>
      </c>
      <c r="O55" s="12"/>
      <c r="P55" s="1">
        <f>SUM(OSRRefP22_5x_0)</f>
        <v>103709.66</v>
      </c>
      <c r="Q55" s="1"/>
      <c r="R55" s="5">
        <f t="shared" si="35"/>
        <v>4.3856895348232595E-2</v>
      </c>
      <c r="S55" s="1"/>
      <c r="T55" s="1">
        <f>SUM(OSRRefT22_5x_0)</f>
        <v>101297.57</v>
      </c>
      <c r="U55" s="1"/>
      <c r="V55" s="5">
        <f t="shared" si="36"/>
        <v>3.3452195058887246E-2</v>
      </c>
      <c r="W55" s="1"/>
      <c r="X55" s="1">
        <f t="shared" si="37"/>
        <v>2412.0899999999965</v>
      </c>
      <c r="Y55" s="1"/>
      <c r="Z55" s="5">
        <f t="shared" si="38"/>
        <v>2.3811923622649549E-2</v>
      </c>
    </row>
    <row r="56" spans="1:26" s="24" customFormat="1" hidden="1" outlineLevel="2" x14ac:dyDescent="0.35">
      <c r="A56" s="27"/>
      <c r="B56" s="11" t="str">
        <f>CONCATENATE("          ", "6321", " - ", "BUILDING DEPRECIATION")</f>
        <v xml:space="preserve">          6321 - BUILDING DEPRECIATION</v>
      </c>
      <c r="C56" s="11"/>
      <c r="D56" s="7">
        <v>5080.4799999999996</v>
      </c>
      <c r="E56" s="2"/>
      <c r="F56" s="6">
        <f t="shared" si="31"/>
        <v>42.525152758014563</v>
      </c>
      <c r="G56" s="2"/>
      <c r="H56" s="7">
        <v>5080.4799999999996</v>
      </c>
      <c r="I56" s="2"/>
      <c r="J56" s="6">
        <f t="shared" si="32"/>
        <v>0.11117683346211557</v>
      </c>
      <c r="K56" s="2"/>
      <c r="L56" s="7">
        <f t="shared" si="33"/>
        <v>0</v>
      </c>
      <c r="M56" s="2"/>
      <c r="N56" s="6">
        <f t="shared" si="34"/>
        <v>0</v>
      </c>
      <c r="O56" s="11"/>
      <c r="P56" s="7">
        <v>60966.09</v>
      </c>
      <c r="Q56" s="2"/>
      <c r="R56" s="6">
        <f t="shared" si="35"/>
        <v>2.5781430861126432E-2</v>
      </c>
      <c r="S56" s="2"/>
      <c r="T56" s="7">
        <v>60966.09</v>
      </c>
      <c r="U56" s="2"/>
      <c r="V56" s="6">
        <f t="shared" si="36"/>
        <v>2.0133252304647339E-2</v>
      </c>
      <c r="W56" s="2"/>
      <c r="X56" s="7">
        <f t="shared" si="37"/>
        <v>0</v>
      </c>
      <c r="Y56" s="2"/>
      <c r="Z56" s="6">
        <f t="shared" si="38"/>
        <v>0</v>
      </c>
    </row>
    <row r="57" spans="1:26" s="24" customFormat="1" hidden="1" outlineLevel="2" x14ac:dyDescent="0.35">
      <c r="A57" s="27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3910.22</v>
      </c>
      <c r="E57" s="2"/>
      <c r="F57" s="6">
        <f t="shared" si="31"/>
        <v>32.729722942998244</v>
      </c>
      <c r="G57" s="2"/>
      <c r="H57" s="7">
        <v>3317.74</v>
      </c>
      <c r="I57" s="2"/>
      <c r="J57" s="6">
        <f t="shared" si="32"/>
        <v>7.2602554768565045E-2</v>
      </c>
      <c r="K57" s="2"/>
      <c r="L57" s="7">
        <f t="shared" si="33"/>
        <v>592.48</v>
      </c>
      <c r="M57" s="2"/>
      <c r="N57" s="6">
        <f t="shared" si="34"/>
        <v>0.17857939440703613</v>
      </c>
      <c r="O57" s="11"/>
      <c r="P57" s="7">
        <v>42743.57</v>
      </c>
      <c r="Q57" s="2"/>
      <c r="R57" s="6">
        <f t="shared" si="35"/>
        <v>1.807546448710616E-2</v>
      </c>
      <c r="S57" s="2"/>
      <c r="T57" s="7">
        <v>40331.480000000003</v>
      </c>
      <c r="U57" s="2"/>
      <c r="V57" s="6">
        <f t="shared" si="36"/>
        <v>1.3318942754239909E-2</v>
      </c>
      <c r="W57" s="2"/>
      <c r="X57" s="7">
        <f t="shared" si="37"/>
        <v>2412.0899999999965</v>
      </c>
      <c r="Y57" s="2"/>
      <c r="Z57" s="6">
        <f t="shared" si="38"/>
        <v>5.9806632436994536E-2</v>
      </c>
    </row>
    <row r="58" spans="1:26" s="25" customFormat="1" outlineLevel="1" collapsed="1" x14ac:dyDescent="0.35">
      <c r="A58" s="26"/>
      <c r="B58" s="12" t="str">
        <f>CONCATENATE("     ","Discounts and Markdowns                           ")</f>
        <v xml:space="preserve">     Discounts and Markdowns                           </v>
      </c>
      <c r="C58" s="12"/>
      <c r="D58" s="1">
        <f>SUM(OSRRefD22_6x_0)</f>
        <v>0</v>
      </c>
      <c r="E58" s="1"/>
      <c r="F58" s="5">
        <f t="shared" ref="F58:F66" si="39">IF(D$12=0,0,D58/D$12)</f>
        <v>0</v>
      </c>
      <c r="G58" s="1"/>
      <c r="H58" s="1">
        <f>SUM(OSRRefH22_6x_0)</f>
        <v>7.82</v>
      </c>
      <c r="I58" s="1"/>
      <c r="J58" s="5">
        <f t="shared" ref="J58:J66" si="40">IF(H$12=0,0,H58/H$12)</f>
        <v>1.7112612148335274E-4</v>
      </c>
      <c r="K58" s="1"/>
      <c r="L58" s="1">
        <f t="shared" ref="L58:L66" si="41">+D58-H58</f>
        <v>-7.82</v>
      </c>
      <c r="M58" s="1"/>
      <c r="N58" s="5">
        <f t="shared" ref="N58:N66" si="42">IF(H58=0,0,L58/H58)</f>
        <v>-1</v>
      </c>
      <c r="O58" s="12"/>
      <c r="P58" s="1">
        <f>SUM(OSRRefP22_6x_0)</f>
        <v>125.87</v>
      </c>
      <c r="Q58" s="1"/>
      <c r="R58" s="5">
        <f t="shared" ref="R58:R66" si="43">IF(P$12=0,0,P58/P$12)</f>
        <v>5.3228092903612225E-5</v>
      </c>
      <c r="S58" s="1"/>
      <c r="T58" s="1">
        <f>SUM(OSRRefT22_6x_0)</f>
        <v>142.36000000000001</v>
      </c>
      <c r="U58" s="1"/>
      <c r="V58" s="5">
        <f t="shared" ref="V58:V66" si="44">IF(T$12=0,0,T58/T$12)</f>
        <v>4.701252447204004E-5</v>
      </c>
      <c r="W58" s="1"/>
      <c r="X58" s="1">
        <f t="shared" ref="X58:X66" si="45">+P58-T58</f>
        <v>-16.490000000000009</v>
      </c>
      <c r="Y58" s="1"/>
      <c r="Z58" s="5">
        <f t="shared" ref="Z58:Z66" si="46">IF(T58=0,0,X58/T58)</f>
        <v>-0.11583309918516442</v>
      </c>
    </row>
    <row r="59" spans="1:26" s="24" customFormat="1" hidden="1" outlineLevel="2" x14ac:dyDescent="0.35">
      <c r="A59" s="27"/>
      <c r="B59" s="11" t="str">
        <f>CONCATENATE("          ", "6382", " - ", "DISCOUNTS/MARK DOWNS")</f>
        <v xml:space="preserve">          6382 - DISCOUNTS/MARK DOWNS</v>
      </c>
      <c r="C59" s="11"/>
      <c r="D59" s="7"/>
      <c r="E59" s="2"/>
      <c r="F59" s="6">
        <f t="shared" si="39"/>
        <v>0</v>
      </c>
      <c r="G59" s="2"/>
      <c r="H59" s="7">
        <v>7.82</v>
      </c>
      <c r="I59" s="2"/>
      <c r="J59" s="6">
        <f t="shared" si="40"/>
        <v>1.7112612148335274E-4</v>
      </c>
      <c r="K59" s="2"/>
      <c r="L59" s="7">
        <f t="shared" si="41"/>
        <v>-7.82</v>
      </c>
      <c r="M59" s="2"/>
      <c r="N59" s="6">
        <f t="shared" si="42"/>
        <v>-1</v>
      </c>
      <c r="O59" s="11"/>
      <c r="P59" s="7">
        <v>125.87</v>
      </c>
      <c r="Q59" s="2"/>
      <c r="R59" s="6">
        <f t="shared" si="43"/>
        <v>5.3228092903612225E-5</v>
      </c>
      <c r="S59" s="2"/>
      <c r="T59" s="7">
        <v>142.36000000000001</v>
      </c>
      <c r="U59" s="2"/>
      <c r="V59" s="6">
        <f t="shared" si="44"/>
        <v>4.701252447204004E-5</v>
      </c>
      <c r="W59" s="2"/>
      <c r="X59" s="7">
        <f t="shared" si="45"/>
        <v>-16.490000000000009</v>
      </c>
      <c r="Y59" s="2"/>
      <c r="Z59" s="6">
        <f t="shared" si="46"/>
        <v>-0.11583309918516442</v>
      </c>
    </row>
    <row r="60" spans="1:26" s="25" customFormat="1" outlineLevel="1" collapsed="1" x14ac:dyDescent="0.35">
      <c r="A60" s="26"/>
      <c r="B60" s="12" t="str">
        <f>CONCATENATE("     ","Employees' Appreciation                           ")</f>
        <v xml:space="preserve">     Employees' Appreciation                           </v>
      </c>
      <c r="C60" s="12"/>
      <c r="D60" s="1">
        <f>SUM(OSRRefD22_7x_0)</f>
        <v>0</v>
      </c>
      <c r="E60" s="1"/>
      <c r="F60" s="5">
        <f t="shared" si="39"/>
        <v>0</v>
      </c>
      <c r="G60" s="1"/>
      <c r="H60" s="1">
        <f>SUM(OSRRefH22_7x_0)</f>
        <v>0</v>
      </c>
      <c r="I60" s="1"/>
      <c r="J60" s="5">
        <f t="shared" si="40"/>
        <v>0</v>
      </c>
      <c r="K60" s="1"/>
      <c r="L60" s="1">
        <f t="shared" si="41"/>
        <v>0</v>
      </c>
      <c r="M60" s="1"/>
      <c r="N60" s="5">
        <f t="shared" si="42"/>
        <v>0</v>
      </c>
      <c r="O60" s="12"/>
      <c r="P60" s="1">
        <f>SUM(OSRRefP22_7x_0)</f>
        <v>163.84</v>
      </c>
      <c r="Q60" s="1"/>
      <c r="R60" s="5">
        <f t="shared" si="43"/>
        <v>6.9284903005702923E-5</v>
      </c>
      <c r="S60" s="1"/>
      <c r="T60" s="1">
        <f>SUM(OSRRefT22_7x_0)</f>
        <v>417.84</v>
      </c>
      <c r="U60" s="1"/>
      <c r="V60" s="5">
        <f t="shared" si="44"/>
        <v>1.379861844998399E-4</v>
      </c>
      <c r="W60" s="1"/>
      <c r="X60" s="1">
        <f t="shared" si="45"/>
        <v>-253.99999999999997</v>
      </c>
      <c r="Y60" s="1"/>
      <c r="Z60" s="5">
        <f t="shared" si="46"/>
        <v>-0.60788818686578594</v>
      </c>
    </row>
    <row r="61" spans="1:26" s="24" customFormat="1" hidden="1" outlineLevel="2" x14ac:dyDescent="0.35">
      <c r="A61" s="27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39"/>
        <v>0</v>
      </c>
      <c r="G61" s="2"/>
      <c r="H61" s="7"/>
      <c r="I61" s="2"/>
      <c r="J61" s="6">
        <f t="shared" si="40"/>
        <v>0</v>
      </c>
      <c r="K61" s="2"/>
      <c r="L61" s="7">
        <f t="shared" si="41"/>
        <v>0</v>
      </c>
      <c r="M61" s="2"/>
      <c r="N61" s="6">
        <f t="shared" si="42"/>
        <v>0</v>
      </c>
      <c r="O61" s="11"/>
      <c r="P61" s="7">
        <v>163.84</v>
      </c>
      <c r="Q61" s="2"/>
      <c r="R61" s="6">
        <f t="shared" si="43"/>
        <v>6.9284903005702923E-5</v>
      </c>
      <c r="S61" s="2"/>
      <c r="T61" s="7">
        <v>417.84</v>
      </c>
      <c r="U61" s="2"/>
      <c r="V61" s="6">
        <f t="shared" si="44"/>
        <v>1.379861844998399E-4</v>
      </c>
      <c r="W61" s="2"/>
      <c r="X61" s="7">
        <f t="shared" si="45"/>
        <v>-253.99999999999997</v>
      </c>
      <c r="Y61" s="2"/>
      <c r="Z61" s="6">
        <f t="shared" si="46"/>
        <v>-0.60788818686578594</v>
      </c>
    </row>
    <row r="62" spans="1:26" s="25" customFormat="1" outlineLevel="1" collapsed="1" x14ac:dyDescent="0.35">
      <c r="A62" s="26"/>
      <c r="B62" s="12" t="str">
        <f>CONCATENATE("     ","Equipment Rental                                  ")</f>
        <v xml:space="preserve">     Equipment Rental                                  </v>
      </c>
      <c r="C62" s="12"/>
      <c r="D62" s="1">
        <f>SUM(OSRRefD22_8x_0)</f>
        <v>36.270000000000003</v>
      </c>
      <c r="E62" s="1"/>
      <c r="F62" s="5">
        <f t="shared" si="39"/>
        <v>0.30359085963003268</v>
      </c>
      <c r="G62" s="1"/>
      <c r="H62" s="1">
        <f>SUM(OSRRefH22_8x_0)</f>
        <v>108</v>
      </c>
      <c r="I62" s="1"/>
      <c r="J62" s="5">
        <f t="shared" si="40"/>
        <v>2.3633786598723909E-3</v>
      </c>
      <c r="K62" s="1"/>
      <c r="L62" s="1">
        <f t="shared" si="41"/>
        <v>-71.72999999999999</v>
      </c>
      <c r="M62" s="1"/>
      <c r="N62" s="5">
        <f t="shared" si="42"/>
        <v>-0.66416666666666657</v>
      </c>
      <c r="O62" s="12"/>
      <c r="P62" s="1">
        <f>SUM(OSRRefP22_8x_0)</f>
        <v>1022.39</v>
      </c>
      <c r="Q62" s="1"/>
      <c r="R62" s="5">
        <f t="shared" si="43"/>
        <v>4.3234980458984744E-4</v>
      </c>
      <c r="S62" s="1"/>
      <c r="T62" s="1">
        <f>SUM(OSRRefT22_8x_0)</f>
        <v>1444.21</v>
      </c>
      <c r="U62" s="1"/>
      <c r="V62" s="5">
        <f t="shared" si="44"/>
        <v>4.769314271408046E-4</v>
      </c>
      <c r="W62" s="1"/>
      <c r="X62" s="1">
        <f t="shared" si="45"/>
        <v>-421.82000000000005</v>
      </c>
      <c r="Y62" s="1"/>
      <c r="Z62" s="5">
        <f t="shared" si="46"/>
        <v>-0.29207663705416803</v>
      </c>
    </row>
    <row r="63" spans="1:26" s="24" customFormat="1" hidden="1" outlineLevel="2" x14ac:dyDescent="0.35">
      <c r="A63" s="27"/>
      <c r="B63" s="11" t="str">
        <f>CONCATENATE("          ", "6351", " - ", "EQUIPMENT RENTAL")</f>
        <v xml:space="preserve">          6351 - EQUIPMENT RENTAL</v>
      </c>
      <c r="C63" s="11"/>
      <c r="D63" s="7">
        <v>36.270000000000003</v>
      </c>
      <c r="E63" s="2"/>
      <c r="F63" s="6">
        <f t="shared" si="39"/>
        <v>0.30359085963003268</v>
      </c>
      <c r="G63" s="2"/>
      <c r="H63" s="7">
        <v>108</v>
      </c>
      <c r="I63" s="2"/>
      <c r="J63" s="6">
        <f t="shared" si="40"/>
        <v>2.3633786598723909E-3</v>
      </c>
      <c r="K63" s="2"/>
      <c r="L63" s="7">
        <f t="shared" si="41"/>
        <v>-71.72999999999999</v>
      </c>
      <c r="M63" s="2"/>
      <c r="N63" s="6">
        <f t="shared" si="42"/>
        <v>-0.66416666666666657</v>
      </c>
      <c r="O63" s="11"/>
      <c r="P63" s="7">
        <v>1022.39</v>
      </c>
      <c r="Q63" s="2"/>
      <c r="R63" s="6">
        <f t="shared" si="43"/>
        <v>4.3234980458984744E-4</v>
      </c>
      <c r="S63" s="2"/>
      <c r="T63" s="7">
        <v>1444.21</v>
      </c>
      <c r="U63" s="2"/>
      <c r="V63" s="6">
        <f t="shared" si="44"/>
        <v>4.769314271408046E-4</v>
      </c>
      <c r="W63" s="2"/>
      <c r="X63" s="7">
        <f t="shared" si="45"/>
        <v>-421.82000000000005</v>
      </c>
      <c r="Y63" s="2"/>
      <c r="Z63" s="6">
        <f t="shared" si="46"/>
        <v>-0.29207663705416803</v>
      </c>
    </row>
    <row r="64" spans="1:26" s="25" customFormat="1" outlineLevel="1" collapsed="1" x14ac:dyDescent="0.35">
      <c r="A64" s="26"/>
      <c r="B64" s="12" t="str">
        <f>CONCATENATE("     ","Freight out/Postage                               ")</f>
        <v xml:space="preserve">     Freight out/Postage                               </v>
      </c>
      <c r="C64" s="12"/>
      <c r="D64" s="1">
        <f>SUM(OSRRefD22_9x_0)</f>
        <v>0</v>
      </c>
      <c r="E64" s="1"/>
      <c r="F64" s="5">
        <f t="shared" si="39"/>
        <v>0</v>
      </c>
      <c r="G64" s="1"/>
      <c r="H64" s="1">
        <f>SUM(OSRRefH22_9x_0)</f>
        <v>139.62</v>
      </c>
      <c r="I64" s="1"/>
      <c r="J64" s="5">
        <f t="shared" si="40"/>
        <v>3.0553234119572517E-3</v>
      </c>
      <c r="K64" s="1"/>
      <c r="L64" s="1">
        <f t="shared" si="41"/>
        <v>-139.62</v>
      </c>
      <c r="M64" s="1"/>
      <c r="N64" s="5">
        <f t="shared" si="42"/>
        <v>-1</v>
      </c>
      <c r="O64" s="12"/>
      <c r="P64" s="1">
        <f>SUM(OSRRefP22_9x_0)</f>
        <v>331.18</v>
      </c>
      <c r="Q64" s="1"/>
      <c r="R64" s="5">
        <f t="shared" si="43"/>
        <v>1.4004989121965756E-4</v>
      </c>
      <c r="S64" s="1"/>
      <c r="T64" s="1">
        <f>SUM(OSRRefT22_9x_0)</f>
        <v>720.43000000000006</v>
      </c>
      <c r="U64" s="1"/>
      <c r="V64" s="5">
        <f t="shared" si="44"/>
        <v>2.3791256677010259E-4</v>
      </c>
      <c r="W64" s="1"/>
      <c r="X64" s="1">
        <f t="shared" si="45"/>
        <v>-389.25000000000006</v>
      </c>
      <c r="Y64" s="1"/>
      <c r="Z64" s="5">
        <f t="shared" si="46"/>
        <v>-0.54030231944810736</v>
      </c>
    </row>
    <row r="65" spans="1:26" s="24" customFormat="1" hidden="1" outlineLevel="2" x14ac:dyDescent="0.35">
      <c r="A65" s="27"/>
      <c r="B65" s="11" t="str">
        <f>CONCATENATE("          ", "6305", " - ", "FREIGHT OUT")</f>
        <v xml:space="preserve">          6305 - FREIGHT OUT</v>
      </c>
      <c r="C65" s="11"/>
      <c r="D65" s="7"/>
      <c r="E65" s="2"/>
      <c r="F65" s="6">
        <f t="shared" si="39"/>
        <v>0</v>
      </c>
      <c r="G65" s="2"/>
      <c r="H65" s="7">
        <v>139.62</v>
      </c>
      <c r="I65" s="2"/>
      <c r="J65" s="6">
        <f t="shared" si="40"/>
        <v>3.0553234119572517E-3</v>
      </c>
      <c r="K65" s="2"/>
      <c r="L65" s="7">
        <f t="shared" si="41"/>
        <v>-139.62</v>
      </c>
      <c r="M65" s="2"/>
      <c r="N65" s="6">
        <f t="shared" si="42"/>
        <v>-1</v>
      </c>
      <c r="O65" s="11"/>
      <c r="P65" s="7">
        <v>331.18</v>
      </c>
      <c r="Q65" s="2"/>
      <c r="R65" s="6">
        <f t="shared" si="43"/>
        <v>1.4004989121965756E-4</v>
      </c>
      <c r="S65" s="2"/>
      <c r="T65" s="7">
        <v>728.36</v>
      </c>
      <c r="U65" s="2"/>
      <c r="V65" s="6">
        <f t="shared" si="44"/>
        <v>2.4053134535301405E-4</v>
      </c>
      <c r="W65" s="2"/>
      <c r="X65" s="7">
        <f t="shared" si="45"/>
        <v>-397.18</v>
      </c>
      <c r="Y65" s="2"/>
      <c r="Z65" s="6">
        <f t="shared" si="46"/>
        <v>-0.54530726563787135</v>
      </c>
    </row>
    <row r="66" spans="1:26" s="24" customFormat="1" hidden="1" outlineLevel="2" x14ac:dyDescent="0.35">
      <c r="A66" s="27"/>
      <c r="B66" s="11" t="str">
        <f>CONCATENATE("          ", "6307", " - ", "POSTAGE")</f>
        <v xml:space="preserve">          6307 - POSTAGE</v>
      </c>
      <c r="C66" s="11"/>
      <c r="D66" s="7"/>
      <c r="E66" s="2"/>
      <c r="F66" s="6">
        <f t="shared" si="39"/>
        <v>0</v>
      </c>
      <c r="G66" s="2"/>
      <c r="H66" s="7"/>
      <c r="I66" s="2"/>
      <c r="J66" s="6">
        <f t="shared" si="40"/>
        <v>0</v>
      </c>
      <c r="K66" s="2"/>
      <c r="L66" s="7">
        <f t="shared" si="41"/>
        <v>0</v>
      </c>
      <c r="M66" s="2"/>
      <c r="N66" s="6">
        <f t="shared" si="42"/>
        <v>0</v>
      </c>
      <c r="O66" s="11"/>
      <c r="P66" s="7"/>
      <c r="Q66" s="2"/>
      <c r="R66" s="6">
        <f t="shared" si="43"/>
        <v>0</v>
      </c>
      <c r="S66" s="2"/>
      <c r="T66" s="7">
        <v>-7.93</v>
      </c>
      <c r="U66" s="2"/>
      <c r="V66" s="6">
        <f t="shared" si="44"/>
        <v>-2.6187785829114742E-6</v>
      </c>
      <c r="W66" s="2"/>
      <c r="X66" s="7">
        <f t="shared" si="45"/>
        <v>7.93</v>
      </c>
      <c r="Y66" s="2"/>
      <c r="Z66" s="6">
        <f t="shared" si="46"/>
        <v>-1</v>
      </c>
    </row>
    <row r="67" spans="1:26" s="25" customFormat="1" outlineLevel="1" collapsed="1" x14ac:dyDescent="0.35">
      <c r="A67" s="26"/>
      <c r="B67" s="12" t="str">
        <f>CONCATENATE("     ","General                                           ")</f>
        <v xml:space="preserve">     General                                           </v>
      </c>
      <c r="C67" s="12"/>
      <c r="D67" s="1">
        <f>SUM(OSRRefD22_10x_0)</f>
        <v>0</v>
      </c>
      <c r="E67" s="1"/>
      <c r="F67" s="5">
        <f t="shared" ref="F67:F78" si="47">IF(D$12=0,0,D67/D$12)</f>
        <v>0</v>
      </c>
      <c r="G67" s="1"/>
      <c r="H67" s="1">
        <f>SUM(OSRRefH22_10x_0)</f>
        <v>14.95</v>
      </c>
      <c r="I67" s="1"/>
      <c r="J67" s="5">
        <f t="shared" ref="J67:J78" si="48">IF(H$12=0,0,H67/H$12)</f>
        <v>3.2715287930640963E-4</v>
      </c>
      <c r="K67" s="1"/>
      <c r="L67" s="1">
        <f t="shared" ref="L67:L78" si="49">+D67-H67</f>
        <v>-14.95</v>
      </c>
      <c r="M67" s="1"/>
      <c r="N67" s="5">
        <f t="shared" ref="N67:N78" si="50">IF(H67=0,0,L67/H67)</f>
        <v>-1</v>
      </c>
      <c r="O67" s="12"/>
      <c r="P67" s="1">
        <f>SUM(OSRRefP22_10x_0)</f>
        <v>10781.14</v>
      </c>
      <c r="Q67" s="1"/>
      <c r="R67" s="5">
        <f t="shared" ref="R67:R78" si="51">IF(P$12=0,0,P67/P$12)</f>
        <v>4.5591445263116698E-3</v>
      </c>
      <c r="S67" s="1"/>
      <c r="T67" s="1">
        <f>SUM(OSRRefT22_10x_0)</f>
        <v>8282.42</v>
      </c>
      <c r="U67" s="1"/>
      <c r="V67" s="5">
        <f t="shared" ref="V67:V78" si="52">IF(T$12=0,0,T67/T$12)</f>
        <v>2.7351606696945337E-3</v>
      </c>
      <c r="W67" s="1"/>
      <c r="X67" s="1">
        <f t="shared" ref="X67:X78" si="53">+P67-T67</f>
        <v>2498.7199999999993</v>
      </c>
      <c r="Y67" s="1"/>
      <c r="Z67" s="5">
        <f t="shared" ref="Z67:Z78" si="54">IF(T67=0,0,X67/T67)</f>
        <v>0.30168960279724999</v>
      </c>
    </row>
    <row r="68" spans="1:26" s="24" customFormat="1" hidden="1" outlineLevel="2" x14ac:dyDescent="0.35">
      <c r="A68" s="27"/>
      <c r="B68" s="11" t="str">
        <f>CONCATENATE("          ", "6279", " - ", "GENERAL EXPENSE")</f>
        <v xml:space="preserve">          6279 - GENERAL EXPENSE</v>
      </c>
      <c r="C68" s="11"/>
      <c r="D68" s="7"/>
      <c r="E68" s="2"/>
      <c r="F68" s="6">
        <f t="shared" si="47"/>
        <v>0</v>
      </c>
      <c r="G68" s="2"/>
      <c r="H68" s="7">
        <v>14.95</v>
      </c>
      <c r="I68" s="2"/>
      <c r="J68" s="6">
        <f t="shared" si="48"/>
        <v>3.2715287930640963E-4</v>
      </c>
      <c r="K68" s="2"/>
      <c r="L68" s="7">
        <f t="shared" si="49"/>
        <v>-14.95</v>
      </c>
      <c r="M68" s="2"/>
      <c r="N68" s="6">
        <f t="shared" si="50"/>
        <v>-1</v>
      </c>
      <c r="O68" s="11"/>
      <c r="P68" s="7">
        <v>10781.14</v>
      </c>
      <c r="Q68" s="2"/>
      <c r="R68" s="6">
        <f t="shared" si="51"/>
        <v>4.5591445263116698E-3</v>
      </c>
      <c r="S68" s="2"/>
      <c r="T68" s="7">
        <v>8282.42</v>
      </c>
      <c r="U68" s="2"/>
      <c r="V68" s="6">
        <f t="shared" si="52"/>
        <v>2.7351606696945337E-3</v>
      </c>
      <c r="W68" s="2"/>
      <c r="X68" s="7">
        <f t="shared" si="53"/>
        <v>2498.7199999999993</v>
      </c>
      <c r="Y68" s="2"/>
      <c r="Z68" s="6">
        <f t="shared" si="54"/>
        <v>0.30168960279724999</v>
      </c>
    </row>
    <row r="69" spans="1:26" s="25" customFormat="1" outlineLevel="1" collapsed="1" x14ac:dyDescent="0.35">
      <c r="A69" s="26"/>
      <c r="B69" s="12" t="str">
        <f>CONCATENATE("     ","Insurance                                         ")</f>
        <v xml:space="preserve">     Insurance                                         </v>
      </c>
      <c r="C69" s="12"/>
      <c r="D69" s="1">
        <f>SUM(OSRRefD22_11x_0)</f>
        <v>243.54</v>
      </c>
      <c r="E69" s="1"/>
      <c r="F69" s="5">
        <f t="shared" si="47"/>
        <v>2.0385033899723779</v>
      </c>
      <c r="G69" s="1"/>
      <c r="H69" s="1">
        <f>SUM(OSRRefH22_11x_0)</f>
        <v>229.44</v>
      </c>
      <c r="I69" s="1"/>
      <c r="J69" s="5">
        <f t="shared" si="48"/>
        <v>5.0208666640844564E-3</v>
      </c>
      <c r="K69" s="1"/>
      <c r="L69" s="1">
        <f t="shared" si="49"/>
        <v>14.099999999999994</v>
      </c>
      <c r="M69" s="1"/>
      <c r="N69" s="5">
        <f t="shared" si="50"/>
        <v>6.1453974895397466E-2</v>
      </c>
      <c r="O69" s="12"/>
      <c r="P69" s="1">
        <f>SUM(OSRRefP22_11x_0)</f>
        <v>2922.48</v>
      </c>
      <c r="Q69" s="1"/>
      <c r="R69" s="5">
        <f t="shared" si="51"/>
        <v>1.2358626912604166E-3</v>
      </c>
      <c r="S69" s="1"/>
      <c r="T69" s="1">
        <f>SUM(OSRRefT22_11x_0)</f>
        <v>2343.89</v>
      </c>
      <c r="U69" s="1"/>
      <c r="V69" s="5">
        <f t="shared" si="52"/>
        <v>7.7403895746536882E-4</v>
      </c>
      <c r="W69" s="1"/>
      <c r="X69" s="1">
        <f t="shared" si="53"/>
        <v>578.59000000000015</v>
      </c>
      <c r="Y69" s="1"/>
      <c r="Z69" s="5">
        <f t="shared" si="54"/>
        <v>0.24685032147413069</v>
      </c>
    </row>
    <row r="70" spans="1:26" s="24" customFormat="1" hidden="1" outlineLevel="2" x14ac:dyDescent="0.35">
      <c r="A70" s="27"/>
      <c r="B70" s="11" t="str">
        <f>CONCATENATE("          ", "6314", " - ", "LIABILITY INSURANCE")</f>
        <v xml:space="preserve">          6314 - LIABILITY INSURANCE</v>
      </c>
      <c r="C70" s="11"/>
      <c r="D70" s="7">
        <v>243.54</v>
      </c>
      <c r="E70" s="2"/>
      <c r="F70" s="6">
        <f t="shared" si="47"/>
        <v>2.0385033899723779</v>
      </c>
      <c r="G70" s="2"/>
      <c r="H70" s="7">
        <v>229.44</v>
      </c>
      <c r="I70" s="2"/>
      <c r="J70" s="6">
        <f t="shared" si="48"/>
        <v>5.0208666640844564E-3</v>
      </c>
      <c r="K70" s="2"/>
      <c r="L70" s="7">
        <f t="shared" si="49"/>
        <v>14.099999999999994</v>
      </c>
      <c r="M70" s="2"/>
      <c r="N70" s="6">
        <f t="shared" si="50"/>
        <v>6.1453974895397466E-2</v>
      </c>
      <c r="O70" s="11"/>
      <c r="P70" s="7">
        <v>2922.48</v>
      </c>
      <c r="Q70" s="2"/>
      <c r="R70" s="6">
        <f t="shared" si="51"/>
        <v>1.2358626912604166E-3</v>
      </c>
      <c r="S70" s="2"/>
      <c r="T70" s="7">
        <v>2343.89</v>
      </c>
      <c r="U70" s="2"/>
      <c r="V70" s="6">
        <f t="shared" si="52"/>
        <v>7.7403895746536882E-4</v>
      </c>
      <c r="W70" s="2"/>
      <c r="X70" s="7">
        <f t="shared" si="53"/>
        <v>578.59000000000015</v>
      </c>
      <c r="Y70" s="2"/>
      <c r="Z70" s="6">
        <f t="shared" si="54"/>
        <v>0.24685032147413069</v>
      </c>
    </row>
    <row r="71" spans="1:26" s="25" customFormat="1" outlineLevel="1" collapsed="1" x14ac:dyDescent="0.35">
      <c r="A71" s="26"/>
      <c r="B71" s="12" t="str">
        <f>CONCATENATE("     ","Interest                                          ")</f>
        <v xml:space="preserve">     Interest                                          </v>
      </c>
      <c r="C71" s="12"/>
      <c r="D71" s="1">
        <f>SUM(OSRRefD22_12x_0)</f>
        <v>4175</v>
      </c>
      <c r="E71" s="1"/>
      <c r="F71" s="5">
        <f t="shared" si="47"/>
        <v>34.946011551016994</v>
      </c>
      <c r="G71" s="1"/>
      <c r="H71" s="1">
        <f>SUM(OSRRefH22_12x_0)</f>
        <v>-203.07</v>
      </c>
      <c r="I71" s="1"/>
      <c r="J71" s="5">
        <f t="shared" si="48"/>
        <v>-4.4438083746322814E-3</v>
      </c>
      <c r="K71" s="1"/>
      <c r="L71" s="1">
        <f t="shared" si="49"/>
        <v>4378.07</v>
      </c>
      <c r="M71" s="1"/>
      <c r="N71" s="5">
        <f t="shared" si="50"/>
        <v>-21.559413010292015</v>
      </c>
      <c r="O71" s="12"/>
      <c r="P71" s="1">
        <f>SUM(OSRRefP22_12x_0)</f>
        <v>48843.77</v>
      </c>
      <c r="Q71" s="1"/>
      <c r="R71" s="5">
        <f t="shared" si="51"/>
        <v>2.0655126140642469E-2</v>
      </c>
      <c r="S71" s="1"/>
      <c r="T71" s="1">
        <f>SUM(OSRRefT22_12x_0)</f>
        <v>46032.33</v>
      </c>
      <c r="U71" s="1"/>
      <c r="V71" s="5">
        <f t="shared" si="52"/>
        <v>1.5201573761098782E-2</v>
      </c>
      <c r="W71" s="1"/>
      <c r="X71" s="1">
        <f t="shared" si="53"/>
        <v>2811.4399999999951</v>
      </c>
      <c r="Y71" s="1"/>
      <c r="Z71" s="5">
        <f t="shared" si="54"/>
        <v>6.1075335530484658E-2</v>
      </c>
    </row>
    <row r="72" spans="1:26" s="24" customFormat="1" hidden="1" outlineLevel="2" x14ac:dyDescent="0.35">
      <c r="A72" s="27"/>
      <c r="B72" s="11" t="str">
        <f>CONCATENATE("          ", "6401", " - ", "INTEREST EXPENSE")</f>
        <v xml:space="preserve">          6401 - INTEREST EXPENSE</v>
      </c>
      <c r="C72" s="11"/>
      <c r="D72" s="7">
        <v>4175</v>
      </c>
      <c r="E72" s="2"/>
      <c r="F72" s="6">
        <f t="shared" si="47"/>
        <v>34.946011551016994</v>
      </c>
      <c r="G72" s="2"/>
      <c r="H72" s="7">
        <v>-203.07</v>
      </c>
      <c r="I72" s="2"/>
      <c r="J72" s="6">
        <f t="shared" si="48"/>
        <v>-4.4438083746322814E-3</v>
      </c>
      <c r="K72" s="2"/>
      <c r="L72" s="7">
        <f t="shared" si="49"/>
        <v>4378.07</v>
      </c>
      <c r="M72" s="2"/>
      <c r="N72" s="6">
        <f t="shared" si="50"/>
        <v>-21.559413010292015</v>
      </c>
      <c r="O72" s="11"/>
      <c r="P72" s="7">
        <v>48843.77</v>
      </c>
      <c r="Q72" s="2"/>
      <c r="R72" s="6">
        <f t="shared" si="51"/>
        <v>2.0655126140642469E-2</v>
      </c>
      <c r="S72" s="2"/>
      <c r="T72" s="7">
        <v>46032.33</v>
      </c>
      <c r="U72" s="2"/>
      <c r="V72" s="6">
        <f t="shared" si="52"/>
        <v>1.5201573761098782E-2</v>
      </c>
      <c r="W72" s="2"/>
      <c r="X72" s="7">
        <f t="shared" si="53"/>
        <v>2811.4399999999951</v>
      </c>
      <c r="Y72" s="2"/>
      <c r="Z72" s="6">
        <f t="shared" si="54"/>
        <v>6.1075335530484658E-2</v>
      </c>
    </row>
    <row r="73" spans="1:26" s="25" customFormat="1" outlineLevel="1" collapsed="1" x14ac:dyDescent="0.35">
      <c r="A73" s="26"/>
      <c r="B73" s="12" t="str">
        <f>CONCATENATE("     ","Rent                                              ")</f>
        <v xml:space="preserve">     Rent                                              </v>
      </c>
      <c r="C73" s="12"/>
      <c r="D73" s="1">
        <f>SUM(OSRRefD22_13x_0)</f>
        <v>1150</v>
      </c>
      <c r="E73" s="1"/>
      <c r="F73" s="5">
        <f t="shared" si="47"/>
        <v>9.6258474930945006</v>
      </c>
      <c r="G73" s="1"/>
      <c r="H73" s="1">
        <f>SUM(OSRRefH22_13x_0)</f>
        <v>1150</v>
      </c>
      <c r="I73" s="1"/>
      <c r="J73" s="5">
        <f t="shared" si="48"/>
        <v>2.5165606100493048E-2</v>
      </c>
      <c r="K73" s="1"/>
      <c r="L73" s="1">
        <f t="shared" si="49"/>
        <v>0</v>
      </c>
      <c r="M73" s="1"/>
      <c r="N73" s="5">
        <f t="shared" si="50"/>
        <v>0</v>
      </c>
      <c r="O73" s="12"/>
      <c r="P73" s="1">
        <f>SUM(OSRRefP22_13x_0)</f>
        <v>13800</v>
      </c>
      <c r="Q73" s="1"/>
      <c r="R73" s="5">
        <f t="shared" si="51"/>
        <v>5.835764535392458E-3</v>
      </c>
      <c r="S73" s="1"/>
      <c r="T73" s="1">
        <f>SUM(OSRRefT22_13x_0)</f>
        <v>13800</v>
      </c>
      <c r="U73" s="1"/>
      <c r="V73" s="5">
        <f t="shared" si="52"/>
        <v>4.5572691606782277E-3</v>
      </c>
      <c r="W73" s="1"/>
      <c r="X73" s="1">
        <f t="shared" si="53"/>
        <v>0</v>
      </c>
      <c r="Y73" s="1"/>
      <c r="Z73" s="5">
        <f t="shared" si="54"/>
        <v>0</v>
      </c>
    </row>
    <row r="74" spans="1:26" s="24" customFormat="1" hidden="1" outlineLevel="2" x14ac:dyDescent="0.35">
      <c r="A74" s="27"/>
      <c r="B74" s="11" t="str">
        <f>CONCATENATE("          ", "6273", " - ", "RENT")</f>
        <v xml:space="preserve">          6273 - RENT</v>
      </c>
      <c r="C74" s="11"/>
      <c r="D74" s="7">
        <v>1150</v>
      </c>
      <c r="E74" s="2"/>
      <c r="F74" s="6">
        <f t="shared" si="47"/>
        <v>9.6258474930945006</v>
      </c>
      <c r="G74" s="2"/>
      <c r="H74" s="7">
        <v>1150</v>
      </c>
      <c r="I74" s="2"/>
      <c r="J74" s="6">
        <f t="shared" si="48"/>
        <v>2.5165606100493048E-2</v>
      </c>
      <c r="K74" s="2"/>
      <c r="L74" s="7">
        <f t="shared" si="49"/>
        <v>0</v>
      </c>
      <c r="M74" s="2"/>
      <c r="N74" s="6">
        <f t="shared" si="50"/>
        <v>0</v>
      </c>
      <c r="O74" s="11"/>
      <c r="P74" s="7">
        <v>13800</v>
      </c>
      <c r="Q74" s="2"/>
      <c r="R74" s="6">
        <f t="shared" si="51"/>
        <v>5.835764535392458E-3</v>
      </c>
      <c r="S74" s="2"/>
      <c r="T74" s="7">
        <v>13800</v>
      </c>
      <c r="U74" s="2"/>
      <c r="V74" s="6">
        <f t="shared" si="52"/>
        <v>4.5572691606782277E-3</v>
      </c>
      <c r="W74" s="2"/>
      <c r="X74" s="7">
        <f t="shared" si="53"/>
        <v>0</v>
      </c>
      <c r="Y74" s="2"/>
      <c r="Z74" s="6">
        <f t="shared" si="54"/>
        <v>0</v>
      </c>
    </row>
    <row r="75" spans="1:26" s="25" customFormat="1" outlineLevel="1" collapsed="1" x14ac:dyDescent="0.35">
      <c r="A75" s="26"/>
      <c r="B75" s="12" t="str">
        <f>CONCATENATE("     ","Repair and Maintenance                            ")</f>
        <v xml:space="preserve">     Repair and Maintenance                            </v>
      </c>
      <c r="C75" s="12"/>
      <c r="D75" s="1">
        <f>SUM(OSRRefD22_14x_0)</f>
        <v>301.45</v>
      </c>
      <c r="E75" s="1"/>
      <c r="F75" s="5">
        <f t="shared" si="47"/>
        <v>2.5232275885159452</v>
      </c>
      <c r="G75" s="1"/>
      <c r="H75" s="1">
        <f>SUM(OSRRefH22_14x_0)</f>
        <v>748.31</v>
      </c>
      <c r="I75" s="1"/>
      <c r="J75" s="5">
        <f t="shared" si="48"/>
        <v>1.6375369305269522E-2</v>
      </c>
      <c r="K75" s="1"/>
      <c r="L75" s="1">
        <f t="shared" si="49"/>
        <v>-446.85999999999996</v>
      </c>
      <c r="M75" s="1"/>
      <c r="N75" s="5">
        <f t="shared" si="50"/>
        <v>-0.59715893145888732</v>
      </c>
      <c r="O75" s="12"/>
      <c r="P75" s="1">
        <f>SUM(OSRRefP22_14x_0)</f>
        <v>17916.859999999997</v>
      </c>
      <c r="Q75" s="1"/>
      <c r="R75" s="5">
        <f t="shared" si="51"/>
        <v>7.5767084183762101E-3</v>
      </c>
      <c r="S75" s="1"/>
      <c r="T75" s="1">
        <f>SUM(OSRRefT22_14x_0)</f>
        <v>15422.49</v>
      </c>
      <c r="U75" s="1"/>
      <c r="V75" s="5">
        <f t="shared" si="52"/>
        <v>5.0930752215846637E-3</v>
      </c>
      <c r="W75" s="1"/>
      <c r="X75" s="1">
        <f t="shared" si="53"/>
        <v>2494.3699999999972</v>
      </c>
      <c r="Y75" s="1"/>
      <c r="Z75" s="5">
        <f t="shared" si="54"/>
        <v>0.1617358805225354</v>
      </c>
    </row>
    <row r="76" spans="1:26" s="24" customFormat="1" hidden="1" outlineLevel="2" x14ac:dyDescent="0.35">
      <c r="A76" s="27"/>
      <c r="B76" s="11" t="str">
        <f>CONCATENATE("          ", "6371", " - ", "COMPUTER SOFTWARE MAINTENANCE")</f>
        <v xml:space="preserve">          6371 - COMPUTER SOFTWARE MAINTENANCE</v>
      </c>
      <c r="C76" s="11"/>
      <c r="D76" s="7"/>
      <c r="E76" s="2"/>
      <c r="F76" s="6">
        <f t="shared" si="47"/>
        <v>0</v>
      </c>
      <c r="G76" s="2"/>
      <c r="H76" s="7"/>
      <c r="I76" s="2"/>
      <c r="J76" s="6">
        <f t="shared" si="48"/>
        <v>0</v>
      </c>
      <c r="K76" s="2"/>
      <c r="L76" s="7">
        <f t="shared" si="49"/>
        <v>0</v>
      </c>
      <c r="M76" s="2"/>
      <c r="N76" s="6">
        <f t="shared" si="50"/>
        <v>0</v>
      </c>
      <c r="O76" s="11"/>
      <c r="P76" s="7">
        <v>1311.93</v>
      </c>
      <c r="Q76" s="2"/>
      <c r="R76" s="6">
        <f t="shared" si="51"/>
        <v>5.5479091064619039E-4</v>
      </c>
      <c r="S76" s="2"/>
      <c r="T76" s="7"/>
      <c r="U76" s="2"/>
      <c r="V76" s="6">
        <f t="shared" si="52"/>
        <v>0</v>
      </c>
      <c r="W76" s="2"/>
      <c r="X76" s="7">
        <f t="shared" si="53"/>
        <v>1311.93</v>
      </c>
      <c r="Y76" s="2"/>
      <c r="Z76" s="6">
        <f t="shared" si="54"/>
        <v>0</v>
      </c>
    </row>
    <row r="77" spans="1:26" s="24" customFormat="1" hidden="1" outlineLevel="2" x14ac:dyDescent="0.35">
      <c r="A77" s="27"/>
      <c r="B77" s="11" t="str">
        <f>CONCATENATE("          ", "6373", " - ", "MAINTENANCE CONTRACTS")</f>
        <v xml:space="preserve">          6373 - MAINTENANCE CONTRACTS</v>
      </c>
      <c r="C77" s="11"/>
      <c r="D77" s="7">
        <v>301.45</v>
      </c>
      <c r="E77" s="2"/>
      <c r="F77" s="6">
        <f t="shared" si="47"/>
        <v>2.5232275885159452</v>
      </c>
      <c r="G77" s="2"/>
      <c r="H77" s="7">
        <v>281.12</v>
      </c>
      <c r="I77" s="2"/>
      <c r="J77" s="6">
        <f t="shared" si="48"/>
        <v>6.151787119104875E-3</v>
      </c>
      <c r="K77" s="2"/>
      <c r="L77" s="7">
        <f t="shared" si="49"/>
        <v>20.329999999999984</v>
      </c>
      <c r="M77" s="2"/>
      <c r="N77" s="6">
        <f t="shared" si="50"/>
        <v>7.231787137165617E-2</v>
      </c>
      <c r="O77" s="11"/>
      <c r="P77" s="7">
        <v>1185.52</v>
      </c>
      <c r="Q77" s="2"/>
      <c r="R77" s="6">
        <f t="shared" si="51"/>
        <v>5.0133446173901929E-4</v>
      </c>
      <c r="S77" s="2"/>
      <c r="T77" s="7">
        <v>1367.6</v>
      </c>
      <c r="U77" s="2"/>
      <c r="V77" s="6">
        <f t="shared" si="52"/>
        <v>4.5163197856112636E-4</v>
      </c>
      <c r="W77" s="2"/>
      <c r="X77" s="7">
        <f t="shared" si="53"/>
        <v>-182.07999999999993</v>
      </c>
      <c r="Y77" s="2"/>
      <c r="Z77" s="6">
        <f t="shared" si="54"/>
        <v>-0.13313834454518861</v>
      </c>
    </row>
    <row r="78" spans="1:26" s="24" customFormat="1" hidden="1" outlineLevel="2" x14ac:dyDescent="0.35">
      <c r="A78" s="27"/>
      <c r="B78" s="11" t="str">
        <f>CONCATENATE("          ", "6375", " - ", "OUTSIDE REPAIRS &amp; MAINTENANCE")</f>
        <v xml:space="preserve">          6375 - OUTSIDE REPAIRS &amp; MAINTENANCE</v>
      </c>
      <c r="C78" s="11"/>
      <c r="D78" s="7"/>
      <c r="E78" s="2"/>
      <c r="F78" s="6">
        <f t="shared" si="47"/>
        <v>0</v>
      </c>
      <c r="G78" s="2"/>
      <c r="H78" s="7">
        <v>467.19</v>
      </c>
      <c r="I78" s="2"/>
      <c r="J78" s="6">
        <f t="shared" si="48"/>
        <v>1.022358218616465E-2</v>
      </c>
      <c r="K78" s="2"/>
      <c r="L78" s="7">
        <f t="shared" si="49"/>
        <v>-467.19</v>
      </c>
      <c r="M78" s="2"/>
      <c r="N78" s="6">
        <f t="shared" si="50"/>
        <v>-1</v>
      </c>
      <c r="O78" s="11"/>
      <c r="P78" s="7">
        <v>15419.409999999998</v>
      </c>
      <c r="Q78" s="2"/>
      <c r="R78" s="6">
        <f t="shared" si="51"/>
        <v>6.5205830459910009E-3</v>
      </c>
      <c r="S78" s="2"/>
      <c r="T78" s="7">
        <v>14054.89</v>
      </c>
      <c r="U78" s="2"/>
      <c r="V78" s="6">
        <f t="shared" si="52"/>
        <v>4.6414432430235374E-3</v>
      </c>
      <c r="W78" s="2"/>
      <c r="X78" s="7">
        <f t="shared" si="53"/>
        <v>1364.5199999999986</v>
      </c>
      <c r="Y78" s="2"/>
      <c r="Z78" s="6">
        <f t="shared" si="54"/>
        <v>9.7085071459114852E-2</v>
      </c>
    </row>
    <row r="79" spans="1:26" s="25" customFormat="1" outlineLevel="1" collapsed="1" x14ac:dyDescent="0.35">
      <c r="A79" s="26"/>
      <c r="B79" s="12" t="str">
        <f>CONCATENATE("     ","Royalty &amp; Commissions                             ")</f>
        <v xml:space="preserve">     Royalty &amp; Commissions                             </v>
      </c>
      <c r="C79" s="12"/>
      <c r="D79" s="1">
        <f>SUM(OSRRefD22_15x_0)</f>
        <v>0</v>
      </c>
      <c r="E79" s="1"/>
      <c r="F79" s="5">
        <f t="shared" ref="F79:F85" si="55">IF(D$12=0,0,D79/D$12)</f>
        <v>0</v>
      </c>
      <c r="G79" s="1"/>
      <c r="H79" s="1">
        <f>SUM(OSRRefH22_15x_0)</f>
        <v>6321.75</v>
      </c>
      <c r="I79" s="1"/>
      <c r="J79" s="5">
        <f t="shared" ref="J79:J85" si="56">IF(H$12=0,0,H79/H$12)</f>
        <v>0.1383397133615582</v>
      </c>
      <c r="K79" s="1"/>
      <c r="L79" s="1">
        <f t="shared" ref="L79:L85" si="57">+D79-H79</f>
        <v>-6321.75</v>
      </c>
      <c r="M79" s="1"/>
      <c r="N79" s="5">
        <f t="shared" ref="N79:N85" si="58">IF(H79=0,0,L79/H79)</f>
        <v>-1</v>
      </c>
      <c r="O79" s="12"/>
      <c r="P79" s="1">
        <f>SUM(OSRRefP22_15x_0)</f>
        <v>24556.14</v>
      </c>
      <c r="Q79" s="1"/>
      <c r="R79" s="5">
        <f t="shared" ref="R79:R85" si="59">IF(P$12=0,0,P79/P$12)</f>
        <v>1.0384337024502329E-2</v>
      </c>
      <c r="S79" s="1"/>
      <c r="T79" s="1">
        <f>SUM(OSRRefT22_15x_0)</f>
        <v>29123.129999999997</v>
      </c>
      <c r="U79" s="1"/>
      <c r="V79" s="5">
        <f t="shared" ref="V79:V85" si="60">IF(T$12=0,0,T79/T$12)</f>
        <v>9.6175320443060066E-3</v>
      </c>
      <c r="W79" s="1"/>
      <c r="X79" s="1">
        <f t="shared" ref="X79:X85" si="61">+P79-T79</f>
        <v>-4566.989999999998</v>
      </c>
      <c r="Y79" s="1"/>
      <c r="Z79" s="5">
        <f t="shared" ref="Z79:Z85" si="62">IF(T79=0,0,X79/T79)</f>
        <v>-0.15681659217261326</v>
      </c>
    </row>
    <row r="80" spans="1:26" s="24" customFormat="1" hidden="1" outlineLevel="2" x14ac:dyDescent="0.35">
      <c r="A80" s="27"/>
      <c r="B80" s="11" t="str">
        <f>CONCATENATE("          ", "6254", " - ", "ROYALTY &amp; COMMISSIONS")</f>
        <v xml:space="preserve">          6254 - ROYALTY &amp; COMMISSIONS</v>
      </c>
      <c r="C80" s="11"/>
      <c r="D80" s="7"/>
      <c r="E80" s="2"/>
      <c r="F80" s="6">
        <f t="shared" si="55"/>
        <v>0</v>
      </c>
      <c r="G80" s="2"/>
      <c r="H80" s="7">
        <v>6321.75</v>
      </c>
      <c r="I80" s="2"/>
      <c r="J80" s="6">
        <f t="shared" si="56"/>
        <v>0.1383397133615582</v>
      </c>
      <c r="K80" s="2"/>
      <c r="L80" s="7">
        <f t="shared" si="57"/>
        <v>-6321.75</v>
      </c>
      <c r="M80" s="2"/>
      <c r="N80" s="6">
        <f t="shared" si="58"/>
        <v>-1</v>
      </c>
      <c r="O80" s="11"/>
      <c r="P80" s="7">
        <v>24556.14</v>
      </c>
      <c r="Q80" s="2"/>
      <c r="R80" s="6">
        <f t="shared" si="59"/>
        <v>1.0384337024502329E-2</v>
      </c>
      <c r="S80" s="2"/>
      <c r="T80" s="7">
        <v>29123.129999999997</v>
      </c>
      <c r="U80" s="2"/>
      <c r="V80" s="6">
        <f t="shared" si="60"/>
        <v>9.6175320443060066E-3</v>
      </c>
      <c r="W80" s="2"/>
      <c r="X80" s="7">
        <f t="shared" si="61"/>
        <v>-4566.989999999998</v>
      </c>
      <c r="Y80" s="2"/>
      <c r="Z80" s="6">
        <f t="shared" si="62"/>
        <v>-0.15681659217261326</v>
      </c>
    </row>
    <row r="81" spans="1:26" s="25" customFormat="1" outlineLevel="1" collapsed="1" x14ac:dyDescent="0.35">
      <c r="A81" s="26"/>
      <c r="B81" s="12" t="str">
        <f>CONCATENATE("     ","Services                                          ")</f>
        <v xml:space="preserve">     Services                                          </v>
      </c>
      <c r="C81" s="12"/>
      <c r="D81" s="1">
        <f>SUM(OSRRefD22_16x_0)</f>
        <v>8915.8700000000008</v>
      </c>
      <c r="E81" s="1"/>
      <c r="F81" s="5">
        <f t="shared" si="55"/>
        <v>74.628525989788244</v>
      </c>
      <c r="G81" s="1"/>
      <c r="H81" s="1">
        <f>SUM(OSRRefH22_16x_0)</f>
        <v>1499.5500000000002</v>
      </c>
      <c r="I81" s="1"/>
      <c r="J81" s="5">
        <f t="shared" si="56"/>
        <v>3.2814856198255964E-2</v>
      </c>
      <c r="K81" s="1"/>
      <c r="L81" s="1">
        <f t="shared" si="57"/>
        <v>7416.3200000000006</v>
      </c>
      <c r="M81" s="1"/>
      <c r="N81" s="5">
        <f t="shared" si="58"/>
        <v>4.9456970424460671</v>
      </c>
      <c r="O81" s="12"/>
      <c r="P81" s="1">
        <f>SUM(OSRRefP22_16x_0)</f>
        <v>26021.010000000002</v>
      </c>
      <c r="Q81" s="1"/>
      <c r="R81" s="5">
        <f t="shared" si="59"/>
        <v>1.100380342993424E-2</v>
      </c>
      <c r="S81" s="1"/>
      <c r="T81" s="1">
        <f>SUM(OSRRefT22_16x_0)</f>
        <v>19598.259999999998</v>
      </c>
      <c r="U81" s="1"/>
      <c r="V81" s="5">
        <f t="shared" si="60"/>
        <v>6.4720685435473678E-3</v>
      </c>
      <c r="W81" s="1"/>
      <c r="X81" s="1">
        <f t="shared" si="61"/>
        <v>6422.7500000000036</v>
      </c>
      <c r="Y81" s="1"/>
      <c r="Z81" s="5">
        <f t="shared" si="62"/>
        <v>0.3277204200781092</v>
      </c>
    </row>
    <row r="82" spans="1:26" s="24" customFormat="1" hidden="1" outlineLevel="2" x14ac:dyDescent="0.35">
      <c r="A82" s="27"/>
      <c r="B82" s="11" t="str">
        <f>CONCATENATE("          ", "6282", " - ", "JANITORIAL/EXTERMINATOR EXPENS")</f>
        <v xml:space="preserve">          6282 - JANITORIAL/EXTERMINATOR EXPENS</v>
      </c>
      <c r="C82" s="11"/>
      <c r="D82" s="7">
        <v>582.70000000000005</v>
      </c>
      <c r="E82" s="2"/>
      <c r="F82" s="6">
        <f t="shared" si="55"/>
        <v>4.8773750732401444</v>
      </c>
      <c r="G82" s="2"/>
      <c r="H82" s="7">
        <v>640.59</v>
      </c>
      <c r="I82" s="2"/>
      <c r="J82" s="6">
        <f t="shared" si="56"/>
        <v>1.4018117923404211E-2</v>
      </c>
      <c r="K82" s="2"/>
      <c r="L82" s="7">
        <f t="shared" si="57"/>
        <v>-57.889999999999986</v>
      </c>
      <c r="M82" s="2"/>
      <c r="N82" s="6">
        <f t="shared" si="58"/>
        <v>-9.0369815326495864E-2</v>
      </c>
      <c r="O82" s="11"/>
      <c r="P82" s="7">
        <v>7000.79</v>
      </c>
      <c r="Q82" s="2"/>
      <c r="R82" s="6">
        <f t="shared" si="59"/>
        <v>2.9605044928789973E-3</v>
      </c>
      <c r="S82" s="2"/>
      <c r="T82" s="7">
        <v>7007.58</v>
      </c>
      <c r="U82" s="2"/>
      <c r="V82" s="6">
        <f t="shared" si="60"/>
        <v>2.3141614655786619E-3</v>
      </c>
      <c r="W82" s="2"/>
      <c r="X82" s="7">
        <f t="shared" si="61"/>
        <v>-6.7899999999999636</v>
      </c>
      <c r="Y82" s="2"/>
      <c r="Z82" s="6">
        <f t="shared" si="62"/>
        <v>-9.6895076474331565E-4</v>
      </c>
    </row>
    <row r="83" spans="1:26" s="24" customFormat="1" hidden="1" outlineLevel="2" x14ac:dyDescent="0.35">
      <c r="A83" s="27"/>
      <c r="B83" s="11" t="str">
        <f>CONCATENATE("          ", "6284", " - ", "TRASH REMOVAL EXPENSE")</f>
        <v xml:space="preserve">          6284 - TRASH REMOVAL EXPENSE</v>
      </c>
      <c r="C83" s="11"/>
      <c r="D83" s="7">
        <v>289</v>
      </c>
      <c r="E83" s="2"/>
      <c r="F83" s="6">
        <f t="shared" si="55"/>
        <v>2.4190173265254877</v>
      </c>
      <c r="G83" s="2"/>
      <c r="H83" s="7">
        <v>237</v>
      </c>
      <c r="I83" s="2"/>
      <c r="J83" s="6">
        <f t="shared" si="56"/>
        <v>5.1863031702755243E-3</v>
      </c>
      <c r="K83" s="2"/>
      <c r="L83" s="7">
        <f t="shared" si="57"/>
        <v>52</v>
      </c>
      <c r="M83" s="2"/>
      <c r="N83" s="6">
        <f t="shared" si="58"/>
        <v>0.21940928270042195</v>
      </c>
      <c r="O83" s="11"/>
      <c r="P83" s="7">
        <v>3467</v>
      </c>
      <c r="Q83" s="2"/>
      <c r="R83" s="6">
        <f t="shared" si="59"/>
        <v>1.466130119145337E-3</v>
      </c>
      <c r="S83" s="2"/>
      <c r="T83" s="7">
        <v>3414.73</v>
      </c>
      <c r="U83" s="2"/>
      <c r="V83" s="6">
        <f t="shared" si="60"/>
        <v>1.1276698348581713E-3</v>
      </c>
      <c r="W83" s="2"/>
      <c r="X83" s="7">
        <f t="shared" si="61"/>
        <v>52.269999999999982</v>
      </c>
      <c r="Y83" s="2"/>
      <c r="Z83" s="6">
        <f t="shared" si="62"/>
        <v>1.5307213161801952E-2</v>
      </c>
    </row>
    <row r="84" spans="1:26" s="24" customFormat="1" hidden="1" outlineLevel="2" x14ac:dyDescent="0.35">
      <c r="A84" s="27"/>
      <c r="B84" s="11" t="str">
        <f>CONCATENATE("          ", "6285", " - ", "JANITORIAL SERVICES")</f>
        <v xml:space="preserve">          6285 - JANITORIAL SERVICES</v>
      </c>
      <c r="C84" s="11"/>
      <c r="D84" s="7">
        <v>8044.17</v>
      </c>
      <c r="E84" s="2"/>
      <c r="F84" s="6">
        <f t="shared" si="55"/>
        <v>67.332133590022607</v>
      </c>
      <c r="G84" s="2"/>
      <c r="H84" s="7">
        <v>125.23</v>
      </c>
      <c r="I84" s="2"/>
      <c r="J84" s="6">
        <f t="shared" si="56"/>
        <v>2.7404250886649954E-3</v>
      </c>
      <c r="K84" s="2"/>
      <c r="L84" s="7">
        <f t="shared" si="57"/>
        <v>7918.9400000000005</v>
      </c>
      <c r="M84" s="2"/>
      <c r="N84" s="6">
        <f t="shared" si="58"/>
        <v>63.235167292182389</v>
      </c>
      <c r="O84" s="11"/>
      <c r="P84" s="7">
        <v>9366.0499999999993</v>
      </c>
      <c r="Q84" s="2"/>
      <c r="R84" s="6">
        <f t="shared" si="59"/>
        <v>3.9607291613559803E-3</v>
      </c>
      <c r="S84" s="2"/>
      <c r="T84" s="7">
        <v>1448.88</v>
      </c>
      <c r="U84" s="2"/>
      <c r="V84" s="6">
        <f t="shared" si="60"/>
        <v>4.7847363344372975E-4</v>
      </c>
      <c r="W84" s="2"/>
      <c r="X84" s="7">
        <f t="shared" si="61"/>
        <v>7917.1699999999992</v>
      </c>
      <c r="Y84" s="2"/>
      <c r="Z84" s="6">
        <f t="shared" si="62"/>
        <v>5.4643379713985967</v>
      </c>
    </row>
    <row r="85" spans="1:26" s="24" customFormat="1" hidden="1" outlineLevel="2" x14ac:dyDescent="0.35">
      <c r="A85" s="27"/>
      <c r="B85" s="11" t="str">
        <f>CONCATENATE("          ", "6286", " - ", "LAUNDRY EXPENSE")</f>
        <v xml:space="preserve">          6286 - LAUNDRY EXPENSE</v>
      </c>
      <c r="C85" s="11"/>
      <c r="D85" s="7"/>
      <c r="E85" s="2"/>
      <c r="F85" s="6">
        <f t="shared" si="55"/>
        <v>0</v>
      </c>
      <c r="G85" s="2"/>
      <c r="H85" s="7">
        <v>496.73</v>
      </c>
      <c r="I85" s="2"/>
      <c r="J85" s="6">
        <f t="shared" si="56"/>
        <v>1.0870010015911228E-2</v>
      </c>
      <c r="K85" s="2"/>
      <c r="L85" s="7">
        <f t="shared" si="57"/>
        <v>-496.73</v>
      </c>
      <c r="M85" s="2"/>
      <c r="N85" s="6">
        <f t="shared" si="58"/>
        <v>-1</v>
      </c>
      <c r="O85" s="11"/>
      <c r="P85" s="7">
        <v>6187.17</v>
      </c>
      <c r="Q85" s="2"/>
      <c r="R85" s="6">
        <f t="shared" si="59"/>
        <v>2.616439656553924E-3</v>
      </c>
      <c r="S85" s="2"/>
      <c r="T85" s="7">
        <v>7727.07</v>
      </c>
      <c r="U85" s="2"/>
      <c r="V85" s="6">
        <f t="shared" si="60"/>
        <v>2.5517636096668052E-3</v>
      </c>
      <c r="W85" s="2"/>
      <c r="X85" s="7">
        <f t="shared" si="61"/>
        <v>-1539.8999999999996</v>
      </c>
      <c r="Y85" s="2"/>
      <c r="Z85" s="6">
        <f t="shared" si="62"/>
        <v>-0.19928640480803197</v>
      </c>
    </row>
    <row r="86" spans="1:26" s="25" customFormat="1" outlineLevel="1" collapsed="1" x14ac:dyDescent="0.35">
      <c r="A86" s="26"/>
      <c r="B86" s="12" t="str">
        <f>CONCATENATE("     ","Subscriptions &amp; Dues                              ")</f>
        <v xml:space="preserve">     Subscriptions &amp; Dues                              </v>
      </c>
      <c r="C86" s="12"/>
      <c r="D86" s="1">
        <f>SUM(OSRRefD22_17x_0)</f>
        <v>0</v>
      </c>
      <c r="E86" s="1"/>
      <c r="F86" s="5">
        <f t="shared" ref="F86:F88" si="63">IF(D$12=0,0,D86/D$12)</f>
        <v>0</v>
      </c>
      <c r="G86" s="1"/>
      <c r="H86" s="1">
        <f>SUM(OSRRefH22_17x_0)</f>
        <v>176.4</v>
      </c>
      <c r="I86" s="1"/>
      <c r="J86" s="5">
        <f t="shared" ref="J86:J88" si="64">IF(H$12=0,0,H86/H$12)</f>
        <v>3.8601851444582383E-3</v>
      </c>
      <c r="K86" s="1"/>
      <c r="L86" s="1">
        <f t="shared" ref="L86:L88" si="65">+D86-H86</f>
        <v>-176.4</v>
      </c>
      <c r="M86" s="1"/>
      <c r="N86" s="5">
        <f t="shared" ref="N86:N88" si="66">IF(H86=0,0,L86/H86)</f>
        <v>-1</v>
      </c>
      <c r="O86" s="12"/>
      <c r="P86" s="1">
        <f>SUM(OSRRefP22_17x_0)</f>
        <v>1411.2</v>
      </c>
      <c r="Q86" s="1"/>
      <c r="R86" s="5">
        <f t="shared" ref="R86:R88" si="67">IF(P$12=0,0,P86/P$12)</f>
        <v>5.9677035596708962E-4</v>
      </c>
      <c r="S86" s="1"/>
      <c r="T86" s="1">
        <f>SUM(OSRRefT22_17x_0)</f>
        <v>1787.5800000000002</v>
      </c>
      <c r="U86" s="1"/>
      <c r="V86" s="5">
        <f t="shared" ref="V86:V88" si="68">IF(T$12=0,0,T86/T$12)</f>
        <v>5.9032487001776717E-4</v>
      </c>
      <c r="W86" s="1"/>
      <c r="X86" s="1">
        <f t="shared" ref="X86:X88" si="69">+P86-T86</f>
        <v>-376.38000000000011</v>
      </c>
      <c r="Y86" s="1"/>
      <c r="Z86" s="5">
        <f t="shared" ref="Z86:Z88" si="70">IF(T86=0,0,X86/T86)</f>
        <v>-0.21055281441949456</v>
      </c>
    </row>
    <row r="87" spans="1:26" s="24" customFormat="1" hidden="1" outlineLevel="2" x14ac:dyDescent="0.35">
      <c r="A87" s="27"/>
      <c r="B87" s="11" t="str">
        <f>CONCATENATE("          ", "6258", " - ", "MEMBERSHIP DUES")</f>
        <v xml:space="preserve">          6258 - MEMBERSHIP DUES</v>
      </c>
      <c r="C87" s="11"/>
      <c r="D87" s="7"/>
      <c r="E87" s="2"/>
      <c r="F87" s="6">
        <f t="shared" si="63"/>
        <v>0</v>
      </c>
      <c r="G87" s="2"/>
      <c r="H87" s="7"/>
      <c r="I87" s="2"/>
      <c r="J87" s="6">
        <f t="shared" si="64"/>
        <v>0</v>
      </c>
      <c r="K87" s="2"/>
      <c r="L87" s="7">
        <f t="shared" si="65"/>
        <v>0</v>
      </c>
      <c r="M87" s="2"/>
      <c r="N87" s="6">
        <f t="shared" si="66"/>
        <v>0</v>
      </c>
      <c r="O87" s="11"/>
      <c r="P87" s="7"/>
      <c r="Q87" s="2"/>
      <c r="R87" s="6">
        <f t="shared" si="67"/>
        <v>0</v>
      </c>
      <c r="S87" s="2"/>
      <c r="T87" s="7">
        <v>383.2</v>
      </c>
      <c r="U87" s="2"/>
      <c r="V87" s="6">
        <f t="shared" si="68"/>
        <v>1.2654677843274614E-4</v>
      </c>
      <c r="W87" s="2"/>
      <c r="X87" s="7">
        <f t="shared" si="69"/>
        <v>-383.2</v>
      </c>
      <c r="Y87" s="2"/>
      <c r="Z87" s="6">
        <f t="shared" si="70"/>
        <v>-1</v>
      </c>
    </row>
    <row r="88" spans="1:26" s="24" customFormat="1" hidden="1" outlineLevel="2" x14ac:dyDescent="0.35">
      <c r="A88" s="27"/>
      <c r="B88" s="11" t="str">
        <f>CONCATENATE("          ", "6275", " - ", "SUBSCRIPTIONS")</f>
        <v xml:space="preserve">          6275 - SUBSCRIPTIONS</v>
      </c>
      <c r="C88" s="11"/>
      <c r="D88" s="7"/>
      <c r="E88" s="2"/>
      <c r="F88" s="6">
        <f t="shared" si="63"/>
        <v>0</v>
      </c>
      <c r="G88" s="2"/>
      <c r="H88" s="7">
        <v>176.4</v>
      </c>
      <c r="I88" s="2"/>
      <c r="J88" s="6">
        <f t="shared" si="64"/>
        <v>3.8601851444582383E-3</v>
      </c>
      <c r="K88" s="2"/>
      <c r="L88" s="7">
        <f t="shared" si="65"/>
        <v>-176.4</v>
      </c>
      <c r="M88" s="2"/>
      <c r="N88" s="6">
        <f t="shared" si="66"/>
        <v>-1</v>
      </c>
      <c r="O88" s="11"/>
      <c r="P88" s="7">
        <v>1411.2</v>
      </c>
      <c r="Q88" s="2"/>
      <c r="R88" s="6">
        <f t="shared" si="67"/>
        <v>5.9677035596708962E-4</v>
      </c>
      <c r="S88" s="2"/>
      <c r="T88" s="7">
        <v>1404.38</v>
      </c>
      <c r="U88" s="2"/>
      <c r="V88" s="6">
        <f t="shared" si="68"/>
        <v>4.6377809158502101E-4</v>
      </c>
      <c r="W88" s="2"/>
      <c r="X88" s="7">
        <f t="shared" si="69"/>
        <v>6.8199999999999363</v>
      </c>
      <c r="Y88" s="2"/>
      <c r="Z88" s="6">
        <f t="shared" si="70"/>
        <v>4.8562354918184076E-3</v>
      </c>
    </row>
    <row r="89" spans="1:26" s="25" customFormat="1" outlineLevel="1" collapsed="1" x14ac:dyDescent="0.35">
      <c r="A89" s="26"/>
      <c r="B89" s="12" t="str">
        <f>CONCATENATE("     ","Supplies                                          ")</f>
        <v xml:space="preserve">     Supplies                                          </v>
      </c>
      <c r="C89" s="12"/>
      <c r="D89" s="1">
        <f>SUM(OSRRefD22_18x_0)</f>
        <v>-29.9</v>
      </c>
      <c r="E89" s="1"/>
      <c r="F89" s="5">
        <f t="shared" ref="F89:F97" si="71">IF(D$12=0,0,D89/D$12)</f>
        <v>-0.25027203482045701</v>
      </c>
      <c r="G89" s="1"/>
      <c r="H89" s="1">
        <f>SUM(OSRRefH22_18x_0)</f>
        <v>1393.74</v>
      </c>
      <c r="I89" s="1"/>
      <c r="J89" s="5">
        <f t="shared" ref="J89:J97" si="72">IF(H$12=0,0,H89/H$12)</f>
        <v>3.04994016056532E-2</v>
      </c>
      <c r="K89" s="1"/>
      <c r="L89" s="1">
        <f t="shared" ref="L89:L97" si="73">+D89-H89</f>
        <v>-1423.64</v>
      </c>
      <c r="M89" s="1"/>
      <c r="N89" s="5">
        <f t="shared" ref="N89:N97" si="74">IF(H89=0,0,L89/H89)</f>
        <v>-1.0214530687215693</v>
      </c>
      <c r="O89" s="12"/>
      <c r="P89" s="1">
        <f>SUM(OSRRefP22_18x_0)</f>
        <v>50142.16</v>
      </c>
      <c r="Q89" s="1"/>
      <c r="R89" s="5">
        <f t="shared" ref="R89:R97" si="75">IF(P$12=0,0,P89/P$12)</f>
        <v>2.1204191235940167E-2</v>
      </c>
      <c r="S89" s="1"/>
      <c r="T89" s="1">
        <f>SUM(OSRRefT22_18x_0)</f>
        <v>47512.219999999994</v>
      </c>
      <c r="U89" s="1"/>
      <c r="V89" s="5">
        <f t="shared" ref="V89:V97" si="76">IF(T$12=0,0,T89/T$12)</f>
        <v>1.5690288040678207E-2</v>
      </c>
      <c r="W89" s="1"/>
      <c r="X89" s="1">
        <f t="shared" ref="X89:X97" si="77">+P89-T89</f>
        <v>2629.9400000000096</v>
      </c>
      <c r="Y89" s="1"/>
      <c r="Z89" s="5">
        <f t="shared" ref="Z89:Z97" si="78">IF(T89=0,0,X89/T89)</f>
        <v>5.5352917628349298E-2</v>
      </c>
    </row>
    <row r="90" spans="1:26" s="24" customFormat="1" hidden="1" outlineLevel="2" x14ac:dyDescent="0.35">
      <c r="A90" s="27"/>
      <c r="B90" s="11" t="str">
        <f>CONCATENATE("          ", "6234", " - ", "EXPENDABLE SUPPLIES &amp; EQUIPMEN")</f>
        <v xml:space="preserve">          6234 - EXPENDABLE SUPPLIES &amp; EQUIPMEN</v>
      </c>
      <c r="C90" s="11"/>
      <c r="D90" s="7"/>
      <c r="E90" s="2"/>
      <c r="F90" s="6">
        <f t="shared" si="71"/>
        <v>0</v>
      </c>
      <c r="G90" s="2"/>
      <c r="H90" s="7"/>
      <c r="I90" s="2"/>
      <c r="J90" s="6">
        <f t="shared" si="72"/>
        <v>0</v>
      </c>
      <c r="K90" s="2"/>
      <c r="L90" s="7">
        <f t="shared" si="73"/>
        <v>0</v>
      </c>
      <c r="M90" s="2"/>
      <c r="N90" s="6">
        <f t="shared" si="74"/>
        <v>0</v>
      </c>
      <c r="O90" s="11"/>
      <c r="P90" s="7">
        <v>1092.46</v>
      </c>
      <c r="Q90" s="2"/>
      <c r="R90" s="6">
        <f t="shared" si="75"/>
        <v>4.6198111045904673E-4</v>
      </c>
      <c r="S90" s="2"/>
      <c r="T90" s="7">
        <v>939.33</v>
      </c>
      <c r="U90" s="2"/>
      <c r="V90" s="6">
        <f t="shared" si="76"/>
        <v>3.1020142323912172E-4</v>
      </c>
      <c r="W90" s="2"/>
      <c r="X90" s="7">
        <f t="shared" si="77"/>
        <v>153.13</v>
      </c>
      <c r="Y90" s="2"/>
      <c r="Z90" s="6">
        <f t="shared" si="78"/>
        <v>0.16302045074680888</v>
      </c>
    </row>
    <row r="91" spans="1:26" s="24" customFormat="1" hidden="1" outlineLevel="2" x14ac:dyDescent="0.35">
      <c r="A91" s="27"/>
      <c r="B91" s="11" t="str">
        <f>CONCATENATE("          ", "6237", " - ", "JANITORIAL SUPPLIES")</f>
        <v xml:space="preserve">          6237 - JANITORIAL SUPPLIES</v>
      </c>
      <c r="C91" s="11"/>
      <c r="D91" s="7"/>
      <c r="E91" s="2"/>
      <c r="F91" s="6">
        <f t="shared" si="71"/>
        <v>0</v>
      </c>
      <c r="G91" s="2"/>
      <c r="H91" s="7">
        <v>995.94</v>
      </c>
      <c r="I91" s="2"/>
      <c r="J91" s="6">
        <f t="shared" si="72"/>
        <v>2.1794290208456562E-2</v>
      </c>
      <c r="K91" s="2"/>
      <c r="L91" s="7">
        <f t="shared" si="73"/>
        <v>-995.94</v>
      </c>
      <c r="M91" s="2"/>
      <c r="N91" s="6">
        <f t="shared" si="74"/>
        <v>-1</v>
      </c>
      <c r="O91" s="11"/>
      <c r="P91" s="7">
        <v>4418.97</v>
      </c>
      <c r="Q91" s="2"/>
      <c r="R91" s="6">
        <f t="shared" si="75"/>
        <v>1.8687006093451603E-3</v>
      </c>
      <c r="S91" s="2"/>
      <c r="T91" s="7">
        <v>8208.11</v>
      </c>
      <c r="U91" s="2"/>
      <c r="V91" s="6">
        <f t="shared" si="76"/>
        <v>2.7106207659749687E-3</v>
      </c>
      <c r="W91" s="2"/>
      <c r="X91" s="7">
        <f t="shared" si="77"/>
        <v>-3789.1400000000003</v>
      </c>
      <c r="Y91" s="2"/>
      <c r="Z91" s="6">
        <f t="shared" si="78"/>
        <v>-0.46163367693659074</v>
      </c>
    </row>
    <row r="92" spans="1:26" s="24" customFormat="1" hidden="1" outlineLevel="2" x14ac:dyDescent="0.35">
      <c r="A92" s="27"/>
      <c r="B92" s="11" t="str">
        <f>CONCATENATE("          ", "6239", " - ", "KITCHEN SUPPLIES")</f>
        <v xml:space="preserve">          6239 - KITCHEN SUPPLIES</v>
      </c>
      <c r="C92" s="11"/>
      <c r="D92" s="7"/>
      <c r="E92" s="2"/>
      <c r="F92" s="6">
        <f t="shared" si="71"/>
        <v>0</v>
      </c>
      <c r="G92" s="2"/>
      <c r="H92" s="7"/>
      <c r="I92" s="2"/>
      <c r="J92" s="6">
        <f t="shared" si="72"/>
        <v>0</v>
      </c>
      <c r="K92" s="2"/>
      <c r="L92" s="7">
        <f t="shared" si="73"/>
        <v>0</v>
      </c>
      <c r="M92" s="2"/>
      <c r="N92" s="6">
        <f t="shared" si="74"/>
        <v>0</v>
      </c>
      <c r="O92" s="11"/>
      <c r="P92" s="7">
        <v>441.2</v>
      </c>
      <c r="Q92" s="2"/>
      <c r="R92" s="6">
        <f t="shared" si="75"/>
        <v>1.8657531253732989E-4</v>
      </c>
      <c r="S92" s="2"/>
      <c r="T92" s="7">
        <v>61.06</v>
      </c>
      <c r="U92" s="2"/>
      <c r="V92" s="6">
        <f t="shared" si="76"/>
        <v>2.016426485152265E-5</v>
      </c>
      <c r="W92" s="2"/>
      <c r="X92" s="7">
        <f t="shared" si="77"/>
        <v>380.14</v>
      </c>
      <c r="Y92" s="2"/>
      <c r="Z92" s="6">
        <f t="shared" si="78"/>
        <v>6.2256796593514574</v>
      </c>
    </row>
    <row r="93" spans="1:26" s="24" customFormat="1" hidden="1" outlineLevel="2" x14ac:dyDescent="0.35">
      <c r="A93" s="27"/>
      <c r="B93" s="11" t="str">
        <f>CONCATENATE("          ", "6241", " - ", "OFFICE EXPENSE")</f>
        <v xml:space="preserve">          6241 - OFFICE EXPENSE</v>
      </c>
      <c r="C93" s="11"/>
      <c r="D93" s="7"/>
      <c r="E93" s="2"/>
      <c r="F93" s="6">
        <f t="shared" si="71"/>
        <v>0</v>
      </c>
      <c r="G93" s="2"/>
      <c r="H93" s="7"/>
      <c r="I93" s="2"/>
      <c r="J93" s="6">
        <f t="shared" si="72"/>
        <v>0</v>
      </c>
      <c r="K93" s="2"/>
      <c r="L93" s="7">
        <f t="shared" si="73"/>
        <v>0</v>
      </c>
      <c r="M93" s="2"/>
      <c r="N93" s="6">
        <f t="shared" si="74"/>
        <v>0</v>
      </c>
      <c r="O93" s="11"/>
      <c r="P93" s="7">
        <v>2377.21</v>
      </c>
      <c r="Q93" s="2"/>
      <c r="R93" s="6">
        <f t="shared" si="75"/>
        <v>1.0052781022594423E-3</v>
      </c>
      <c r="S93" s="2"/>
      <c r="T93" s="7">
        <v>7941.09</v>
      </c>
      <c r="U93" s="2"/>
      <c r="V93" s="6">
        <f t="shared" si="76"/>
        <v>2.622440910084802E-3</v>
      </c>
      <c r="W93" s="2"/>
      <c r="X93" s="7">
        <f t="shared" si="77"/>
        <v>-5563.88</v>
      </c>
      <c r="Y93" s="2"/>
      <c r="Z93" s="6">
        <f t="shared" si="78"/>
        <v>-0.70064436997943602</v>
      </c>
    </row>
    <row r="94" spans="1:26" s="24" customFormat="1" hidden="1" outlineLevel="2" x14ac:dyDescent="0.35">
      <c r="A94" s="27"/>
      <c r="B94" s="11" t="str">
        <f>CONCATENATE("          ", "6243", " - ", "PAPER SUPPLIES")</f>
        <v xml:space="preserve">          6243 - PAPER SUPPLIES</v>
      </c>
      <c r="C94" s="11"/>
      <c r="D94" s="7"/>
      <c r="E94" s="2"/>
      <c r="F94" s="6">
        <f t="shared" si="71"/>
        <v>0</v>
      </c>
      <c r="G94" s="2"/>
      <c r="H94" s="7"/>
      <c r="I94" s="2"/>
      <c r="J94" s="6">
        <f t="shared" si="72"/>
        <v>0</v>
      </c>
      <c r="K94" s="2"/>
      <c r="L94" s="7">
        <f t="shared" si="73"/>
        <v>0</v>
      </c>
      <c r="M94" s="2"/>
      <c r="N94" s="6">
        <f t="shared" si="74"/>
        <v>0</v>
      </c>
      <c r="O94" s="11"/>
      <c r="P94" s="7">
        <v>4964.92</v>
      </c>
      <c r="Q94" s="2"/>
      <c r="R94" s="6">
        <f t="shared" si="75"/>
        <v>2.0995727577580235E-3</v>
      </c>
      <c r="S94" s="2"/>
      <c r="T94" s="7">
        <v>9328.98</v>
      </c>
      <c r="U94" s="2"/>
      <c r="V94" s="6">
        <f t="shared" si="76"/>
        <v>3.080773395259708E-3</v>
      </c>
      <c r="W94" s="2"/>
      <c r="X94" s="7">
        <f t="shared" si="77"/>
        <v>-4364.0599999999995</v>
      </c>
      <c r="Y94" s="2"/>
      <c r="Z94" s="6">
        <f t="shared" si="78"/>
        <v>-0.46779605058645207</v>
      </c>
    </row>
    <row r="95" spans="1:26" s="24" customFormat="1" hidden="1" outlineLevel="2" x14ac:dyDescent="0.35">
      <c r="A95" s="27"/>
      <c r="B95" s="11" t="str">
        <f>CONCATENATE("          ", "6245", " - ", "PRINTING")</f>
        <v xml:space="preserve">          6245 - PRINTING</v>
      </c>
      <c r="C95" s="11"/>
      <c r="D95" s="7"/>
      <c r="E95" s="2"/>
      <c r="F95" s="6">
        <f t="shared" si="71"/>
        <v>0</v>
      </c>
      <c r="G95" s="2"/>
      <c r="H95" s="7"/>
      <c r="I95" s="2"/>
      <c r="J95" s="6">
        <f t="shared" si="72"/>
        <v>0</v>
      </c>
      <c r="K95" s="2"/>
      <c r="L95" s="7">
        <f t="shared" si="73"/>
        <v>0</v>
      </c>
      <c r="M95" s="2"/>
      <c r="N95" s="6">
        <f t="shared" si="74"/>
        <v>0</v>
      </c>
      <c r="O95" s="11"/>
      <c r="P95" s="7">
        <v>81.739999999999995</v>
      </c>
      <c r="Q95" s="2"/>
      <c r="R95" s="6">
        <f t="shared" si="75"/>
        <v>3.4566332834998515E-5</v>
      </c>
      <c r="S95" s="2"/>
      <c r="T95" s="7">
        <v>51.82</v>
      </c>
      <c r="U95" s="2"/>
      <c r="V95" s="6">
        <f t="shared" si="76"/>
        <v>1.7112875935242445E-5</v>
      </c>
      <c r="W95" s="2"/>
      <c r="X95" s="7">
        <f t="shared" si="77"/>
        <v>29.919999999999995</v>
      </c>
      <c r="Y95" s="2"/>
      <c r="Z95" s="6">
        <f t="shared" si="78"/>
        <v>0.57738324971053634</v>
      </c>
    </row>
    <row r="96" spans="1:26" s="24" customFormat="1" hidden="1" outlineLevel="2" x14ac:dyDescent="0.35">
      <c r="A96" s="27"/>
      <c r="B96" s="11" t="str">
        <f>CONCATENATE("          ", "6247", " - ", "STORE SUPPLIES")</f>
        <v xml:space="preserve">          6247 - STORE SUPPLIES</v>
      </c>
      <c r="C96" s="11"/>
      <c r="D96" s="7">
        <v>-29.9</v>
      </c>
      <c r="E96" s="2"/>
      <c r="F96" s="6">
        <f t="shared" si="71"/>
        <v>-0.25027203482045701</v>
      </c>
      <c r="G96" s="2"/>
      <c r="H96" s="7">
        <v>397.8</v>
      </c>
      <c r="I96" s="2"/>
      <c r="J96" s="6">
        <f t="shared" si="72"/>
        <v>8.7051113971966399E-3</v>
      </c>
      <c r="K96" s="2"/>
      <c r="L96" s="7">
        <f t="shared" si="73"/>
        <v>-427.7</v>
      </c>
      <c r="M96" s="2"/>
      <c r="N96" s="6">
        <f t="shared" si="74"/>
        <v>-1.0751633986928104</v>
      </c>
      <c r="O96" s="11"/>
      <c r="P96" s="7">
        <v>36571.480000000003</v>
      </c>
      <c r="Q96" s="2"/>
      <c r="R96" s="6">
        <f t="shared" si="75"/>
        <v>1.5465401883392361E-2</v>
      </c>
      <c r="S96" s="2"/>
      <c r="T96" s="7">
        <v>19830.649999999998</v>
      </c>
      <c r="U96" s="2"/>
      <c r="V96" s="6">
        <f t="shared" si="76"/>
        <v>6.5488122957393976E-3</v>
      </c>
      <c r="W96" s="2"/>
      <c r="X96" s="7">
        <f t="shared" si="77"/>
        <v>16740.830000000005</v>
      </c>
      <c r="Y96" s="2"/>
      <c r="Z96" s="6">
        <f t="shared" si="78"/>
        <v>0.84418967608222661</v>
      </c>
    </row>
    <row r="97" spans="1:26" s="24" customFormat="1" hidden="1" outlineLevel="2" x14ac:dyDescent="0.35">
      <c r="A97" s="27"/>
      <c r="B97" s="11" t="str">
        <f>CONCATENATE("          ", "6248", " - ", "UNIFORMS")</f>
        <v xml:space="preserve">          6248 - UNIFORMS</v>
      </c>
      <c r="C97" s="11"/>
      <c r="D97" s="7"/>
      <c r="E97" s="2"/>
      <c r="F97" s="6">
        <f t="shared" si="71"/>
        <v>0</v>
      </c>
      <c r="G97" s="2"/>
      <c r="H97" s="7"/>
      <c r="I97" s="2"/>
      <c r="J97" s="6">
        <f t="shared" si="72"/>
        <v>0</v>
      </c>
      <c r="K97" s="2"/>
      <c r="L97" s="7">
        <f t="shared" si="73"/>
        <v>0</v>
      </c>
      <c r="M97" s="2"/>
      <c r="N97" s="6">
        <f t="shared" si="74"/>
        <v>0</v>
      </c>
      <c r="O97" s="11"/>
      <c r="P97" s="7">
        <v>194.18</v>
      </c>
      <c r="Q97" s="2"/>
      <c r="R97" s="6">
        <f t="shared" si="75"/>
        <v>8.2115127353804893E-5</v>
      </c>
      <c r="S97" s="2"/>
      <c r="T97" s="7">
        <v>1151.18</v>
      </c>
      <c r="U97" s="2"/>
      <c r="V97" s="6">
        <f t="shared" si="76"/>
        <v>3.8016210959344654E-4</v>
      </c>
      <c r="W97" s="2"/>
      <c r="X97" s="7">
        <f t="shared" si="77"/>
        <v>-957</v>
      </c>
      <c r="Y97" s="2"/>
      <c r="Z97" s="6">
        <f t="shared" si="78"/>
        <v>-0.83132090550565507</v>
      </c>
    </row>
    <row r="98" spans="1:26" s="25" customFormat="1" outlineLevel="1" collapsed="1" x14ac:dyDescent="0.35">
      <c r="A98" s="26"/>
      <c r="B98" s="12" t="str">
        <f>CONCATENATE("     ","Telephone/Data Lines                              ")</f>
        <v xml:space="preserve">     Telephone/Data Lines                              </v>
      </c>
      <c r="C98" s="12"/>
      <c r="D98" s="1">
        <f>SUM(OSRRefD22_19x_0)</f>
        <v>350.41</v>
      </c>
      <c r="E98" s="1"/>
      <c r="F98" s="5">
        <f t="shared" ref="F98:F105" si="79">IF(D$12=0,0,D98/D$12)</f>
        <v>2.9330375826567341</v>
      </c>
      <c r="G98" s="1"/>
      <c r="H98" s="1">
        <f>SUM(OSRRefH22_19x_0)</f>
        <v>343.26</v>
      </c>
      <c r="I98" s="1"/>
      <c r="J98" s="5">
        <f t="shared" ref="J98:J105" si="80">IF(H$12=0,0,H98/H$12)</f>
        <v>7.511605173961081E-3</v>
      </c>
      <c r="K98" s="1"/>
      <c r="L98" s="1">
        <f t="shared" ref="L98:L105" si="81">+D98-H98</f>
        <v>7.1500000000000341</v>
      </c>
      <c r="M98" s="1"/>
      <c r="N98" s="5">
        <f t="shared" ref="N98:N105" si="82">IF(H98=0,0,L98/H98)</f>
        <v>2.0829691778826646E-2</v>
      </c>
      <c r="O98" s="12"/>
      <c r="P98" s="1">
        <f>SUM(OSRRefP22_19x_0)</f>
        <v>4727.08</v>
      </c>
      <c r="Q98" s="1"/>
      <c r="R98" s="5">
        <f t="shared" ref="R98:R105" si="83">IF(P$12=0,0,P98/P$12)</f>
        <v>1.9989946246349987E-3</v>
      </c>
      <c r="S98" s="1"/>
      <c r="T98" s="1">
        <f>SUM(OSRRefT22_19x_0)</f>
        <v>4224.07</v>
      </c>
      <c r="U98" s="1"/>
      <c r="V98" s="5">
        <f t="shared" ref="V98:V105" si="84">IF(T$12=0,0,T98/T$12)</f>
        <v>1.3949437640250783E-3</v>
      </c>
      <c r="W98" s="1"/>
      <c r="X98" s="1">
        <f t="shared" ref="X98:X105" si="85">+P98-T98</f>
        <v>503.01000000000022</v>
      </c>
      <c r="Y98" s="1"/>
      <c r="Z98" s="5">
        <f t="shared" ref="Z98:Z105" si="86">IF(T98=0,0,X98/T98)</f>
        <v>0.11908183339764736</v>
      </c>
    </row>
    <row r="99" spans="1:26" s="24" customFormat="1" hidden="1" outlineLevel="2" x14ac:dyDescent="0.35">
      <c r="A99" s="27"/>
      <c r="B99" s="11" t="str">
        <f>CONCATENATE("          ", "6309", " - ", "TELEPHONE")</f>
        <v xml:space="preserve">          6309 - TELEPHONE</v>
      </c>
      <c r="C99" s="11"/>
      <c r="D99" s="7">
        <v>350.41</v>
      </c>
      <c r="E99" s="2"/>
      <c r="F99" s="6">
        <f t="shared" si="79"/>
        <v>2.9330375826567341</v>
      </c>
      <c r="G99" s="2"/>
      <c r="H99" s="7">
        <v>343.26</v>
      </c>
      <c r="I99" s="2"/>
      <c r="J99" s="6">
        <f t="shared" si="80"/>
        <v>7.511605173961081E-3</v>
      </c>
      <c r="K99" s="2"/>
      <c r="L99" s="7">
        <f t="shared" si="81"/>
        <v>7.1500000000000341</v>
      </c>
      <c r="M99" s="2"/>
      <c r="N99" s="6">
        <f t="shared" si="82"/>
        <v>2.0829691778826646E-2</v>
      </c>
      <c r="O99" s="11"/>
      <c r="P99" s="7">
        <v>4727.08</v>
      </c>
      <c r="Q99" s="2"/>
      <c r="R99" s="6">
        <f t="shared" si="83"/>
        <v>1.9989946246349987E-3</v>
      </c>
      <c r="S99" s="2"/>
      <c r="T99" s="7">
        <v>4224.07</v>
      </c>
      <c r="U99" s="2"/>
      <c r="V99" s="6">
        <f t="shared" si="84"/>
        <v>1.3949437640250783E-3</v>
      </c>
      <c r="W99" s="2"/>
      <c r="X99" s="7">
        <f t="shared" si="85"/>
        <v>503.01000000000022</v>
      </c>
      <c r="Y99" s="2"/>
      <c r="Z99" s="6">
        <f t="shared" si="86"/>
        <v>0.11908183339764736</v>
      </c>
    </row>
    <row r="100" spans="1:26" s="25" customFormat="1" outlineLevel="1" collapsed="1" x14ac:dyDescent="0.35">
      <c r="A100" s="26"/>
      <c r="B100" s="12" t="str">
        <f>CONCATENATE("     ","Training                                          ")</f>
        <v xml:space="preserve">     Training                                          </v>
      </c>
      <c r="C100" s="12"/>
      <c r="D100" s="1">
        <f>SUM(OSRRefD22_20x_0)</f>
        <v>0</v>
      </c>
      <c r="E100" s="1"/>
      <c r="F100" s="5">
        <f t="shared" si="79"/>
        <v>0</v>
      </c>
      <c r="G100" s="1"/>
      <c r="H100" s="1">
        <f>SUM(OSRRefH22_20x_0)</f>
        <v>0</v>
      </c>
      <c r="I100" s="1"/>
      <c r="J100" s="5">
        <f t="shared" si="80"/>
        <v>0</v>
      </c>
      <c r="K100" s="1"/>
      <c r="L100" s="1">
        <f t="shared" si="81"/>
        <v>0</v>
      </c>
      <c r="M100" s="1"/>
      <c r="N100" s="5">
        <f t="shared" si="82"/>
        <v>0</v>
      </c>
      <c r="O100" s="12"/>
      <c r="P100" s="1">
        <f>SUM(OSRRefP22_20x_0)</f>
        <v>110</v>
      </c>
      <c r="Q100" s="1"/>
      <c r="R100" s="5">
        <f t="shared" si="83"/>
        <v>4.6516963687910897E-5</v>
      </c>
      <c r="S100" s="1"/>
      <c r="T100" s="1">
        <f>SUM(OSRRefT22_20x_0)</f>
        <v>297.82</v>
      </c>
      <c r="U100" s="1"/>
      <c r="V100" s="5">
        <f t="shared" si="84"/>
        <v>9.8351152277767375E-5</v>
      </c>
      <c r="W100" s="1"/>
      <c r="X100" s="1">
        <f t="shared" si="85"/>
        <v>-187.82</v>
      </c>
      <c r="Y100" s="1"/>
      <c r="Z100" s="5">
        <f t="shared" si="86"/>
        <v>-0.63064938553488681</v>
      </c>
    </row>
    <row r="101" spans="1:26" s="24" customFormat="1" hidden="1" outlineLevel="2" x14ac:dyDescent="0.35">
      <c r="A101" s="27"/>
      <c r="B101" s="11" t="str">
        <f>CONCATENATE("          ", "6376", " - ", "TRAINING")</f>
        <v xml:space="preserve">          6376 - TRAINING</v>
      </c>
      <c r="C101" s="11"/>
      <c r="D101" s="7"/>
      <c r="E101" s="2"/>
      <c r="F101" s="6">
        <f t="shared" si="79"/>
        <v>0</v>
      </c>
      <c r="G101" s="2"/>
      <c r="H101" s="7"/>
      <c r="I101" s="2"/>
      <c r="J101" s="6">
        <f t="shared" si="80"/>
        <v>0</v>
      </c>
      <c r="K101" s="2"/>
      <c r="L101" s="7">
        <f t="shared" si="81"/>
        <v>0</v>
      </c>
      <c r="M101" s="2"/>
      <c r="N101" s="6">
        <f t="shared" si="82"/>
        <v>0</v>
      </c>
      <c r="O101" s="11"/>
      <c r="P101" s="7">
        <v>110</v>
      </c>
      <c r="Q101" s="2"/>
      <c r="R101" s="6">
        <f t="shared" si="83"/>
        <v>4.6516963687910897E-5</v>
      </c>
      <c r="S101" s="2"/>
      <c r="T101" s="7">
        <v>297.82</v>
      </c>
      <c r="U101" s="2"/>
      <c r="V101" s="6">
        <f t="shared" si="84"/>
        <v>9.8351152277767375E-5</v>
      </c>
      <c r="W101" s="2"/>
      <c r="X101" s="7">
        <f t="shared" si="85"/>
        <v>-187.82</v>
      </c>
      <c r="Y101" s="2"/>
      <c r="Z101" s="6">
        <f t="shared" si="86"/>
        <v>-0.63064938553488681</v>
      </c>
    </row>
    <row r="102" spans="1:26" s="25" customFormat="1" outlineLevel="1" collapsed="1" x14ac:dyDescent="0.35">
      <c r="A102" s="26"/>
      <c r="B102" s="12" t="str">
        <f>CONCATENATE("     ","Travel                                            ")</f>
        <v xml:space="preserve">     Travel                                            </v>
      </c>
      <c r="C102" s="12"/>
      <c r="D102" s="1">
        <f>SUM(OSRRefD22_21x_0)</f>
        <v>0</v>
      </c>
      <c r="E102" s="1"/>
      <c r="F102" s="5">
        <f t="shared" si="79"/>
        <v>0</v>
      </c>
      <c r="G102" s="1"/>
      <c r="H102" s="1">
        <f>SUM(OSRRefH22_21x_0)</f>
        <v>0</v>
      </c>
      <c r="I102" s="1"/>
      <c r="J102" s="5">
        <f t="shared" si="80"/>
        <v>0</v>
      </c>
      <c r="K102" s="1"/>
      <c r="L102" s="1">
        <f t="shared" si="81"/>
        <v>0</v>
      </c>
      <c r="M102" s="1"/>
      <c r="N102" s="5">
        <f t="shared" si="82"/>
        <v>0</v>
      </c>
      <c r="O102" s="12"/>
      <c r="P102" s="1">
        <f>SUM(OSRRefP22_21x_0)</f>
        <v>66</v>
      </c>
      <c r="Q102" s="1"/>
      <c r="R102" s="5">
        <f t="shared" si="83"/>
        <v>2.7910178212746537E-5</v>
      </c>
      <c r="S102" s="1"/>
      <c r="T102" s="1">
        <f>SUM(OSRRefT22_21x_0)</f>
        <v>0</v>
      </c>
      <c r="U102" s="1"/>
      <c r="V102" s="5">
        <f t="shared" si="84"/>
        <v>0</v>
      </c>
      <c r="W102" s="1"/>
      <c r="X102" s="1">
        <f t="shared" si="85"/>
        <v>66</v>
      </c>
      <c r="Y102" s="1"/>
      <c r="Z102" s="5">
        <f t="shared" si="86"/>
        <v>0</v>
      </c>
    </row>
    <row r="103" spans="1:26" s="24" customFormat="1" hidden="1" outlineLevel="2" x14ac:dyDescent="0.35">
      <c r="A103" s="27"/>
      <c r="B103" s="11" t="str">
        <f>CONCATENATE("          ", "6298", " - ", "VEHICLE MILEAGE")</f>
        <v xml:space="preserve">          6298 - VEHICLE MILEAGE</v>
      </c>
      <c r="C103" s="11"/>
      <c r="D103" s="7"/>
      <c r="E103" s="2"/>
      <c r="F103" s="6">
        <f t="shared" si="79"/>
        <v>0</v>
      </c>
      <c r="G103" s="2"/>
      <c r="H103" s="7"/>
      <c r="I103" s="2"/>
      <c r="J103" s="6">
        <f t="shared" si="80"/>
        <v>0</v>
      </c>
      <c r="K103" s="2"/>
      <c r="L103" s="7">
        <f t="shared" si="81"/>
        <v>0</v>
      </c>
      <c r="M103" s="2"/>
      <c r="N103" s="6">
        <f t="shared" si="82"/>
        <v>0</v>
      </c>
      <c r="O103" s="11"/>
      <c r="P103" s="7">
        <v>66</v>
      </c>
      <c r="Q103" s="2"/>
      <c r="R103" s="6">
        <f t="shared" si="83"/>
        <v>2.7910178212746537E-5</v>
      </c>
      <c r="S103" s="2"/>
      <c r="T103" s="7"/>
      <c r="U103" s="2"/>
      <c r="V103" s="6">
        <f t="shared" si="84"/>
        <v>0</v>
      </c>
      <c r="W103" s="2"/>
      <c r="X103" s="7">
        <f t="shared" si="85"/>
        <v>66</v>
      </c>
      <c r="Y103" s="2"/>
      <c r="Z103" s="6">
        <f t="shared" si="86"/>
        <v>0</v>
      </c>
    </row>
    <row r="104" spans="1:26" s="25" customFormat="1" outlineLevel="1" collapsed="1" x14ac:dyDescent="0.35">
      <c r="A104" s="26"/>
      <c r="B104" s="12" t="str">
        <f>CONCATENATE("     ","Utilities                                         ")</f>
        <v xml:space="preserve">     Utilities                                         </v>
      </c>
      <c r="C104" s="12"/>
      <c r="D104" s="1">
        <f>SUM(OSRRefD22_22x_0)</f>
        <v>1090</v>
      </c>
      <c r="E104" s="1"/>
      <c r="F104" s="5">
        <f t="shared" si="79"/>
        <v>9.1236293630200045</v>
      </c>
      <c r="G104" s="1"/>
      <c r="H104" s="1">
        <f>SUM(OSRRefH22_22x_0)</f>
        <v>969</v>
      </c>
      <c r="I104" s="1"/>
      <c r="J104" s="5">
        <f t="shared" si="80"/>
        <v>2.1204758531632839E-2</v>
      </c>
      <c r="K104" s="1"/>
      <c r="L104" s="1">
        <f t="shared" si="81"/>
        <v>121</v>
      </c>
      <c r="M104" s="1"/>
      <c r="N104" s="5">
        <f t="shared" si="82"/>
        <v>0.12487100103199174</v>
      </c>
      <c r="O104" s="12"/>
      <c r="P104" s="1">
        <f>SUM(OSRRefP22_22x_0)</f>
        <v>12693.74</v>
      </c>
      <c r="Q104" s="1"/>
      <c r="R104" s="5">
        <f t="shared" si="83"/>
        <v>5.3679476603980189E-3</v>
      </c>
      <c r="S104" s="1"/>
      <c r="T104" s="1">
        <f>SUM(OSRRefT22_22x_0)</f>
        <v>10505.49</v>
      </c>
      <c r="U104" s="1"/>
      <c r="V104" s="5">
        <f t="shared" si="84"/>
        <v>3.4693004054212689E-3</v>
      </c>
      <c r="W104" s="1"/>
      <c r="X104" s="1">
        <f t="shared" si="85"/>
        <v>2188.25</v>
      </c>
      <c r="Y104" s="1"/>
      <c r="Z104" s="5">
        <f t="shared" si="86"/>
        <v>0.20829585293022981</v>
      </c>
    </row>
    <row r="105" spans="1:26" s="24" customFormat="1" hidden="1" outlineLevel="2" x14ac:dyDescent="0.35">
      <c r="A105" s="27"/>
      <c r="B105" s="11" t="str">
        <f>CONCATENATE("          ", "6274", " - ", "UTILITIES")</f>
        <v xml:space="preserve">          6274 - UTILITIES</v>
      </c>
      <c r="C105" s="11"/>
      <c r="D105" s="7">
        <v>1090</v>
      </c>
      <c r="E105" s="2"/>
      <c r="F105" s="6">
        <f t="shared" si="79"/>
        <v>9.1236293630200045</v>
      </c>
      <c r="G105" s="2"/>
      <c r="H105" s="7">
        <v>969</v>
      </c>
      <c r="I105" s="2"/>
      <c r="J105" s="6">
        <f t="shared" si="80"/>
        <v>2.1204758531632839E-2</v>
      </c>
      <c r="K105" s="2"/>
      <c r="L105" s="7">
        <f t="shared" si="81"/>
        <v>121</v>
      </c>
      <c r="M105" s="2"/>
      <c r="N105" s="6">
        <f t="shared" si="82"/>
        <v>0.12487100103199174</v>
      </c>
      <c r="O105" s="11"/>
      <c r="P105" s="7">
        <v>12693.74</v>
      </c>
      <c r="Q105" s="2"/>
      <c r="R105" s="6">
        <f t="shared" si="83"/>
        <v>5.3679476603980189E-3</v>
      </c>
      <c r="S105" s="2"/>
      <c r="T105" s="7">
        <v>10505.49</v>
      </c>
      <c r="U105" s="2"/>
      <c r="V105" s="6">
        <f t="shared" si="84"/>
        <v>3.4693004054212689E-3</v>
      </c>
      <c r="W105" s="2"/>
      <c r="X105" s="7">
        <f t="shared" si="85"/>
        <v>2188.25</v>
      </c>
      <c r="Y105" s="2"/>
      <c r="Z105" s="6">
        <f t="shared" si="86"/>
        <v>0.20829585293022981</v>
      </c>
    </row>
    <row r="106" spans="1:26" s="56" customFormat="1" x14ac:dyDescent="0.35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x14ac:dyDescent="0.35">
      <c r="A107" s="10"/>
      <c r="B107" s="29" t="s">
        <v>0</v>
      </c>
      <c r="C107" s="10"/>
      <c r="D107" s="4">
        <f>SUM(0)</f>
        <v>0</v>
      </c>
      <c r="E107" s="4"/>
      <c r="F107" s="13">
        <f>IF(D$12=0,0,D107/D$12)</f>
        <v>0</v>
      </c>
      <c r="G107" s="4"/>
      <c r="H107" s="4">
        <f>SUM(0)</f>
        <v>0</v>
      </c>
      <c r="I107" s="4"/>
      <c r="J107" s="13">
        <f>IF(H$12=0,0,H107/H$12)</f>
        <v>0</v>
      </c>
      <c r="K107" s="4"/>
      <c r="L107" s="4">
        <f>+D107-H107</f>
        <v>0</v>
      </c>
      <c r="M107" s="4"/>
      <c r="N107" s="13">
        <f>IF(H107=0,0,L107/H107)</f>
        <v>0</v>
      </c>
      <c r="O107" s="10"/>
      <c r="P107" s="4">
        <f>SUM(0)</f>
        <v>0</v>
      </c>
      <c r="Q107" s="4"/>
      <c r="R107" s="13">
        <f>IF(P$12=0,0,P107/P$12)</f>
        <v>0</v>
      </c>
      <c r="S107" s="4"/>
      <c r="T107" s="4">
        <f>SUM(0)</f>
        <v>0</v>
      </c>
      <c r="U107" s="4"/>
      <c r="V107" s="13">
        <f>IF(T$12=0,0,T107/T$12)</f>
        <v>0</v>
      </c>
      <c r="W107" s="4"/>
      <c r="X107" s="4">
        <f>+P107-T107</f>
        <v>0</v>
      </c>
      <c r="Y107" s="4"/>
      <c r="Z107" s="13">
        <f>IF(T107=0,0,X107/T107)</f>
        <v>0</v>
      </c>
    </row>
    <row r="108" spans="1:26" x14ac:dyDescent="0.3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35">
      <c r="A109" s="10"/>
      <c r="B109" s="28" t="s">
        <v>3</v>
      </c>
      <c r="C109" s="28"/>
      <c r="D109" s="22">
        <f>+D30-D32+D107</f>
        <v>-45866.510000000009</v>
      </c>
      <c r="E109" s="14"/>
      <c r="F109" s="21">
        <f>IF(D$12=0,0,D109/D$12)</f>
        <v>-383.91654808738605</v>
      </c>
      <c r="G109" s="14"/>
      <c r="H109" s="22">
        <f>+H30-H32+H107</f>
        <v>-93864.819999999978</v>
      </c>
      <c r="I109" s="14"/>
      <c r="J109" s="21">
        <f>IF(H$12=0,0,H109/H$12)</f>
        <v>-2.0540565972292884</v>
      </c>
      <c r="K109" s="15"/>
      <c r="L109" s="22">
        <f>+D109-H109</f>
        <v>47998.309999999969</v>
      </c>
      <c r="M109" s="15"/>
      <c r="N109" s="21">
        <f>IF(H109=0,0,L109/H109)</f>
        <v>-0.51135569215388665</v>
      </c>
      <c r="O109" s="29"/>
      <c r="P109" s="22">
        <f>+P30-P32+P107</f>
        <v>54733.589999999851</v>
      </c>
      <c r="Q109" s="14"/>
      <c r="R109" s="21">
        <f>IF(P$12=0,0,P109/P$12)</f>
        <v>2.3145821986718145E-2</v>
      </c>
      <c r="S109" s="14"/>
      <c r="T109" s="22">
        <f>+T30-T32+T107</f>
        <v>319089.05000000005</v>
      </c>
      <c r="U109" s="14"/>
      <c r="V109" s="21">
        <f>IF(T$12=0,0,T109/T$12)</f>
        <v>0.10537497732428357</v>
      </c>
      <c r="W109" s="15"/>
      <c r="X109" s="22">
        <f>+P109-T109</f>
        <v>-264355.4600000002</v>
      </c>
      <c r="Y109" s="15"/>
      <c r="Z109" s="21">
        <f>IF(T109=0,0,X109/T109)</f>
        <v>-0.82846923139481021</v>
      </c>
    </row>
    <row r="110" spans="1:26" x14ac:dyDescent="0.3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35">
      <c r="A111" s="51"/>
      <c r="B111" s="10" t="s">
        <v>13</v>
      </c>
      <c r="C111" s="10"/>
      <c r="D111" s="4">
        <v>78093.180000000008</v>
      </c>
      <c r="E111" s="4"/>
      <c r="F111" s="13">
        <f>IF(D$12=0,0,D111/D$12)</f>
        <v>653.6635138528502</v>
      </c>
      <c r="G111" s="4"/>
      <c r="H111" s="4">
        <v>-94380.150000000009</v>
      </c>
      <c r="I111" s="4"/>
      <c r="J111" s="13">
        <f>IF(H$12=0,0,H111/H$12)</f>
        <v>-2.0653336335699559</v>
      </c>
      <c r="K111" s="4"/>
      <c r="L111" s="4">
        <f>+D111-H111</f>
        <v>172473.33000000002</v>
      </c>
      <c r="M111" s="4"/>
      <c r="N111" s="13">
        <f>IF(H111=0,0,L111/H111)</f>
        <v>-1.8274322513791301</v>
      </c>
      <c r="O111" s="10"/>
      <c r="P111" s="4">
        <v>358111.56</v>
      </c>
      <c r="Q111" s="4"/>
      <c r="R111" s="13">
        <f>IF(P$12=0,0,P111/P$12)</f>
        <v>0.15143874938855567</v>
      </c>
      <c r="S111" s="4"/>
      <c r="T111" s="4">
        <v>215836.24</v>
      </c>
      <c r="U111" s="4"/>
      <c r="V111" s="13">
        <f>IF(T$12=0,0,T111/T$12)</f>
        <v>7.1277089877445243E-2</v>
      </c>
      <c r="W111" s="4"/>
      <c r="X111" s="4">
        <f>+P111-T111</f>
        <v>142275.32</v>
      </c>
      <c r="Y111" s="4"/>
      <c r="Z111" s="13">
        <f>IF(T111=0,0,X111/T111)</f>
        <v>0.65918179449382552</v>
      </c>
    </row>
    <row r="112" spans="1:26" x14ac:dyDescent="0.3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" thickBot="1" x14ac:dyDescent="0.4">
      <c r="A113" s="10"/>
      <c r="B113" s="28" t="s">
        <v>4</v>
      </c>
      <c r="C113" s="28"/>
      <c r="D113" s="34">
        <f>+D109-D111</f>
        <v>-123959.69000000002</v>
      </c>
      <c r="E113" s="14"/>
      <c r="F113" s="32">
        <f>IF(D$12=0,0,D113/D$12)</f>
        <v>-1037.5800619402362</v>
      </c>
      <c r="G113" s="14"/>
      <c r="H113" s="34">
        <f>+H109-H111</f>
        <v>515.33000000003085</v>
      </c>
      <c r="I113" s="14"/>
      <c r="J113" s="32">
        <f>IF(H$12=0,0,H113/H$12)</f>
        <v>1.1277036340667703E-2</v>
      </c>
      <c r="K113" s="15"/>
      <c r="L113" s="34">
        <f>D113-H113</f>
        <v>-124475.02000000005</v>
      </c>
      <c r="M113" s="15"/>
      <c r="N113" s="32">
        <f>IF(H113=0,0,L113/H113)</f>
        <v>-241.54429200704908</v>
      </c>
      <c r="O113" s="29"/>
      <c r="P113" s="34">
        <f>+P109-P111</f>
        <v>-303377.97000000015</v>
      </c>
      <c r="Q113" s="14"/>
      <c r="R113" s="32">
        <f>IF(P$12=0,0,P113/P$12)</f>
        <v>-0.12829292740183754</v>
      </c>
      <c r="S113" s="14"/>
      <c r="T113" s="34">
        <f>+T109-T111</f>
        <v>103252.81000000006</v>
      </c>
      <c r="U113" s="14"/>
      <c r="V113" s="32">
        <f>IF(T$12=0,0,T113/T$12)</f>
        <v>3.4097887446838317E-2</v>
      </c>
      <c r="W113" s="15"/>
      <c r="X113" s="34">
        <f>P113-T113</f>
        <v>-406630.7800000002</v>
      </c>
      <c r="Y113" s="15"/>
      <c r="Z113" s="32">
        <f>IF(T113=0,0,X113/T113)</f>
        <v>-3.9382054590088154</v>
      </c>
    </row>
    <row r="114" spans="1:26" ht="15" thickTop="1" x14ac:dyDescent="0.3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3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" thickBot="1" x14ac:dyDescent="0.4">
      <c r="A116" s="10"/>
      <c r="B116" s="28" t="s">
        <v>5</v>
      </c>
      <c r="C116" s="28"/>
      <c r="D116" s="35">
        <f>SUM(D113:D115)</f>
        <v>-123959.69000000002</v>
      </c>
      <c r="E116" s="14"/>
      <c r="F116" s="33">
        <f>IF(D$12=0,0,D116/D$12)</f>
        <v>-1037.5800619402362</v>
      </c>
      <c r="G116" s="14"/>
      <c r="H116" s="35">
        <f>SUM(H113:H115)</f>
        <v>515.33000000003085</v>
      </c>
      <c r="I116" s="14"/>
      <c r="J116" s="33">
        <f>IF(H$12=0,0,H116/H$12)</f>
        <v>1.1277036340667703E-2</v>
      </c>
      <c r="K116" s="15"/>
      <c r="L116" s="35">
        <f>+D116-H116</f>
        <v>-124475.02000000005</v>
      </c>
      <c r="M116" s="15"/>
      <c r="N116" s="33">
        <f>IF(H116=0,0,L116/H116)</f>
        <v>-241.54429200704908</v>
      </c>
      <c r="O116" s="29"/>
      <c r="P116" s="35">
        <f>SUM(P113:P115)</f>
        <v>-303377.97000000015</v>
      </c>
      <c r="Q116" s="14"/>
      <c r="R116" s="33">
        <f>IF(P$12=0,0,P116/P$12)</f>
        <v>-0.12829292740183754</v>
      </c>
      <c r="S116" s="14"/>
      <c r="T116" s="35">
        <f>SUM(T113:T115)</f>
        <v>103252.81000000006</v>
      </c>
      <c r="U116" s="14"/>
      <c r="V116" s="33">
        <f>IF(T$12=0,0,T116/T$12)</f>
        <v>3.4097887446838317E-2</v>
      </c>
      <c r="W116" s="15"/>
      <c r="X116" s="35">
        <f>+P116-T116</f>
        <v>-406630.7800000002</v>
      </c>
      <c r="Y116" s="15"/>
      <c r="Z116" s="33">
        <f>IF(T116=0,0,X116/T116)</f>
        <v>-3.9382054590088154</v>
      </c>
    </row>
    <row r="117" spans="1:26" ht="15" thickTop="1" x14ac:dyDescent="0.35">
      <c r="A117" s="9"/>
      <c r="C117" s="9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35">
      <c r="A118" s="9"/>
      <c r="B118" s="52">
        <v>44043.522321875003</v>
      </c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35">
      <c r="A119" s="9"/>
      <c r="B119" s="61" t="s">
        <v>313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35">
      <c r="A120" s="9"/>
      <c r="B120" s="54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35"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","309", " - ", "Carts")</f>
        <v>Department 309 - Carts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8491.08</v>
      </c>
      <c r="I12" s="4"/>
      <c r="J12" s="13"/>
      <c r="K12" s="4"/>
      <c r="L12" s="4">
        <f t="shared" ref="L12:L14" si="0">+D12-H12</f>
        <v>-8491.08</v>
      </c>
      <c r="M12" s="4"/>
      <c r="N12" s="13">
        <f t="shared" ref="N12:N14" si="1">IF(H12=0,0,L12/H12)</f>
        <v>-1</v>
      </c>
      <c r="O12" s="10"/>
      <c r="P12" s="4">
        <f>SUM(OSRRefP13x_0)</f>
        <v>287556.77999999997</v>
      </c>
      <c r="Q12" s="4"/>
      <c r="R12" s="13"/>
      <c r="S12" s="4"/>
      <c r="T12" s="4">
        <f>SUM(OSRRefT13x_0)</f>
        <v>411161.05</v>
      </c>
      <c r="U12" s="4"/>
      <c r="V12" s="13"/>
      <c r="W12" s="4"/>
      <c r="X12" s="4">
        <f t="shared" ref="X12:X14" si="2">+P12-T12</f>
        <v>-123604.27000000002</v>
      </c>
      <c r="Y12" s="4"/>
      <c r="Z12" s="13">
        <f t="shared" ref="Z12:Z14" si="3">IF(T12=0,0,X12/T12)</f>
        <v>-0.30062251762417674</v>
      </c>
    </row>
    <row r="13" spans="1:26" s="24" customFormat="1" hidden="1" outlineLevel="1" x14ac:dyDescent="0.3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--2333.65</f>
        <v>2333.65</v>
      </c>
      <c r="I13" s="2"/>
      <c r="J13" s="19"/>
      <c r="K13" s="2"/>
      <c r="L13" s="2">
        <f t="shared" si="0"/>
        <v>-2333.65</v>
      </c>
      <c r="M13" s="2"/>
      <c r="N13" s="19">
        <f t="shared" si="1"/>
        <v>-1</v>
      </c>
      <c r="O13" s="11"/>
      <c r="P13" s="2">
        <f>--64154.32</f>
        <v>64154.32</v>
      </c>
      <c r="Q13" s="2"/>
      <c r="R13" s="19"/>
      <c r="S13" s="2"/>
      <c r="T13" s="2">
        <f>--93110.13</f>
        <v>93110.13</v>
      </c>
      <c r="U13" s="2"/>
      <c r="V13" s="19"/>
      <c r="W13" s="2"/>
      <c r="X13" s="2">
        <f t="shared" si="2"/>
        <v>-28955.810000000005</v>
      </c>
      <c r="Y13" s="2"/>
      <c r="Z13" s="19">
        <f t="shared" si="3"/>
        <v>-0.31098452982505775</v>
      </c>
    </row>
    <row r="14" spans="1:26" s="24" customFormat="1" hidden="1" outlineLevel="1" x14ac:dyDescent="0.3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--6157.43</f>
        <v>6157.43</v>
      </c>
      <c r="I14" s="2"/>
      <c r="J14" s="19"/>
      <c r="K14" s="2"/>
      <c r="L14" s="2">
        <f t="shared" si="0"/>
        <v>-6157.43</v>
      </c>
      <c r="M14" s="2"/>
      <c r="N14" s="19">
        <f t="shared" si="1"/>
        <v>-1</v>
      </c>
      <c r="O14" s="11"/>
      <c r="P14" s="2">
        <f>--223402.46</f>
        <v>223402.46</v>
      </c>
      <c r="Q14" s="2"/>
      <c r="R14" s="19"/>
      <c r="S14" s="2"/>
      <c r="T14" s="2">
        <f>--318050.92</f>
        <v>318050.92</v>
      </c>
      <c r="U14" s="2"/>
      <c r="V14" s="19"/>
      <c r="W14" s="2"/>
      <c r="X14" s="2">
        <f t="shared" si="2"/>
        <v>-94648.459999999992</v>
      </c>
      <c r="Y14" s="2"/>
      <c r="Z14" s="19">
        <f t="shared" si="3"/>
        <v>-0.29758901499168749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9" t="s">
        <v>8</v>
      </c>
      <c r="C16" s="10"/>
      <c r="D16" s="4">
        <f>SUM(OSRRefD16x_0)</f>
        <v>1030.8600000000001</v>
      </c>
      <c r="E16" s="4"/>
      <c r="F16" s="13">
        <f t="shared" ref="F16:F18" si="5">IF(D$12=0,0,D16/D$12)</f>
        <v>0</v>
      </c>
      <c r="G16" s="4"/>
      <c r="H16" s="4">
        <f>SUM(OSRRefH16x_0)</f>
        <v>12930.220000000001</v>
      </c>
      <c r="I16" s="4"/>
      <c r="J16" s="13">
        <f t="shared" ref="J16:J18" si="6">IF(H$12=0,0,H16/H$12)</f>
        <v>1.5228003975937103</v>
      </c>
      <c r="K16" s="4"/>
      <c r="L16" s="4">
        <f t="shared" ref="L16:L18" si="7">+D16-H16</f>
        <v>-11899.36</v>
      </c>
      <c r="M16" s="4"/>
      <c r="N16" s="13">
        <f t="shared" ref="N16:N18" si="8">IF(H16=0,0,L16/H16)</f>
        <v>-0.92027513839671715</v>
      </c>
      <c r="O16" s="10"/>
      <c r="P16" s="4">
        <f>SUM(OSRRefP16x_0)</f>
        <v>156243.79999999999</v>
      </c>
      <c r="Q16" s="4"/>
      <c r="R16" s="13">
        <f t="shared" ref="R16:R18" si="9">IF(P$12=0,0,P16/P$12)</f>
        <v>0.54334938651072673</v>
      </c>
      <c r="S16" s="4"/>
      <c r="T16" s="4">
        <f>SUM(OSRRefT16x_0)</f>
        <v>209245.82</v>
      </c>
      <c r="U16" s="4"/>
      <c r="V16" s="13">
        <f t="shared" ref="V16:V18" si="10">IF(T$12=0,0,T16/T$12)</f>
        <v>0.50891449956166812</v>
      </c>
      <c r="W16" s="4"/>
      <c r="X16" s="4">
        <f t="shared" ref="X16:X18" si="11">+P16-T16</f>
        <v>-53002.020000000019</v>
      </c>
      <c r="Y16" s="4"/>
      <c r="Z16" s="13">
        <f t="shared" ref="Z16:Z18" si="12">IF(T16=0,0,X16/T16)</f>
        <v>-0.25330025708518344</v>
      </c>
    </row>
    <row r="17" spans="1:26" s="24" customFormat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-474.14</v>
      </c>
      <c r="E17" s="2"/>
      <c r="F17" s="19">
        <f t="shared" si="5"/>
        <v>0</v>
      </c>
      <c r="G17" s="2"/>
      <c r="H17" s="2">
        <v>5205.5600000000004</v>
      </c>
      <c r="I17" s="2"/>
      <c r="J17" s="19">
        <f t="shared" si="6"/>
        <v>0.61306217819170239</v>
      </c>
      <c r="K17" s="2"/>
      <c r="L17" s="2">
        <f t="shared" si="7"/>
        <v>-5679.7000000000007</v>
      </c>
      <c r="M17" s="2"/>
      <c r="N17" s="19">
        <f t="shared" si="8"/>
        <v>-1.091083380078224</v>
      </c>
      <c r="O17" s="11"/>
      <c r="P17" s="2">
        <v>138437.47</v>
      </c>
      <c r="Q17" s="2"/>
      <c r="R17" s="19">
        <f t="shared" si="9"/>
        <v>0.48142655513112931</v>
      </c>
      <c r="S17" s="2"/>
      <c r="T17" s="2">
        <v>195406.1</v>
      </c>
      <c r="U17" s="2"/>
      <c r="V17" s="19">
        <f t="shared" si="10"/>
        <v>0.47525440456969359</v>
      </c>
      <c r="W17" s="2"/>
      <c r="X17" s="2">
        <f t="shared" si="11"/>
        <v>-56968.630000000005</v>
      </c>
      <c r="Y17" s="2"/>
      <c r="Z17" s="19">
        <f t="shared" si="12"/>
        <v>-0.29153967046064583</v>
      </c>
    </row>
    <row r="18" spans="1:26" s="24" customFormat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1505</v>
      </c>
      <c r="E18" s="2"/>
      <c r="F18" s="19">
        <f t="shared" si="5"/>
        <v>0</v>
      </c>
      <c r="G18" s="2"/>
      <c r="H18" s="2">
        <v>7724.66</v>
      </c>
      <c r="I18" s="2"/>
      <c r="J18" s="19">
        <f t="shared" si="6"/>
        <v>0.90973821940200772</v>
      </c>
      <c r="K18" s="2"/>
      <c r="L18" s="2">
        <f t="shared" si="7"/>
        <v>-6219.66</v>
      </c>
      <c r="M18" s="2"/>
      <c r="N18" s="19">
        <f t="shared" si="8"/>
        <v>-0.80516941845984158</v>
      </c>
      <c r="O18" s="11"/>
      <c r="P18" s="2">
        <v>17806.329999999998</v>
      </c>
      <c r="Q18" s="2"/>
      <c r="R18" s="19">
        <f t="shared" si="9"/>
        <v>6.1922831379597448E-2</v>
      </c>
      <c r="S18" s="2"/>
      <c r="T18" s="2">
        <v>13839.72</v>
      </c>
      <c r="U18" s="2"/>
      <c r="V18" s="19">
        <f t="shared" si="10"/>
        <v>3.3660094991974553E-2</v>
      </c>
      <c r="W18" s="2"/>
      <c r="X18" s="2">
        <f t="shared" si="11"/>
        <v>3966.6099999999988</v>
      </c>
      <c r="Y18" s="2"/>
      <c r="Z18" s="19">
        <f t="shared" si="12"/>
        <v>0.28661056726581163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-1030.8600000000001</v>
      </c>
      <c r="E20" s="14"/>
      <c r="F20" s="21">
        <f>IF(D$12=0,0,D20/D$12)</f>
        <v>0</v>
      </c>
      <c r="G20" s="14"/>
      <c r="H20" s="22">
        <f>H12-H16</f>
        <v>-4439.1400000000012</v>
      </c>
      <c r="I20" s="14"/>
      <c r="J20" s="21">
        <f>IF(H$12=0,0,H20/H$12)</f>
        <v>-0.52280039759371022</v>
      </c>
      <c r="K20" s="15"/>
      <c r="L20" s="22">
        <f>+D20-H20</f>
        <v>3408.2800000000011</v>
      </c>
      <c r="M20" s="15"/>
      <c r="N20" s="21">
        <f>IF(H20=0,0,L20/H20)</f>
        <v>-0.76777934464783726</v>
      </c>
      <c r="O20" s="29"/>
      <c r="P20" s="22">
        <f>P12-P16</f>
        <v>131312.97999999998</v>
      </c>
      <c r="Q20" s="14"/>
      <c r="R20" s="21">
        <f>IF(P$12=0,0,P20/P$12)</f>
        <v>0.45665061348927333</v>
      </c>
      <c r="S20" s="14"/>
      <c r="T20" s="22">
        <f>T12-T16</f>
        <v>201915.22999999998</v>
      </c>
      <c r="U20" s="14"/>
      <c r="V20" s="21">
        <f>IF(T$12=0,0,T20/T$12)</f>
        <v>0.49108550043833188</v>
      </c>
      <c r="W20" s="15"/>
      <c r="X20" s="22">
        <f>+P20-T20</f>
        <v>-70602.25</v>
      </c>
      <c r="Y20" s="15"/>
      <c r="Z20" s="21">
        <f>IF(T20=0,0,X20/T20)</f>
        <v>-0.34966282632568135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1830.8899999999999</v>
      </c>
      <c r="E22" s="20"/>
      <c r="F22" s="36">
        <f t="shared" ref="F22:F31" si="13">IF(D$12=0,0,D22/D$12)</f>
        <v>0</v>
      </c>
      <c r="G22" s="20"/>
      <c r="H22" s="20">
        <f>SUM(OSRRefH22x_0)</f>
        <v>11878.339999999998</v>
      </c>
      <c r="I22" s="20"/>
      <c r="J22" s="36">
        <f t="shared" ref="J22:J31" si="14">IF(H$12=0,0,H22/H$12)</f>
        <v>1.3989198076098681</v>
      </c>
      <c r="K22" s="4"/>
      <c r="L22" s="20">
        <f t="shared" ref="L22:L31" si="15">+D22-H22</f>
        <v>-10047.449999999999</v>
      </c>
      <c r="M22" s="4"/>
      <c r="N22" s="36">
        <f t="shared" ref="N22:N31" si="16">IF(H22=0,0,L22/H22)</f>
        <v>-0.84586314249297467</v>
      </c>
      <c r="O22" s="10"/>
      <c r="P22" s="20">
        <f>SUM(OSRRefP22x_0)</f>
        <v>131548.17000000001</v>
      </c>
      <c r="Q22" s="20"/>
      <c r="R22" s="36">
        <f t="shared" ref="R22:R31" si="17">IF(P$12=0,0,P22/P$12)</f>
        <v>0.45746850413334028</v>
      </c>
      <c r="S22" s="20"/>
      <c r="T22" s="20">
        <f>SUM(OSRRefT22x_0)</f>
        <v>192166.77</v>
      </c>
      <c r="U22" s="20"/>
      <c r="V22" s="36">
        <f t="shared" ref="V22:V31" si="18">IF(T$12=0,0,T22/T$12)</f>
        <v>0.46737591024247066</v>
      </c>
      <c r="W22" s="4"/>
      <c r="X22" s="20">
        <f t="shared" ref="X22:X31" si="19">+P22-T22</f>
        <v>-60618.599999999977</v>
      </c>
      <c r="Y22" s="4"/>
      <c r="Z22" s="36">
        <f t="shared" ref="Z22:Z31" si="20">IF(T22=0,0,X22/T22)</f>
        <v>-0.31544787894389847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-196.77</v>
      </c>
      <c r="E23" s="1"/>
      <c r="F23" s="5">
        <f t="shared" si="13"/>
        <v>0</v>
      </c>
      <c r="G23" s="1"/>
      <c r="H23" s="1">
        <f>SUM(OSRRefH22_0x_0)</f>
        <v>2991.2000000000003</v>
      </c>
      <c r="I23" s="1"/>
      <c r="J23" s="5">
        <f t="shared" si="14"/>
        <v>0.35227556447471936</v>
      </c>
      <c r="K23" s="1"/>
      <c r="L23" s="1">
        <f t="shared" si="15"/>
        <v>-3187.9700000000003</v>
      </c>
      <c r="M23" s="1"/>
      <c r="N23" s="5">
        <f t="shared" si="16"/>
        <v>-1.0657829633591869</v>
      </c>
      <c r="O23" s="12"/>
      <c r="P23" s="1">
        <f>SUM(OSRRefP22_0x_0)</f>
        <v>12752.91</v>
      </c>
      <c r="Q23" s="1"/>
      <c r="R23" s="5">
        <f t="shared" si="17"/>
        <v>4.4349189054071342E-2</v>
      </c>
      <c r="S23" s="1"/>
      <c r="T23" s="1">
        <f>SUM(OSRRefT22_0x_0)</f>
        <v>38790.61</v>
      </c>
      <c r="U23" s="1"/>
      <c r="V23" s="5">
        <f t="shared" si="18"/>
        <v>9.4344077582251537E-2</v>
      </c>
      <c r="W23" s="1"/>
      <c r="X23" s="1">
        <f t="shared" si="19"/>
        <v>-26037.7</v>
      </c>
      <c r="Y23" s="1"/>
      <c r="Z23" s="5">
        <f t="shared" si="20"/>
        <v>-0.67123718858765047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>
        <v>508.85</v>
      </c>
      <c r="I24" s="2"/>
      <c r="J24" s="6">
        <f t="shared" si="14"/>
        <v>5.9927594605162129E-2</v>
      </c>
      <c r="K24" s="2"/>
      <c r="L24" s="7">
        <f t="shared" si="15"/>
        <v>-508.85</v>
      </c>
      <c r="M24" s="2"/>
      <c r="N24" s="6">
        <f t="shared" si="16"/>
        <v>-1</v>
      </c>
      <c r="O24" s="11"/>
      <c r="P24" s="7">
        <v>3698.79</v>
      </c>
      <c r="Q24" s="2"/>
      <c r="R24" s="6">
        <f t="shared" si="17"/>
        <v>1.2862816171470554E-2</v>
      </c>
      <c r="S24" s="2"/>
      <c r="T24" s="7">
        <v>5873.44</v>
      </c>
      <c r="U24" s="2"/>
      <c r="V24" s="6">
        <f t="shared" si="18"/>
        <v>1.4285010703226873E-2</v>
      </c>
      <c r="W24" s="2"/>
      <c r="X24" s="7">
        <f t="shared" si="19"/>
        <v>-2174.6499999999996</v>
      </c>
      <c r="Y24" s="2"/>
      <c r="Z24" s="6">
        <f t="shared" si="20"/>
        <v>-0.37025150508049792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>
        <v>87.35</v>
      </c>
      <c r="I25" s="2"/>
      <c r="J25" s="6">
        <f t="shared" si="14"/>
        <v>1.028726616637695E-2</v>
      </c>
      <c r="K25" s="2"/>
      <c r="L25" s="7">
        <f t="shared" si="15"/>
        <v>-87.35</v>
      </c>
      <c r="M25" s="2"/>
      <c r="N25" s="6">
        <f t="shared" si="16"/>
        <v>-1</v>
      </c>
      <c r="O25" s="11"/>
      <c r="P25" s="7">
        <v>1342.55</v>
      </c>
      <c r="Q25" s="2"/>
      <c r="R25" s="6">
        <f t="shared" si="17"/>
        <v>4.6688170593647627E-3</v>
      </c>
      <c r="S25" s="2"/>
      <c r="T25" s="7">
        <v>1297.22</v>
      </c>
      <c r="U25" s="2"/>
      <c r="V25" s="6">
        <f t="shared" si="18"/>
        <v>3.155016750735509E-3</v>
      </c>
      <c r="W25" s="2"/>
      <c r="X25" s="7">
        <f t="shared" si="19"/>
        <v>45.329999999999927</v>
      </c>
      <c r="Y25" s="2"/>
      <c r="Z25" s="6">
        <f t="shared" si="20"/>
        <v>3.4943957077442474E-2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3"/>
        <v>0</v>
      </c>
      <c r="G26" s="2"/>
      <c r="H26" s="7">
        <v>1901.24</v>
      </c>
      <c r="I26" s="2"/>
      <c r="J26" s="6">
        <f t="shared" si="14"/>
        <v>0.22391026818732129</v>
      </c>
      <c r="K26" s="2"/>
      <c r="L26" s="7">
        <f t="shared" si="15"/>
        <v>-1901.24</v>
      </c>
      <c r="M26" s="2"/>
      <c r="N26" s="6">
        <f t="shared" si="16"/>
        <v>-1</v>
      </c>
      <c r="O26" s="11"/>
      <c r="P26" s="7">
        <v>4829.7</v>
      </c>
      <c r="Q26" s="2"/>
      <c r="R26" s="6">
        <f t="shared" si="17"/>
        <v>1.6795639455971095E-2</v>
      </c>
      <c r="S26" s="2"/>
      <c r="T26" s="7">
        <v>22172.1</v>
      </c>
      <c r="U26" s="2"/>
      <c r="V26" s="6">
        <f t="shared" si="18"/>
        <v>5.3925584634050332E-2</v>
      </c>
      <c r="W26" s="2"/>
      <c r="X26" s="7">
        <f t="shared" si="19"/>
        <v>-17342.399999999998</v>
      </c>
      <c r="Y26" s="2"/>
      <c r="Z26" s="6">
        <f t="shared" si="20"/>
        <v>-0.78217218937313104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-196.77</v>
      </c>
      <c r="E27" s="2"/>
      <c r="F27" s="6">
        <f t="shared" si="13"/>
        <v>0</v>
      </c>
      <c r="G27" s="2"/>
      <c r="H27" s="7">
        <v>18.8</v>
      </c>
      <c r="I27" s="2"/>
      <c r="J27" s="6">
        <f t="shared" si="14"/>
        <v>2.2140881960834194E-3</v>
      </c>
      <c r="K27" s="2"/>
      <c r="L27" s="7">
        <f t="shared" si="15"/>
        <v>-215.57000000000002</v>
      </c>
      <c r="M27" s="2"/>
      <c r="N27" s="6">
        <f t="shared" si="16"/>
        <v>-11.466489361702129</v>
      </c>
      <c r="O27" s="11"/>
      <c r="P27" s="7">
        <v>0</v>
      </c>
      <c r="Q27" s="2"/>
      <c r="R27" s="6">
        <f t="shared" si="17"/>
        <v>0</v>
      </c>
      <c r="S27" s="2"/>
      <c r="T27" s="7">
        <v>310.3</v>
      </c>
      <c r="U27" s="2"/>
      <c r="V27" s="6">
        <f t="shared" si="18"/>
        <v>7.5469210908961349E-4</v>
      </c>
      <c r="W27" s="2"/>
      <c r="X27" s="7">
        <f t="shared" si="19"/>
        <v>-310.3</v>
      </c>
      <c r="Y27" s="2"/>
      <c r="Z27" s="6">
        <f t="shared" si="20"/>
        <v>-1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938.77</v>
      </c>
      <c r="Q28" s="2"/>
      <c r="R28" s="6">
        <f t="shared" si="17"/>
        <v>3.2646422038805694E-3</v>
      </c>
      <c r="S28" s="2"/>
      <c r="T28" s="7">
        <v>3046.46</v>
      </c>
      <c r="U28" s="2"/>
      <c r="V28" s="6">
        <f t="shared" si="18"/>
        <v>7.4094080652824489E-3</v>
      </c>
      <c r="W28" s="2"/>
      <c r="X28" s="7">
        <f t="shared" si="19"/>
        <v>-2107.69</v>
      </c>
      <c r="Y28" s="2"/>
      <c r="Z28" s="6">
        <f t="shared" si="20"/>
        <v>-0.69184890003479449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3"/>
        <v>0</v>
      </c>
      <c r="G29" s="2"/>
      <c r="H29" s="7">
        <v>147.84</v>
      </c>
      <c r="I29" s="2"/>
      <c r="J29" s="6">
        <f t="shared" si="14"/>
        <v>1.7411212707924079E-2</v>
      </c>
      <c r="K29" s="2"/>
      <c r="L29" s="7">
        <f t="shared" si="15"/>
        <v>-147.84</v>
      </c>
      <c r="M29" s="2"/>
      <c r="N29" s="6">
        <f t="shared" si="16"/>
        <v>-1</v>
      </c>
      <c r="O29" s="11"/>
      <c r="P29" s="7">
        <v>480.48</v>
      </c>
      <c r="Q29" s="2"/>
      <c r="R29" s="6">
        <f t="shared" si="17"/>
        <v>1.670904786178229E-3</v>
      </c>
      <c r="S29" s="2"/>
      <c r="T29" s="7">
        <v>1905</v>
      </c>
      <c r="U29" s="2"/>
      <c r="V29" s="6">
        <f t="shared" si="18"/>
        <v>4.6332209726577941E-3</v>
      </c>
      <c r="W29" s="2"/>
      <c r="X29" s="7">
        <f t="shared" si="19"/>
        <v>-1424.52</v>
      </c>
      <c r="Y29" s="2"/>
      <c r="Z29" s="6">
        <f t="shared" si="20"/>
        <v>-0.74777952755905508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3"/>
        <v>0</v>
      </c>
      <c r="G30" s="2"/>
      <c r="H30" s="7">
        <v>177.12</v>
      </c>
      <c r="I30" s="2"/>
      <c r="J30" s="6">
        <f t="shared" si="14"/>
        <v>2.0859537302675278E-2</v>
      </c>
      <c r="K30" s="2"/>
      <c r="L30" s="7">
        <f t="shared" si="15"/>
        <v>-177.12</v>
      </c>
      <c r="M30" s="2"/>
      <c r="N30" s="6">
        <f t="shared" si="16"/>
        <v>-1</v>
      </c>
      <c r="O30" s="11"/>
      <c r="P30" s="7">
        <v>575.64</v>
      </c>
      <c r="Q30" s="2"/>
      <c r="R30" s="6">
        <f t="shared" si="17"/>
        <v>2.0018307340901511E-3</v>
      </c>
      <c r="S30" s="2"/>
      <c r="T30" s="7">
        <v>2414.08</v>
      </c>
      <c r="U30" s="2"/>
      <c r="V30" s="6">
        <f t="shared" si="18"/>
        <v>5.8713732733195424E-3</v>
      </c>
      <c r="W30" s="2"/>
      <c r="X30" s="7">
        <f t="shared" si="19"/>
        <v>-1838.44</v>
      </c>
      <c r="Y30" s="2"/>
      <c r="Z30" s="6">
        <f t="shared" si="20"/>
        <v>-0.76154891304347827</v>
      </c>
    </row>
    <row r="31" spans="1:26" s="24" customFormat="1" hidden="1" outlineLevel="2" x14ac:dyDescent="0.3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3"/>
        <v>0</v>
      </c>
      <c r="G31" s="2"/>
      <c r="H31" s="7">
        <v>150</v>
      </c>
      <c r="I31" s="2"/>
      <c r="J31" s="6">
        <f t="shared" si="14"/>
        <v>1.7665597309176218E-2</v>
      </c>
      <c r="K31" s="2"/>
      <c r="L31" s="7">
        <f t="shared" si="15"/>
        <v>-150</v>
      </c>
      <c r="M31" s="2"/>
      <c r="N31" s="6">
        <f t="shared" si="16"/>
        <v>-1</v>
      </c>
      <c r="O31" s="11"/>
      <c r="P31" s="7">
        <v>886.98</v>
      </c>
      <c r="Q31" s="2"/>
      <c r="R31" s="6">
        <f t="shared" si="17"/>
        <v>3.0845386431159793E-3</v>
      </c>
      <c r="S31" s="2"/>
      <c r="T31" s="7">
        <v>1772.01</v>
      </c>
      <c r="U31" s="2"/>
      <c r="V31" s="6">
        <f t="shared" si="18"/>
        <v>4.3097710738894167E-3</v>
      </c>
      <c r="W31" s="2"/>
      <c r="X31" s="7">
        <f t="shared" si="19"/>
        <v>-885.03</v>
      </c>
      <c r="Y31" s="2"/>
      <c r="Z31" s="6">
        <f t="shared" si="20"/>
        <v>-0.49944977737145951</v>
      </c>
    </row>
    <row r="32" spans="1:26" s="25" customFormat="1" outlineLevel="1" collapsed="1" x14ac:dyDescent="0.3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6651.5300000000007</v>
      </c>
      <c r="I32" s="1"/>
      <c r="J32" s="5">
        <f t="shared" ref="J32:J37" si="22">IF(H$12=0,0,H32/H$12)</f>
        <v>0.78335500313269935</v>
      </c>
      <c r="K32" s="1"/>
      <c r="L32" s="1">
        <f t="shared" ref="L32:L37" si="23">+D32-H32</f>
        <v>-6651.5300000000007</v>
      </c>
      <c r="M32" s="1"/>
      <c r="N32" s="5">
        <f t="shared" ref="N32:N37" si="24">IF(H32=0,0,L32/H32)</f>
        <v>-1</v>
      </c>
      <c r="O32" s="12"/>
      <c r="P32" s="1">
        <f>SUM(OSRRefP22_1x_0)</f>
        <v>74718.25</v>
      </c>
      <c r="Q32" s="1"/>
      <c r="R32" s="5">
        <f t="shared" ref="R32:R37" si="25">IF(P$12=0,0,P32/P$12)</f>
        <v>0.25983824829308494</v>
      </c>
      <c r="S32" s="1"/>
      <c r="T32" s="1">
        <f>SUM(OSRRefT22_1x_0)</f>
        <v>115208.34</v>
      </c>
      <c r="U32" s="1"/>
      <c r="V32" s="5">
        <f t="shared" ref="V32:V37" si="26">IF(T$12=0,0,T32/T$12)</f>
        <v>0.28020246567616264</v>
      </c>
      <c r="W32" s="1"/>
      <c r="X32" s="1">
        <f t="shared" ref="X32:X37" si="27">+P32-T32</f>
        <v>-40490.089999999997</v>
      </c>
      <c r="Y32" s="1"/>
      <c r="Z32" s="5">
        <f t="shared" ref="Z32:Z37" si="28">IF(T32=0,0,X32/T32)</f>
        <v>-0.35145103210409939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1"/>
        <v>0</v>
      </c>
      <c r="G33" s="2"/>
      <c r="H33" s="7">
        <v>3840</v>
      </c>
      <c r="I33" s="2"/>
      <c r="J33" s="6">
        <f t="shared" si="22"/>
        <v>0.45223929111491118</v>
      </c>
      <c r="K33" s="2"/>
      <c r="L33" s="7">
        <f t="shared" si="23"/>
        <v>-3840</v>
      </c>
      <c r="M33" s="2"/>
      <c r="N33" s="6">
        <f t="shared" si="24"/>
        <v>-1</v>
      </c>
      <c r="O33" s="11"/>
      <c r="P33" s="7">
        <v>9840</v>
      </c>
      <c r="Q33" s="2"/>
      <c r="R33" s="6">
        <f t="shared" si="25"/>
        <v>3.4219328787865828E-2</v>
      </c>
      <c r="S33" s="2"/>
      <c r="T33" s="7">
        <v>45188.32</v>
      </c>
      <c r="U33" s="2"/>
      <c r="V33" s="6">
        <f t="shared" si="26"/>
        <v>0.10990418474707174</v>
      </c>
      <c r="W33" s="2"/>
      <c r="X33" s="7">
        <f t="shared" si="27"/>
        <v>-35348.32</v>
      </c>
      <c r="Y33" s="2"/>
      <c r="Z33" s="6">
        <f t="shared" si="28"/>
        <v>-0.78224461542274637</v>
      </c>
    </row>
    <row r="34" spans="1:26" s="24" customFormat="1" hidden="1" outlineLevel="2" x14ac:dyDescent="0.3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1"/>
        <v>0</v>
      </c>
      <c r="G34" s="2"/>
      <c r="H34" s="7">
        <v>56</v>
      </c>
      <c r="I34" s="2"/>
      <c r="J34" s="6">
        <f t="shared" si="22"/>
        <v>6.5951563287591211E-3</v>
      </c>
      <c r="K34" s="2"/>
      <c r="L34" s="7">
        <f t="shared" si="23"/>
        <v>-56</v>
      </c>
      <c r="M34" s="2"/>
      <c r="N34" s="6">
        <f t="shared" si="24"/>
        <v>-1</v>
      </c>
      <c r="O34" s="11"/>
      <c r="P34" s="7">
        <v>29326.09</v>
      </c>
      <c r="Q34" s="2"/>
      <c r="R34" s="6">
        <f t="shared" si="25"/>
        <v>0.10198364997688458</v>
      </c>
      <c r="S34" s="2"/>
      <c r="T34" s="7">
        <v>8360.02</v>
      </c>
      <c r="U34" s="2"/>
      <c r="V34" s="6">
        <f t="shared" si="26"/>
        <v>2.0332713908576702E-2</v>
      </c>
      <c r="W34" s="2"/>
      <c r="X34" s="7">
        <f t="shared" si="27"/>
        <v>20966.07</v>
      </c>
      <c r="Y34" s="2"/>
      <c r="Z34" s="6">
        <f t="shared" si="28"/>
        <v>2.5078971102939942</v>
      </c>
    </row>
    <row r="35" spans="1:26" s="24" customFormat="1" hidden="1" outlineLevel="2" x14ac:dyDescent="0.3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1"/>
        <v>0</v>
      </c>
      <c r="G35" s="2"/>
      <c r="H35" s="7">
        <v>1408.8</v>
      </c>
      <c r="I35" s="2"/>
      <c r="J35" s="6">
        <f t="shared" si="22"/>
        <v>0.16591528992778304</v>
      </c>
      <c r="K35" s="2"/>
      <c r="L35" s="7">
        <f t="shared" si="23"/>
        <v>-1408.8</v>
      </c>
      <c r="M35" s="2"/>
      <c r="N35" s="6">
        <f t="shared" si="24"/>
        <v>-1</v>
      </c>
      <c r="O35" s="11"/>
      <c r="P35" s="7">
        <v>2587.42</v>
      </c>
      <c r="Q35" s="2"/>
      <c r="R35" s="6">
        <f t="shared" si="25"/>
        <v>8.9979446841768097E-3</v>
      </c>
      <c r="S35" s="2"/>
      <c r="T35" s="7">
        <v>11914.09</v>
      </c>
      <c r="U35" s="2"/>
      <c r="V35" s="6">
        <f t="shared" si="26"/>
        <v>2.8976699033140423E-2</v>
      </c>
      <c r="W35" s="2"/>
      <c r="X35" s="7">
        <f t="shared" si="27"/>
        <v>-9326.67</v>
      </c>
      <c r="Y35" s="2"/>
      <c r="Z35" s="6">
        <f t="shared" si="28"/>
        <v>-0.78282688816351065</v>
      </c>
    </row>
    <row r="36" spans="1:26" s="24" customFormat="1" hidden="1" outlineLevel="2" x14ac:dyDescent="0.3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1"/>
        <v>0</v>
      </c>
      <c r="G36" s="2"/>
      <c r="H36" s="7">
        <v>1346.73</v>
      </c>
      <c r="I36" s="2"/>
      <c r="J36" s="6">
        <f t="shared" si="22"/>
        <v>0.15860526576124592</v>
      </c>
      <c r="K36" s="2"/>
      <c r="L36" s="7">
        <f t="shared" si="23"/>
        <v>-1346.73</v>
      </c>
      <c r="M36" s="2"/>
      <c r="N36" s="6">
        <f t="shared" si="24"/>
        <v>-1</v>
      </c>
      <c r="O36" s="11"/>
      <c r="P36" s="7">
        <v>32907.740000000005</v>
      </c>
      <c r="Q36" s="2"/>
      <c r="R36" s="6">
        <f t="shared" si="25"/>
        <v>0.11443910312252074</v>
      </c>
      <c r="S36" s="2"/>
      <c r="T36" s="7">
        <v>48320.91</v>
      </c>
      <c r="U36" s="2"/>
      <c r="V36" s="6">
        <f t="shared" si="26"/>
        <v>0.11752307277160617</v>
      </c>
      <c r="W36" s="2"/>
      <c r="X36" s="7">
        <f t="shared" si="27"/>
        <v>-15413.169999999998</v>
      </c>
      <c r="Y36" s="2"/>
      <c r="Z36" s="6">
        <f t="shared" si="28"/>
        <v>-0.31897516002906395</v>
      </c>
    </row>
    <row r="37" spans="1:26" s="24" customFormat="1" hidden="1" outlineLevel="2" x14ac:dyDescent="0.3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1"/>
        <v>0</v>
      </c>
      <c r="G37" s="2"/>
      <c r="H37" s="7"/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>
        <v>57</v>
      </c>
      <c r="Q37" s="2"/>
      <c r="R37" s="6">
        <f t="shared" si="25"/>
        <v>1.9822172163702767E-4</v>
      </c>
      <c r="S37" s="2"/>
      <c r="T37" s="7">
        <v>1425</v>
      </c>
      <c r="U37" s="2"/>
      <c r="V37" s="6">
        <f t="shared" si="26"/>
        <v>3.4657952157676414E-3</v>
      </c>
      <c r="W37" s="2"/>
      <c r="X37" s="7">
        <f t="shared" si="27"/>
        <v>-1368</v>
      </c>
      <c r="Y37" s="2"/>
      <c r="Z37" s="6">
        <f t="shared" si="28"/>
        <v>-0.96</v>
      </c>
    </row>
    <row r="38" spans="1:26" s="25" customFormat="1" outlineLevel="1" collapsed="1" x14ac:dyDescent="0.35">
      <c r="A38" s="26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4" si="29">IF(D$12=0,0,D38/D$12)</f>
        <v>0</v>
      </c>
      <c r="G38" s="1"/>
      <c r="H38" s="1">
        <f>SUM(OSRRefH22_2x_0)</f>
        <v>6</v>
      </c>
      <c r="I38" s="1"/>
      <c r="J38" s="5">
        <f t="shared" ref="J38:J54" si="30">IF(H$12=0,0,H38/H$12)</f>
        <v>7.0662389236704872E-4</v>
      </c>
      <c r="K38" s="1"/>
      <c r="L38" s="1">
        <f t="shared" ref="L38:L54" si="31">+D38-H38</f>
        <v>-6</v>
      </c>
      <c r="M38" s="1"/>
      <c r="N38" s="5">
        <f t="shared" ref="N38:N54" si="32">IF(H38=0,0,L38/H38)</f>
        <v>-1</v>
      </c>
      <c r="O38" s="12"/>
      <c r="P38" s="1">
        <f>SUM(OSRRefP22_2x_0)</f>
        <v>910.02</v>
      </c>
      <c r="Q38" s="1"/>
      <c r="R38" s="5">
        <f t="shared" ref="R38:R54" si="33">IF(P$12=0,0,P38/P$12)</f>
        <v>3.1646619495461037E-3</v>
      </c>
      <c r="S38" s="1"/>
      <c r="T38" s="1">
        <f>SUM(OSRRefT22_2x_0)</f>
        <v>2330.6799999999998</v>
      </c>
      <c r="U38" s="1"/>
      <c r="V38" s="5">
        <f t="shared" ref="V38:V54" si="34">IF(T$12=0,0,T38/T$12)</f>
        <v>5.668533048059878E-3</v>
      </c>
      <c r="W38" s="1"/>
      <c r="X38" s="1">
        <f t="shared" ref="X38:X54" si="35">+P38-T38</f>
        <v>-1420.6599999999999</v>
      </c>
      <c r="Y38" s="1"/>
      <c r="Z38" s="5">
        <f t="shared" ref="Z38:Z54" si="36">IF(T38=0,0,X38/T38)</f>
        <v>-0.60954742821837404</v>
      </c>
    </row>
    <row r="39" spans="1:26" s="24" customFormat="1" hidden="1" outlineLevel="2" x14ac:dyDescent="0.35">
      <c r="A39" s="27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29"/>
        <v>0</v>
      </c>
      <c r="G39" s="2"/>
      <c r="H39" s="7">
        <v>6</v>
      </c>
      <c r="I39" s="2"/>
      <c r="J39" s="6">
        <f t="shared" si="30"/>
        <v>7.0662389236704872E-4</v>
      </c>
      <c r="K39" s="2"/>
      <c r="L39" s="7">
        <f t="shared" si="31"/>
        <v>-6</v>
      </c>
      <c r="M39" s="2"/>
      <c r="N39" s="6">
        <f t="shared" si="32"/>
        <v>-1</v>
      </c>
      <c r="O39" s="11"/>
      <c r="P39" s="7">
        <v>910.02</v>
      </c>
      <c r="Q39" s="2"/>
      <c r="R39" s="6">
        <f t="shared" si="33"/>
        <v>3.1646619495461037E-3</v>
      </c>
      <c r="S39" s="2"/>
      <c r="T39" s="7">
        <v>2330.6799999999998</v>
      </c>
      <c r="U39" s="2"/>
      <c r="V39" s="6">
        <f t="shared" si="34"/>
        <v>5.668533048059878E-3</v>
      </c>
      <c r="W39" s="2"/>
      <c r="X39" s="7">
        <f t="shared" si="35"/>
        <v>-1420.6599999999999</v>
      </c>
      <c r="Y39" s="2"/>
      <c r="Z39" s="6">
        <f t="shared" si="36"/>
        <v>-0.60954742821837404</v>
      </c>
    </row>
    <row r="40" spans="1:26" s="25" customFormat="1" outlineLevel="1" collapsed="1" x14ac:dyDescent="0.35">
      <c r="A40" s="26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700.21</v>
      </c>
      <c r="I40" s="1"/>
      <c r="J40" s="5">
        <f t="shared" si="30"/>
        <v>8.2464185945721871E-2</v>
      </c>
      <c r="K40" s="1"/>
      <c r="L40" s="1">
        <f t="shared" si="31"/>
        <v>-700.21</v>
      </c>
      <c r="M40" s="1"/>
      <c r="N40" s="5">
        <f t="shared" si="32"/>
        <v>-1</v>
      </c>
      <c r="O40" s="12"/>
      <c r="P40" s="1">
        <f>SUM(OSRRefP22_3x_0)</f>
        <v>-18.989999999999998</v>
      </c>
      <c r="Q40" s="1"/>
      <c r="R40" s="5">
        <f t="shared" si="33"/>
        <v>-6.6039131471704477E-5</v>
      </c>
      <c r="S40" s="1"/>
      <c r="T40" s="1">
        <f>SUM(OSRRefT22_3x_0)</f>
        <v>436.07</v>
      </c>
      <c r="U40" s="1"/>
      <c r="V40" s="5">
        <f t="shared" si="34"/>
        <v>1.0605819787647688E-3</v>
      </c>
      <c r="W40" s="1"/>
      <c r="X40" s="1">
        <f t="shared" si="35"/>
        <v>-455.06</v>
      </c>
      <c r="Y40" s="1"/>
      <c r="Z40" s="5">
        <f t="shared" si="36"/>
        <v>-1.0435480542114799</v>
      </c>
    </row>
    <row r="41" spans="1:26" s="24" customFormat="1" hidden="1" outlineLevel="2" x14ac:dyDescent="0.35">
      <c r="A41" s="27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29"/>
        <v>0</v>
      </c>
      <c r="G41" s="2"/>
      <c r="H41" s="7">
        <v>700.21</v>
      </c>
      <c r="I41" s="2"/>
      <c r="J41" s="6">
        <f t="shared" si="30"/>
        <v>8.2464185945721871E-2</v>
      </c>
      <c r="K41" s="2"/>
      <c r="L41" s="7">
        <f t="shared" si="31"/>
        <v>-700.21</v>
      </c>
      <c r="M41" s="2"/>
      <c r="N41" s="6">
        <f t="shared" si="32"/>
        <v>-1</v>
      </c>
      <c r="O41" s="11"/>
      <c r="P41" s="7">
        <v>-18.989999999999998</v>
      </c>
      <c r="Q41" s="2"/>
      <c r="R41" s="6">
        <f t="shared" si="33"/>
        <v>-6.6039131471704477E-5</v>
      </c>
      <c r="S41" s="2"/>
      <c r="T41" s="7">
        <v>436.07</v>
      </c>
      <c r="U41" s="2"/>
      <c r="V41" s="6">
        <f t="shared" si="34"/>
        <v>1.0605819787647688E-3</v>
      </c>
      <c r="W41" s="2"/>
      <c r="X41" s="7">
        <f t="shared" si="35"/>
        <v>-455.06</v>
      </c>
      <c r="Y41" s="2"/>
      <c r="Z41" s="6">
        <f t="shared" si="36"/>
        <v>-1.0435480542114799</v>
      </c>
    </row>
    <row r="42" spans="1:26" s="25" customFormat="1" outlineLevel="1" collapsed="1" x14ac:dyDescent="0.35">
      <c r="A42" s="26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29"/>
        <v>0</v>
      </c>
      <c r="G42" s="1"/>
      <c r="H42" s="1">
        <f>SUM(OSRRefH22_4x_0)</f>
        <v>192.39</v>
      </c>
      <c r="I42" s="1"/>
      <c r="J42" s="5">
        <f t="shared" si="30"/>
        <v>2.2657895108749417E-2</v>
      </c>
      <c r="K42" s="1"/>
      <c r="L42" s="1">
        <f t="shared" si="31"/>
        <v>-192.39</v>
      </c>
      <c r="M42" s="1"/>
      <c r="N42" s="5">
        <f t="shared" si="32"/>
        <v>-1</v>
      </c>
      <c r="O42" s="12"/>
      <c r="P42" s="1">
        <f>SUM(OSRRefP22_4x_0)</f>
        <v>10541.38</v>
      </c>
      <c r="Q42" s="1"/>
      <c r="R42" s="5">
        <f t="shared" si="33"/>
        <v>3.6658429684739133E-2</v>
      </c>
      <c r="S42" s="1"/>
      <c r="T42" s="1">
        <f>SUM(OSRRefT22_4x_0)</f>
        <v>13140.39</v>
      </c>
      <c r="U42" s="1"/>
      <c r="V42" s="5">
        <f t="shared" si="34"/>
        <v>3.1959228628295408E-2</v>
      </c>
      <c r="W42" s="1"/>
      <c r="X42" s="1">
        <f t="shared" si="35"/>
        <v>-2599.0100000000002</v>
      </c>
      <c r="Y42" s="1"/>
      <c r="Z42" s="5">
        <f t="shared" si="36"/>
        <v>-0.19778788909613795</v>
      </c>
    </row>
    <row r="43" spans="1:26" s="24" customFormat="1" hidden="1" outlineLevel="2" x14ac:dyDescent="0.35">
      <c r="A43" s="27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29"/>
        <v>0</v>
      </c>
      <c r="G43" s="2"/>
      <c r="H43" s="7">
        <v>192.39</v>
      </c>
      <c r="I43" s="2"/>
      <c r="J43" s="6">
        <f t="shared" si="30"/>
        <v>2.2657895108749417E-2</v>
      </c>
      <c r="K43" s="2"/>
      <c r="L43" s="7">
        <f t="shared" si="31"/>
        <v>-192.39</v>
      </c>
      <c r="M43" s="2"/>
      <c r="N43" s="6">
        <f t="shared" si="32"/>
        <v>-1</v>
      </c>
      <c r="O43" s="11"/>
      <c r="P43" s="7">
        <v>10541.38</v>
      </c>
      <c r="Q43" s="2"/>
      <c r="R43" s="6">
        <f t="shared" si="33"/>
        <v>3.6658429684739133E-2</v>
      </c>
      <c r="S43" s="2"/>
      <c r="T43" s="7">
        <v>13140.39</v>
      </c>
      <c r="U43" s="2"/>
      <c r="V43" s="6">
        <f t="shared" si="34"/>
        <v>3.1959228628295408E-2</v>
      </c>
      <c r="W43" s="2"/>
      <c r="X43" s="7">
        <f t="shared" si="35"/>
        <v>-2599.0100000000002</v>
      </c>
      <c r="Y43" s="2"/>
      <c r="Z43" s="6">
        <f t="shared" si="36"/>
        <v>-0.19778788909613795</v>
      </c>
    </row>
    <row r="44" spans="1:26" s="25" customFormat="1" outlineLevel="1" collapsed="1" x14ac:dyDescent="0.35">
      <c r="A44" s="26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315.39999999999998</v>
      </c>
      <c r="E44" s="1"/>
      <c r="F44" s="5">
        <f t="shared" si="29"/>
        <v>0</v>
      </c>
      <c r="G44" s="1"/>
      <c r="H44" s="1">
        <f>SUM(OSRRefH22_5x_0)</f>
        <v>152.93</v>
      </c>
      <c r="I44" s="1"/>
      <c r="J44" s="5">
        <f t="shared" si="30"/>
        <v>1.8010665309948794E-2</v>
      </c>
      <c r="K44" s="1"/>
      <c r="L44" s="1">
        <f t="shared" si="31"/>
        <v>162.46999999999997</v>
      </c>
      <c r="M44" s="1"/>
      <c r="N44" s="5">
        <f t="shared" si="32"/>
        <v>1.0623814817236641</v>
      </c>
      <c r="O44" s="12"/>
      <c r="P44" s="1">
        <f>SUM(OSRRefP22_5x_0)</f>
        <v>2507.0500000000002</v>
      </c>
      <c r="Q44" s="1"/>
      <c r="R44" s="5">
        <f t="shared" si="33"/>
        <v>8.7184520566686019E-3</v>
      </c>
      <c r="S44" s="1"/>
      <c r="T44" s="1">
        <f>SUM(OSRRefT22_5x_0)</f>
        <v>622.66999999999996</v>
      </c>
      <c r="U44" s="1"/>
      <c r="V44" s="5">
        <f t="shared" si="34"/>
        <v>1.5144187417558156E-3</v>
      </c>
      <c r="W44" s="1"/>
      <c r="X44" s="1">
        <f t="shared" si="35"/>
        <v>1884.38</v>
      </c>
      <c r="Y44" s="1"/>
      <c r="Z44" s="5">
        <f t="shared" si="36"/>
        <v>3.0262900091541272</v>
      </c>
    </row>
    <row r="45" spans="1:26" s="24" customFormat="1" hidden="1" outlineLevel="2" x14ac:dyDescent="0.3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315.39999999999998</v>
      </c>
      <c r="E45" s="2"/>
      <c r="F45" s="6">
        <f t="shared" si="29"/>
        <v>0</v>
      </c>
      <c r="G45" s="2"/>
      <c r="H45" s="7">
        <v>152.93</v>
      </c>
      <c r="I45" s="2"/>
      <c r="J45" s="6">
        <f t="shared" si="30"/>
        <v>1.8010665309948794E-2</v>
      </c>
      <c r="K45" s="2"/>
      <c r="L45" s="7">
        <f t="shared" si="31"/>
        <v>162.46999999999997</v>
      </c>
      <c r="M45" s="2"/>
      <c r="N45" s="6">
        <f t="shared" si="32"/>
        <v>1.0623814817236641</v>
      </c>
      <c r="O45" s="11"/>
      <c r="P45" s="7">
        <v>2507.0500000000002</v>
      </c>
      <c r="Q45" s="2"/>
      <c r="R45" s="6">
        <f t="shared" si="33"/>
        <v>8.7184520566686019E-3</v>
      </c>
      <c r="S45" s="2"/>
      <c r="T45" s="7">
        <v>622.66999999999996</v>
      </c>
      <c r="U45" s="2"/>
      <c r="V45" s="6">
        <f t="shared" si="34"/>
        <v>1.5144187417558156E-3</v>
      </c>
      <c r="W45" s="2"/>
      <c r="X45" s="7">
        <f t="shared" si="35"/>
        <v>1884.38</v>
      </c>
      <c r="Y45" s="2"/>
      <c r="Z45" s="6">
        <f t="shared" si="36"/>
        <v>3.0262900091541272</v>
      </c>
    </row>
    <row r="46" spans="1:26" s="25" customFormat="1" outlineLevel="1" collapsed="1" x14ac:dyDescent="0.35">
      <c r="A46" s="26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2"/>
      <c r="P46" s="1">
        <f>SUM(OSRRefP22_6x_0)</f>
        <v>62.26</v>
      </c>
      <c r="Q46" s="1"/>
      <c r="R46" s="5">
        <f t="shared" si="33"/>
        <v>2.1651376121265513E-4</v>
      </c>
      <c r="S46" s="1"/>
      <c r="T46" s="1">
        <f>SUM(OSRRefT22_6x_0)</f>
        <v>0</v>
      </c>
      <c r="U46" s="1"/>
      <c r="V46" s="5">
        <f t="shared" si="34"/>
        <v>0</v>
      </c>
      <c r="W46" s="1"/>
      <c r="X46" s="1">
        <f t="shared" si="35"/>
        <v>62.26</v>
      </c>
      <c r="Y46" s="1"/>
      <c r="Z46" s="5">
        <f t="shared" si="36"/>
        <v>0</v>
      </c>
    </row>
    <row r="47" spans="1:26" s="24" customFormat="1" hidden="1" outlineLevel="2" x14ac:dyDescent="0.3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9"/>
        <v>0</v>
      </c>
      <c r="G47" s="2"/>
      <c r="H47" s="7"/>
      <c r="I47" s="2"/>
      <c r="J47" s="6">
        <f t="shared" si="30"/>
        <v>0</v>
      </c>
      <c r="K47" s="2"/>
      <c r="L47" s="7">
        <f t="shared" si="31"/>
        <v>0</v>
      </c>
      <c r="M47" s="2"/>
      <c r="N47" s="6">
        <f t="shared" si="32"/>
        <v>0</v>
      </c>
      <c r="O47" s="11"/>
      <c r="P47" s="7">
        <v>62.26</v>
      </c>
      <c r="Q47" s="2"/>
      <c r="R47" s="6">
        <f t="shared" si="33"/>
        <v>2.1651376121265513E-4</v>
      </c>
      <c r="S47" s="2"/>
      <c r="T47" s="7"/>
      <c r="U47" s="2"/>
      <c r="V47" s="6">
        <f t="shared" si="34"/>
        <v>0</v>
      </c>
      <c r="W47" s="2"/>
      <c r="X47" s="7">
        <f t="shared" si="35"/>
        <v>62.26</v>
      </c>
      <c r="Y47" s="2"/>
      <c r="Z47" s="6">
        <f t="shared" si="36"/>
        <v>0</v>
      </c>
    </row>
    <row r="48" spans="1:26" s="25" customFormat="1" outlineLevel="1" collapsed="1" x14ac:dyDescent="0.35">
      <c r="A48" s="26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0</v>
      </c>
      <c r="E48" s="1"/>
      <c r="F48" s="5">
        <f t="shared" si="29"/>
        <v>0</v>
      </c>
      <c r="G48" s="1"/>
      <c r="H48" s="1">
        <f>SUM(OSRRefH22_7x_0)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2"/>
      <c r="P48" s="1">
        <f>SUM(OSRRefP22_7x_0)</f>
        <v>12</v>
      </c>
      <c r="Q48" s="1"/>
      <c r="R48" s="5">
        <f t="shared" si="33"/>
        <v>4.1730888765690033E-5</v>
      </c>
      <c r="S48" s="1"/>
      <c r="T48" s="1">
        <f>SUM(OSRRefT22_7x_0)</f>
        <v>0</v>
      </c>
      <c r="U48" s="1"/>
      <c r="V48" s="5">
        <f t="shared" si="34"/>
        <v>0</v>
      </c>
      <c r="W48" s="1"/>
      <c r="X48" s="1">
        <f t="shared" si="35"/>
        <v>12</v>
      </c>
      <c r="Y48" s="1"/>
      <c r="Z48" s="5">
        <f t="shared" si="36"/>
        <v>0</v>
      </c>
    </row>
    <row r="49" spans="1:26" s="24" customFormat="1" hidden="1" outlineLevel="2" x14ac:dyDescent="0.35">
      <c r="A49" s="27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29"/>
        <v>0</v>
      </c>
      <c r="G49" s="2"/>
      <c r="H49" s="7"/>
      <c r="I49" s="2"/>
      <c r="J49" s="6">
        <f t="shared" si="30"/>
        <v>0</v>
      </c>
      <c r="K49" s="2"/>
      <c r="L49" s="7">
        <f t="shared" si="31"/>
        <v>0</v>
      </c>
      <c r="M49" s="2"/>
      <c r="N49" s="6">
        <f t="shared" si="32"/>
        <v>0</v>
      </c>
      <c r="O49" s="11"/>
      <c r="P49" s="7">
        <v>12</v>
      </c>
      <c r="Q49" s="2"/>
      <c r="R49" s="6">
        <f t="shared" si="33"/>
        <v>4.1730888765690033E-5</v>
      </c>
      <c r="S49" s="2"/>
      <c r="T49" s="7"/>
      <c r="U49" s="2"/>
      <c r="V49" s="6">
        <f t="shared" si="34"/>
        <v>0</v>
      </c>
      <c r="W49" s="2"/>
      <c r="X49" s="7">
        <f t="shared" si="35"/>
        <v>12</v>
      </c>
      <c r="Y49" s="2"/>
      <c r="Z49" s="6">
        <f t="shared" si="36"/>
        <v>0</v>
      </c>
    </row>
    <row r="50" spans="1:26" s="25" customFormat="1" outlineLevel="1" collapsed="1" x14ac:dyDescent="0.35">
      <c r="A50" s="26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SUM(OSRRefD22_8x_0)</f>
        <v>0</v>
      </c>
      <c r="E50" s="1"/>
      <c r="F50" s="5">
        <f t="shared" si="29"/>
        <v>0</v>
      </c>
      <c r="G50" s="1"/>
      <c r="H50" s="1">
        <f>SUM(OSRRefH22_8x_0)</f>
        <v>4.5</v>
      </c>
      <c r="I50" s="1"/>
      <c r="J50" s="5">
        <f t="shared" si="30"/>
        <v>5.2996791927528654E-4</v>
      </c>
      <c r="K50" s="1"/>
      <c r="L50" s="1">
        <f t="shared" si="31"/>
        <v>-4.5</v>
      </c>
      <c r="M50" s="1"/>
      <c r="N50" s="5">
        <f t="shared" si="32"/>
        <v>-1</v>
      </c>
      <c r="O50" s="12"/>
      <c r="P50" s="1">
        <f>SUM(OSRRefP22_8x_0)</f>
        <v>5632.39</v>
      </c>
      <c r="Q50" s="1"/>
      <c r="R50" s="5">
        <f t="shared" si="33"/>
        <v>1.9587053381248744E-2</v>
      </c>
      <c r="S50" s="1"/>
      <c r="T50" s="1">
        <f>SUM(OSRRefT22_8x_0)</f>
        <v>2754.41</v>
      </c>
      <c r="U50" s="1"/>
      <c r="V50" s="5">
        <f t="shared" si="34"/>
        <v>6.6991024563245955E-3</v>
      </c>
      <c r="W50" s="1"/>
      <c r="X50" s="1">
        <f t="shared" si="35"/>
        <v>2877.9800000000005</v>
      </c>
      <c r="Y50" s="1"/>
      <c r="Z50" s="5">
        <f t="shared" si="36"/>
        <v>1.0448626021543637</v>
      </c>
    </row>
    <row r="51" spans="1:26" s="24" customFormat="1" hidden="1" outlineLevel="2" x14ac:dyDescent="0.35">
      <c r="A51" s="27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29"/>
        <v>0</v>
      </c>
      <c r="G51" s="2"/>
      <c r="H51" s="7">
        <v>4.5</v>
      </c>
      <c r="I51" s="2"/>
      <c r="J51" s="6">
        <f t="shared" si="30"/>
        <v>5.2996791927528654E-4</v>
      </c>
      <c r="K51" s="2"/>
      <c r="L51" s="7">
        <f t="shared" si="31"/>
        <v>-4.5</v>
      </c>
      <c r="M51" s="2"/>
      <c r="N51" s="6">
        <f t="shared" si="32"/>
        <v>-1</v>
      </c>
      <c r="O51" s="11"/>
      <c r="P51" s="7">
        <v>5632.39</v>
      </c>
      <c r="Q51" s="2"/>
      <c r="R51" s="6">
        <f t="shared" si="33"/>
        <v>1.9587053381248744E-2</v>
      </c>
      <c r="S51" s="2"/>
      <c r="T51" s="7">
        <v>2754.41</v>
      </c>
      <c r="U51" s="2"/>
      <c r="V51" s="6">
        <f t="shared" si="34"/>
        <v>6.6991024563245955E-3</v>
      </c>
      <c r="W51" s="2"/>
      <c r="X51" s="7">
        <f t="shared" si="35"/>
        <v>2877.9800000000005</v>
      </c>
      <c r="Y51" s="2"/>
      <c r="Z51" s="6">
        <f t="shared" si="36"/>
        <v>1.0448626021543637</v>
      </c>
    </row>
    <row r="52" spans="1:26" s="25" customFormat="1" outlineLevel="1" collapsed="1" x14ac:dyDescent="0.35">
      <c r="A52" s="26"/>
      <c r="B52" s="12" t="str">
        <f>CONCATENATE("     ","Repair and Maintenance                            ")</f>
        <v xml:space="preserve">     Repair and Maintenance                            </v>
      </c>
      <c r="C52" s="12"/>
      <c r="D52" s="1">
        <f>SUM(OSRRefD22_9x_0)</f>
        <v>48.23</v>
      </c>
      <c r="E52" s="1"/>
      <c r="F52" s="5">
        <f t="shared" si="29"/>
        <v>0</v>
      </c>
      <c r="G52" s="1"/>
      <c r="H52" s="1">
        <f>SUM(OSRRefH22_9x_0)</f>
        <v>180.64999999999998</v>
      </c>
      <c r="I52" s="1"/>
      <c r="J52" s="5">
        <f t="shared" si="30"/>
        <v>2.1275267692684556E-2</v>
      </c>
      <c r="K52" s="1"/>
      <c r="L52" s="1">
        <f t="shared" si="31"/>
        <v>-132.41999999999999</v>
      </c>
      <c r="M52" s="1"/>
      <c r="N52" s="5">
        <f t="shared" si="32"/>
        <v>-0.73301965125934132</v>
      </c>
      <c r="O52" s="12"/>
      <c r="P52" s="1">
        <f>SUM(OSRRefP22_9x_0)</f>
        <v>7367.17</v>
      </c>
      <c r="Q52" s="1"/>
      <c r="R52" s="5">
        <f t="shared" si="33"/>
        <v>2.5619879315660721E-2</v>
      </c>
      <c r="S52" s="1"/>
      <c r="T52" s="1">
        <f>SUM(OSRRefT22_9x_0)</f>
        <v>7578.13</v>
      </c>
      <c r="U52" s="1"/>
      <c r="V52" s="5">
        <f t="shared" si="34"/>
        <v>1.8431050314712448E-2</v>
      </c>
      <c r="W52" s="1"/>
      <c r="X52" s="1">
        <f t="shared" si="35"/>
        <v>-210.96000000000004</v>
      </c>
      <c r="Y52" s="1"/>
      <c r="Z52" s="5">
        <f t="shared" si="36"/>
        <v>-2.7838002251215015E-2</v>
      </c>
    </row>
    <row r="53" spans="1:26" s="24" customFormat="1" hidden="1" outlineLevel="2" x14ac:dyDescent="0.35">
      <c r="A53" s="27"/>
      <c r="B53" s="11" t="str">
        <f>CONCATENATE("          ", "6373", " - ", "MAINTENANCE CONTRACTS")</f>
        <v xml:space="preserve">          6373 - MAINTENANCE CONTRACTS</v>
      </c>
      <c r="C53" s="11"/>
      <c r="D53" s="7">
        <v>48.23</v>
      </c>
      <c r="E53" s="2"/>
      <c r="F53" s="6">
        <f t="shared" si="29"/>
        <v>0</v>
      </c>
      <c r="G53" s="2"/>
      <c r="H53" s="7">
        <v>44.98</v>
      </c>
      <c r="I53" s="2"/>
      <c r="J53" s="6">
        <f t="shared" si="30"/>
        <v>5.2973237797783084E-3</v>
      </c>
      <c r="K53" s="2"/>
      <c r="L53" s="7">
        <f t="shared" si="31"/>
        <v>3.25</v>
      </c>
      <c r="M53" s="2"/>
      <c r="N53" s="6">
        <f t="shared" si="32"/>
        <v>7.2254335260115612E-2</v>
      </c>
      <c r="O53" s="11"/>
      <c r="P53" s="7">
        <v>189.68</v>
      </c>
      <c r="Q53" s="2"/>
      <c r="R53" s="6">
        <f t="shared" si="33"/>
        <v>6.5962624842300717E-4</v>
      </c>
      <c r="S53" s="2"/>
      <c r="T53" s="7">
        <v>423.04</v>
      </c>
      <c r="U53" s="2"/>
      <c r="V53" s="6">
        <f t="shared" si="34"/>
        <v>1.0288912337391883E-3</v>
      </c>
      <c r="W53" s="2"/>
      <c r="X53" s="7">
        <f t="shared" si="35"/>
        <v>-233.36</v>
      </c>
      <c r="Y53" s="2"/>
      <c r="Z53" s="6">
        <f t="shared" si="36"/>
        <v>-0.55162632375189113</v>
      </c>
    </row>
    <row r="54" spans="1:26" s="24" customFormat="1" hidden="1" outlineLevel="2" x14ac:dyDescent="0.35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29"/>
        <v>0</v>
      </c>
      <c r="G54" s="2"/>
      <c r="H54" s="7">
        <v>135.66999999999999</v>
      </c>
      <c r="I54" s="2"/>
      <c r="J54" s="6">
        <f t="shared" si="30"/>
        <v>1.5977943912906249E-2</v>
      </c>
      <c r="K54" s="2"/>
      <c r="L54" s="7">
        <f t="shared" si="31"/>
        <v>-135.66999999999999</v>
      </c>
      <c r="M54" s="2"/>
      <c r="N54" s="6">
        <f t="shared" si="32"/>
        <v>-1</v>
      </c>
      <c r="O54" s="11"/>
      <c r="P54" s="7">
        <v>7177.49</v>
      </c>
      <c r="Q54" s="2"/>
      <c r="R54" s="6">
        <f t="shared" si="33"/>
        <v>2.4960253067237714E-2</v>
      </c>
      <c r="S54" s="2"/>
      <c r="T54" s="7">
        <v>7155.09</v>
      </c>
      <c r="U54" s="2"/>
      <c r="V54" s="6">
        <f t="shared" si="34"/>
        <v>1.740215908097326E-2</v>
      </c>
      <c r="W54" s="2"/>
      <c r="X54" s="7">
        <f t="shared" si="35"/>
        <v>22.399999999999636</v>
      </c>
      <c r="Y54" s="2"/>
      <c r="Z54" s="6">
        <f t="shared" si="36"/>
        <v>3.1306384685586956E-3</v>
      </c>
    </row>
    <row r="55" spans="1:26" s="25" customFormat="1" outlineLevel="1" collapsed="1" x14ac:dyDescent="0.35">
      <c r="A55" s="26"/>
      <c r="B55" s="12" t="str">
        <f>CONCATENATE("     ","Services                                          ")</f>
        <v xml:space="preserve">     Services                                          </v>
      </c>
      <c r="C55" s="12"/>
      <c r="D55" s="1">
        <f>SUM(OSRRefD22_10x_0)</f>
        <v>1595.02</v>
      </c>
      <c r="E55" s="1"/>
      <c r="F55" s="5">
        <f t="shared" ref="F55:F58" si="37">IF(D$12=0,0,D55/D$12)</f>
        <v>0</v>
      </c>
      <c r="G55" s="1"/>
      <c r="H55" s="1">
        <f>SUM(OSRRefH22_10x_0)</f>
        <v>446.75</v>
      </c>
      <c r="I55" s="1"/>
      <c r="J55" s="5">
        <f t="shared" ref="J55:J58" si="38">IF(H$12=0,0,H55/H$12)</f>
        <v>5.2614037319163171E-2</v>
      </c>
      <c r="K55" s="1"/>
      <c r="L55" s="1">
        <f t="shared" ref="L55:L58" si="39">+D55-H55</f>
        <v>1148.27</v>
      </c>
      <c r="M55" s="1"/>
      <c r="N55" s="5">
        <f t="shared" ref="N55:N58" si="40">IF(H55=0,0,L55/H55)</f>
        <v>2.5702742025741467</v>
      </c>
      <c r="O55" s="12"/>
      <c r="P55" s="1">
        <f>SUM(OSRRefP22_10x_0)</f>
        <v>5552.1</v>
      </c>
      <c r="Q55" s="1"/>
      <c r="R55" s="5">
        <f t="shared" ref="R55:R58" si="41">IF(P$12=0,0,P55/P$12)</f>
        <v>1.9307838959665639E-2</v>
      </c>
      <c r="S55" s="1"/>
      <c r="T55" s="1">
        <f>SUM(OSRRefT22_10x_0)</f>
        <v>3958.77</v>
      </c>
      <c r="U55" s="1"/>
      <c r="V55" s="5">
        <f t="shared" ref="V55:V58" si="42">IF(T$12=0,0,T55/T$12)</f>
        <v>9.6282709658417308E-3</v>
      </c>
      <c r="W55" s="1"/>
      <c r="X55" s="1">
        <f t="shared" ref="X55:X58" si="43">+P55-T55</f>
        <v>1593.3300000000004</v>
      </c>
      <c r="Y55" s="1"/>
      <c r="Z55" s="5">
        <f t="shared" ref="Z55:Z58" si="44">IF(T55=0,0,X55/T55)</f>
        <v>0.40248107366682084</v>
      </c>
    </row>
    <row r="56" spans="1:26" s="24" customFormat="1" hidden="1" outlineLevel="2" x14ac:dyDescent="0.35">
      <c r="A56" s="27"/>
      <c r="B56" s="11" t="str">
        <f>CONCATENATE("          ", "6282", " - ", "JANITORIAL/EXTERMINATOR EXPENS")</f>
        <v xml:space="preserve">          6282 - JANITORIAL/EXTERMINATOR EXPENS</v>
      </c>
      <c r="C56" s="11"/>
      <c r="D56" s="7">
        <v>186</v>
      </c>
      <c r="E56" s="2"/>
      <c r="F56" s="6">
        <f t="shared" si="37"/>
        <v>0</v>
      </c>
      <c r="G56" s="2"/>
      <c r="H56" s="7">
        <v>419.82</v>
      </c>
      <c r="I56" s="2"/>
      <c r="J56" s="6">
        <f t="shared" si="38"/>
        <v>4.9442473748922397E-2</v>
      </c>
      <c r="K56" s="2"/>
      <c r="L56" s="7">
        <f t="shared" si="39"/>
        <v>-233.82</v>
      </c>
      <c r="M56" s="2"/>
      <c r="N56" s="6">
        <f t="shared" si="40"/>
        <v>-0.55695297984850645</v>
      </c>
      <c r="O56" s="11"/>
      <c r="P56" s="7">
        <v>3651.3</v>
      </c>
      <c r="Q56" s="2"/>
      <c r="R56" s="6">
        <f t="shared" si="41"/>
        <v>1.2697666179180337E-2</v>
      </c>
      <c r="S56" s="2"/>
      <c r="T56" s="7">
        <v>3699.12</v>
      </c>
      <c r="U56" s="2"/>
      <c r="V56" s="6">
        <f t="shared" si="42"/>
        <v>8.9967665954739633E-3</v>
      </c>
      <c r="W56" s="2"/>
      <c r="X56" s="7">
        <f t="shared" si="43"/>
        <v>-47.819999999999709</v>
      </c>
      <c r="Y56" s="2"/>
      <c r="Z56" s="6">
        <f t="shared" si="44"/>
        <v>-1.2927398948939128E-2</v>
      </c>
    </row>
    <row r="57" spans="1:26" s="24" customFormat="1" hidden="1" outlineLevel="2" x14ac:dyDescent="0.35">
      <c r="A57" s="27"/>
      <c r="B57" s="11" t="str">
        <f>CONCATENATE("          ", "6285", " - ", "JANITORIAL SERVICES")</f>
        <v xml:space="preserve">          6285 - JANITORIAL SERVICES</v>
      </c>
      <c r="C57" s="11"/>
      <c r="D57" s="7">
        <v>1409.02</v>
      </c>
      <c r="E57" s="2"/>
      <c r="F57" s="6">
        <f t="shared" si="37"/>
        <v>0</v>
      </c>
      <c r="G57" s="2"/>
      <c r="H57" s="7">
        <v>26.93</v>
      </c>
      <c r="I57" s="2"/>
      <c r="J57" s="6">
        <f t="shared" si="38"/>
        <v>3.1715635702407705E-3</v>
      </c>
      <c r="K57" s="2"/>
      <c r="L57" s="7">
        <f t="shared" si="39"/>
        <v>1382.09</v>
      </c>
      <c r="M57" s="2"/>
      <c r="N57" s="6">
        <f t="shared" si="40"/>
        <v>51.321574452283699</v>
      </c>
      <c r="O57" s="11"/>
      <c r="P57" s="7">
        <v>1714.8</v>
      </c>
      <c r="Q57" s="2"/>
      <c r="R57" s="6">
        <f t="shared" si="41"/>
        <v>5.9633440046171059E-3</v>
      </c>
      <c r="S57" s="2"/>
      <c r="T57" s="7">
        <v>259.64999999999998</v>
      </c>
      <c r="U57" s="2"/>
      <c r="V57" s="6">
        <f t="shared" si="42"/>
        <v>6.3150437036776702E-4</v>
      </c>
      <c r="W57" s="2"/>
      <c r="X57" s="7">
        <f t="shared" si="43"/>
        <v>1455.15</v>
      </c>
      <c r="Y57" s="2"/>
      <c r="Z57" s="6">
        <f t="shared" si="44"/>
        <v>5.604274985557482</v>
      </c>
    </row>
    <row r="58" spans="1:26" s="24" customFormat="1" hidden="1" outlineLevel="2" x14ac:dyDescent="0.35">
      <c r="A58" s="27"/>
      <c r="B58" s="11" t="str">
        <f>CONCATENATE("          ", "6286", " - ", "LAUNDRY EXPENSE")</f>
        <v xml:space="preserve">          6286 - LAUNDRY EXPENSE</v>
      </c>
      <c r="C58" s="11"/>
      <c r="D58" s="7"/>
      <c r="E58" s="2"/>
      <c r="F58" s="6">
        <f t="shared" si="37"/>
        <v>0</v>
      </c>
      <c r="G58" s="2"/>
      <c r="H58" s="7"/>
      <c r="I58" s="2"/>
      <c r="J58" s="6">
        <f t="shared" si="38"/>
        <v>0</v>
      </c>
      <c r="K58" s="2"/>
      <c r="L58" s="7">
        <f t="shared" si="39"/>
        <v>0</v>
      </c>
      <c r="M58" s="2"/>
      <c r="N58" s="6">
        <f t="shared" si="40"/>
        <v>0</v>
      </c>
      <c r="O58" s="11"/>
      <c r="P58" s="7">
        <v>186</v>
      </c>
      <c r="Q58" s="2"/>
      <c r="R58" s="6">
        <f t="shared" si="41"/>
        <v>6.4682877586819554E-4</v>
      </c>
      <c r="S58" s="2"/>
      <c r="T58" s="7"/>
      <c r="U58" s="2"/>
      <c r="V58" s="6">
        <f t="shared" si="42"/>
        <v>0</v>
      </c>
      <c r="W58" s="2"/>
      <c r="X58" s="7">
        <f t="shared" si="43"/>
        <v>186</v>
      </c>
      <c r="Y58" s="2"/>
      <c r="Z58" s="6">
        <f t="shared" si="44"/>
        <v>0</v>
      </c>
    </row>
    <row r="59" spans="1:26" s="25" customFormat="1" outlineLevel="1" collapsed="1" x14ac:dyDescent="0.35">
      <c r="A59" s="26"/>
      <c r="B59" s="12" t="str">
        <f>CONCATENATE("     ","Subscriptions &amp; Dues                              ")</f>
        <v xml:space="preserve">     Subscriptions &amp; Dues                              </v>
      </c>
      <c r="C59" s="12"/>
      <c r="D59" s="1">
        <f>SUM(OSRRefD22_11x_0)</f>
        <v>0</v>
      </c>
      <c r="E59" s="1"/>
      <c r="F59" s="5">
        <f t="shared" ref="F59:F68" si="45">IF(D$12=0,0,D59/D$12)</f>
        <v>0</v>
      </c>
      <c r="G59" s="1"/>
      <c r="H59" s="1">
        <f>SUM(OSRRefH22_11x_0)</f>
        <v>0</v>
      </c>
      <c r="I59" s="1"/>
      <c r="J59" s="5">
        <f t="shared" ref="J59:J68" si="46">IF(H$12=0,0,H59/H$12)</f>
        <v>0</v>
      </c>
      <c r="K59" s="1"/>
      <c r="L59" s="1">
        <f t="shared" ref="L59:L68" si="47">+D59-H59</f>
        <v>0</v>
      </c>
      <c r="M59" s="1"/>
      <c r="N59" s="5">
        <f t="shared" ref="N59:N68" si="48">IF(H59=0,0,L59/H59)</f>
        <v>0</v>
      </c>
      <c r="O59" s="12"/>
      <c r="P59" s="1">
        <f>SUM(OSRRefP22_11x_0)</f>
        <v>0</v>
      </c>
      <c r="Q59" s="1"/>
      <c r="R59" s="5">
        <f t="shared" ref="R59:R68" si="49">IF(P$12=0,0,P59/P$12)</f>
        <v>0</v>
      </c>
      <c r="S59" s="1"/>
      <c r="T59" s="1">
        <f>SUM(OSRRefT22_11x_0)</f>
        <v>111.8</v>
      </c>
      <c r="U59" s="1"/>
      <c r="V59" s="5">
        <f t="shared" ref="V59:V68" si="50">IF(T$12=0,0,T59/T$12)</f>
        <v>2.7191291587566477E-4</v>
      </c>
      <c r="W59" s="1"/>
      <c r="X59" s="1">
        <f t="shared" ref="X59:X68" si="51">+P59-T59</f>
        <v>-111.8</v>
      </c>
      <c r="Y59" s="1"/>
      <c r="Z59" s="5">
        <f t="shared" ref="Z59:Z68" si="52">IF(T59=0,0,X59/T59)</f>
        <v>-1</v>
      </c>
    </row>
    <row r="60" spans="1:26" s="24" customFormat="1" hidden="1" outlineLevel="2" x14ac:dyDescent="0.35">
      <c r="A60" s="27"/>
      <c r="B60" s="11" t="str">
        <f>CONCATENATE("          ", "6258", " - ", "MEMBERSHIP DUES")</f>
        <v xml:space="preserve">          6258 - MEMBERSHIP DUES</v>
      </c>
      <c r="C60" s="11"/>
      <c r="D60" s="7"/>
      <c r="E60" s="2"/>
      <c r="F60" s="6">
        <f t="shared" si="45"/>
        <v>0</v>
      </c>
      <c r="G60" s="2"/>
      <c r="H60" s="7"/>
      <c r="I60" s="2"/>
      <c r="J60" s="6">
        <f t="shared" si="46"/>
        <v>0</v>
      </c>
      <c r="K60" s="2"/>
      <c r="L60" s="7">
        <f t="shared" si="47"/>
        <v>0</v>
      </c>
      <c r="M60" s="2"/>
      <c r="N60" s="6">
        <f t="shared" si="48"/>
        <v>0</v>
      </c>
      <c r="O60" s="11"/>
      <c r="P60" s="7"/>
      <c r="Q60" s="2"/>
      <c r="R60" s="6">
        <f t="shared" si="49"/>
        <v>0</v>
      </c>
      <c r="S60" s="2"/>
      <c r="T60" s="7">
        <v>111.8</v>
      </c>
      <c r="U60" s="2"/>
      <c r="V60" s="6">
        <f t="shared" si="50"/>
        <v>2.7191291587566477E-4</v>
      </c>
      <c r="W60" s="2"/>
      <c r="X60" s="7">
        <f t="shared" si="51"/>
        <v>-111.8</v>
      </c>
      <c r="Y60" s="2"/>
      <c r="Z60" s="6">
        <f t="shared" si="52"/>
        <v>-1</v>
      </c>
    </row>
    <row r="61" spans="1:26" s="25" customFormat="1" outlineLevel="1" collapsed="1" x14ac:dyDescent="0.35">
      <c r="A61" s="26"/>
      <c r="B61" s="12" t="str">
        <f>CONCATENATE("     ","Supplies                                          ")</f>
        <v xml:space="preserve">     Supplies                                          </v>
      </c>
      <c r="C61" s="12"/>
      <c r="D61" s="1">
        <f>SUM(OSRRefD22_12x_0)</f>
        <v>0</v>
      </c>
      <c r="E61" s="1"/>
      <c r="F61" s="5">
        <f t="shared" si="45"/>
        <v>0</v>
      </c>
      <c r="G61" s="1"/>
      <c r="H61" s="1">
        <f>SUM(OSRRefH22_12x_0)</f>
        <v>461.17</v>
      </c>
      <c r="I61" s="1"/>
      <c r="J61" s="5">
        <f t="shared" si="46"/>
        <v>5.4312290073818645E-2</v>
      </c>
      <c r="K61" s="1"/>
      <c r="L61" s="1">
        <f t="shared" si="47"/>
        <v>-461.17</v>
      </c>
      <c r="M61" s="1"/>
      <c r="N61" s="5">
        <f t="shared" si="48"/>
        <v>-1</v>
      </c>
      <c r="O61" s="12"/>
      <c r="P61" s="1">
        <f>SUM(OSRRefP22_12x_0)</f>
        <v>10479.52</v>
      </c>
      <c r="Q61" s="1"/>
      <c r="R61" s="5">
        <f t="shared" si="49"/>
        <v>3.6443306953152003E-2</v>
      </c>
      <c r="S61" s="1"/>
      <c r="T61" s="1">
        <f>SUM(OSRRefT22_12x_0)</f>
        <v>6142.78</v>
      </c>
      <c r="U61" s="1"/>
      <c r="V61" s="5">
        <f t="shared" si="50"/>
        <v>1.4940082481061861E-2</v>
      </c>
      <c r="W61" s="1"/>
      <c r="X61" s="1">
        <f t="shared" si="51"/>
        <v>4336.7400000000007</v>
      </c>
      <c r="Y61" s="1"/>
      <c r="Z61" s="5">
        <f t="shared" si="52"/>
        <v>0.70598979615092849</v>
      </c>
    </row>
    <row r="62" spans="1:26" s="24" customFormat="1" hidden="1" outlineLevel="2" x14ac:dyDescent="0.35">
      <c r="A62" s="27"/>
      <c r="B62" s="11" t="str">
        <f>CONCATENATE("          ", "6237", " - ", "JANITORIAL SUPPLIES")</f>
        <v xml:space="preserve">          6237 - JANITORIAL SUPPLIES</v>
      </c>
      <c r="C62" s="11"/>
      <c r="D62" s="7"/>
      <c r="E62" s="2"/>
      <c r="F62" s="6">
        <f t="shared" si="45"/>
        <v>0</v>
      </c>
      <c r="G62" s="2"/>
      <c r="H62" s="7">
        <v>323.99</v>
      </c>
      <c r="I62" s="2"/>
      <c r="J62" s="6">
        <f t="shared" si="46"/>
        <v>3.8156512481333352E-2</v>
      </c>
      <c r="K62" s="2"/>
      <c r="L62" s="7">
        <f t="shared" si="47"/>
        <v>-323.99</v>
      </c>
      <c r="M62" s="2"/>
      <c r="N62" s="6">
        <f t="shared" si="48"/>
        <v>-1</v>
      </c>
      <c r="O62" s="11"/>
      <c r="P62" s="7">
        <v>1096.97</v>
      </c>
      <c r="Q62" s="2"/>
      <c r="R62" s="6">
        <f t="shared" si="49"/>
        <v>3.8147944207749165E-3</v>
      </c>
      <c r="S62" s="2"/>
      <c r="T62" s="7">
        <v>1687.25</v>
      </c>
      <c r="U62" s="2"/>
      <c r="V62" s="6">
        <f t="shared" si="50"/>
        <v>4.1036231423185639E-3</v>
      </c>
      <c r="W62" s="2"/>
      <c r="X62" s="7">
        <f t="shared" si="51"/>
        <v>-590.28</v>
      </c>
      <c r="Y62" s="2"/>
      <c r="Z62" s="6">
        <f t="shared" si="52"/>
        <v>-0.3498473847977478</v>
      </c>
    </row>
    <row r="63" spans="1:26" s="24" customFormat="1" hidden="1" outlineLevel="2" x14ac:dyDescent="0.35">
      <c r="A63" s="27"/>
      <c r="B63" s="11" t="str">
        <f>CONCATENATE("          ", "6239", " - ", "KITCHEN SUPPLIES")</f>
        <v xml:space="preserve">          6239 - KITCHEN SUPPLIES</v>
      </c>
      <c r="C63" s="11"/>
      <c r="D63" s="7"/>
      <c r="E63" s="2"/>
      <c r="F63" s="6">
        <f t="shared" si="45"/>
        <v>0</v>
      </c>
      <c r="G63" s="2"/>
      <c r="H63" s="7"/>
      <c r="I63" s="2"/>
      <c r="J63" s="6">
        <f t="shared" si="46"/>
        <v>0</v>
      </c>
      <c r="K63" s="2"/>
      <c r="L63" s="7">
        <f t="shared" si="47"/>
        <v>0</v>
      </c>
      <c r="M63" s="2"/>
      <c r="N63" s="6">
        <f t="shared" si="48"/>
        <v>0</v>
      </c>
      <c r="O63" s="11"/>
      <c r="P63" s="7"/>
      <c r="Q63" s="2"/>
      <c r="R63" s="6">
        <f t="shared" si="49"/>
        <v>0</v>
      </c>
      <c r="S63" s="2"/>
      <c r="T63" s="7">
        <v>17.87</v>
      </c>
      <c r="U63" s="2"/>
      <c r="V63" s="6">
        <f t="shared" si="50"/>
        <v>4.3462288074222989E-5</v>
      </c>
      <c r="W63" s="2"/>
      <c r="X63" s="7">
        <f t="shared" si="51"/>
        <v>-17.87</v>
      </c>
      <c r="Y63" s="2"/>
      <c r="Z63" s="6">
        <f t="shared" si="52"/>
        <v>-1</v>
      </c>
    </row>
    <row r="64" spans="1:26" s="24" customFormat="1" hidden="1" outlineLevel="2" x14ac:dyDescent="0.35">
      <c r="A64" s="27"/>
      <c r="B64" s="11" t="str">
        <f>CONCATENATE("          ", "6241", " - ", "OFFICE EXPENSE")</f>
        <v xml:space="preserve">          6241 - OFFICE EXPENSE</v>
      </c>
      <c r="C64" s="11"/>
      <c r="D64" s="7"/>
      <c r="E64" s="2"/>
      <c r="F64" s="6">
        <f t="shared" si="45"/>
        <v>0</v>
      </c>
      <c r="G64" s="2"/>
      <c r="H64" s="7"/>
      <c r="I64" s="2"/>
      <c r="J64" s="6">
        <f t="shared" si="46"/>
        <v>0</v>
      </c>
      <c r="K64" s="2"/>
      <c r="L64" s="7">
        <f t="shared" si="47"/>
        <v>0</v>
      </c>
      <c r="M64" s="2"/>
      <c r="N64" s="6">
        <f t="shared" si="48"/>
        <v>0</v>
      </c>
      <c r="O64" s="11"/>
      <c r="P64" s="7"/>
      <c r="Q64" s="2"/>
      <c r="R64" s="6">
        <f t="shared" si="49"/>
        <v>0</v>
      </c>
      <c r="S64" s="2"/>
      <c r="T64" s="7">
        <v>68.36</v>
      </c>
      <c r="U64" s="2"/>
      <c r="V64" s="6">
        <f t="shared" si="50"/>
        <v>1.6626088487710594E-4</v>
      </c>
      <c r="W64" s="2"/>
      <c r="X64" s="7">
        <f t="shared" si="51"/>
        <v>-68.36</v>
      </c>
      <c r="Y64" s="2"/>
      <c r="Z64" s="6">
        <f t="shared" si="52"/>
        <v>-1</v>
      </c>
    </row>
    <row r="65" spans="1:26" s="24" customFormat="1" hidden="1" outlineLevel="2" x14ac:dyDescent="0.35">
      <c r="A65" s="27"/>
      <c r="B65" s="11" t="str">
        <f>CONCATENATE("          ", "6243", " - ", "PAPER SUPPLIES")</f>
        <v xml:space="preserve">          6243 - PAPER SUPPLIES</v>
      </c>
      <c r="C65" s="11"/>
      <c r="D65" s="7"/>
      <c r="E65" s="2"/>
      <c r="F65" s="6">
        <f t="shared" si="45"/>
        <v>0</v>
      </c>
      <c r="G65" s="2"/>
      <c r="H65" s="7"/>
      <c r="I65" s="2"/>
      <c r="J65" s="6">
        <f t="shared" si="46"/>
        <v>0</v>
      </c>
      <c r="K65" s="2"/>
      <c r="L65" s="7">
        <f t="shared" si="47"/>
        <v>0</v>
      </c>
      <c r="M65" s="2"/>
      <c r="N65" s="6">
        <f t="shared" si="48"/>
        <v>0</v>
      </c>
      <c r="O65" s="11"/>
      <c r="P65" s="7">
        <v>741.91</v>
      </c>
      <c r="Q65" s="2"/>
      <c r="R65" s="6">
        <f t="shared" si="49"/>
        <v>2.5800469736794243E-3</v>
      </c>
      <c r="S65" s="2"/>
      <c r="T65" s="7">
        <v>1745.87</v>
      </c>
      <c r="U65" s="2"/>
      <c r="V65" s="6">
        <f t="shared" si="50"/>
        <v>4.2461950128787731E-3</v>
      </c>
      <c r="W65" s="2"/>
      <c r="X65" s="7">
        <f t="shared" si="51"/>
        <v>-1003.9599999999999</v>
      </c>
      <c r="Y65" s="2"/>
      <c r="Z65" s="6">
        <f t="shared" si="52"/>
        <v>-0.57504854313322296</v>
      </c>
    </row>
    <row r="66" spans="1:26" s="24" customFormat="1" hidden="1" outlineLevel="2" x14ac:dyDescent="0.35">
      <c r="A66" s="27"/>
      <c r="B66" s="11" t="str">
        <f>CONCATENATE("          ", "6245", " - ", "PRINTING")</f>
        <v xml:space="preserve">          6245 - PRINTING</v>
      </c>
      <c r="C66" s="11"/>
      <c r="D66" s="7"/>
      <c r="E66" s="2"/>
      <c r="F66" s="6">
        <f t="shared" si="45"/>
        <v>0</v>
      </c>
      <c r="G66" s="2"/>
      <c r="H66" s="7"/>
      <c r="I66" s="2"/>
      <c r="J66" s="6">
        <f t="shared" si="46"/>
        <v>0</v>
      </c>
      <c r="K66" s="2"/>
      <c r="L66" s="7">
        <f t="shared" si="47"/>
        <v>0</v>
      </c>
      <c r="M66" s="2"/>
      <c r="N66" s="6">
        <f t="shared" si="48"/>
        <v>0</v>
      </c>
      <c r="O66" s="11"/>
      <c r="P66" s="7"/>
      <c r="Q66" s="2"/>
      <c r="R66" s="6">
        <f t="shared" si="49"/>
        <v>0</v>
      </c>
      <c r="S66" s="2"/>
      <c r="T66" s="7">
        <v>51.82</v>
      </c>
      <c r="U66" s="2"/>
      <c r="V66" s="6">
        <f t="shared" si="50"/>
        <v>1.260333390042661E-4</v>
      </c>
      <c r="W66" s="2"/>
      <c r="X66" s="7">
        <f t="shared" si="51"/>
        <v>-51.82</v>
      </c>
      <c r="Y66" s="2"/>
      <c r="Z66" s="6">
        <f t="shared" si="52"/>
        <v>-1</v>
      </c>
    </row>
    <row r="67" spans="1:26" s="24" customFormat="1" hidden="1" outlineLevel="2" x14ac:dyDescent="0.35">
      <c r="A67" s="27"/>
      <c r="B67" s="11" t="str">
        <f>CONCATENATE("          ", "6247", " - ", "STORE SUPPLIES")</f>
        <v xml:space="preserve">          6247 - STORE SUPPLIES</v>
      </c>
      <c r="C67" s="11"/>
      <c r="D67" s="7"/>
      <c r="E67" s="2"/>
      <c r="F67" s="6">
        <f t="shared" si="45"/>
        <v>0</v>
      </c>
      <c r="G67" s="2"/>
      <c r="H67" s="7">
        <v>137.18</v>
      </c>
      <c r="I67" s="2"/>
      <c r="J67" s="6">
        <f t="shared" si="46"/>
        <v>1.6155777592485293E-2</v>
      </c>
      <c r="K67" s="2"/>
      <c r="L67" s="7">
        <f t="shared" si="47"/>
        <v>-137.18</v>
      </c>
      <c r="M67" s="2"/>
      <c r="N67" s="6">
        <f t="shared" si="48"/>
        <v>-1</v>
      </c>
      <c r="O67" s="11"/>
      <c r="P67" s="7">
        <v>8640.64</v>
      </c>
      <c r="Q67" s="2"/>
      <c r="R67" s="6">
        <f t="shared" si="49"/>
        <v>3.0048465558697661E-2</v>
      </c>
      <c r="S67" s="2"/>
      <c r="T67" s="7">
        <v>2383.7399999999998</v>
      </c>
      <c r="U67" s="2"/>
      <c r="V67" s="6">
        <f t="shared" si="50"/>
        <v>5.7975822369361104E-3</v>
      </c>
      <c r="W67" s="2"/>
      <c r="X67" s="7">
        <f t="shared" si="51"/>
        <v>6256.9</v>
      </c>
      <c r="Y67" s="2"/>
      <c r="Z67" s="6">
        <f t="shared" si="52"/>
        <v>2.6248248550596962</v>
      </c>
    </row>
    <row r="68" spans="1:26" s="24" customFormat="1" hidden="1" outlineLevel="2" x14ac:dyDescent="0.35">
      <c r="A68" s="27"/>
      <c r="B68" s="11" t="str">
        <f>CONCATENATE("          ", "6248", " - ", "UNIFORMS")</f>
        <v xml:space="preserve">          6248 - UNIFORMS</v>
      </c>
      <c r="C68" s="11"/>
      <c r="D68" s="7"/>
      <c r="E68" s="2"/>
      <c r="F68" s="6">
        <f t="shared" si="45"/>
        <v>0</v>
      </c>
      <c r="G68" s="2"/>
      <c r="H68" s="7"/>
      <c r="I68" s="2"/>
      <c r="J68" s="6">
        <f t="shared" si="46"/>
        <v>0</v>
      </c>
      <c r="K68" s="2"/>
      <c r="L68" s="7">
        <f t="shared" si="47"/>
        <v>0</v>
      </c>
      <c r="M68" s="2"/>
      <c r="N68" s="6">
        <f t="shared" si="48"/>
        <v>0</v>
      </c>
      <c r="O68" s="11"/>
      <c r="P68" s="7"/>
      <c r="Q68" s="2"/>
      <c r="R68" s="6">
        <f t="shared" si="49"/>
        <v>0</v>
      </c>
      <c r="S68" s="2"/>
      <c r="T68" s="7">
        <v>187.87</v>
      </c>
      <c r="U68" s="2"/>
      <c r="V68" s="6">
        <f t="shared" si="50"/>
        <v>4.5692557697281881E-4</v>
      </c>
      <c r="W68" s="2"/>
      <c r="X68" s="7">
        <f t="shared" si="51"/>
        <v>-187.87</v>
      </c>
      <c r="Y68" s="2"/>
      <c r="Z68" s="6">
        <f t="shared" si="52"/>
        <v>-1</v>
      </c>
    </row>
    <row r="69" spans="1:26" s="25" customFormat="1" outlineLevel="1" collapsed="1" x14ac:dyDescent="0.35">
      <c r="A69" s="26"/>
      <c r="B69" s="12" t="str">
        <f>CONCATENATE("     ","Telephone/Data Lines                              ")</f>
        <v xml:space="preserve">     Telephone/Data Lines                              </v>
      </c>
      <c r="C69" s="12"/>
      <c r="D69" s="1">
        <f>SUM(OSRRefD22_13x_0)</f>
        <v>69.010000000000005</v>
      </c>
      <c r="E69" s="1"/>
      <c r="F69" s="5">
        <f t="shared" ref="F69:F70" si="53">IF(D$12=0,0,D69/D$12)</f>
        <v>0</v>
      </c>
      <c r="G69" s="1"/>
      <c r="H69" s="1">
        <f>SUM(OSRRefH22_13x_0)</f>
        <v>91.01</v>
      </c>
      <c r="I69" s="1"/>
      <c r="J69" s="5">
        <f t="shared" ref="J69:J70" si="54">IF(H$12=0,0,H69/H$12)</f>
        <v>1.0718306740720851E-2</v>
      </c>
      <c r="K69" s="1"/>
      <c r="L69" s="1">
        <f t="shared" ref="L69:L70" si="55">+D69-H69</f>
        <v>-22</v>
      </c>
      <c r="M69" s="1"/>
      <c r="N69" s="5">
        <f t="shared" ref="N69:N70" si="56">IF(H69=0,0,L69/H69)</f>
        <v>-0.24173167783760025</v>
      </c>
      <c r="O69" s="12"/>
      <c r="P69" s="1">
        <f>SUM(OSRRefP22_13x_0)</f>
        <v>1032.1099999999999</v>
      </c>
      <c r="Q69" s="1"/>
      <c r="R69" s="5">
        <f t="shared" ref="R69:R70" si="57">IF(P$12=0,0,P69/P$12)</f>
        <v>3.5892389669963617E-3</v>
      </c>
      <c r="S69" s="1"/>
      <c r="T69" s="1">
        <f>SUM(OSRRefT22_13x_0)</f>
        <v>1092.1199999999999</v>
      </c>
      <c r="U69" s="1"/>
      <c r="V69" s="5">
        <f t="shared" ref="V69:V70" si="58">IF(T$12=0,0,T69/T$12)</f>
        <v>2.6561854533643202E-3</v>
      </c>
      <c r="W69" s="1"/>
      <c r="X69" s="1">
        <f t="shared" ref="X69:X70" si="59">+P69-T69</f>
        <v>-60.009999999999991</v>
      </c>
      <c r="Y69" s="1"/>
      <c r="Z69" s="5">
        <f t="shared" ref="Z69:Z70" si="60">IF(T69=0,0,X69/T69)</f>
        <v>-5.4948174193312084E-2</v>
      </c>
    </row>
    <row r="70" spans="1:26" s="24" customFormat="1" hidden="1" outlineLevel="2" x14ac:dyDescent="0.35">
      <c r="A70" s="27"/>
      <c r="B70" s="11" t="str">
        <f>CONCATENATE("          ", "6309", " - ", "TELEPHONE")</f>
        <v xml:space="preserve">          6309 - TELEPHONE</v>
      </c>
      <c r="C70" s="11"/>
      <c r="D70" s="7">
        <v>69.010000000000005</v>
      </c>
      <c r="E70" s="2"/>
      <c r="F70" s="6">
        <f t="shared" si="53"/>
        <v>0</v>
      </c>
      <c r="G70" s="2"/>
      <c r="H70" s="7">
        <v>91.01</v>
      </c>
      <c r="I70" s="2"/>
      <c r="J70" s="6">
        <f t="shared" si="54"/>
        <v>1.0718306740720851E-2</v>
      </c>
      <c r="K70" s="2"/>
      <c r="L70" s="7">
        <f t="shared" si="55"/>
        <v>-22</v>
      </c>
      <c r="M70" s="2"/>
      <c r="N70" s="6">
        <f t="shared" si="56"/>
        <v>-0.24173167783760025</v>
      </c>
      <c r="O70" s="11"/>
      <c r="P70" s="7">
        <v>1032.1099999999999</v>
      </c>
      <c r="Q70" s="2"/>
      <c r="R70" s="6">
        <f t="shared" si="57"/>
        <v>3.5892389669963617E-3</v>
      </c>
      <c r="S70" s="2"/>
      <c r="T70" s="7">
        <v>1092.1199999999999</v>
      </c>
      <c r="U70" s="2"/>
      <c r="V70" s="6">
        <f t="shared" si="58"/>
        <v>2.6561854533643202E-3</v>
      </c>
      <c r="W70" s="2"/>
      <c r="X70" s="7">
        <f t="shared" si="59"/>
        <v>-60.009999999999991</v>
      </c>
      <c r="Y70" s="2"/>
      <c r="Z70" s="6">
        <f t="shared" si="60"/>
        <v>-5.4948174193312084E-2</v>
      </c>
    </row>
    <row r="71" spans="1:26" s="56" customFormat="1" x14ac:dyDescent="0.3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35">
      <c r="A72" s="10"/>
      <c r="B72" s="29" t="s">
        <v>0</v>
      </c>
      <c r="C72" s="10"/>
      <c r="D72" s="4">
        <f>SUM(0)</f>
        <v>0</v>
      </c>
      <c r="E72" s="4"/>
      <c r="F72" s="13">
        <f>IF(D$12=0,0,D72/D$12)</f>
        <v>0</v>
      </c>
      <c r="G72" s="4"/>
      <c r="H72" s="4">
        <f>SUM(0)</f>
        <v>0</v>
      </c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0"/>
      <c r="P72" s="4">
        <f>SUM(0)</f>
        <v>0</v>
      </c>
      <c r="Q72" s="4"/>
      <c r="R72" s="13">
        <f>IF(P$12=0,0,P72/P$12)</f>
        <v>0</v>
      </c>
      <c r="S72" s="4"/>
      <c r="T72" s="4">
        <f>SUM(0)</f>
        <v>0</v>
      </c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3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35">
      <c r="A74" s="10"/>
      <c r="B74" s="28" t="s">
        <v>3</v>
      </c>
      <c r="C74" s="28"/>
      <c r="D74" s="22">
        <f>+D20-D22+D72</f>
        <v>-2861.75</v>
      </c>
      <c r="E74" s="14"/>
      <c r="F74" s="21">
        <f>IF(D$12=0,0,D74/D$12)</f>
        <v>0</v>
      </c>
      <c r="G74" s="14"/>
      <c r="H74" s="22">
        <f>+H20-H22+H72</f>
        <v>-16317.48</v>
      </c>
      <c r="I74" s="14"/>
      <c r="J74" s="21">
        <f>IF(H$12=0,0,H74/H$12)</f>
        <v>-1.9217202052035782</v>
      </c>
      <c r="K74" s="15"/>
      <c r="L74" s="22">
        <f>+D74-H74</f>
        <v>13455.73</v>
      </c>
      <c r="M74" s="15"/>
      <c r="N74" s="21">
        <f>IF(H74=0,0,L74/H74)</f>
        <v>-0.82462059092457907</v>
      </c>
      <c r="O74" s="29"/>
      <c r="P74" s="22">
        <f>+P20-P22+P72</f>
        <v>-235.19000000003143</v>
      </c>
      <c r="Q74" s="14"/>
      <c r="R74" s="21">
        <f>IF(P$12=0,0,P74/P$12)</f>
        <v>-8.1789064406699596E-4</v>
      </c>
      <c r="S74" s="14"/>
      <c r="T74" s="22">
        <f>+T20-T22+T72</f>
        <v>9748.4599999999919</v>
      </c>
      <c r="U74" s="14"/>
      <c r="V74" s="21">
        <f>IF(T$12=0,0,T74/T$12)</f>
        <v>2.3709590195861188E-2</v>
      </c>
      <c r="W74" s="15"/>
      <c r="X74" s="22">
        <f>+P74-T74</f>
        <v>-9983.6500000000233</v>
      </c>
      <c r="Y74" s="15"/>
      <c r="Z74" s="21">
        <f>IF(T74=0,0,X74/T74)</f>
        <v>-1.0241258619310158</v>
      </c>
    </row>
    <row r="75" spans="1:26" x14ac:dyDescent="0.3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5">
      <c r="A76" s="51"/>
      <c r="B76" s="10" t="s">
        <v>13</v>
      </c>
      <c r="C76" s="10"/>
      <c r="D76" s="4">
        <v>9494.6</v>
      </c>
      <c r="E76" s="4"/>
      <c r="F76" s="13">
        <f>IF(D$12=0,0,D76/D$12)</f>
        <v>0</v>
      </c>
      <c r="G76" s="4"/>
      <c r="H76" s="4">
        <v>-12577.19</v>
      </c>
      <c r="I76" s="4"/>
      <c r="J76" s="13">
        <f>IF(H$12=0,0,H76/H$12)</f>
        <v>-1.4812238254733203</v>
      </c>
      <c r="K76" s="4"/>
      <c r="L76" s="4">
        <f>+D76-H76</f>
        <v>22071.79</v>
      </c>
      <c r="M76" s="4"/>
      <c r="N76" s="13">
        <f>IF(H76=0,0,L76/H76)</f>
        <v>-1.7549063026001834</v>
      </c>
      <c r="O76" s="10"/>
      <c r="P76" s="4">
        <v>43547.24</v>
      </c>
      <c r="Q76" s="4"/>
      <c r="R76" s="13">
        <f>IF(P$12=0,0,P76/P$12)</f>
        <v>0.15143875237440063</v>
      </c>
      <c r="S76" s="4"/>
      <c r="T76" s="4">
        <v>29306.36</v>
      </c>
      <c r="U76" s="4"/>
      <c r="V76" s="13">
        <f>IF(T$12=0,0,T76/T$12)</f>
        <v>7.1277082301448552E-2</v>
      </c>
      <c r="W76" s="4"/>
      <c r="X76" s="4">
        <f>+P76-T76</f>
        <v>14240.879999999997</v>
      </c>
      <c r="Y76" s="4"/>
      <c r="Z76" s="13">
        <f>IF(T76=0,0,X76/T76)</f>
        <v>0.48593138144757647</v>
      </c>
    </row>
    <row r="77" spans="1:26" x14ac:dyDescent="0.3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4">
      <c r="A78" s="10"/>
      <c r="B78" s="28" t="s">
        <v>4</v>
      </c>
      <c r="C78" s="28"/>
      <c r="D78" s="34">
        <f>+D74-D76</f>
        <v>-12356.35</v>
      </c>
      <c r="E78" s="14"/>
      <c r="F78" s="32">
        <f>IF(D$12=0,0,D78/D$12)</f>
        <v>0</v>
      </c>
      <c r="G78" s="14"/>
      <c r="H78" s="34">
        <f>+H74-H76</f>
        <v>-3740.2899999999991</v>
      </c>
      <c r="I78" s="14"/>
      <c r="J78" s="32">
        <f>IF(H$12=0,0,H78/H$12)</f>
        <v>-0.44049637973025801</v>
      </c>
      <c r="K78" s="15"/>
      <c r="L78" s="34">
        <f>D78-H78</f>
        <v>-8616.0600000000013</v>
      </c>
      <c r="M78" s="15"/>
      <c r="N78" s="32">
        <f>IF(H78=0,0,L78/H78)</f>
        <v>2.3035807383919438</v>
      </c>
      <c r="O78" s="29"/>
      <c r="P78" s="34">
        <f>+P74-P76</f>
        <v>-43782.430000000029</v>
      </c>
      <c r="Q78" s="14"/>
      <c r="R78" s="32">
        <f>IF(P$12=0,0,P78/P$12)</f>
        <v>-0.15225664301846764</v>
      </c>
      <c r="S78" s="14"/>
      <c r="T78" s="34">
        <f>+T74-T76</f>
        <v>-19557.900000000009</v>
      </c>
      <c r="U78" s="14"/>
      <c r="V78" s="32">
        <f>IF(T$12=0,0,T78/T$12)</f>
        <v>-4.7567492105587361E-2</v>
      </c>
      <c r="W78" s="15"/>
      <c r="X78" s="34">
        <f>P78-T78</f>
        <v>-24224.530000000021</v>
      </c>
      <c r="Y78" s="15"/>
      <c r="Z78" s="32">
        <f>IF(T78=0,0,X78/T78)</f>
        <v>1.2386058830447038</v>
      </c>
    </row>
    <row r="79" spans="1:26" ht="15" thickTop="1" x14ac:dyDescent="0.3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3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" thickBot="1" x14ac:dyDescent="0.4">
      <c r="A81" s="10"/>
      <c r="B81" s="28" t="s">
        <v>5</v>
      </c>
      <c r="C81" s="28"/>
      <c r="D81" s="35">
        <f>SUM(D78:D80)</f>
        <v>-12356.35</v>
      </c>
      <c r="E81" s="14"/>
      <c r="F81" s="33">
        <f>IF(D$12=0,0,D81/D$12)</f>
        <v>0</v>
      </c>
      <c r="G81" s="14"/>
      <c r="H81" s="35">
        <f>SUM(H78:H80)</f>
        <v>-3740.2899999999991</v>
      </c>
      <c r="I81" s="14"/>
      <c r="J81" s="33">
        <f>IF(H$12=0,0,H81/H$12)</f>
        <v>-0.44049637973025801</v>
      </c>
      <c r="K81" s="15"/>
      <c r="L81" s="35">
        <f>+D81-H81</f>
        <v>-8616.0600000000013</v>
      </c>
      <c r="M81" s="15"/>
      <c r="N81" s="33">
        <f>IF(H81=0,0,L81/H81)</f>
        <v>2.3035807383919438</v>
      </c>
      <c r="O81" s="29"/>
      <c r="P81" s="35">
        <f>SUM(P78:P80)</f>
        <v>-43782.430000000029</v>
      </c>
      <c r="Q81" s="14"/>
      <c r="R81" s="33">
        <f>IF(P$12=0,0,P81/P$12)</f>
        <v>-0.15225664301846764</v>
      </c>
      <c r="S81" s="14"/>
      <c r="T81" s="35">
        <f>SUM(T78:T80)</f>
        <v>-19557.900000000009</v>
      </c>
      <c r="U81" s="14"/>
      <c r="V81" s="33">
        <f>IF(T$12=0,0,T81/T$12)</f>
        <v>-4.7567492105587361E-2</v>
      </c>
      <c r="W81" s="15"/>
      <c r="X81" s="35">
        <f>+P81-T81</f>
        <v>-24224.530000000021</v>
      </c>
      <c r="Y81" s="15"/>
      <c r="Z81" s="33">
        <f>IF(T81=0,0,X81/T81)</f>
        <v>1.2386058830447038</v>
      </c>
    </row>
    <row r="82" spans="1:26" ht="15" thickTop="1" x14ac:dyDescent="0.3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35">
      <c r="A83" s="9"/>
      <c r="B83" s="52">
        <v>44043.522806018518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5">
      <c r="A84" s="9"/>
      <c r="B84" s="61" t="s">
        <v>313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5">
      <c r="A85" s="9"/>
      <c r="B85" s="54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297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","313", " - ", "Convenience Store")</f>
        <v>Department 313 - Convenience Store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119.47</v>
      </c>
      <c r="E12" s="4"/>
      <c r="F12" s="13"/>
      <c r="G12" s="4"/>
      <c r="H12" s="4">
        <f>SUM(OSRRefH13x_0)</f>
        <v>11345.24</v>
      </c>
      <c r="I12" s="4"/>
      <c r="J12" s="13"/>
      <c r="K12" s="4"/>
      <c r="L12" s="4">
        <f t="shared" ref="L12:L21" si="0">+D12-H12</f>
        <v>-11225.77</v>
      </c>
      <c r="M12" s="4"/>
      <c r="N12" s="13">
        <f t="shared" ref="N12:N21" si="1">IF(H12=0,0,L12/H12)</f>
        <v>-0.98946959253396138</v>
      </c>
      <c r="O12" s="10"/>
      <c r="P12" s="4">
        <f>SUM(OSRRefP13x_0)</f>
        <v>496002.20000000007</v>
      </c>
      <c r="Q12" s="4"/>
      <c r="R12" s="13"/>
      <c r="S12" s="4"/>
      <c r="T12" s="4">
        <f>SUM(OSRRefT13x_0)</f>
        <v>632249.79</v>
      </c>
      <c r="U12" s="4"/>
      <c r="V12" s="13"/>
      <c r="W12" s="4"/>
      <c r="X12" s="4">
        <f t="shared" ref="X12:X21" si="2">+P12-T12</f>
        <v>-136247.58999999997</v>
      </c>
      <c r="Y12" s="4"/>
      <c r="Z12" s="13">
        <f t="shared" ref="Z12:Z21" si="3">IF(T12=0,0,X12/T12)</f>
        <v>-0.21549645749981183</v>
      </c>
    </row>
    <row r="13" spans="1:26" s="24" customFormat="1" hidden="1" outlineLevel="1" x14ac:dyDescent="0.3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6" si="4">0</f>
        <v>0</v>
      </c>
      <c r="E13" s="2"/>
      <c r="F13" s="19"/>
      <c r="G13" s="2"/>
      <c r="H13" s="2">
        <f>--2252.69</f>
        <v>2252.69</v>
      </c>
      <c r="I13" s="2"/>
      <c r="J13" s="19"/>
      <c r="K13" s="2"/>
      <c r="L13" s="2">
        <f t="shared" si="0"/>
        <v>-2252.69</v>
      </c>
      <c r="M13" s="2"/>
      <c r="N13" s="19">
        <f t="shared" si="1"/>
        <v>-1</v>
      </c>
      <c r="O13" s="11"/>
      <c r="P13" s="2">
        <f>--104992.39</f>
        <v>104992.39</v>
      </c>
      <c r="Q13" s="2"/>
      <c r="R13" s="19"/>
      <c r="S13" s="2"/>
      <c r="T13" s="2">
        <f>--133677.75</f>
        <v>133677.75</v>
      </c>
      <c r="U13" s="2"/>
      <c r="V13" s="19"/>
      <c r="W13" s="2"/>
      <c r="X13" s="2">
        <f t="shared" si="2"/>
        <v>-28685.360000000001</v>
      </c>
      <c r="Y13" s="2"/>
      <c r="Z13" s="19">
        <f t="shared" si="3"/>
        <v>-0.21458589780273832</v>
      </c>
    </row>
    <row r="14" spans="1:26" s="24" customFormat="1" hidden="1" outlineLevel="1" x14ac:dyDescent="0.3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3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>
        <f>--133.64</f>
        <v>133.63999999999999</v>
      </c>
      <c r="I15" s="2"/>
      <c r="J15" s="19"/>
      <c r="K15" s="2"/>
      <c r="L15" s="2">
        <f t="shared" si="0"/>
        <v>-133.63999999999999</v>
      </c>
      <c r="M15" s="2"/>
      <c r="N15" s="19">
        <f t="shared" si="1"/>
        <v>-1</v>
      </c>
      <c r="O15" s="11"/>
      <c r="P15" s="2">
        <f>--3121.95</f>
        <v>3121.95</v>
      </c>
      <c r="Q15" s="2"/>
      <c r="R15" s="19"/>
      <c r="S15" s="2"/>
      <c r="T15" s="2">
        <f>--2843.76</f>
        <v>2843.76</v>
      </c>
      <c r="U15" s="2"/>
      <c r="V15" s="19"/>
      <c r="W15" s="2"/>
      <c r="X15" s="2">
        <f t="shared" si="2"/>
        <v>278.1899999999996</v>
      </c>
      <c r="Y15" s="2"/>
      <c r="Z15" s="19">
        <f t="shared" si="3"/>
        <v>9.7824710946071244E-2</v>
      </c>
    </row>
    <row r="16" spans="1:26" s="24" customFormat="1" hidden="1" outlineLevel="1" x14ac:dyDescent="0.35">
      <c r="A16" s="44"/>
      <c r="B16" s="11" t="str">
        <f>CONCATENATE("          ", "4131", " - ", "NON-TAXABLE SALES-FOOD")</f>
        <v xml:space="preserve">          4131 - NON-TAXABLE SALES-FOOD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--2.48</f>
        <v>2.48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2.48</v>
      </c>
      <c r="Y16" s="2"/>
      <c r="Z16" s="19">
        <f t="shared" si="3"/>
        <v>0</v>
      </c>
    </row>
    <row r="17" spans="1:26" s="24" customFormat="1" hidden="1" outlineLevel="1" x14ac:dyDescent="0.3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>--114.48</f>
        <v>114.48</v>
      </c>
      <c r="E17" s="2"/>
      <c r="F17" s="19"/>
      <c r="G17" s="2"/>
      <c r="H17" s="2">
        <f>--8880.41</f>
        <v>8880.41</v>
      </c>
      <c r="I17" s="2"/>
      <c r="J17" s="19"/>
      <c r="K17" s="2"/>
      <c r="L17" s="2">
        <f t="shared" si="0"/>
        <v>-8765.93</v>
      </c>
      <c r="M17" s="2"/>
      <c r="N17" s="19">
        <f t="shared" si="1"/>
        <v>-0.98710870331437406</v>
      </c>
      <c r="O17" s="11"/>
      <c r="P17" s="2">
        <f>--386208.28</f>
        <v>386208.28</v>
      </c>
      <c r="Q17" s="2"/>
      <c r="R17" s="19"/>
      <c r="S17" s="2"/>
      <c r="T17" s="2">
        <f>--493335.36</f>
        <v>493335.36</v>
      </c>
      <c r="U17" s="2"/>
      <c r="V17" s="19"/>
      <c r="W17" s="2"/>
      <c r="X17" s="2">
        <f t="shared" si="2"/>
        <v>-107127.07999999996</v>
      </c>
      <c r="Y17" s="2"/>
      <c r="Z17" s="19">
        <f t="shared" si="3"/>
        <v>-0.21714859441658502</v>
      </c>
    </row>
    <row r="18" spans="1:26" s="24" customFormat="1" hidden="1" outlineLevel="1" x14ac:dyDescent="0.35">
      <c r="A18" s="44"/>
      <c r="B18" s="11" t="str">
        <f>CONCATENATE("          ", "4133", " - ", "NON-TAXABLE SALES-CANDY")</f>
        <v xml:space="preserve">          4133 - NON-TAXABLE SALES-CANDY</v>
      </c>
      <c r="C18" s="11"/>
      <c r="D18" s="2">
        <f>0</f>
        <v>0</v>
      </c>
      <c r="E18" s="2"/>
      <c r="F18" s="19"/>
      <c r="G18" s="2"/>
      <c r="H18" s="2">
        <f t="shared" ref="H18:H19" si="5"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--1.59</f>
        <v>1.59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1.59</v>
      </c>
      <c r="Y18" s="2"/>
      <c r="Z18" s="19">
        <f t="shared" si="3"/>
        <v>0</v>
      </c>
    </row>
    <row r="19" spans="1:26" s="24" customFormat="1" hidden="1" outlineLevel="1" x14ac:dyDescent="0.3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>--4.99</f>
        <v>4.99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4.99</v>
      </c>
      <c r="M19" s="2"/>
      <c r="N19" s="19">
        <f t="shared" si="1"/>
        <v>0</v>
      </c>
      <c r="O19" s="11"/>
      <c r="P19" s="2">
        <f>--99.83</f>
        <v>99.83</v>
      </c>
      <c r="Q19" s="2"/>
      <c r="R19" s="19"/>
      <c r="S19" s="2"/>
      <c r="T19" s="2">
        <f>--55.83</f>
        <v>55.83</v>
      </c>
      <c r="U19" s="2"/>
      <c r="V19" s="19"/>
      <c r="W19" s="2"/>
      <c r="X19" s="2">
        <f t="shared" si="2"/>
        <v>44</v>
      </c>
      <c r="Y19" s="2"/>
      <c r="Z19" s="19">
        <f t="shared" si="3"/>
        <v>0.78810675264194885</v>
      </c>
    </row>
    <row r="20" spans="1:26" s="24" customFormat="1" hidden="1" outlineLevel="1" x14ac:dyDescent="0.3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 t="shared" ref="D20:D21" si="6">0</f>
        <v>0</v>
      </c>
      <c r="E20" s="2"/>
      <c r="F20" s="19"/>
      <c r="G20" s="2"/>
      <c r="H20" s="2">
        <f>--78.5</f>
        <v>78.5</v>
      </c>
      <c r="I20" s="2"/>
      <c r="J20" s="19"/>
      <c r="K20" s="2"/>
      <c r="L20" s="2">
        <f t="shared" si="0"/>
        <v>-78.5</v>
      </c>
      <c r="M20" s="2"/>
      <c r="N20" s="19">
        <f t="shared" si="1"/>
        <v>-1</v>
      </c>
      <c r="O20" s="11"/>
      <c r="P20" s="2">
        <f>--1575.68</f>
        <v>1575.68</v>
      </c>
      <c r="Q20" s="2"/>
      <c r="R20" s="19"/>
      <c r="S20" s="2"/>
      <c r="T20" s="2">
        <f>--2318.79</f>
        <v>2318.79</v>
      </c>
      <c r="U20" s="2"/>
      <c r="V20" s="19"/>
      <c r="W20" s="2"/>
      <c r="X20" s="2">
        <f t="shared" si="2"/>
        <v>-743.1099999999999</v>
      </c>
      <c r="Y20" s="2"/>
      <c r="Z20" s="19">
        <f t="shared" si="3"/>
        <v>-0.32047317782119117</v>
      </c>
    </row>
    <row r="21" spans="1:26" s="24" customFormat="1" hidden="1" outlineLevel="1" x14ac:dyDescent="0.35">
      <c r="A21" s="44"/>
      <c r="B21" s="11" t="str">
        <f>CONCATENATE("          ", "4233", " - ", "SALES RETURN TAXABLE-CANDY")</f>
        <v xml:space="preserve">          4233 - SALES RETURN TAXABLE-CANDY</v>
      </c>
      <c r="C21" s="11"/>
      <c r="D21" s="2">
        <f t="shared" si="6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0</f>
        <v>0</v>
      </c>
      <c r="Q21" s="2"/>
      <c r="R21" s="19"/>
      <c r="S21" s="2"/>
      <c r="T21" s="2">
        <f>-1.69</f>
        <v>-1.69</v>
      </c>
      <c r="U21" s="2"/>
      <c r="V21" s="19"/>
      <c r="W21" s="2"/>
      <c r="X21" s="2">
        <f t="shared" si="2"/>
        <v>1.69</v>
      </c>
      <c r="Y21" s="2"/>
      <c r="Z21" s="19">
        <f t="shared" si="3"/>
        <v>-1</v>
      </c>
    </row>
    <row r="22" spans="1:26" x14ac:dyDescent="0.3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35">
      <c r="A23" s="10"/>
      <c r="B23" s="29" t="s">
        <v>8</v>
      </c>
      <c r="C23" s="10"/>
      <c r="D23" s="4">
        <f>SUM(OSRRefD16x_0)</f>
        <v>1892</v>
      </c>
      <c r="E23" s="4"/>
      <c r="F23" s="13">
        <f t="shared" ref="F23:F25" si="7">IF(D$12=0,0,D23/D$12)</f>
        <v>15.836611701682431</v>
      </c>
      <c r="G23" s="4"/>
      <c r="H23" s="4">
        <f>SUM(OSRRefH16x_0)</f>
        <v>15063.43</v>
      </c>
      <c r="I23" s="4"/>
      <c r="J23" s="13">
        <f t="shared" ref="J23:J25" si="8">IF(H$12=0,0,H23/H$12)</f>
        <v>1.3277312776106984</v>
      </c>
      <c r="K23" s="4"/>
      <c r="L23" s="4">
        <f t="shared" ref="L23:L25" si="9">+D23-H23</f>
        <v>-13171.43</v>
      </c>
      <c r="M23" s="4"/>
      <c r="N23" s="13">
        <f t="shared" ref="N23:N25" si="10">IF(H23=0,0,L23/H23)</f>
        <v>-0.87439779651779181</v>
      </c>
      <c r="O23" s="10"/>
      <c r="P23" s="4">
        <f>SUM(OSRRefP16x_0)</f>
        <v>243050.98999999996</v>
      </c>
      <c r="Q23" s="4"/>
      <c r="R23" s="13">
        <f t="shared" ref="R23:R25" si="11">IF(P$12=0,0,P23/P$12)</f>
        <v>0.49001998378232986</v>
      </c>
      <c r="S23" s="4"/>
      <c r="T23" s="4">
        <f>SUM(OSRRefT16x_0)</f>
        <v>311221.98</v>
      </c>
      <c r="U23" s="4"/>
      <c r="V23" s="13">
        <f t="shared" ref="V23:V25" si="12">IF(T$12=0,0,T23/T$12)</f>
        <v>0.49224528805300188</v>
      </c>
      <c r="W23" s="4"/>
      <c r="X23" s="4">
        <f t="shared" ref="X23:X25" si="13">+P23-T23</f>
        <v>-68170.99000000002</v>
      </c>
      <c r="Y23" s="4"/>
      <c r="Z23" s="13">
        <f t="shared" ref="Z23:Z25" si="14">IF(T23=0,0,X23/T23)</f>
        <v>-0.21904298019053803</v>
      </c>
    </row>
    <row r="24" spans="1:26" s="24" customFormat="1" hidden="1" outlineLevel="1" x14ac:dyDescent="0.3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-72</v>
      </c>
      <c r="E24" s="2"/>
      <c r="F24" s="19">
        <f t="shared" si="7"/>
        <v>-0.60266175608939487</v>
      </c>
      <c r="G24" s="2"/>
      <c r="H24" s="2">
        <v>1179.3800000000001</v>
      </c>
      <c r="I24" s="2"/>
      <c r="J24" s="19">
        <f t="shared" si="8"/>
        <v>0.10395372861217569</v>
      </c>
      <c r="K24" s="2"/>
      <c r="L24" s="2">
        <f t="shared" si="9"/>
        <v>-1251.3800000000001</v>
      </c>
      <c r="M24" s="2"/>
      <c r="N24" s="19">
        <f t="shared" si="10"/>
        <v>-1.0610490257592973</v>
      </c>
      <c r="O24" s="11"/>
      <c r="P24" s="2">
        <v>236674.99999999997</v>
      </c>
      <c r="Q24" s="2"/>
      <c r="R24" s="19">
        <f t="shared" si="11"/>
        <v>0.4771652222510302</v>
      </c>
      <c r="S24" s="2"/>
      <c r="T24" s="2">
        <v>279795.67</v>
      </c>
      <c r="U24" s="2"/>
      <c r="V24" s="19">
        <f t="shared" si="12"/>
        <v>0.44253975948335222</v>
      </c>
      <c r="W24" s="2"/>
      <c r="X24" s="2">
        <f t="shared" si="13"/>
        <v>-43120.670000000013</v>
      </c>
      <c r="Y24" s="2"/>
      <c r="Z24" s="19">
        <f t="shared" si="14"/>
        <v>-0.15411485817489604</v>
      </c>
    </row>
    <row r="25" spans="1:26" s="24" customFormat="1" hidden="1" outlineLevel="1" x14ac:dyDescent="0.3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1964</v>
      </c>
      <c r="E25" s="2"/>
      <c r="F25" s="19">
        <f t="shared" si="7"/>
        <v>16.439273457771826</v>
      </c>
      <c r="G25" s="2"/>
      <c r="H25" s="2">
        <v>13884.05</v>
      </c>
      <c r="I25" s="2"/>
      <c r="J25" s="19">
        <f t="shared" si="8"/>
        <v>1.2237775489985228</v>
      </c>
      <c r="K25" s="2"/>
      <c r="L25" s="2">
        <f t="shared" si="9"/>
        <v>-11920.05</v>
      </c>
      <c r="M25" s="2"/>
      <c r="N25" s="19">
        <f t="shared" si="10"/>
        <v>-0.85854271628235279</v>
      </c>
      <c r="O25" s="11"/>
      <c r="P25" s="2">
        <v>6375.99</v>
      </c>
      <c r="Q25" s="2"/>
      <c r="R25" s="19">
        <f t="shared" si="11"/>
        <v>1.2854761531299658E-2</v>
      </c>
      <c r="S25" s="2"/>
      <c r="T25" s="2">
        <v>31426.31</v>
      </c>
      <c r="U25" s="2"/>
      <c r="V25" s="19">
        <f t="shared" si="12"/>
        <v>4.970552856964966E-2</v>
      </c>
      <c r="W25" s="2"/>
      <c r="X25" s="2">
        <f t="shared" si="13"/>
        <v>-25050.32</v>
      </c>
      <c r="Y25" s="2"/>
      <c r="Z25" s="19">
        <f t="shared" si="14"/>
        <v>-0.79711299226667076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6</v>
      </c>
      <c r="C27" s="28"/>
      <c r="D27" s="22">
        <f>D12-D23</f>
        <v>-1772.53</v>
      </c>
      <c r="E27" s="14"/>
      <c r="F27" s="21">
        <f>IF(D$12=0,0,D27/D$12)</f>
        <v>-14.836611701682431</v>
      </c>
      <c r="G27" s="14"/>
      <c r="H27" s="22">
        <f>H12-H23</f>
        <v>-3718.1900000000005</v>
      </c>
      <c r="I27" s="14"/>
      <c r="J27" s="21">
        <f>IF(H$12=0,0,H27/H$12)</f>
        <v>-0.32773127761069848</v>
      </c>
      <c r="K27" s="15"/>
      <c r="L27" s="22">
        <f>+D27-H27</f>
        <v>1945.6600000000005</v>
      </c>
      <c r="M27" s="15"/>
      <c r="N27" s="21">
        <f>IF(H27=0,0,L27/H27)</f>
        <v>-0.52328148911163774</v>
      </c>
      <c r="O27" s="29"/>
      <c r="P27" s="22">
        <f>P12-P23</f>
        <v>252951.21000000011</v>
      </c>
      <c r="Q27" s="14"/>
      <c r="R27" s="21">
        <f>IF(P$12=0,0,P27/P$12)</f>
        <v>0.5099800162176702</v>
      </c>
      <c r="S27" s="14"/>
      <c r="T27" s="22">
        <f>T12-T23</f>
        <v>321027.81000000006</v>
      </c>
      <c r="U27" s="14"/>
      <c r="V27" s="21">
        <f>IF(T$12=0,0,T27/T$12)</f>
        <v>0.50775471194699806</v>
      </c>
      <c r="W27" s="15"/>
      <c r="X27" s="22">
        <f>+P27-T27</f>
        <v>-68076.599999999948</v>
      </c>
      <c r="Y27" s="15"/>
      <c r="Z27" s="21">
        <f>IF(T27=0,0,X27/T27)</f>
        <v>-0.21205826373733769</v>
      </c>
    </row>
    <row r="28" spans="1:26" x14ac:dyDescent="0.3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5">
      <c r="A29" s="10"/>
      <c r="B29" s="29" t="s">
        <v>9</v>
      </c>
      <c r="C29" s="10"/>
      <c r="D29" s="20">
        <f>SUM(OSRRefD22x_0)</f>
        <v>6060.329999999999</v>
      </c>
      <c r="E29" s="20"/>
      <c r="F29" s="36">
        <f t="shared" ref="F29:F38" si="15">IF(D$12=0,0,D29/D$12)</f>
        <v>50.726793337239464</v>
      </c>
      <c r="G29" s="20"/>
      <c r="H29" s="20">
        <f>SUM(OSRRefH22x_0)</f>
        <v>16664.52</v>
      </c>
      <c r="I29" s="20"/>
      <c r="J29" s="36">
        <f t="shared" ref="J29:J38" si="16">IF(H$12=0,0,H29/H$12)</f>
        <v>1.4688556610525649</v>
      </c>
      <c r="K29" s="4"/>
      <c r="L29" s="20">
        <f t="shared" ref="L29:L38" si="17">+D29-H29</f>
        <v>-10604.190000000002</v>
      </c>
      <c r="M29" s="4"/>
      <c r="N29" s="36">
        <f t="shared" ref="N29:N38" si="18">IF(H29=0,0,L29/H29)</f>
        <v>-0.63633335973673422</v>
      </c>
      <c r="O29" s="10"/>
      <c r="P29" s="20">
        <f>SUM(OSRRefP22x_0)</f>
        <v>196130.65</v>
      </c>
      <c r="Q29" s="20"/>
      <c r="R29" s="36">
        <f t="shared" ref="R29:R38" si="19">IF(P$12=0,0,P29/P$12)</f>
        <v>0.39542294368855613</v>
      </c>
      <c r="S29" s="20"/>
      <c r="T29" s="20">
        <f>SUM(OSRRefT22x_0)</f>
        <v>254493.32999999987</v>
      </c>
      <c r="U29" s="20"/>
      <c r="V29" s="36">
        <f t="shared" ref="V29:V38" si="20">IF(T$12=0,0,T29/T$12)</f>
        <v>0.40252022859509351</v>
      </c>
      <c r="W29" s="4"/>
      <c r="X29" s="20">
        <f t="shared" ref="X29:X38" si="21">+P29-T29</f>
        <v>-58362.679999999877</v>
      </c>
      <c r="Y29" s="4"/>
      <c r="Z29" s="36">
        <f t="shared" ref="Z29:Z38" si="22">IF(T29=0,0,X29/T29)</f>
        <v>-0.2293289179720345</v>
      </c>
    </row>
    <row r="30" spans="1:26" s="25" customFormat="1" outlineLevel="1" collapsed="1" x14ac:dyDescent="0.35">
      <c r="A30" s="26"/>
      <c r="B30" s="12" t="str">
        <f>CONCATENATE("     ","*Benefits                                         ")</f>
        <v xml:space="preserve">     *Benefits                                         </v>
      </c>
      <c r="C30" s="12"/>
      <c r="D30" s="1">
        <f>SUM(OSRRefD22_0x_0)</f>
        <v>3402.9999999999995</v>
      </c>
      <c r="E30" s="1"/>
      <c r="F30" s="5">
        <f t="shared" si="15"/>
        <v>28.484138277391811</v>
      </c>
      <c r="G30" s="1"/>
      <c r="H30" s="1">
        <f>SUM(OSRRefH22_0x_0)</f>
        <v>3638.6700000000005</v>
      </c>
      <c r="I30" s="1"/>
      <c r="J30" s="5">
        <f t="shared" si="16"/>
        <v>0.32072217070771536</v>
      </c>
      <c r="K30" s="1"/>
      <c r="L30" s="1">
        <f t="shared" si="17"/>
        <v>-235.67000000000098</v>
      </c>
      <c r="M30" s="1"/>
      <c r="N30" s="5">
        <f t="shared" si="18"/>
        <v>-6.4768170787678173E-2</v>
      </c>
      <c r="O30" s="12"/>
      <c r="P30" s="1">
        <f>SUM(OSRRefP22_0x_0)</f>
        <v>50448.2</v>
      </c>
      <c r="Q30" s="1"/>
      <c r="R30" s="5">
        <f t="shared" si="19"/>
        <v>0.10170962951374005</v>
      </c>
      <c r="S30" s="1"/>
      <c r="T30" s="1">
        <f>SUM(OSRRefT22_0x_0)</f>
        <v>51500.06</v>
      </c>
      <c r="U30" s="1"/>
      <c r="V30" s="5">
        <f t="shared" si="20"/>
        <v>8.1455242555319787E-2</v>
      </c>
      <c r="W30" s="1"/>
      <c r="X30" s="1">
        <f t="shared" si="21"/>
        <v>-1051.8600000000006</v>
      </c>
      <c r="Y30" s="1"/>
      <c r="Z30" s="5">
        <f t="shared" si="22"/>
        <v>-2.0424442223950821E-2</v>
      </c>
    </row>
    <row r="31" spans="1:26" s="24" customFormat="1" hidden="1" outlineLevel="2" x14ac:dyDescent="0.35">
      <c r="A31" s="27"/>
      <c r="B31" s="11" t="str">
        <f>CONCATENATE("          ", "6111", " - ", "F.I.C.A.")</f>
        <v xml:space="preserve">          6111 - F.I.C.A.</v>
      </c>
      <c r="C31" s="11"/>
      <c r="D31" s="7">
        <v>357.68</v>
      </c>
      <c r="E31" s="2"/>
      <c r="F31" s="6">
        <f t="shared" si="15"/>
        <v>2.993889679417427</v>
      </c>
      <c r="G31" s="2"/>
      <c r="H31" s="7">
        <v>624.21</v>
      </c>
      <c r="I31" s="2"/>
      <c r="J31" s="6">
        <f t="shared" si="16"/>
        <v>5.501955004918363E-2</v>
      </c>
      <c r="K31" s="2"/>
      <c r="L31" s="7">
        <f t="shared" si="17"/>
        <v>-266.53000000000003</v>
      </c>
      <c r="M31" s="2"/>
      <c r="N31" s="6">
        <f t="shared" si="18"/>
        <v>-0.42698771246856027</v>
      </c>
      <c r="O31" s="11"/>
      <c r="P31" s="7">
        <v>5769.82</v>
      </c>
      <c r="Q31" s="2"/>
      <c r="R31" s="6">
        <f t="shared" si="19"/>
        <v>1.1632650016471699E-2</v>
      </c>
      <c r="S31" s="2"/>
      <c r="T31" s="7">
        <v>9064.93</v>
      </c>
      <c r="U31" s="2"/>
      <c r="V31" s="6">
        <f t="shared" si="20"/>
        <v>1.4337576925094747E-2</v>
      </c>
      <c r="W31" s="2"/>
      <c r="X31" s="7">
        <f t="shared" si="21"/>
        <v>-3295.1100000000006</v>
      </c>
      <c r="Y31" s="2"/>
      <c r="Z31" s="6">
        <f t="shared" si="22"/>
        <v>-0.36350087645464452</v>
      </c>
    </row>
    <row r="32" spans="1:26" s="24" customFormat="1" hidden="1" outlineLevel="2" x14ac:dyDescent="0.35">
      <c r="A32" s="27"/>
      <c r="B32" s="11" t="str">
        <f>CONCATENATE("          ", "6112", " - ", "COMPENSATION INSURANCE")</f>
        <v xml:space="preserve">          6112 - COMPENSATION INSURANCE</v>
      </c>
      <c r="C32" s="11"/>
      <c r="D32" s="7">
        <v>88.84</v>
      </c>
      <c r="E32" s="2"/>
      <c r="F32" s="6">
        <f t="shared" si="15"/>
        <v>0.74361764459697</v>
      </c>
      <c r="G32" s="2"/>
      <c r="H32" s="7">
        <v>156.96</v>
      </c>
      <c r="I32" s="2"/>
      <c r="J32" s="6">
        <f t="shared" si="16"/>
        <v>1.3834877005686967E-2</v>
      </c>
      <c r="K32" s="2"/>
      <c r="L32" s="7">
        <f t="shared" si="17"/>
        <v>-68.12</v>
      </c>
      <c r="M32" s="2"/>
      <c r="N32" s="6">
        <f t="shared" si="18"/>
        <v>-0.43399592252803265</v>
      </c>
      <c r="O32" s="11"/>
      <c r="P32" s="7">
        <v>2033.9</v>
      </c>
      <c r="Q32" s="2"/>
      <c r="R32" s="6">
        <f t="shared" si="19"/>
        <v>4.1005866506237266E-3</v>
      </c>
      <c r="S32" s="2"/>
      <c r="T32" s="7">
        <v>1569.13</v>
      </c>
      <c r="U32" s="2"/>
      <c r="V32" s="6">
        <f t="shared" si="20"/>
        <v>2.481819725080494E-3</v>
      </c>
      <c r="W32" s="2"/>
      <c r="X32" s="7">
        <f t="shared" si="21"/>
        <v>464.77</v>
      </c>
      <c r="Y32" s="2"/>
      <c r="Z32" s="6">
        <f t="shared" si="22"/>
        <v>0.296195981212519</v>
      </c>
    </row>
    <row r="33" spans="1:26" s="24" customFormat="1" hidden="1" outlineLevel="2" x14ac:dyDescent="0.35">
      <c r="A33" s="27"/>
      <c r="B33" s="11" t="str">
        <f>CONCATENATE("          ", "6113", " - ", "GROUP INSURANCE")</f>
        <v xml:space="preserve">          6113 - GROUP INSURANCE</v>
      </c>
      <c r="C33" s="11"/>
      <c r="D33" s="7">
        <v>2021.26</v>
      </c>
      <c r="E33" s="2"/>
      <c r="F33" s="6">
        <f t="shared" si="15"/>
        <v>16.918556959906251</v>
      </c>
      <c r="G33" s="2"/>
      <c r="H33" s="7">
        <v>2019.97</v>
      </c>
      <c r="I33" s="2"/>
      <c r="J33" s="6">
        <f t="shared" si="16"/>
        <v>0.17804559445194637</v>
      </c>
      <c r="K33" s="2"/>
      <c r="L33" s="7">
        <f t="shared" si="17"/>
        <v>1.2899999999999636</v>
      </c>
      <c r="M33" s="2"/>
      <c r="N33" s="6">
        <f t="shared" si="18"/>
        <v>6.3862334589125764E-4</v>
      </c>
      <c r="O33" s="11"/>
      <c r="P33" s="7">
        <v>24247.38</v>
      </c>
      <c r="Q33" s="2"/>
      <c r="R33" s="6">
        <f t="shared" si="19"/>
        <v>4.888562994277041E-2</v>
      </c>
      <c r="S33" s="2"/>
      <c r="T33" s="7">
        <v>22969.11</v>
      </c>
      <c r="U33" s="2"/>
      <c r="V33" s="6">
        <f t="shared" si="20"/>
        <v>3.6329169836497692E-2</v>
      </c>
      <c r="W33" s="2"/>
      <c r="X33" s="7">
        <f t="shared" si="21"/>
        <v>1278.2700000000004</v>
      </c>
      <c r="Y33" s="2"/>
      <c r="Z33" s="6">
        <f t="shared" si="22"/>
        <v>5.5651699173368076E-2</v>
      </c>
    </row>
    <row r="34" spans="1:26" s="24" customFormat="1" hidden="1" outlineLevel="2" x14ac:dyDescent="0.35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7">
        <v>-299.05</v>
      </c>
      <c r="E34" s="2"/>
      <c r="F34" s="6">
        <f t="shared" si="15"/>
        <v>-2.5031388633129659</v>
      </c>
      <c r="G34" s="2"/>
      <c r="H34" s="7">
        <v>43.05</v>
      </c>
      <c r="I34" s="2"/>
      <c r="J34" s="6">
        <f t="shared" si="16"/>
        <v>3.7945429096255343E-3</v>
      </c>
      <c r="K34" s="2"/>
      <c r="L34" s="7">
        <f t="shared" si="17"/>
        <v>-342.1</v>
      </c>
      <c r="M34" s="2"/>
      <c r="N34" s="6">
        <f t="shared" si="18"/>
        <v>-7.9465737514518011</v>
      </c>
      <c r="O34" s="11"/>
      <c r="P34" s="7">
        <v>0</v>
      </c>
      <c r="Q34" s="2"/>
      <c r="R34" s="6">
        <f t="shared" si="19"/>
        <v>0</v>
      </c>
      <c r="S34" s="2"/>
      <c r="T34" s="7">
        <v>459.11</v>
      </c>
      <c r="U34" s="2"/>
      <c r="V34" s="6">
        <f t="shared" si="20"/>
        <v>7.2615287068739077E-4</v>
      </c>
      <c r="W34" s="2"/>
      <c r="X34" s="7">
        <f t="shared" si="21"/>
        <v>-459.11</v>
      </c>
      <c r="Y34" s="2"/>
      <c r="Z34" s="6">
        <f t="shared" si="22"/>
        <v>-1</v>
      </c>
    </row>
    <row r="35" spans="1:26" s="24" customFormat="1" hidden="1" outlineLevel="2" x14ac:dyDescent="0.35">
      <c r="A35" s="27"/>
      <c r="B35" s="11" t="str">
        <f>CONCATENATE("          ", "6115", " - ", "P.E.R.S.")</f>
        <v xml:space="preserve">          6115 - P.E.R.S.</v>
      </c>
      <c r="C35" s="11"/>
      <c r="D35" s="7">
        <v>568.97</v>
      </c>
      <c r="E35" s="2"/>
      <c r="F35" s="6">
        <f t="shared" si="15"/>
        <v>4.7624508244747634</v>
      </c>
      <c r="G35" s="2"/>
      <c r="H35" s="7"/>
      <c r="I35" s="2"/>
      <c r="J35" s="6">
        <f t="shared" si="16"/>
        <v>0</v>
      </c>
      <c r="K35" s="2"/>
      <c r="L35" s="7">
        <f t="shared" si="17"/>
        <v>568.97</v>
      </c>
      <c r="M35" s="2"/>
      <c r="N35" s="6">
        <f t="shared" si="18"/>
        <v>0</v>
      </c>
      <c r="O35" s="11"/>
      <c r="P35" s="7">
        <v>7629.88</v>
      </c>
      <c r="Q35" s="2"/>
      <c r="R35" s="6">
        <f t="shared" si="19"/>
        <v>1.5382754350686347E-2</v>
      </c>
      <c r="S35" s="2"/>
      <c r="T35" s="7">
        <v>6557.47</v>
      </c>
      <c r="U35" s="2"/>
      <c r="V35" s="6">
        <f t="shared" si="20"/>
        <v>1.0371644409719771E-2</v>
      </c>
      <c r="W35" s="2"/>
      <c r="X35" s="7">
        <f t="shared" si="21"/>
        <v>1072.4099999999999</v>
      </c>
      <c r="Y35" s="2"/>
      <c r="Z35" s="6">
        <f t="shared" si="22"/>
        <v>0.16354020681756834</v>
      </c>
    </row>
    <row r="36" spans="1:26" s="24" customFormat="1" hidden="1" outlineLevel="2" x14ac:dyDescent="0.35">
      <c r="A36" s="27"/>
      <c r="B36" s="11" t="str">
        <f>CONCATENATE("          ", "6118", " - ", "VACATION")</f>
        <v xml:space="preserve">          6118 - VACATION</v>
      </c>
      <c r="C36" s="11"/>
      <c r="D36" s="7">
        <v>407.06</v>
      </c>
      <c r="E36" s="2"/>
      <c r="F36" s="6">
        <f t="shared" si="15"/>
        <v>3.407215200468737</v>
      </c>
      <c r="G36" s="2"/>
      <c r="H36" s="7">
        <v>395.2</v>
      </c>
      <c r="I36" s="2"/>
      <c r="J36" s="6">
        <f t="shared" si="16"/>
        <v>3.4833992053054846E-2</v>
      </c>
      <c r="K36" s="2"/>
      <c r="L36" s="7">
        <f t="shared" si="17"/>
        <v>11.860000000000014</v>
      </c>
      <c r="M36" s="2"/>
      <c r="N36" s="6">
        <f t="shared" si="18"/>
        <v>3.0010121457489915E-2</v>
      </c>
      <c r="O36" s="11"/>
      <c r="P36" s="7">
        <v>5600.67</v>
      </c>
      <c r="Q36" s="2"/>
      <c r="R36" s="6">
        <f t="shared" si="19"/>
        <v>1.1291623303283734E-2</v>
      </c>
      <c r="S36" s="2"/>
      <c r="T36" s="7">
        <v>5377.38</v>
      </c>
      <c r="U36" s="2"/>
      <c r="V36" s="6">
        <f t="shared" si="20"/>
        <v>8.5051511049137711E-3</v>
      </c>
      <c r="W36" s="2"/>
      <c r="X36" s="7">
        <f t="shared" si="21"/>
        <v>223.28999999999996</v>
      </c>
      <c r="Y36" s="2"/>
      <c r="Z36" s="6">
        <f t="shared" si="22"/>
        <v>4.1523939167401221E-2</v>
      </c>
    </row>
    <row r="37" spans="1:26" s="24" customFormat="1" hidden="1" outlineLevel="2" x14ac:dyDescent="0.35">
      <c r="A37" s="27"/>
      <c r="B37" s="11" t="str">
        <f>CONCATENATE("          ", "6119", " - ", "SICK LEAVE")</f>
        <v xml:space="preserve">          6119 - SICK LEAVE</v>
      </c>
      <c r="C37" s="11"/>
      <c r="D37" s="7">
        <v>256.76</v>
      </c>
      <c r="E37" s="2"/>
      <c r="F37" s="6">
        <f t="shared" si="15"/>
        <v>2.149158784632125</v>
      </c>
      <c r="G37" s="2"/>
      <c r="H37" s="7">
        <v>249.28</v>
      </c>
      <c r="I37" s="2"/>
      <c r="J37" s="6">
        <f t="shared" si="16"/>
        <v>2.1972210371926905E-2</v>
      </c>
      <c r="K37" s="2"/>
      <c r="L37" s="7">
        <f t="shared" si="17"/>
        <v>7.4799999999999898</v>
      </c>
      <c r="M37" s="2"/>
      <c r="N37" s="6">
        <f t="shared" si="18"/>
        <v>3.0006418485237444E-2</v>
      </c>
      <c r="O37" s="11"/>
      <c r="P37" s="7">
        <v>3742.3</v>
      </c>
      <c r="Q37" s="2"/>
      <c r="R37" s="6">
        <f t="shared" si="19"/>
        <v>7.5449262120208327E-3</v>
      </c>
      <c r="S37" s="2"/>
      <c r="T37" s="7">
        <v>3570.37</v>
      </c>
      <c r="U37" s="2"/>
      <c r="V37" s="6">
        <f t="shared" si="20"/>
        <v>5.6470876803296367E-3</v>
      </c>
      <c r="W37" s="2"/>
      <c r="X37" s="7">
        <f t="shared" si="21"/>
        <v>171.93000000000029</v>
      </c>
      <c r="Y37" s="2"/>
      <c r="Z37" s="6">
        <f t="shared" si="22"/>
        <v>4.8154673045090648E-2</v>
      </c>
    </row>
    <row r="38" spans="1:26" s="24" customFormat="1" hidden="1" outlineLevel="2" x14ac:dyDescent="0.35">
      <c r="A38" s="27"/>
      <c r="B38" s="11" t="str">
        <f>CONCATENATE("          ", "6156", " - ", "EMPLOYEE MEALS")</f>
        <v xml:space="preserve">          6156 - EMPLOYEE MEALS</v>
      </c>
      <c r="C38" s="11"/>
      <c r="D38" s="7">
        <v>1.48</v>
      </c>
      <c r="E38" s="2"/>
      <c r="F38" s="6">
        <f t="shared" si="15"/>
        <v>1.2388047208504227E-2</v>
      </c>
      <c r="G38" s="2"/>
      <c r="H38" s="7">
        <v>150</v>
      </c>
      <c r="I38" s="2"/>
      <c r="J38" s="6">
        <f t="shared" si="16"/>
        <v>1.3221403866291061E-2</v>
      </c>
      <c r="K38" s="2"/>
      <c r="L38" s="7">
        <f t="shared" si="17"/>
        <v>-148.52000000000001</v>
      </c>
      <c r="M38" s="2"/>
      <c r="N38" s="6">
        <f t="shared" si="18"/>
        <v>-0.99013333333333342</v>
      </c>
      <c r="O38" s="11"/>
      <c r="P38" s="7">
        <v>1424.25</v>
      </c>
      <c r="Q38" s="2"/>
      <c r="R38" s="6">
        <f t="shared" si="19"/>
        <v>2.8714590378832992E-3</v>
      </c>
      <c r="S38" s="2"/>
      <c r="T38" s="7">
        <v>1932.56</v>
      </c>
      <c r="U38" s="2"/>
      <c r="V38" s="6">
        <f t="shared" si="20"/>
        <v>3.056640002996284E-3</v>
      </c>
      <c r="W38" s="2"/>
      <c r="X38" s="7">
        <f t="shared" si="21"/>
        <v>-508.30999999999995</v>
      </c>
      <c r="Y38" s="2"/>
      <c r="Z38" s="6">
        <f t="shared" si="22"/>
        <v>-0.2630241751873163</v>
      </c>
    </row>
    <row r="39" spans="1:26" s="25" customFormat="1" outlineLevel="1" collapsed="1" x14ac:dyDescent="0.35">
      <c r="A39" s="26"/>
      <c r="B39" s="12" t="str">
        <f>CONCATENATE("     ","*Payroll                                          ")</f>
        <v xml:space="preserve">     *Payroll                                          </v>
      </c>
      <c r="C39" s="12"/>
      <c r="D39" s="1">
        <f>SUM(OSRRefD22_1x_0)</f>
        <v>2452.81</v>
      </c>
      <c r="E39" s="1"/>
      <c r="F39" s="5">
        <f t="shared" ref="F39:F45" si="23">IF(D$12=0,0,D39/D$12)</f>
        <v>20.530760860467062</v>
      </c>
      <c r="G39" s="1"/>
      <c r="H39" s="1">
        <f>SUM(OSRRefH22_1x_0)</f>
        <v>11117.92</v>
      </c>
      <c r="I39" s="1"/>
      <c r="J39" s="5">
        <f t="shared" ref="J39:J45" si="24">IF(H$12=0,0,H39/H$12)</f>
        <v>0.97996340315409813</v>
      </c>
      <c r="K39" s="1"/>
      <c r="L39" s="1">
        <f t="shared" ref="L39:L45" si="25">+D39-H39</f>
        <v>-8665.11</v>
      </c>
      <c r="M39" s="1"/>
      <c r="N39" s="5">
        <f t="shared" ref="N39:N45" si="26">IF(H39=0,0,L39/H39)</f>
        <v>-0.77938229452991215</v>
      </c>
      <c r="O39" s="12"/>
      <c r="P39" s="1">
        <f>SUM(OSRRefP22_1x_0)</f>
        <v>114162.33</v>
      </c>
      <c r="Q39" s="1"/>
      <c r="R39" s="5">
        <f t="shared" ref="R39:R45" si="27">IF(P$12=0,0,P39/P$12)</f>
        <v>0.23016496701022693</v>
      </c>
      <c r="S39" s="1"/>
      <c r="T39" s="1">
        <f>SUM(OSRRefT22_1x_0)</f>
        <v>173375.03</v>
      </c>
      <c r="U39" s="1"/>
      <c r="V39" s="5">
        <f t="shared" ref="V39:V45" si="28">IF(T$12=0,0,T39/T$12)</f>
        <v>0.27421919744726209</v>
      </c>
      <c r="W39" s="1"/>
      <c r="X39" s="1">
        <f t="shared" ref="X39:X45" si="29">+P39-T39</f>
        <v>-59212.7</v>
      </c>
      <c r="Y39" s="1"/>
      <c r="Z39" s="5">
        <f t="shared" ref="Z39:Z45" si="30">IF(T39=0,0,X39/T39)</f>
        <v>-0.34152957320324617</v>
      </c>
    </row>
    <row r="40" spans="1:26" s="24" customFormat="1" hidden="1" outlineLevel="2" x14ac:dyDescent="0.35">
      <c r="A40" s="27"/>
      <c r="B40" s="11" t="str">
        <f>CONCATENATE("          ", "6002", " - ", "STAFF SALARIES")</f>
        <v xml:space="preserve">          6002 - STAFF SALARIES</v>
      </c>
      <c r="C40" s="11"/>
      <c r="D40" s="7">
        <v>2452.81</v>
      </c>
      <c r="E40" s="2"/>
      <c r="F40" s="6">
        <f t="shared" si="23"/>
        <v>20.530760860467062</v>
      </c>
      <c r="G40" s="2"/>
      <c r="H40" s="7">
        <v>5404.52</v>
      </c>
      <c r="I40" s="2"/>
      <c r="J40" s="6">
        <f t="shared" si="24"/>
        <v>0.47636894415631581</v>
      </c>
      <c r="K40" s="2"/>
      <c r="L40" s="7">
        <f t="shared" si="25"/>
        <v>-2951.7100000000005</v>
      </c>
      <c r="M40" s="2"/>
      <c r="N40" s="6">
        <f t="shared" si="26"/>
        <v>-0.54615581032173077</v>
      </c>
      <c r="O40" s="11"/>
      <c r="P40" s="7">
        <v>64138.37</v>
      </c>
      <c r="Q40" s="2"/>
      <c r="R40" s="6">
        <f t="shared" si="27"/>
        <v>0.12931065628337937</v>
      </c>
      <c r="S40" s="2"/>
      <c r="T40" s="7">
        <v>66104.009999999995</v>
      </c>
      <c r="U40" s="2"/>
      <c r="V40" s="6">
        <f t="shared" si="28"/>
        <v>0.10455362903323383</v>
      </c>
      <c r="W40" s="2"/>
      <c r="X40" s="7">
        <f t="shared" si="29"/>
        <v>-1965.6399999999921</v>
      </c>
      <c r="Y40" s="2"/>
      <c r="Z40" s="6">
        <f t="shared" si="30"/>
        <v>-2.973556369727029E-2</v>
      </c>
    </row>
    <row r="41" spans="1:26" s="24" customFormat="1" hidden="1" outlineLevel="2" x14ac:dyDescent="0.35">
      <c r="A41" s="27"/>
      <c r="B41" s="11" t="str">
        <f>CONCATENATE("          ", "6004", " - ", "STAFF HOURLY")</f>
        <v xml:space="preserve">          6004 - STAFF HOURLY</v>
      </c>
      <c r="C41" s="11"/>
      <c r="D41" s="7"/>
      <c r="E41" s="2"/>
      <c r="F41" s="6">
        <f t="shared" si="23"/>
        <v>0</v>
      </c>
      <c r="G41" s="2"/>
      <c r="H41" s="7"/>
      <c r="I41" s="2"/>
      <c r="J41" s="6">
        <f t="shared" si="24"/>
        <v>0</v>
      </c>
      <c r="K41" s="2"/>
      <c r="L41" s="7">
        <f t="shared" si="25"/>
        <v>0</v>
      </c>
      <c r="M41" s="2"/>
      <c r="N41" s="6">
        <f t="shared" si="26"/>
        <v>0</v>
      </c>
      <c r="O41" s="11"/>
      <c r="P41" s="7">
        <v>-3618.33</v>
      </c>
      <c r="Q41" s="2"/>
      <c r="R41" s="6">
        <f t="shared" si="27"/>
        <v>-7.2949878044895758E-3</v>
      </c>
      <c r="S41" s="2"/>
      <c r="T41" s="7"/>
      <c r="U41" s="2"/>
      <c r="V41" s="6">
        <f t="shared" si="28"/>
        <v>0</v>
      </c>
      <c r="W41" s="2"/>
      <c r="X41" s="7">
        <f t="shared" si="29"/>
        <v>-3618.33</v>
      </c>
      <c r="Y41" s="2"/>
      <c r="Z41" s="6">
        <f t="shared" si="30"/>
        <v>0</v>
      </c>
    </row>
    <row r="42" spans="1:26" s="24" customFormat="1" hidden="1" outlineLevel="2" x14ac:dyDescent="0.3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3"/>
        <v>0</v>
      </c>
      <c r="G42" s="2"/>
      <c r="H42" s="7">
        <v>3128.33</v>
      </c>
      <c r="I42" s="2"/>
      <c r="J42" s="6">
        <f t="shared" si="24"/>
        <v>0.27573942904689541</v>
      </c>
      <c r="K42" s="2"/>
      <c r="L42" s="7">
        <f t="shared" si="25"/>
        <v>-3128.33</v>
      </c>
      <c r="M42" s="2"/>
      <c r="N42" s="6">
        <f t="shared" si="26"/>
        <v>-1</v>
      </c>
      <c r="O42" s="11"/>
      <c r="P42" s="7">
        <v>1174.26</v>
      </c>
      <c r="Q42" s="2"/>
      <c r="R42" s="6">
        <f t="shared" si="27"/>
        <v>2.3674491766367163E-3</v>
      </c>
      <c r="S42" s="2"/>
      <c r="T42" s="7">
        <v>53453.279999999999</v>
      </c>
      <c r="U42" s="2"/>
      <c r="V42" s="6">
        <f t="shared" si="28"/>
        <v>8.4544559516579673E-2</v>
      </c>
      <c r="W42" s="2"/>
      <c r="X42" s="7">
        <f t="shared" si="29"/>
        <v>-52279.02</v>
      </c>
      <c r="Y42" s="2"/>
      <c r="Z42" s="6">
        <f t="shared" si="30"/>
        <v>-0.97803203096236557</v>
      </c>
    </row>
    <row r="43" spans="1:26" s="24" customFormat="1" hidden="1" outlineLevel="2" x14ac:dyDescent="0.35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3"/>
        <v>0</v>
      </c>
      <c r="G43" s="2"/>
      <c r="H43" s="7"/>
      <c r="I43" s="2"/>
      <c r="J43" s="6">
        <f t="shared" si="24"/>
        <v>0</v>
      </c>
      <c r="K43" s="2"/>
      <c r="L43" s="7">
        <f t="shared" si="25"/>
        <v>0</v>
      </c>
      <c r="M43" s="2"/>
      <c r="N43" s="6">
        <f t="shared" si="26"/>
        <v>0</v>
      </c>
      <c r="O43" s="11"/>
      <c r="P43" s="7">
        <v>4878.2700000000004</v>
      </c>
      <c r="Q43" s="2"/>
      <c r="R43" s="6">
        <f t="shared" si="27"/>
        <v>9.8351781504194928E-3</v>
      </c>
      <c r="S43" s="2"/>
      <c r="T43" s="7"/>
      <c r="U43" s="2"/>
      <c r="V43" s="6">
        <f t="shared" si="28"/>
        <v>0</v>
      </c>
      <c r="W43" s="2"/>
      <c r="X43" s="7">
        <f t="shared" si="29"/>
        <v>4878.2700000000004</v>
      </c>
      <c r="Y43" s="2"/>
      <c r="Z43" s="6">
        <f t="shared" si="30"/>
        <v>0</v>
      </c>
    </row>
    <row r="44" spans="1:26" s="24" customFormat="1" hidden="1" outlineLevel="2" x14ac:dyDescent="0.35">
      <c r="A44" s="27"/>
      <c r="B44" s="11" t="str">
        <f>CONCATENATE("          ", "6007", " - ", "STUDENT HOURLY")</f>
        <v xml:space="preserve">          6007 - STUDENT HOURLY</v>
      </c>
      <c r="C44" s="11"/>
      <c r="D44" s="7"/>
      <c r="E44" s="2"/>
      <c r="F44" s="6">
        <f t="shared" si="23"/>
        <v>0</v>
      </c>
      <c r="G44" s="2"/>
      <c r="H44" s="7">
        <v>459</v>
      </c>
      <c r="I44" s="2"/>
      <c r="J44" s="6">
        <f t="shared" si="24"/>
        <v>4.0457495830850648E-2</v>
      </c>
      <c r="K44" s="2"/>
      <c r="L44" s="7">
        <f t="shared" si="25"/>
        <v>-459</v>
      </c>
      <c r="M44" s="2"/>
      <c r="N44" s="6">
        <f t="shared" si="26"/>
        <v>-1</v>
      </c>
      <c r="O44" s="11"/>
      <c r="P44" s="7">
        <v>44034.28</v>
      </c>
      <c r="Q44" s="2"/>
      <c r="R44" s="6">
        <f t="shared" si="27"/>
        <v>8.8778396547434649E-2</v>
      </c>
      <c r="S44" s="2"/>
      <c r="T44" s="7">
        <v>40704.019999999997</v>
      </c>
      <c r="U44" s="2"/>
      <c r="V44" s="6">
        <f t="shared" si="28"/>
        <v>6.4379649695099142E-2</v>
      </c>
      <c r="W44" s="2"/>
      <c r="X44" s="7">
        <f t="shared" si="29"/>
        <v>3330.260000000002</v>
      </c>
      <c r="Y44" s="2"/>
      <c r="Z44" s="6">
        <f t="shared" si="30"/>
        <v>8.1816488887338459E-2</v>
      </c>
    </row>
    <row r="45" spans="1:26" s="24" customFormat="1" hidden="1" outlineLevel="2" x14ac:dyDescent="0.3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3"/>
        <v>0</v>
      </c>
      <c r="G45" s="2"/>
      <c r="H45" s="7">
        <v>2126.0700000000002</v>
      </c>
      <c r="I45" s="2"/>
      <c r="J45" s="6">
        <f t="shared" si="24"/>
        <v>0.18739753412003626</v>
      </c>
      <c r="K45" s="2"/>
      <c r="L45" s="7">
        <f t="shared" si="25"/>
        <v>-2126.0700000000002</v>
      </c>
      <c r="M45" s="2"/>
      <c r="N45" s="6">
        <f t="shared" si="26"/>
        <v>-1</v>
      </c>
      <c r="O45" s="11"/>
      <c r="P45" s="7">
        <v>3555.48</v>
      </c>
      <c r="Q45" s="2"/>
      <c r="R45" s="6">
        <f t="shared" si="27"/>
        <v>7.1682746568462793E-3</v>
      </c>
      <c r="S45" s="2"/>
      <c r="T45" s="7">
        <v>13113.72</v>
      </c>
      <c r="U45" s="2"/>
      <c r="V45" s="6">
        <f t="shared" si="28"/>
        <v>2.0741359202349437E-2</v>
      </c>
      <c r="W45" s="2"/>
      <c r="X45" s="7">
        <f t="shared" si="29"/>
        <v>-9558.24</v>
      </c>
      <c r="Y45" s="2"/>
      <c r="Z45" s="6">
        <f t="shared" si="30"/>
        <v>-0.72887327165747018</v>
      </c>
    </row>
    <row r="46" spans="1:26" s="25" customFormat="1" outlineLevel="1" collapsed="1" x14ac:dyDescent="0.35">
      <c r="A46" s="26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58" si="31">IF(D$12=0,0,D46/D$12)</f>
        <v>0</v>
      </c>
      <c r="G46" s="1"/>
      <c r="H46" s="1">
        <f>SUM(OSRRefH22_2x_0)</f>
        <v>0</v>
      </c>
      <c r="I46" s="1"/>
      <c r="J46" s="5">
        <f t="shared" ref="J46:J58" si="32">IF(H$12=0,0,H46/H$12)</f>
        <v>0</v>
      </c>
      <c r="K46" s="1"/>
      <c r="L46" s="1">
        <f t="shared" ref="L46:L58" si="33">+D46-H46</f>
        <v>0</v>
      </c>
      <c r="M46" s="1"/>
      <c r="N46" s="5">
        <f t="shared" ref="N46:N58" si="34">IF(H46=0,0,L46/H46)</f>
        <v>0</v>
      </c>
      <c r="O46" s="12"/>
      <c r="P46" s="1">
        <f>SUM(OSRRefP22_2x_0)</f>
        <v>1464.31</v>
      </c>
      <c r="Q46" s="1"/>
      <c r="R46" s="5">
        <f t="shared" ref="R46:R58" si="35">IF(P$12=0,0,P46/P$12)</f>
        <v>2.9522248086802836E-3</v>
      </c>
      <c r="S46" s="1"/>
      <c r="T46" s="1">
        <f>SUM(OSRRefT22_2x_0)</f>
        <v>112.21</v>
      </c>
      <c r="U46" s="1"/>
      <c r="V46" s="5">
        <f t="shared" ref="V46:V58" si="36">IF(T$12=0,0,T46/T$12)</f>
        <v>1.7747732268918586E-4</v>
      </c>
      <c r="W46" s="1"/>
      <c r="X46" s="1">
        <f t="shared" ref="X46:X58" si="37">+P46-T46</f>
        <v>1352.1</v>
      </c>
      <c r="Y46" s="1"/>
      <c r="Z46" s="5">
        <f t="shared" ref="Z46:Z58" si="38">IF(T46=0,0,X46/T46)</f>
        <v>12.049728188218518</v>
      </c>
    </row>
    <row r="47" spans="1:26" s="24" customFormat="1" hidden="1" outlineLevel="2" x14ac:dyDescent="0.35">
      <c r="A47" s="27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31"/>
        <v>0</v>
      </c>
      <c r="G47" s="2"/>
      <c r="H47" s="7"/>
      <c r="I47" s="2"/>
      <c r="J47" s="6">
        <f t="shared" si="32"/>
        <v>0</v>
      </c>
      <c r="K47" s="2"/>
      <c r="L47" s="7">
        <f t="shared" si="33"/>
        <v>0</v>
      </c>
      <c r="M47" s="2"/>
      <c r="N47" s="6">
        <f t="shared" si="34"/>
        <v>0</v>
      </c>
      <c r="O47" s="11"/>
      <c r="P47" s="7">
        <v>1464.31</v>
      </c>
      <c r="Q47" s="2"/>
      <c r="R47" s="6">
        <f t="shared" si="35"/>
        <v>2.9522248086802836E-3</v>
      </c>
      <c r="S47" s="2"/>
      <c r="T47" s="7">
        <v>112.21</v>
      </c>
      <c r="U47" s="2"/>
      <c r="V47" s="6">
        <f t="shared" si="36"/>
        <v>1.7747732268918586E-4</v>
      </c>
      <c r="W47" s="2"/>
      <c r="X47" s="7">
        <f t="shared" si="37"/>
        <v>1352.1</v>
      </c>
      <c r="Y47" s="2"/>
      <c r="Z47" s="6">
        <f t="shared" si="38"/>
        <v>12.049728188218518</v>
      </c>
    </row>
    <row r="48" spans="1:26" s="25" customFormat="1" outlineLevel="1" collapsed="1" x14ac:dyDescent="0.35">
      <c r="A48" s="26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31"/>
        <v>0</v>
      </c>
      <c r="G48" s="1"/>
      <c r="H48" s="1">
        <f>SUM(OSRRefH22_3x_0)</f>
        <v>1079.6600000000001</v>
      </c>
      <c r="I48" s="1"/>
      <c r="J48" s="5">
        <f t="shared" si="32"/>
        <v>9.516413932186539E-2</v>
      </c>
      <c r="K48" s="1"/>
      <c r="L48" s="1">
        <f t="shared" si="33"/>
        <v>-1079.6600000000001</v>
      </c>
      <c r="M48" s="1"/>
      <c r="N48" s="5">
        <f t="shared" si="34"/>
        <v>-1</v>
      </c>
      <c r="O48" s="12"/>
      <c r="P48" s="1">
        <f>SUM(OSRRefP22_3x_0)</f>
        <v>-198.56</v>
      </c>
      <c r="Q48" s="1"/>
      <c r="R48" s="5">
        <f t="shared" si="35"/>
        <v>-4.0032080502868734E-4</v>
      </c>
      <c r="S48" s="1"/>
      <c r="T48" s="1">
        <f>SUM(OSRRefT22_3x_0)</f>
        <v>790.05</v>
      </c>
      <c r="U48" s="1"/>
      <c r="V48" s="5">
        <f t="shared" si="36"/>
        <v>1.2495852311789615E-3</v>
      </c>
      <c r="W48" s="1"/>
      <c r="X48" s="1">
        <f t="shared" si="37"/>
        <v>-988.6099999999999</v>
      </c>
      <c r="Y48" s="1"/>
      <c r="Z48" s="5">
        <f t="shared" si="38"/>
        <v>-1.2513258654515536</v>
      </c>
    </row>
    <row r="49" spans="1:26" s="24" customFormat="1" hidden="1" outlineLevel="2" x14ac:dyDescent="0.35">
      <c r="A49" s="27"/>
      <c r="B49" s="11" t="str">
        <f>CONCATENATE("          ", "6272", " - ", "CASH (OVER/SHORT)")</f>
        <v xml:space="preserve">          6272 - CASH (OVER/SHORT)</v>
      </c>
      <c r="C49" s="11"/>
      <c r="D49" s="7"/>
      <c r="E49" s="2"/>
      <c r="F49" s="6">
        <f t="shared" si="31"/>
        <v>0</v>
      </c>
      <c r="G49" s="2"/>
      <c r="H49" s="7">
        <v>1079.6600000000001</v>
      </c>
      <c r="I49" s="2"/>
      <c r="J49" s="6">
        <f t="shared" si="32"/>
        <v>9.516413932186539E-2</v>
      </c>
      <c r="K49" s="2"/>
      <c r="L49" s="7">
        <f t="shared" si="33"/>
        <v>-1079.6600000000001</v>
      </c>
      <c r="M49" s="2"/>
      <c r="N49" s="6">
        <f t="shared" si="34"/>
        <v>-1</v>
      </c>
      <c r="O49" s="11"/>
      <c r="P49" s="7">
        <v>-198.56</v>
      </c>
      <c r="Q49" s="2"/>
      <c r="R49" s="6">
        <f t="shared" si="35"/>
        <v>-4.0032080502868734E-4</v>
      </c>
      <c r="S49" s="2"/>
      <c r="T49" s="7">
        <v>790.05</v>
      </c>
      <c r="U49" s="2"/>
      <c r="V49" s="6">
        <f t="shared" si="36"/>
        <v>1.2495852311789615E-3</v>
      </c>
      <c r="W49" s="2"/>
      <c r="X49" s="7">
        <f t="shared" si="37"/>
        <v>-988.6099999999999</v>
      </c>
      <c r="Y49" s="2"/>
      <c r="Z49" s="6">
        <f t="shared" si="38"/>
        <v>-1.2513258654515536</v>
      </c>
    </row>
    <row r="50" spans="1:26" s="25" customFormat="1" outlineLevel="1" collapsed="1" x14ac:dyDescent="0.35">
      <c r="A50" s="26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60</v>
      </c>
      <c r="E50" s="1"/>
      <c r="F50" s="5">
        <f t="shared" si="31"/>
        <v>0.50221813007449567</v>
      </c>
      <c r="G50" s="1"/>
      <c r="H50" s="1">
        <f>SUM(OSRRefH22_4x_0)</f>
        <v>370.74</v>
      </c>
      <c r="I50" s="1"/>
      <c r="J50" s="5">
        <f t="shared" si="32"/>
        <v>3.2678021795924987E-2</v>
      </c>
      <c r="K50" s="1"/>
      <c r="L50" s="1">
        <f t="shared" si="33"/>
        <v>-310.74</v>
      </c>
      <c r="M50" s="1"/>
      <c r="N50" s="5">
        <f t="shared" si="34"/>
        <v>-0.83816151480822143</v>
      </c>
      <c r="O50" s="12"/>
      <c r="P50" s="1">
        <f>SUM(OSRRefP22_4x_0)</f>
        <v>18253.439999999999</v>
      </c>
      <c r="Q50" s="1"/>
      <c r="R50" s="5">
        <f t="shared" si="35"/>
        <v>3.6801127091774986E-2</v>
      </c>
      <c r="S50" s="1"/>
      <c r="T50" s="1">
        <f>SUM(OSRRefT22_4x_0)</f>
        <v>20124.46</v>
      </c>
      <c r="U50" s="1"/>
      <c r="V50" s="5">
        <f t="shared" si="36"/>
        <v>3.1829919627177732E-2</v>
      </c>
      <c r="W50" s="1"/>
      <c r="X50" s="1">
        <f t="shared" si="37"/>
        <v>-1871.0200000000004</v>
      </c>
      <c r="Y50" s="1"/>
      <c r="Z50" s="5">
        <f t="shared" si="38"/>
        <v>-9.2972432552227507E-2</v>
      </c>
    </row>
    <row r="51" spans="1:26" s="24" customFormat="1" hidden="1" outlineLevel="2" x14ac:dyDescent="0.35">
      <c r="A51" s="27"/>
      <c r="B51" s="11" t="str">
        <f>CONCATENATE("          ", "6381", " - ", "BANK/CREDIT CARD FEES")</f>
        <v xml:space="preserve">          6381 - BANK/CREDIT CARD FEES</v>
      </c>
      <c r="C51" s="11"/>
      <c r="D51" s="7">
        <v>60</v>
      </c>
      <c r="E51" s="2"/>
      <c r="F51" s="6">
        <f t="shared" si="31"/>
        <v>0.50221813007449567</v>
      </c>
      <c r="G51" s="2"/>
      <c r="H51" s="7">
        <v>370.74</v>
      </c>
      <c r="I51" s="2"/>
      <c r="J51" s="6">
        <f t="shared" si="32"/>
        <v>3.2678021795924987E-2</v>
      </c>
      <c r="K51" s="2"/>
      <c r="L51" s="7">
        <f t="shared" si="33"/>
        <v>-310.74</v>
      </c>
      <c r="M51" s="2"/>
      <c r="N51" s="6">
        <f t="shared" si="34"/>
        <v>-0.83816151480822143</v>
      </c>
      <c r="O51" s="11"/>
      <c r="P51" s="7">
        <v>18253.439999999999</v>
      </c>
      <c r="Q51" s="2"/>
      <c r="R51" s="6">
        <f t="shared" si="35"/>
        <v>3.6801127091774986E-2</v>
      </c>
      <c r="S51" s="2"/>
      <c r="T51" s="7">
        <v>20124.46</v>
      </c>
      <c r="U51" s="2"/>
      <c r="V51" s="6">
        <f t="shared" si="36"/>
        <v>3.1829919627177732E-2</v>
      </c>
      <c r="W51" s="2"/>
      <c r="X51" s="7">
        <f t="shared" si="37"/>
        <v>-1871.0200000000004</v>
      </c>
      <c r="Y51" s="2"/>
      <c r="Z51" s="6">
        <f t="shared" si="38"/>
        <v>-9.2972432552227507E-2</v>
      </c>
    </row>
    <row r="52" spans="1:26" s="25" customFormat="1" outlineLevel="1" collapsed="1" x14ac:dyDescent="0.35">
      <c r="A52" s="26"/>
      <c r="B52" s="12" t="str">
        <f>CONCATENATE("     ","Discounts and Markdowns                           ")</f>
        <v xml:space="preserve">     Discounts and Markdowns                           </v>
      </c>
      <c r="C52" s="12"/>
      <c r="D52" s="1">
        <f>SUM(OSRRefD22_5x_0)</f>
        <v>0</v>
      </c>
      <c r="E52" s="1"/>
      <c r="F52" s="5">
        <f t="shared" si="31"/>
        <v>0</v>
      </c>
      <c r="G52" s="1"/>
      <c r="H52" s="1">
        <f>SUM(OSRRefH22_5x_0)</f>
        <v>7.82</v>
      </c>
      <c r="I52" s="1"/>
      <c r="J52" s="5">
        <f t="shared" si="32"/>
        <v>6.8927585489597404E-4</v>
      </c>
      <c r="K52" s="1"/>
      <c r="L52" s="1">
        <f t="shared" si="33"/>
        <v>-7.82</v>
      </c>
      <c r="M52" s="1"/>
      <c r="N52" s="5">
        <f t="shared" si="34"/>
        <v>-1</v>
      </c>
      <c r="O52" s="12"/>
      <c r="P52" s="1">
        <f>SUM(OSRRefP22_5x_0)</f>
        <v>125.87</v>
      </c>
      <c r="Q52" s="1"/>
      <c r="R52" s="5">
        <f t="shared" si="35"/>
        <v>2.5376903570185775E-4</v>
      </c>
      <c r="S52" s="1"/>
      <c r="T52" s="1">
        <f>SUM(OSRRefT22_5x_0)</f>
        <v>142.36000000000001</v>
      </c>
      <c r="U52" s="1"/>
      <c r="V52" s="5">
        <f t="shared" si="36"/>
        <v>2.2516417126844756E-4</v>
      </c>
      <c r="W52" s="1"/>
      <c r="X52" s="1">
        <f t="shared" si="37"/>
        <v>-16.490000000000009</v>
      </c>
      <c r="Y52" s="1"/>
      <c r="Z52" s="5">
        <f t="shared" si="38"/>
        <v>-0.11583309918516442</v>
      </c>
    </row>
    <row r="53" spans="1:26" s="24" customFormat="1" hidden="1" outlineLevel="2" x14ac:dyDescent="0.35">
      <c r="A53" s="27"/>
      <c r="B53" s="11" t="str">
        <f>CONCATENATE("          ", "6382", " - ", "DISCOUNTS/MARK DOWNS")</f>
        <v xml:space="preserve">          6382 - DISCOUNTS/MARK DOWNS</v>
      </c>
      <c r="C53" s="11"/>
      <c r="D53" s="7"/>
      <c r="E53" s="2"/>
      <c r="F53" s="6">
        <f t="shared" si="31"/>
        <v>0</v>
      </c>
      <c r="G53" s="2"/>
      <c r="H53" s="7">
        <v>7.82</v>
      </c>
      <c r="I53" s="2"/>
      <c r="J53" s="6">
        <f t="shared" si="32"/>
        <v>6.8927585489597404E-4</v>
      </c>
      <c r="K53" s="2"/>
      <c r="L53" s="7">
        <f t="shared" si="33"/>
        <v>-7.82</v>
      </c>
      <c r="M53" s="2"/>
      <c r="N53" s="6">
        <f t="shared" si="34"/>
        <v>-1</v>
      </c>
      <c r="O53" s="11"/>
      <c r="P53" s="7">
        <v>125.87</v>
      </c>
      <c r="Q53" s="2"/>
      <c r="R53" s="6">
        <f t="shared" si="35"/>
        <v>2.5376903570185775E-4</v>
      </c>
      <c r="S53" s="2"/>
      <c r="T53" s="7">
        <v>142.36000000000001</v>
      </c>
      <c r="U53" s="2"/>
      <c r="V53" s="6">
        <f t="shared" si="36"/>
        <v>2.2516417126844756E-4</v>
      </c>
      <c r="W53" s="2"/>
      <c r="X53" s="7">
        <f t="shared" si="37"/>
        <v>-16.490000000000009</v>
      </c>
      <c r="Y53" s="2"/>
      <c r="Z53" s="6">
        <f t="shared" si="38"/>
        <v>-0.11583309918516442</v>
      </c>
    </row>
    <row r="54" spans="1:26" s="25" customFormat="1" outlineLevel="1" collapsed="1" x14ac:dyDescent="0.35">
      <c r="A54" s="26"/>
      <c r="B54" s="12" t="str">
        <f>CONCATENATE("     ","Employees' Appreciation                           ")</f>
        <v xml:space="preserve">     Employees' Appreciation                           </v>
      </c>
      <c r="C54" s="12"/>
      <c r="D54" s="1">
        <f>SUM(OSRRefD22_6x_0)</f>
        <v>0</v>
      </c>
      <c r="E54" s="1"/>
      <c r="F54" s="5">
        <f t="shared" si="31"/>
        <v>0</v>
      </c>
      <c r="G54" s="1"/>
      <c r="H54" s="1">
        <f>SUM(OSRRefH22_6x_0)</f>
        <v>0</v>
      </c>
      <c r="I54" s="1"/>
      <c r="J54" s="5">
        <f t="shared" si="32"/>
        <v>0</v>
      </c>
      <c r="K54" s="1"/>
      <c r="L54" s="1">
        <f t="shared" si="33"/>
        <v>0</v>
      </c>
      <c r="M54" s="1"/>
      <c r="N54" s="5">
        <f t="shared" si="34"/>
        <v>0</v>
      </c>
      <c r="O54" s="12"/>
      <c r="P54" s="1">
        <f>SUM(OSRRefP22_6x_0)</f>
        <v>0</v>
      </c>
      <c r="Q54" s="1"/>
      <c r="R54" s="5">
        <f t="shared" si="35"/>
        <v>0</v>
      </c>
      <c r="S54" s="1"/>
      <c r="T54" s="1">
        <f>SUM(OSRRefT22_6x_0)</f>
        <v>142.80000000000001</v>
      </c>
      <c r="U54" s="1"/>
      <c r="V54" s="5">
        <f t="shared" si="36"/>
        <v>2.258600987435678E-4</v>
      </c>
      <c r="W54" s="1"/>
      <c r="X54" s="1">
        <f t="shared" si="37"/>
        <v>-142.80000000000001</v>
      </c>
      <c r="Y54" s="1"/>
      <c r="Z54" s="5">
        <f t="shared" si="38"/>
        <v>-1</v>
      </c>
    </row>
    <row r="55" spans="1:26" s="24" customFormat="1" hidden="1" outlineLevel="2" x14ac:dyDescent="0.35">
      <c r="A55" s="27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31"/>
        <v>0</v>
      </c>
      <c r="G55" s="2"/>
      <c r="H55" s="7"/>
      <c r="I55" s="2"/>
      <c r="J55" s="6">
        <f t="shared" si="32"/>
        <v>0</v>
      </c>
      <c r="K55" s="2"/>
      <c r="L55" s="7">
        <f t="shared" si="33"/>
        <v>0</v>
      </c>
      <c r="M55" s="2"/>
      <c r="N55" s="6">
        <f t="shared" si="34"/>
        <v>0</v>
      </c>
      <c r="O55" s="11"/>
      <c r="P55" s="7"/>
      <c r="Q55" s="2"/>
      <c r="R55" s="6">
        <f t="shared" si="35"/>
        <v>0</v>
      </c>
      <c r="S55" s="2"/>
      <c r="T55" s="7">
        <v>142.80000000000001</v>
      </c>
      <c r="U55" s="2"/>
      <c r="V55" s="6">
        <f t="shared" si="36"/>
        <v>2.258600987435678E-4</v>
      </c>
      <c r="W55" s="2"/>
      <c r="X55" s="7">
        <f t="shared" si="37"/>
        <v>-142.80000000000001</v>
      </c>
      <c r="Y55" s="2"/>
      <c r="Z55" s="6">
        <f t="shared" si="38"/>
        <v>-1</v>
      </c>
    </row>
    <row r="56" spans="1:26" s="25" customFormat="1" outlineLevel="1" collapsed="1" x14ac:dyDescent="0.35">
      <c r="A56" s="26"/>
      <c r="B56" s="12" t="str">
        <f>CONCATENATE("     ","Freight out/Postage                               ")</f>
        <v xml:space="preserve">     Freight out/Postage                               </v>
      </c>
      <c r="C56" s="12"/>
      <c r="D56" s="1">
        <f>SUM(OSRRefD22_7x_0)</f>
        <v>0</v>
      </c>
      <c r="E56" s="1"/>
      <c r="F56" s="5">
        <f t="shared" si="31"/>
        <v>0</v>
      </c>
      <c r="G56" s="1"/>
      <c r="H56" s="1">
        <f>SUM(OSRRefH22_7x_0)</f>
        <v>139.62</v>
      </c>
      <c r="I56" s="1"/>
      <c r="J56" s="5">
        <f t="shared" si="32"/>
        <v>1.2306482718743721E-2</v>
      </c>
      <c r="K56" s="1"/>
      <c r="L56" s="1">
        <f t="shared" si="33"/>
        <v>-139.62</v>
      </c>
      <c r="M56" s="1"/>
      <c r="N56" s="5">
        <f t="shared" si="34"/>
        <v>-1</v>
      </c>
      <c r="O56" s="12"/>
      <c r="P56" s="1">
        <f>SUM(OSRRefP22_7x_0)</f>
        <v>331.18</v>
      </c>
      <c r="Q56" s="1"/>
      <c r="R56" s="5">
        <f t="shared" si="35"/>
        <v>6.6769865133662709E-4</v>
      </c>
      <c r="S56" s="1"/>
      <c r="T56" s="1">
        <f>SUM(OSRRefT22_7x_0)</f>
        <v>759.98</v>
      </c>
      <c r="U56" s="1"/>
      <c r="V56" s="5">
        <f t="shared" si="36"/>
        <v>1.2020249148679038E-3</v>
      </c>
      <c r="W56" s="1"/>
      <c r="X56" s="1">
        <f t="shared" si="37"/>
        <v>-428.8</v>
      </c>
      <c r="Y56" s="1"/>
      <c r="Z56" s="5">
        <f t="shared" si="38"/>
        <v>-0.56422537435195663</v>
      </c>
    </row>
    <row r="57" spans="1:26" s="24" customFormat="1" hidden="1" outlineLevel="2" x14ac:dyDescent="0.35">
      <c r="A57" s="27"/>
      <c r="B57" s="11" t="str">
        <f>CONCATENATE("          ", "6305", " - ", "FREIGHT OUT")</f>
        <v xml:space="preserve">          6305 - FREIGHT OUT</v>
      </c>
      <c r="C57" s="11"/>
      <c r="D57" s="7"/>
      <c r="E57" s="2"/>
      <c r="F57" s="6">
        <f t="shared" si="31"/>
        <v>0</v>
      </c>
      <c r="G57" s="2"/>
      <c r="H57" s="7">
        <v>139.62</v>
      </c>
      <c r="I57" s="2"/>
      <c r="J57" s="6">
        <f t="shared" si="32"/>
        <v>1.2306482718743721E-2</v>
      </c>
      <c r="K57" s="2"/>
      <c r="L57" s="7">
        <f t="shared" si="33"/>
        <v>-139.62</v>
      </c>
      <c r="M57" s="2"/>
      <c r="N57" s="6">
        <f t="shared" si="34"/>
        <v>-1</v>
      </c>
      <c r="O57" s="11"/>
      <c r="P57" s="7">
        <v>331.18</v>
      </c>
      <c r="Q57" s="2"/>
      <c r="R57" s="6">
        <f t="shared" si="35"/>
        <v>6.6769865133662709E-4</v>
      </c>
      <c r="S57" s="2"/>
      <c r="T57" s="7">
        <v>728.36</v>
      </c>
      <c r="U57" s="2"/>
      <c r="V57" s="6">
        <f t="shared" si="36"/>
        <v>1.1520130358603994E-3</v>
      </c>
      <c r="W57" s="2"/>
      <c r="X57" s="7">
        <f t="shared" si="37"/>
        <v>-397.18</v>
      </c>
      <c r="Y57" s="2"/>
      <c r="Z57" s="6">
        <f t="shared" si="38"/>
        <v>-0.54530726563787135</v>
      </c>
    </row>
    <row r="58" spans="1:26" s="24" customFormat="1" hidden="1" outlineLevel="2" x14ac:dyDescent="0.35">
      <c r="A58" s="27"/>
      <c r="B58" s="11" t="str">
        <f>CONCATENATE("          ", "6307", " - ", "POSTAGE")</f>
        <v xml:space="preserve">          6307 - POSTAGE</v>
      </c>
      <c r="C58" s="11"/>
      <c r="D58" s="7"/>
      <c r="E58" s="2"/>
      <c r="F58" s="6">
        <f t="shared" si="31"/>
        <v>0</v>
      </c>
      <c r="G58" s="2"/>
      <c r="H58" s="7"/>
      <c r="I58" s="2"/>
      <c r="J58" s="6">
        <f t="shared" si="32"/>
        <v>0</v>
      </c>
      <c r="K58" s="2"/>
      <c r="L58" s="7">
        <f t="shared" si="33"/>
        <v>0</v>
      </c>
      <c r="M58" s="2"/>
      <c r="N58" s="6">
        <f t="shared" si="34"/>
        <v>0</v>
      </c>
      <c r="O58" s="11"/>
      <c r="P58" s="7"/>
      <c r="Q58" s="2"/>
      <c r="R58" s="6">
        <f t="shared" si="35"/>
        <v>0</v>
      </c>
      <c r="S58" s="2"/>
      <c r="T58" s="7">
        <v>31.62</v>
      </c>
      <c r="U58" s="2"/>
      <c r="V58" s="6">
        <f t="shared" si="36"/>
        <v>5.0011879007504296E-5</v>
      </c>
      <c r="W58" s="2"/>
      <c r="X58" s="7">
        <f t="shared" si="37"/>
        <v>-31.62</v>
      </c>
      <c r="Y58" s="2"/>
      <c r="Z58" s="6">
        <f t="shared" si="38"/>
        <v>-1</v>
      </c>
    </row>
    <row r="59" spans="1:26" s="25" customFormat="1" outlineLevel="1" collapsed="1" x14ac:dyDescent="0.35">
      <c r="A59" s="26"/>
      <c r="B59" s="12" t="str">
        <f>CONCATENATE("     ","General                                           ")</f>
        <v xml:space="preserve">     General                                           </v>
      </c>
      <c r="C59" s="12"/>
      <c r="D59" s="1">
        <f>SUM(OSRRefD22_8x_0)</f>
        <v>0</v>
      </c>
      <c r="E59" s="1"/>
      <c r="F59" s="5">
        <f t="shared" ref="F59:F64" si="39">IF(D$12=0,0,D59/D$12)</f>
        <v>0</v>
      </c>
      <c r="G59" s="1"/>
      <c r="H59" s="1">
        <f>SUM(OSRRefH22_8x_0)</f>
        <v>0</v>
      </c>
      <c r="I59" s="1"/>
      <c r="J59" s="5">
        <f t="shared" ref="J59:J64" si="40">IF(H$12=0,0,H59/H$12)</f>
        <v>0</v>
      </c>
      <c r="K59" s="1"/>
      <c r="L59" s="1">
        <f t="shared" ref="L59:L64" si="41">+D59-H59</f>
        <v>0</v>
      </c>
      <c r="M59" s="1"/>
      <c r="N59" s="5">
        <f t="shared" ref="N59:N64" si="42">IF(H59=0,0,L59/H59)</f>
        <v>0</v>
      </c>
      <c r="O59" s="12"/>
      <c r="P59" s="1">
        <f>SUM(OSRRefP22_8x_0)</f>
        <v>1192.3499999999999</v>
      </c>
      <c r="Q59" s="1"/>
      <c r="R59" s="5">
        <f t="shared" ref="R59:R64" si="43">IF(P$12=0,0,P59/P$12)</f>
        <v>2.4039207890610157E-3</v>
      </c>
      <c r="S59" s="1"/>
      <c r="T59" s="1">
        <f>SUM(OSRRefT22_8x_0)</f>
        <v>1306.3800000000001</v>
      </c>
      <c r="U59" s="1"/>
      <c r="V59" s="5">
        <f t="shared" ref="V59:V64" si="44">IF(T$12=0,0,T59/T$12)</f>
        <v>2.0662403066990342E-3</v>
      </c>
      <c r="W59" s="1"/>
      <c r="X59" s="1">
        <f t="shared" ref="X59:X64" si="45">+P59-T59</f>
        <v>-114.0300000000002</v>
      </c>
      <c r="Y59" s="1"/>
      <c r="Z59" s="5">
        <f t="shared" ref="Z59:Z64" si="46">IF(T59=0,0,X59/T59)</f>
        <v>-8.7287006843338219E-2</v>
      </c>
    </row>
    <row r="60" spans="1:26" s="24" customFormat="1" hidden="1" outlineLevel="2" x14ac:dyDescent="0.35">
      <c r="A60" s="27"/>
      <c r="B60" s="11" t="str">
        <f>CONCATENATE("          ", "6279", " - ", "GENERAL EXPENSE")</f>
        <v xml:space="preserve">          6279 - GENERAL EXPENSE</v>
      </c>
      <c r="C60" s="11"/>
      <c r="D60" s="7"/>
      <c r="E60" s="2"/>
      <c r="F60" s="6">
        <f t="shared" si="39"/>
        <v>0</v>
      </c>
      <c r="G60" s="2"/>
      <c r="H60" s="7"/>
      <c r="I60" s="2"/>
      <c r="J60" s="6">
        <f t="shared" si="40"/>
        <v>0</v>
      </c>
      <c r="K60" s="2"/>
      <c r="L60" s="7">
        <f t="shared" si="41"/>
        <v>0</v>
      </c>
      <c r="M60" s="2"/>
      <c r="N60" s="6">
        <f t="shared" si="42"/>
        <v>0</v>
      </c>
      <c r="O60" s="11"/>
      <c r="P60" s="7">
        <v>1192.3499999999999</v>
      </c>
      <c r="Q60" s="2"/>
      <c r="R60" s="6">
        <f t="shared" si="43"/>
        <v>2.4039207890610157E-3</v>
      </c>
      <c r="S60" s="2"/>
      <c r="T60" s="7">
        <v>1306.3800000000001</v>
      </c>
      <c r="U60" s="2"/>
      <c r="V60" s="6">
        <f t="shared" si="44"/>
        <v>2.0662403066990342E-3</v>
      </c>
      <c r="W60" s="2"/>
      <c r="X60" s="7">
        <f t="shared" si="45"/>
        <v>-114.0300000000002</v>
      </c>
      <c r="Y60" s="2"/>
      <c r="Z60" s="6">
        <f t="shared" si="46"/>
        <v>-8.7287006843338219E-2</v>
      </c>
    </row>
    <row r="61" spans="1:26" s="25" customFormat="1" outlineLevel="1" collapsed="1" x14ac:dyDescent="0.35">
      <c r="A61" s="26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SUM(OSRRefD22_9x_0)</f>
        <v>24.12</v>
      </c>
      <c r="E61" s="1"/>
      <c r="F61" s="5">
        <f t="shared" si="39"/>
        <v>0.20189168828994727</v>
      </c>
      <c r="G61" s="1"/>
      <c r="H61" s="1">
        <f>SUM(OSRRefH22_9x_0)</f>
        <v>22.49</v>
      </c>
      <c r="I61" s="1"/>
      <c r="J61" s="5">
        <f t="shared" si="40"/>
        <v>1.9823291530192398E-3</v>
      </c>
      <c r="K61" s="1"/>
      <c r="L61" s="1">
        <f t="shared" si="41"/>
        <v>1.6300000000000026</v>
      </c>
      <c r="M61" s="1"/>
      <c r="N61" s="5">
        <f t="shared" si="42"/>
        <v>7.2476656291685315E-2</v>
      </c>
      <c r="O61" s="12"/>
      <c r="P61" s="1">
        <f>SUM(OSRRefP22_9x_0)</f>
        <v>1112.74</v>
      </c>
      <c r="Q61" s="1"/>
      <c r="R61" s="5">
        <f t="shared" si="43"/>
        <v>2.24341746871284E-3</v>
      </c>
      <c r="S61" s="1"/>
      <c r="T61" s="1">
        <f>SUM(OSRRefT22_9x_0)</f>
        <v>563.51</v>
      </c>
      <c r="U61" s="1"/>
      <c r="V61" s="5">
        <f t="shared" si="44"/>
        <v>8.9127748069319239E-4</v>
      </c>
      <c r="W61" s="1"/>
      <c r="X61" s="1">
        <f t="shared" si="45"/>
        <v>549.23</v>
      </c>
      <c r="Y61" s="1"/>
      <c r="Z61" s="5">
        <f t="shared" si="46"/>
        <v>0.97465883480328663</v>
      </c>
    </row>
    <row r="62" spans="1:26" s="24" customFormat="1" hidden="1" outlineLevel="2" x14ac:dyDescent="0.35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39"/>
        <v>0</v>
      </c>
      <c r="G62" s="2"/>
      <c r="H62" s="7"/>
      <c r="I62" s="2"/>
      <c r="J62" s="6">
        <f t="shared" si="40"/>
        <v>0</v>
      </c>
      <c r="K62" s="2"/>
      <c r="L62" s="7">
        <f t="shared" si="41"/>
        <v>0</v>
      </c>
      <c r="M62" s="2"/>
      <c r="N62" s="6">
        <f t="shared" si="42"/>
        <v>0</v>
      </c>
      <c r="O62" s="11"/>
      <c r="P62" s="7">
        <v>437.31</v>
      </c>
      <c r="Q62" s="2"/>
      <c r="R62" s="6">
        <f t="shared" si="43"/>
        <v>8.8166947646603163E-4</v>
      </c>
      <c r="S62" s="2"/>
      <c r="T62" s="7"/>
      <c r="U62" s="2"/>
      <c r="V62" s="6">
        <f t="shared" si="44"/>
        <v>0</v>
      </c>
      <c r="W62" s="2"/>
      <c r="X62" s="7">
        <f t="shared" si="45"/>
        <v>437.31</v>
      </c>
      <c r="Y62" s="2"/>
      <c r="Z62" s="6">
        <f t="shared" si="46"/>
        <v>0</v>
      </c>
    </row>
    <row r="63" spans="1:26" s="24" customFormat="1" hidden="1" outlineLevel="2" x14ac:dyDescent="0.35">
      <c r="A63" s="27"/>
      <c r="B63" s="11" t="str">
        <f>CONCATENATE("          ", "6373", " - ", "MAINTENANCE CONTRACTS")</f>
        <v xml:space="preserve">          6373 - MAINTENANCE CONTRACTS</v>
      </c>
      <c r="C63" s="11"/>
      <c r="D63" s="7">
        <v>24.12</v>
      </c>
      <c r="E63" s="2"/>
      <c r="F63" s="6">
        <f t="shared" si="39"/>
        <v>0.20189168828994727</v>
      </c>
      <c r="G63" s="2"/>
      <c r="H63" s="7">
        <v>22.49</v>
      </c>
      <c r="I63" s="2"/>
      <c r="J63" s="6">
        <f t="shared" si="40"/>
        <v>1.9823291530192398E-3</v>
      </c>
      <c r="K63" s="2"/>
      <c r="L63" s="7">
        <f t="shared" si="41"/>
        <v>1.6300000000000026</v>
      </c>
      <c r="M63" s="2"/>
      <c r="N63" s="6">
        <f t="shared" si="42"/>
        <v>7.2476656291685315E-2</v>
      </c>
      <c r="O63" s="11"/>
      <c r="P63" s="7">
        <v>94.85</v>
      </c>
      <c r="Q63" s="2"/>
      <c r="R63" s="6">
        <f t="shared" si="43"/>
        <v>1.9122899051657427E-4</v>
      </c>
      <c r="S63" s="2"/>
      <c r="T63" s="7">
        <v>89.96</v>
      </c>
      <c r="U63" s="2"/>
      <c r="V63" s="6">
        <f t="shared" si="44"/>
        <v>1.422855355950375E-4</v>
      </c>
      <c r="W63" s="2"/>
      <c r="X63" s="7">
        <f t="shared" si="45"/>
        <v>4.8900000000000006</v>
      </c>
      <c r="Y63" s="2"/>
      <c r="Z63" s="6">
        <f t="shared" si="46"/>
        <v>5.4357492218763903E-2</v>
      </c>
    </row>
    <row r="64" spans="1:26" s="24" customFormat="1" hidden="1" outlineLevel="2" x14ac:dyDescent="0.3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7"/>
      <c r="E64" s="2"/>
      <c r="F64" s="6">
        <f t="shared" si="39"/>
        <v>0</v>
      </c>
      <c r="G64" s="2"/>
      <c r="H64" s="7"/>
      <c r="I64" s="2"/>
      <c r="J64" s="6">
        <f t="shared" si="40"/>
        <v>0</v>
      </c>
      <c r="K64" s="2"/>
      <c r="L64" s="7">
        <f t="shared" si="41"/>
        <v>0</v>
      </c>
      <c r="M64" s="2"/>
      <c r="N64" s="6">
        <f t="shared" si="42"/>
        <v>0</v>
      </c>
      <c r="O64" s="11"/>
      <c r="P64" s="7">
        <v>580.58000000000004</v>
      </c>
      <c r="Q64" s="2"/>
      <c r="R64" s="6">
        <f t="shared" si="43"/>
        <v>1.1705190017302341E-3</v>
      </c>
      <c r="S64" s="2"/>
      <c r="T64" s="7">
        <v>473.55</v>
      </c>
      <c r="U64" s="2"/>
      <c r="V64" s="6">
        <f t="shared" si="44"/>
        <v>7.4899194509815497E-4</v>
      </c>
      <c r="W64" s="2"/>
      <c r="X64" s="7">
        <f t="shared" si="45"/>
        <v>107.03000000000003</v>
      </c>
      <c r="Y64" s="2"/>
      <c r="Z64" s="6">
        <f t="shared" si="46"/>
        <v>0.22601626016260168</v>
      </c>
    </row>
    <row r="65" spans="1:26" s="25" customFormat="1" outlineLevel="1" collapsed="1" x14ac:dyDescent="0.35">
      <c r="A65" s="26"/>
      <c r="B65" s="12" t="str">
        <f>CONCATENATE("     ","Services                                          ")</f>
        <v xml:space="preserve">     Services                                          </v>
      </c>
      <c r="C65" s="12"/>
      <c r="D65" s="1">
        <f>SUM(OSRRefD22_10x_0)</f>
        <v>0</v>
      </c>
      <c r="E65" s="1"/>
      <c r="F65" s="5">
        <f t="shared" ref="F65:F67" si="47">IF(D$12=0,0,D65/D$12)</f>
        <v>0</v>
      </c>
      <c r="G65" s="1"/>
      <c r="H65" s="1">
        <f>SUM(OSRRefH22_10x_0)</f>
        <v>93.81</v>
      </c>
      <c r="I65" s="1"/>
      <c r="J65" s="5">
        <f t="shared" ref="J65:J67" si="48">IF(H$12=0,0,H65/H$12)</f>
        <v>8.2686659779784306E-3</v>
      </c>
      <c r="K65" s="1"/>
      <c r="L65" s="1">
        <f t="shared" ref="L65:L67" si="49">+D65-H65</f>
        <v>-93.81</v>
      </c>
      <c r="M65" s="1"/>
      <c r="N65" s="5">
        <f t="shared" ref="N65:N67" si="50">IF(H65=0,0,L65/H65)</f>
        <v>-1</v>
      </c>
      <c r="O65" s="12"/>
      <c r="P65" s="1">
        <f>SUM(OSRRefP22_10x_0)</f>
        <v>1180.31</v>
      </c>
      <c r="Q65" s="1"/>
      <c r="R65" s="5">
        <f t="shared" ref="R65:R67" si="51">IF(P$12=0,0,P65/P$12)</f>
        <v>2.3796467031799453E-3</v>
      </c>
      <c r="S65" s="1"/>
      <c r="T65" s="1">
        <f>SUM(OSRRefT22_10x_0)</f>
        <v>1588.98</v>
      </c>
      <c r="U65" s="1"/>
      <c r="V65" s="5">
        <f t="shared" ref="V65:V67" si="52">IF(T$12=0,0,T65/T$12)</f>
        <v>2.5132155441285318E-3</v>
      </c>
      <c r="W65" s="1"/>
      <c r="X65" s="1">
        <f t="shared" ref="X65:X67" si="53">+P65-T65</f>
        <v>-408.67000000000007</v>
      </c>
      <c r="Y65" s="1"/>
      <c r="Z65" s="5">
        <f t="shared" ref="Z65:Z67" si="54">IF(T65=0,0,X65/T65)</f>
        <v>-0.25719014713841587</v>
      </c>
    </row>
    <row r="66" spans="1:26" s="24" customFormat="1" hidden="1" outlineLevel="2" x14ac:dyDescent="0.35">
      <c r="A66" s="27"/>
      <c r="B66" s="11" t="str">
        <f>CONCATENATE("          ", "6285", " - ", "JANITORIAL SERVICES")</f>
        <v xml:space="preserve">          6285 - JANITORIAL SERVICES</v>
      </c>
      <c r="C66" s="11"/>
      <c r="D66" s="7"/>
      <c r="E66" s="2"/>
      <c r="F66" s="6">
        <f t="shared" si="47"/>
        <v>0</v>
      </c>
      <c r="G66" s="2"/>
      <c r="H66" s="7"/>
      <c r="I66" s="2"/>
      <c r="J66" s="6">
        <f t="shared" si="48"/>
        <v>0</v>
      </c>
      <c r="K66" s="2"/>
      <c r="L66" s="7">
        <f t="shared" si="49"/>
        <v>0</v>
      </c>
      <c r="M66" s="2"/>
      <c r="N66" s="6">
        <f t="shared" si="50"/>
        <v>0</v>
      </c>
      <c r="O66" s="11"/>
      <c r="P66" s="7"/>
      <c r="Q66" s="2"/>
      <c r="R66" s="6">
        <f t="shared" si="51"/>
        <v>0</v>
      </c>
      <c r="S66" s="2"/>
      <c r="T66" s="7">
        <v>26.93</v>
      </c>
      <c r="U66" s="2"/>
      <c r="V66" s="6">
        <f t="shared" si="52"/>
        <v>4.2593924784063587E-5</v>
      </c>
      <c r="W66" s="2"/>
      <c r="X66" s="7">
        <f t="shared" si="53"/>
        <v>-26.93</v>
      </c>
      <c r="Y66" s="2"/>
      <c r="Z66" s="6">
        <f t="shared" si="54"/>
        <v>-1</v>
      </c>
    </row>
    <row r="67" spans="1:26" s="24" customFormat="1" hidden="1" outlineLevel="2" x14ac:dyDescent="0.35">
      <c r="A67" s="27"/>
      <c r="B67" s="11" t="str">
        <f>CONCATENATE("          ", "6286", " - ", "LAUNDRY EXPENSE")</f>
        <v xml:space="preserve">          6286 - LAUNDRY EXPENSE</v>
      </c>
      <c r="C67" s="11"/>
      <c r="D67" s="7"/>
      <c r="E67" s="2"/>
      <c r="F67" s="6">
        <f t="shared" si="47"/>
        <v>0</v>
      </c>
      <c r="G67" s="2"/>
      <c r="H67" s="7">
        <v>93.81</v>
      </c>
      <c r="I67" s="2"/>
      <c r="J67" s="6">
        <f t="shared" si="48"/>
        <v>8.2686659779784306E-3</v>
      </c>
      <c r="K67" s="2"/>
      <c r="L67" s="7">
        <f t="shared" si="49"/>
        <v>-93.81</v>
      </c>
      <c r="M67" s="2"/>
      <c r="N67" s="6">
        <f t="shared" si="50"/>
        <v>-1</v>
      </c>
      <c r="O67" s="11"/>
      <c r="P67" s="7">
        <v>1180.31</v>
      </c>
      <c r="Q67" s="2"/>
      <c r="R67" s="6">
        <f t="shared" si="51"/>
        <v>2.3796467031799453E-3</v>
      </c>
      <c r="S67" s="2"/>
      <c r="T67" s="7">
        <v>1562.05</v>
      </c>
      <c r="U67" s="2"/>
      <c r="V67" s="6">
        <f t="shared" si="52"/>
        <v>2.4706216193444682E-3</v>
      </c>
      <c r="W67" s="2"/>
      <c r="X67" s="7">
        <f t="shared" si="53"/>
        <v>-381.74</v>
      </c>
      <c r="Y67" s="2"/>
      <c r="Z67" s="6">
        <f t="shared" si="54"/>
        <v>-0.24438398258698507</v>
      </c>
    </row>
    <row r="68" spans="1:26" s="25" customFormat="1" outlineLevel="1" collapsed="1" x14ac:dyDescent="0.35">
      <c r="A68" s="26"/>
      <c r="B68" s="12" t="str">
        <f>CONCATENATE("     ","Subscriptions &amp; Dues                              ")</f>
        <v xml:space="preserve">     Subscriptions &amp; Dues                              </v>
      </c>
      <c r="C68" s="12"/>
      <c r="D68" s="1">
        <f>SUM(OSRRefD22_11x_0)</f>
        <v>0</v>
      </c>
      <c r="E68" s="1"/>
      <c r="F68" s="5">
        <f t="shared" ref="F68:F70" si="55">IF(D$12=0,0,D68/D$12)</f>
        <v>0</v>
      </c>
      <c r="G68" s="1"/>
      <c r="H68" s="1">
        <f>SUM(OSRRefH22_11x_0)</f>
        <v>0</v>
      </c>
      <c r="I68" s="1"/>
      <c r="J68" s="5">
        <f t="shared" ref="J68:J70" si="56">IF(H$12=0,0,H68/H$12)</f>
        <v>0</v>
      </c>
      <c r="K68" s="1"/>
      <c r="L68" s="1">
        <f t="shared" ref="L68:L70" si="57">+D68-H68</f>
        <v>0</v>
      </c>
      <c r="M68" s="1"/>
      <c r="N68" s="5">
        <f t="shared" ref="N68:N70" si="58">IF(H68=0,0,L68/H68)</f>
        <v>0</v>
      </c>
      <c r="O68" s="12"/>
      <c r="P68" s="1">
        <f>SUM(OSRRefP22_11x_0)</f>
        <v>0</v>
      </c>
      <c r="Q68" s="1"/>
      <c r="R68" s="5">
        <f t="shared" ref="R68:R70" si="59">IF(P$12=0,0,P68/P$12)</f>
        <v>0</v>
      </c>
      <c r="S68" s="1"/>
      <c r="T68" s="1">
        <f>SUM(OSRRefT22_11x_0)</f>
        <v>43.18</v>
      </c>
      <c r="U68" s="1"/>
      <c r="V68" s="5">
        <f t="shared" ref="V68:V70" si="60">IF(T$12=0,0,T68/T$12)</f>
        <v>6.8295791762935972E-5</v>
      </c>
      <c r="W68" s="1"/>
      <c r="X68" s="1">
        <f t="shared" ref="X68:X70" si="61">+P68-T68</f>
        <v>-43.18</v>
      </c>
      <c r="Y68" s="1"/>
      <c r="Z68" s="5">
        <f t="shared" ref="Z68:Z70" si="62">IF(T68=0,0,X68/T68)</f>
        <v>-1</v>
      </c>
    </row>
    <row r="69" spans="1:26" s="24" customFormat="1" hidden="1" outlineLevel="2" x14ac:dyDescent="0.35">
      <c r="A69" s="27"/>
      <c r="B69" s="11" t="str">
        <f>CONCATENATE("          ", "6258", " - ", "MEMBERSHIP DUES")</f>
        <v xml:space="preserve">          6258 - MEMBERSHIP DUES</v>
      </c>
      <c r="C69" s="11"/>
      <c r="D69" s="7"/>
      <c r="E69" s="2"/>
      <c r="F69" s="6">
        <f t="shared" si="55"/>
        <v>0</v>
      </c>
      <c r="G69" s="2"/>
      <c r="H69" s="7"/>
      <c r="I69" s="2"/>
      <c r="J69" s="6">
        <f t="shared" si="56"/>
        <v>0</v>
      </c>
      <c r="K69" s="2"/>
      <c r="L69" s="7">
        <f t="shared" si="57"/>
        <v>0</v>
      </c>
      <c r="M69" s="2"/>
      <c r="N69" s="6">
        <f t="shared" si="58"/>
        <v>0</v>
      </c>
      <c r="O69" s="11"/>
      <c r="P69" s="7"/>
      <c r="Q69" s="2"/>
      <c r="R69" s="6">
        <f t="shared" si="59"/>
        <v>0</v>
      </c>
      <c r="S69" s="2"/>
      <c r="T69" s="7">
        <v>50</v>
      </c>
      <c r="U69" s="2"/>
      <c r="V69" s="6">
        <f t="shared" si="60"/>
        <v>7.9082667627299649E-5</v>
      </c>
      <c r="W69" s="2"/>
      <c r="X69" s="7">
        <f t="shared" si="61"/>
        <v>-50</v>
      </c>
      <c r="Y69" s="2"/>
      <c r="Z69" s="6">
        <f t="shared" si="62"/>
        <v>-1</v>
      </c>
    </row>
    <row r="70" spans="1:26" s="24" customFormat="1" hidden="1" outlineLevel="2" x14ac:dyDescent="0.35">
      <c r="A70" s="27"/>
      <c r="B70" s="11" t="str">
        <f>CONCATENATE("          ", "6275", " - ", "SUBSCRIPTIONS")</f>
        <v xml:space="preserve">          6275 - SUBSCRIPTIONS</v>
      </c>
      <c r="C70" s="11"/>
      <c r="D70" s="7"/>
      <c r="E70" s="2"/>
      <c r="F70" s="6">
        <f t="shared" si="55"/>
        <v>0</v>
      </c>
      <c r="G70" s="2"/>
      <c r="H70" s="7"/>
      <c r="I70" s="2"/>
      <c r="J70" s="6">
        <f t="shared" si="56"/>
        <v>0</v>
      </c>
      <c r="K70" s="2"/>
      <c r="L70" s="7">
        <f t="shared" si="57"/>
        <v>0</v>
      </c>
      <c r="M70" s="2"/>
      <c r="N70" s="6">
        <f t="shared" si="58"/>
        <v>0</v>
      </c>
      <c r="O70" s="11"/>
      <c r="P70" s="7"/>
      <c r="Q70" s="2"/>
      <c r="R70" s="6">
        <f t="shared" si="59"/>
        <v>0</v>
      </c>
      <c r="S70" s="2"/>
      <c r="T70" s="7">
        <v>-6.82</v>
      </c>
      <c r="U70" s="2"/>
      <c r="V70" s="6">
        <f t="shared" si="60"/>
        <v>-1.0786875864363672E-5</v>
      </c>
      <c r="W70" s="2"/>
      <c r="X70" s="7">
        <f t="shared" si="61"/>
        <v>6.82</v>
      </c>
      <c r="Y70" s="2"/>
      <c r="Z70" s="6">
        <f t="shared" si="62"/>
        <v>-1</v>
      </c>
    </row>
    <row r="71" spans="1:26" s="25" customFormat="1" outlineLevel="1" collapsed="1" x14ac:dyDescent="0.35">
      <c r="A71" s="26"/>
      <c r="B71" s="12" t="str">
        <f>CONCATENATE("     ","Supplies                                          ")</f>
        <v xml:space="preserve">     Supplies                                          </v>
      </c>
      <c r="C71" s="12"/>
      <c r="D71" s="1">
        <f>SUM(OSRRefD22_12x_0)</f>
        <v>0</v>
      </c>
      <c r="E71" s="1"/>
      <c r="F71" s="5">
        <f t="shared" ref="F71:F77" si="63">IF(D$12=0,0,D71/D$12)</f>
        <v>0</v>
      </c>
      <c r="G71" s="1"/>
      <c r="H71" s="1">
        <f>SUM(OSRRefH22_12x_0)</f>
        <v>68.739999999999995</v>
      </c>
      <c r="I71" s="1"/>
      <c r="J71" s="5">
        <f t="shared" ref="J71:J77" si="64">IF(H$12=0,0,H71/H$12)</f>
        <v>6.0589286784589833E-3</v>
      </c>
      <c r="K71" s="1"/>
      <c r="L71" s="1">
        <f t="shared" ref="L71:L77" si="65">+D71-H71</f>
        <v>-68.739999999999995</v>
      </c>
      <c r="M71" s="1"/>
      <c r="N71" s="5">
        <f t="shared" ref="N71:N77" si="66">IF(H71=0,0,L71/H71)</f>
        <v>-1</v>
      </c>
      <c r="O71" s="12"/>
      <c r="P71" s="1">
        <f>SUM(OSRRefP22_12x_0)</f>
        <v>6469.25</v>
      </c>
      <c r="Q71" s="1"/>
      <c r="R71" s="5">
        <f t="shared" ref="R71:R77" si="67">IF(P$12=0,0,P71/P$12)</f>
        <v>1.3042784890873465E-2</v>
      </c>
      <c r="S71" s="1"/>
      <c r="T71" s="1">
        <f>SUM(OSRRefT22_12x_0)</f>
        <v>2344.5100000000002</v>
      </c>
      <c r="U71" s="1"/>
      <c r="V71" s="5">
        <f t="shared" ref="V71:V77" si="68">IF(T$12=0,0,T71/T$12)</f>
        <v>3.708202101577606E-3</v>
      </c>
      <c r="W71" s="1"/>
      <c r="X71" s="1">
        <f t="shared" ref="X71:X77" si="69">+P71-T71</f>
        <v>4124.74</v>
      </c>
      <c r="Y71" s="1"/>
      <c r="Z71" s="5">
        <f t="shared" ref="Z71:Z77" si="70">IF(T71=0,0,X71/T71)</f>
        <v>1.7593185782956777</v>
      </c>
    </row>
    <row r="72" spans="1:26" s="24" customFormat="1" hidden="1" outlineLevel="2" x14ac:dyDescent="0.35">
      <c r="A72" s="27"/>
      <c r="B72" s="11" t="str">
        <f>CONCATENATE("          ", "6234", " - ", "EXPENDABLE SUPPLIES &amp; EQUIPMEN")</f>
        <v xml:space="preserve">          6234 - EXPENDABLE SUPPLIES &amp; EQUIPMEN</v>
      </c>
      <c r="C72" s="11"/>
      <c r="D72" s="7"/>
      <c r="E72" s="2"/>
      <c r="F72" s="6">
        <f t="shared" si="63"/>
        <v>0</v>
      </c>
      <c r="G72" s="2"/>
      <c r="H72" s="7"/>
      <c r="I72" s="2"/>
      <c r="J72" s="6">
        <f t="shared" si="64"/>
        <v>0</v>
      </c>
      <c r="K72" s="2"/>
      <c r="L72" s="7">
        <f t="shared" si="65"/>
        <v>0</v>
      </c>
      <c r="M72" s="2"/>
      <c r="N72" s="6">
        <f t="shared" si="66"/>
        <v>0</v>
      </c>
      <c r="O72" s="11"/>
      <c r="P72" s="7">
        <v>354.82</v>
      </c>
      <c r="Q72" s="2"/>
      <c r="R72" s="6">
        <f t="shared" si="67"/>
        <v>7.1535973025926088E-4</v>
      </c>
      <c r="S72" s="2"/>
      <c r="T72" s="7"/>
      <c r="U72" s="2"/>
      <c r="V72" s="6">
        <f t="shared" si="68"/>
        <v>0</v>
      </c>
      <c r="W72" s="2"/>
      <c r="X72" s="7">
        <f t="shared" si="69"/>
        <v>354.82</v>
      </c>
      <c r="Y72" s="2"/>
      <c r="Z72" s="6">
        <f t="shared" si="70"/>
        <v>0</v>
      </c>
    </row>
    <row r="73" spans="1:26" s="24" customFormat="1" hidden="1" outlineLevel="2" x14ac:dyDescent="0.35">
      <c r="A73" s="27"/>
      <c r="B73" s="11" t="str">
        <f>CONCATENATE("          ", "6237", " - ", "JANITORIAL SUPPLIES")</f>
        <v xml:space="preserve">          6237 - JANITORIAL SUPPLIES</v>
      </c>
      <c r="C73" s="11"/>
      <c r="D73" s="7"/>
      <c r="E73" s="2"/>
      <c r="F73" s="6">
        <f t="shared" si="63"/>
        <v>0</v>
      </c>
      <c r="G73" s="2"/>
      <c r="H73" s="7">
        <v>68.739999999999995</v>
      </c>
      <c r="I73" s="2"/>
      <c r="J73" s="6">
        <f t="shared" si="64"/>
        <v>6.0589286784589833E-3</v>
      </c>
      <c r="K73" s="2"/>
      <c r="L73" s="7">
        <f t="shared" si="65"/>
        <v>-68.739999999999995</v>
      </c>
      <c r="M73" s="2"/>
      <c r="N73" s="6">
        <f t="shared" si="66"/>
        <v>-1</v>
      </c>
      <c r="O73" s="11"/>
      <c r="P73" s="7">
        <v>151.25</v>
      </c>
      <c r="Q73" s="2"/>
      <c r="R73" s="6">
        <f t="shared" si="67"/>
        <v>3.0493816358072599E-4</v>
      </c>
      <c r="S73" s="2"/>
      <c r="T73" s="7">
        <v>161.81</v>
      </c>
      <c r="U73" s="2"/>
      <c r="V73" s="6">
        <f t="shared" si="68"/>
        <v>2.5592732897546712E-4</v>
      </c>
      <c r="W73" s="2"/>
      <c r="X73" s="7">
        <f t="shared" si="69"/>
        <v>-10.560000000000002</v>
      </c>
      <c r="Y73" s="2"/>
      <c r="Z73" s="6">
        <f t="shared" si="70"/>
        <v>-6.5261726716519392E-2</v>
      </c>
    </row>
    <row r="74" spans="1:26" s="24" customFormat="1" hidden="1" outlineLevel="2" x14ac:dyDescent="0.35">
      <c r="A74" s="27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63"/>
        <v>0</v>
      </c>
      <c r="G74" s="2"/>
      <c r="H74" s="7"/>
      <c r="I74" s="2"/>
      <c r="J74" s="6">
        <f t="shared" si="64"/>
        <v>0</v>
      </c>
      <c r="K74" s="2"/>
      <c r="L74" s="7">
        <f t="shared" si="65"/>
        <v>0</v>
      </c>
      <c r="M74" s="2"/>
      <c r="N74" s="6">
        <f t="shared" si="66"/>
        <v>0</v>
      </c>
      <c r="O74" s="11"/>
      <c r="P74" s="7">
        <v>328.56</v>
      </c>
      <c r="Q74" s="2"/>
      <c r="R74" s="6">
        <f t="shared" si="67"/>
        <v>6.6241641670137749E-4</v>
      </c>
      <c r="S74" s="2"/>
      <c r="T74" s="7">
        <v>367.7</v>
      </c>
      <c r="U74" s="2"/>
      <c r="V74" s="6">
        <f t="shared" si="68"/>
        <v>5.8157393773116154E-4</v>
      </c>
      <c r="W74" s="2"/>
      <c r="X74" s="7">
        <f t="shared" si="69"/>
        <v>-39.139999999999986</v>
      </c>
      <c r="Y74" s="2"/>
      <c r="Z74" s="6">
        <f t="shared" si="70"/>
        <v>-0.10644547185205327</v>
      </c>
    </row>
    <row r="75" spans="1:26" s="24" customFormat="1" hidden="1" outlineLevel="2" x14ac:dyDescent="0.35">
      <c r="A75" s="27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63"/>
        <v>0</v>
      </c>
      <c r="G75" s="2"/>
      <c r="H75" s="7"/>
      <c r="I75" s="2"/>
      <c r="J75" s="6">
        <f t="shared" si="64"/>
        <v>0</v>
      </c>
      <c r="K75" s="2"/>
      <c r="L75" s="7">
        <f t="shared" si="65"/>
        <v>0</v>
      </c>
      <c r="M75" s="2"/>
      <c r="N75" s="6">
        <f t="shared" si="66"/>
        <v>0</v>
      </c>
      <c r="O75" s="11"/>
      <c r="P75" s="7">
        <v>81.739999999999995</v>
      </c>
      <c r="Q75" s="2"/>
      <c r="R75" s="6">
        <f t="shared" si="67"/>
        <v>1.6479765613942838E-4</v>
      </c>
      <c r="S75" s="2"/>
      <c r="T75" s="7"/>
      <c r="U75" s="2"/>
      <c r="V75" s="6">
        <f t="shared" si="68"/>
        <v>0</v>
      </c>
      <c r="W75" s="2"/>
      <c r="X75" s="7">
        <f t="shared" si="69"/>
        <v>81.739999999999995</v>
      </c>
      <c r="Y75" s="2"/>
      <c r="Z75" s="6">
        <f t="shared" si="70"/>
        <v>0</v>
      </c>
    </row>
    <row r="76" spans="1:26" s="24" customFormat="1" hidden="1" outlineLevel="2" x14ac:dyDescent="0.35">
      <c r="A76" s="27"/>
      <c r="B76" s="11" t="str">
        <f>CONCATENATE("          ", "6247", " - ", "STORE SUPPLIES")</f>
        <v xml:space="preserve">          6247 - STORE SUPPLIES</v>
      </c>
      <c r="C76" s="11"/>
      <c r="D76" s="7"/>
      <c r="E76" s="2"/>
      <c r="F76" s="6">
        <f t="shared" si="63"/>
        <v>0</v>
      </c>
      <c r="G76" s="2"/>
      <c r="H76" s="7"/>
      <c r="I76" s="2"/>
      <c r="J76" s="6">
        <f t="shared" si="64"/>
        <v>0</v>
      </c>
      <c r="K76" s="2"/>
      <c r="L76" s="7">
        <f t="shared" si="65"/>
        <v>0</v>
      </c>
      <c r="M76" s="2"/>
      <c r="N76" s="6">
        <f t="shared" si="66"/>
        <v>0</v>
      </c>
      <c r="O76" s="11"/>
      <c r="P76" s="7">
        <v>5518.43</v>
      </c>
      <c r="Q76" s="2"/>
      <c r="R76" s="6">
        <f t="shared" si="67"/>
        <v>1.112581758709941E-2</v>
      </c>
      <c r="S76" s="2"/>
      <c r="T76" s="7">
        <v>1627.13</v>
      </c>
      <c r="U76" s="2"/>
      <c r="V76" s="6">
        <f t="shared" si="68"/>
        <v>2.5735556195281614E-3</v>
      </c>
      <c r="W76" s="2"/>
      <c r="X76" s="7">
        <f t="shared" si="69"/>
        <v>3891.3</v>
      </c>
      <c r="Y76" s="2"/>
      <c r="Z76" s="6">
        <f t="shared" si="70"/>
        <v>2.3915114342431152</v>
      </c>
    </row>
    <row r="77" spans="1:26" s="24" customFormat="1" hidden="1" outlineLevel="2" x14ac:dyDescent="0.35">
      <c r="A77" s="27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63"/>
        <v>0</v>
      </c>
      <c r="G77" s="2"/>
      <c r="H77" s="7"/>
      <c r="I77" s="2"/>
      <c r="J77" s="6">
        <f t="shared" si="64"/>
        <v>0</v>
      </c>
      <c r="K77" s="2"/>
      <c r="L77" s="7">
        <f t="shared" si="65"/>
        <v>0</v>
      </c>
      <c r="M77" s="2"/>
      <c r="N77" s="6">
        <f t="shared" si="66"/>
        <v>0</v>
      </c>
      <c r="O77" s="11"/>
      <c r="P77" s="7">
        <v>34.450000000000003</v>
      </c>
      <c r="Q77" s="2"/>
      <c r="R77" s="6">
        <f t="shared" si="67"/>
        <v>6.9455337093262895E-5</v>
      </c>
      <c r="S77" s="2"/>
      <c r="T77" s="7">
        <v>187.87</v>
      </c>
      <c r="U77" s="2"/>
      <c r="V77" s="6">
        <f t="shared" si="68"/>
        <v>2.971452153428157E-4</v>
      </c>
      <c r="W77" s="2"/>
      <c r="X77" s="7">
        <f t="shared" si="69"/>
        <v>-153.42000000000002</v>
      </c>
      <c r="Y77" s="2"/>
      <c r="Z77" s="6">
        <f t="shared" si="70"/>
        <v>-0.81662851972108375</v>
      </c>
    </row>
    <row r="78" spans="1:26" s="25" customFormat="1" outlineLevel="1" collapsed="1" x14ac:dyDescent="0.35">
      <c r="A78" s="26"/>
      <c r="B78" s="12" t="str">
        <f>CONCATENATE("     ","Telephone/Data Lines                              ")</f>
        <v xml:space="preserve">     Telephone/Data Lines                              </v>
      </c>
      <c r="C78" s="12"/>
      <c r="D78" s="1">
        <f>SUM(OSRRefD22_13x_0)</f>
        <v>120.4</v>
      </c>
      <c r="E78" s="1"/>
      <c r="F78" s="5">
        <f t="shared" ref="F78:F81" si="71">IF(D$12=0,0,D78/D$12)</f>
        <v>1.0077843810161546</v>
      </c>
      <c r="G78" s="1"/>
      <c r="H78" s="1">
        <f>SUM(OSRRefH22_13x_0)</f>
        <v>125.05</v>
      </c>
      <c r="I78" s="1"/>
      <c r="J78" s="5">
        <f t="shared" ref="J78:J81" si="72">IF(H$12=0,0,H78/H$12)</f>
        <v>1.1022243689864647E-2</v>
      </c>
      <c r="K78" s="1"/>
      <c r="L78" s="1">
        <f t="shared" ref="L78:L81" si="73">+D78-H78</f>
        <v>-4.6499999999999915</v>
      </c>
      <c r="M78" s="1"/>
      <c r="N78" s="5">
        <f t="shared" ref="N78:N81" si="74">IF(H78=0,0,L78/H78)</f>
        <v>-3.7185125949620083E-2</v>
      </c>
      <c r="O78" s="12"/>
      <c r="P78" s="1">
        <f>SUM(OSRRefP22_13x_0)</f>
        <v>1493.23</v>
      </c>
      <c r="Q78" s="1"/>
      <c r="R78" s="5">
        <f t="shared" ref="R78:R81" si="75">IF(P$12=0,0,P78/P$12)</f>
        <v>3.0105310016770082E-3</v>
      </c>
      <c r="S78" s="1"/>
      <c r="T78" s="1">
        <f>SUM(OSRRefT22_13x_0)</f>
        <v>1601</v>
      </c>
      <c r="U78" s="1"/>
      <c r="V78" s="5">
        <f t="shared" ref="V78:V81" si="76">IF(T$12=0,0,T78/T$12)</f>
        <v>2.5322270174261345E-3</v>
      </c>
      <c r="W78" s="1"/>
      <c r="X78" s="1">
        <f t="shared" ref="X78:X81" si="77">+P78-T78</f>
        <v>-107.76999999999998</v>
      </c>
      <c r="Y78" s="1"/>
      <c r="Z78" s="5">
        <f t="shared" ref="Z78:Z81" si="78">IF(T78=0,0,X78/T78)</f>
        <v>-6.7314178638351013E-2</v>
      </c>
    </row>
    <row r="79" spans="1:26" s="24" customFormat="1" hidden="1" outlineLevel="2" x14ac:dyDescent="0.35">
      <c r="A79" s="27"/>
      <c r="B79" s="11" t="str">
        <f>CONCATENATE("          ", "6309", " - ", "TELEPHONE")</f>
        <v xml:space="preserve">          6309 - TELEPHONE</v>
      </c>
      <c r="C79" s="11"/>
      <c r="D79" s="7">
        <v>120.4</v>
      </c>
      <c r="E79" s="2"/>
      <c r="F79" s="6">
        <f t="shared" si="71"/>
        <v>1.0077843810161546</v>
      </c>
      <c r="G79" s="2"/>
      <c r="H79" s="7">
        <v>125.05</v>
      </c>
      <c r="I79" s="2"/>
      <c r="J79" s="6">
        <f t="shared" si="72"/>
        <v>1.1022243689864647E-2</v>
      </c>
      <c r="K79" s="2"/>
      <c r="L79" s="7">
        <f t="shared" si="73"/>
        <v>-4.6499999999999915</v>
      </c>
      <c r="M79" s="2"/>
      <c r="N79" s="6">
        <f t="shared" si="74"/>
        <v>-3.7185125949620083E-2</v>
      </c>
      <c r="O79" s="11"/>
      <c r="P79" s="7">
        <v>1493.23</v>
      </c>
      <c r="Q79" s="2"/>
      <c r="R79" s="6">
        <f t="shared" si="75"/>
        <v>3.0105310016770082E-3</v>
      </c>
      <c r="S79" s="2"/>
      <c r="T79" s="7">
        <v>1601</v>
      </c>
      <c r="U79" s="2"/>
      <c r="V79" s="6">
        <f t="shared" si="76"/>
        <v>2.5322270174261345E-3</v>
      </c>
      <c r="W79" s="2"/>
      <c r="X79" s="7">
        <f t="shared" si="77"/>
        <v>-107.76999999999998</v>
      </c>
      <c r="Y79" s="2"/>
      <c r="Z79" s="6">
        <f t="shared" si="78"/>
        <v>-6.7314178638351013E-2</v>
      </c>
    </row>
    <row r="80" spans="1:26" s="25" customFormat="1" outlineLevel="1" collapsed="1" x14ac:dyDescent="0.35">
      <c r="A80" s="26"/>
      <c r="B80" s="12" t="str">
        <f>CONCATENATE("     ","Training                                          ")</f>
        <v xml:space="preserve">     Training                                          </v>
      </c>
      <c r="C80" s="12"/>
      <c r="D80" s="1">
        <f>SUM(OSRRefD22_14x_0)</f>
        <v>0</v>
      </c>
      <c r="E80" s="1"/>
      <c r="F80" s="5">
        <f t="shared" si="71"/>
        <v>0</v>
      </c>
      <c r="G80" s="1"/>
      <c r="H80" s="1">
        <f>SUM(OSRRefH22_14x_0)</f>
        <v>0</v>
      </c>
      <c r="I80" s="1"/>
      <c r="J80" s="5">
        <f t="shared" si="72"/>
        <v>0</v>
      </c>
      <c r="K80" s="1"/>
      <c r="L80" s="1">
        <f t="shared" si="73"/>
        <v>0</v>
      </c>
      <c r="M80" s="1"/>
      <c r="N80" s="5">
        <f t="shared" si="74"/>
        <v>0</v>
      </c>
      <c r="O80" s="12"/>
      <c r="P80" s="1">
        <f>SUM(OSRRefP22_14x_0)</f>
        <v>96</v>
      </c>
      <c r="Q80" s="1"/>
      <c r="R80" s="5">
        <f t="shared" si="75"/>
        <v>1.9354752861983272E-4</v>
      </c>
      <c r="S80" s="1"/>
      <c r="T80" s="1">
        <f>SUM(OSRRefT22_14x_0)</f>
        <v>98.82</v>
      </c>
      <c r="U80" s="1"/>
      <c r="V80" s="5">
        <f t="shared" si="76"/>
        <v>1.56298984298595E-4</v>
      </c>
      <c r="W80" s="1"/>
      <c r="X80" s="1">
        <f t="shared" si="77"/>
        <v>-2.8199999999999932</v>
      </c>
      <c r="Y80" s="1"/>
      <c r="Z80" s="5">
        <f t="shared" si="78"/>
        <v>-2.8536733454766174E-2</v>
      </c>
    </row>
    <row r="81" spans="1:26" s="24" customFormat="1" hidden="1" outlineLevel="2" x14ac:dyDescent="0.35">
      <c r="A81" s="27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71"/>
        <v>0</v>
      </c>
      <c r="G81" s="2"/>
      <c r="H81" s="7"/>
      <c r="I81" s="2"/>
      <c r="J81" s="6">
        <f t="shared" si="72"/>
        <v>0</v>
      </c>
      <c r="K81" s="2"/>
      <c r="L81" s="7">
        <f t="shared" si="73"/>
        <v>0</v>
      </c>
      <c r="M81" s="2"/>
      <c r="N81" s="6">
        <f t="shared" si="74"/>
        <v>0</v>
      </c>
      <c r="O81" s="11"/>
      <c r="P81" s="7">
        <v>96</v>
      </c>
      <c r="Q81" s="2"/>
      <c r="R81" s="6">
        <f t="shared" si="75"/>
        <v>1.9354752861983272E-4</v>
      </c>
      <c r="S81" s="2"/>
      <c r="T81" s="7">
        <v>98.82</v>
      </c>
      <c r="U81" s="2"/>
      <c r="V81" s="6">
        <f t="shared" si="76"/>
        <v>1.56298984298595E-4</v>
      </c>
      <c r="W81" s="2"/>
      <c r="X81" s="7">
        <f t="shared" si="77"/>
        <v>-2.8199999999999932</v>
      </c>
      <c r="Y81" s="2"/>
      <c r="Z81" s="6">
        <f t="shared" si="78"/>
        <v>-2.8536733454766174E-2</v>
      </c>
    </row>
    <row r="82" spans="1:26" s="56" customFormat="1" x14ac:dyDescent="0.3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35">
      <c r="A83" s="10"/>
      <c r="B83" s="29" t="s">
        <v>0</v>
      </c>
      <c r="C83" s="10"/>
      <c r="D83" s="4">
        <f>SUM(0)</f>
        <v>0</v>
      </c>
      <c r="E83" s="4"/>
      <c r="F83" s="13">
        <f>IF(D$12=0,0,D83/D$12)</f>
        <v>0</v>
      </c>
      <c r="G83" s="4"/>
      <c r="H83" s="4">
        <f>SUM(0)</f>
        <v>0</v>
      </c>
      <c r="I83" s="4"/>
      <c r="J83" s="13">
        <f>IF(H$12=0,0,H83/H$12)</f>
        <v>0</v>
      </c>
      <c r="K83" s="4"/>
      <c r="L83" s="4">
        <f>+D83-H83</f>
        <v>0</v>
      </c>
      <c r="M83" s="4"/>
      <c r="N83" s="13">
        <f>IF(H83=0,0,L83/H83)</f>
        <v>0</v>
      </c>
      <c r="O83" s="10"/>
      <c r="P83" s="4">
        <f>SUM(0)</f>
        <v>0</v>
      </c>
      <c r="Q83" s="4"/>
      <c r="R83" s="13">
        <f>IF(P$12=0,0,P83/P$12)</f>
        <v>0</v>
      </c>
      <c r="S83" s="4"/>
      <c r="T83" s="4">
        <f>SUM(0)</f>
        <v>0</v>
      </c>
      <c r="U83" s="4"/>
      <c r="V83" s="13">
        <f>IF(T$12=0,0,T83/T$12)</f>
        <v>0</v>
      </c>
      <c r="W83" s="4"/>
      <c r="X83" s="4">
        <f>+P83-T83</f>
        <v>0</v>
      </c>
      <c r="Y83" s="4"/>
      <c r="Z83" s="13">
        <f>IF(T83=0,0,X83/T83)</f>
        <v>0</v>
      </c>
    </row>
    <row r="84" spans="1:26" x14ac:dyDescent="0.3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35">
      <c r="A85" s="10"/>
      <c r="B85" s="28" t="s">
        <v>3</v>
      </c>
      <c r="C85" s="28"/>
      <c r="D85" s="22">
        <f>+D27-D29+D83</f>
        <v>-7832.8599999999988</v>
      </c>
      <c r="E85" s="14"/>
      <c r="F85" s="21">
        <f>IF(D$12=0,0,D85/D$12)</f>
        <v>-65.5634050389219</v>
      </c>
      <c r="G85" s="14"/>
      <c r="H85" s="22">
        <f>+H27-H29+H83</f>
        <v>-20382.71</v>
      </c>
      <c r="I85" s="14"/>
      <c r="J85" s="21">
        <f>IF(H$12=0,0,H85/H$12)</f>
        <v>-1.7965869386632631</v>
      </c>
      <c r="K85" s="15"/>
      <c r="L85" s="22">
        <f>+D85-H85</f>
        <v>12549.85</v>
      </c>
      <c r="M85" s="15"/>
      <c r="N85" s="21">
        <f>IF(H85=0,0,L85/H85)</f>
        <v>-0.61571057038048427</v>
      </c>
      <c r="O85" s="29"/>
      <c r="P85" s="22">
        <f>+P27-P29+P83</f>
        <v>56820.560000000114</v>
      </c>
      <c r="Q85" s="14"/>
      <c r="R85" s="21">
        <f>IF(P$12=0,0,P85/P$12)</f>
        <v>0.114557072529114</v>
      </c>
      <c r="S85" s="14"/>
      <c r="T85" s="22">
        <f>+T27-T29+T83</f>
        <v>66534.480000000185</v>
      </c>
      <c r="U85" s="14"/>
      <c r="V85" s="21">
        <f>IF(T$12=0,0,T85/T$12)</f>
        <v>0.10523448335190461</v>
      </c>
      <c r="W85" s="15"/>
      <c r="X85" s="22">
        <f>+P85-T85</f>
        <v>-9713.920000000071</v>
      </c>
      <c r="Y85" s="15"/>
      <c r="Z85" s="21">
        <f>IF(T85=0,0,X85/T85)</f>
        <v>-0.14599828540029236</v>
      </c>
    </row>
    <row r="86" spans="1:26" x14ac:dyDescent="0.3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35">
      <c r="A87" s="51"/>
      <c r="B87" s="10" t="s">
        <v>13</v>
      </c>
      <c r="C87" s="10"/>
      <c r="D87" s="4">
        <v>16391.230000000003</v>
      </c>
      <c r="E87" s="4"/>
      <c r="F87" s="13">
        <f>IF(D$12=0,0,D87/D$12)</f>
        <v>137.19954800368296</v>
      </c>
      <c r="G87" s="4"/>
      <c r="H87" s="4">
        <v>-19518.190000000002</v>
      </c>
      <c r="I87" s="4"/>
      <c r="J87" s="13">
        <f>IF(H$12=0,0,H87/H$12)</f>
        <v>-1.7203858181933571</v>
      </c>
      <c r="K87" s="4"/>
      <c r="L87" s="4">
        <f>+D87-H87</f>
        <v>35909.420000000006</v>
      </c>
      <c r="M87" s="4"/>
      <c r="N87" s="13">
        <f>IF(H87=0,0,L87/H87)</f>
        <v>-1.8397925217451003</v>
      </c>
      <c r="O87" s="10"/>
      <c r="P87" s="4">
        <v>75113.95</v>
      </c>
      <c r="Q87" s="4"/>
      <c r="R87" s="13">
        <f>IF(P$12=0,0,P87/P$12)</f>
        <v>0.15143874361847587</v>
      </c>
      <c r="S87" s="4"/>
      <c r="T87" s="4">
        <v>45064.93</v>
      </c>
      <c r="U87" s="4"/>
      <c r="V87" s="13">
        <f>IF(T$12=0,0,T87/T$12)</f>
        <v>7.1277097616750495E-2</v>
      </c>
      <c r="W87" s="4"/>
      <c r="X87" s="4">
        <f>+P87-T87</f>
        <v>30049.019999999997</v>
      </c>
      <c r="Y87" s="4"/>
      <c r="Z87" s="13">
        <f>IF(T87=0,0,X87/T87)</f>
        <v>0.66679389050421245</v>
      </c>
    </row>
    <row r="88" spans="1:26" x14ac:dyDescent="0.3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" thickBot="1" x14ac:dyDescent="0.4">
      <c r="A89" s="10"/>
      <c r="B89" s="28" t="s">
        <v>4</v>
      </c>
      <c r="C89" s="28"/>
      <c r="D89" s="34">
        <f>+D85-D87</f>
        <v>-24224.090000000004</v>
      </c>
      <c r="E89" s="14"/>
      <c r="F89" s="32">
        <f>IF(D$12=0,0,D89/D$12)</f>
        <v>-202.76295304260486</v>
      </c>
      <c r="G89" s="14"/>
      <c r="H89" s="34">
        <f>+H85-H87</f>
        <v>-864.5199999999968</v>
      </c>
      <c r="I89" s="14"/>
      <c r="J89" s="32">
        <f>IF(H$12=0,0,H89/H$12)</f>
        <v>-7.6201120469906042E-2</v>
      </c>
      <c r="K89" s="15"/>
      <c r="L89" s="34">
        <f>D89-H89</f>
        <v>-23359.570000000007</v>
      </c>
      <c r="M89" s="15"/>
      <c r="N89" s="32">
        <f>IF(H89=0,0,L89/H89)</f>
        <v>27.020277148012877</v>
      </c>
      <c r="O89" s="29"/>
      <c r="P89" s="34">
        <f>+P85-P87</f>
        <v>-18293.389999999883</v>
      </c>
      <c r="Q89" s="14"/>
      <c r="R89" s="32">
        <f>IF(P$12=0,0,P89/P$12)</f>
        <v>-3.6881671089361863E-2</v>
      </c>
      <c r="S89" s="14"/>
      <c r="T89" s="34">
        <f>+T85-T87</f>
        <v>21469.550000000185</v>
      </c>
      <c r="U89" s="14"/>
      <c r="V89" s="32">
        <f>IF(T$12=0,0,T89/T$12)</f>
        <v>3.3957385735154111E-2</v>
      </c>
      <c r="W89" s="15"/>
      <c r="X89" s="34">
        <f>P89-T89</f>
        <v>-39762.940000000068</v>
      </c>
      <c r="Y89" s="15"/>
      <c r="Z89" s="32">
        <f>IF(T89=0,0,X89/T89)</f>
        <v>-1.8520621065648664</v>
      </c>
    </row>
    <row r="90" spans="1:26" ht="15" thickTop="1" x14ac:dyDescent="0.3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3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4">
      <c r="A92" s="10"/>
      <c r="B92" s="28" t="s">
        <v>5</v>
      </c>
      <c r="C92" s="28"/>
      <c r="D92" s="35">
        <f>SUM(D89:D91)</f>
        <v>-24224.090000000004</v>
      </c>
      <c r="E92" s="14"/>
      <c r="F92" s="33">
        <f>IF(D$12=0,0,D92/D$12)</f>
        <v>-202.76295304260486</v>
      </c>
      <c r="G92" s="14"/>
      <c r="H92" s="35">
        <f>SUM(H89:H91)</f>
        <v>-864.5199999999968</v>
      </c>
      <c r="I92" s="14"/>
      <c r="J92" s="33">
        <f>IF(H$12=0,0,H92/H$12)</f>
        <v>-7.6201120469906042E-2</v>
      </c>
      <c r="K92" s="15"/>
      <c r="L92" s="35">
        <f>+D92-H92</f>
        <v>-23359.570000000007</v>
      </c>
      <c r="M92" s="15"/>
      <c r="N92" s="33">
        <f>IF(H92=0,0,L92/H92)</f>
        <v>27.020277148012877</v>
      </c>
      <c r="O92" s="29"/>
      <c r="P92" s="35">
        <f>SUM(P89:P91)</f>
        <v>-18293.389999999883</v>
      </c>
      <c r="Q92" s="14"/>
      <c r="R92" s="33">
        <f>IF(P$12=0,0,P92/P$12)</f>
        <v>-3.6881671089361863E-2</v>
      </c>
      <c r="S92" s="14"/>
      <c r="T92" s="35">
        <f>SUM(T89:T91)</f>
        <v>21469.550000000185</v>
      </c>
      <c r="U92" s="14"/>
      <c r="V92" s="33">
        <f>IF(T$12=0,0,T92/T$12)</f>
        <v>3.3957385735154111E-2</v>
      </c>
      <c r="W92" s="15"/>
      <c r="X92" s="35">
        <f>+P92-T92</f>
        <v>-39762.940000000068</v>
      </c>
      <c r="Y92" s="15"/>
      <c r="Z92" s="33">
        <f>IF(T92=0,0,X92/T92)</f>
        <v>-1.8520621065648664</v>
      </c>
    </row>
    <row r="93" spans="1:26" ht="15" thickTop="1" x14ac:dyDescent="0.3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5">
      <c r="A94" s="9"/>
      <c r="B94" s="52">
        <v>44043.522866932872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5">
      <c r="A95" s="9"/>
      <c r="B95" s="61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5">
      <c r="A96" s="9"/>
      <c r="B96" s="54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3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","321", " - ", "Student Union C-Store")</f>
        <v>Department 321 - Student Union C-Store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3789.3300000000004</v>
      </c>
      <c r="I12" s="4"/>
      <c r="J12" s="13"/>
      <c r="K12" s="4"/>
      <c r="L12" s="4">
        <f t="shared" ref="L12:L14" si="0">+D12-H12</f>
        <v>-3789.3300000000004</v>
      </c>
      <c r="M12" s="4"/>
      <c r="N12" s="13">
        <f t="shared" ref="N12:N14" si="1">IF(H12=0,0,L12/H12)</f>
        <v>-1</v>
      </c>
      <c r="O12" s="10"/>
      <c r="P12" s="4">
        <f>SUM(OSRRefP13x_0)</f>
        <v>281486.67000000004</v>
      </c>
      <c r="Q12" s="4"/>
      <c r="R12" s="13"/>
      <c r="S12" s="4"/>
      <c r="T12" s="4">
        <f>SUM(OSRRefT13x_0)</f>
        <v>320984.98</v>
      </c>
      <c r="U12" s="4"/>
      <c r="V12" s="13"/>
      <c r="W12" s="4"/>
      <c r="X12" s="4">
        <f t="shared" ref="X12:X14" si="2">+P12-T12</f>
        <v>-39498.309999999939</v>
      </c>
      <c r="Y12" s="4"/>
      <c r="Z12" s="13">
        <f t="shared" ref="Z12:Z14" si="3">IF(T12=0,0,X12/T12)</f>
        <v>-0.12305345253226473</v>
      </c>
    </row>
    <row r="13" spans="1:26" s="24" customFormat="1" hidden="1" outlineLevel="1" x14ac:dyDescent="0.3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--855.32</f>
        <v>855.32</v>
      </c>
      <c r="I13" s="2"/>
      <c r="J13" s="19"/>
      <c r="K13" s="2"/>
      <c r="L13" s="2">
        <f t="shared" si="0"/>
        <v>-855.32</v>
      </c>
      <c r="M13" s="2"/>
      <c r="N13" s="19">
        <f t="shared" si="1"/>
        <v>-1</v>
      </c>
      <c r="O13" s="11"/>
      <c r="P13" s="2">
        <f>--65192.75</f>
        <v>65192.75</v>
      </c>
      <c r="Q13" s="2"/>
      <c r="R13" s="19"/>
      <c r="S13" s="2"/>
      <c r="T13" s="2">
        <f>--80766.22</f>
        <v>80766.22</v>
      </c>
      <c r="U13" s="2"/>
      <c r="V13" s="19"/>
      <c r="W13" s="2"/>
      <c r="X13" s="2">
        <f t="shared" si="2"/>
        <v>-15573.470000000001</v>
      </c>
      <c r="Y13" s="2"/>
      <c r="Z13" s="19">
        <f t="shared" si="3"/>
        <v>-0.19282157813006479</v>
      </c>
    </row>
    <row r="14" spans="1:26" s="24" customFormat="1" hidden="1" outlineLevel="1" x14ac:dyDescent="0.3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--2934.01</f>
        <v>2934.01</v>
      </c>
      <c r="I14" s="2"/>
      <c r="J14" s="19"/>
      <c r="K14" s="2"/>
      <c r="L14" s="2">
        <f t="shared" si="0"/>
        <v>-2934.01</v>
      </c>
      <c r="M14" s="2"/>
      <c r="N14" s="19">
        <f t="shared" si="1"/>
        <v>-1</v>
      </c>
      <c r="O14" s="11"/>
      <c r="P14" s="2">
        <f>--216293.92</f>
        <v>216293.92</v>
      </c>
      <c r="Q14" s="2"/>
      <c r="R14" s="19"/>
      <c r="S14" s="2"/>
      <c r="T14" s="2">
        <f>--240218.76</f>
        <v>240218.76</v>
      </c>
      <c r="U14" s="2"/>
      <c r="V14" s="19"/>
      <c r="W14" s="2"/>
      <c r="X14" s="2">
        <f t="shared" si="2"/>
        <v>-23924.839999999997</v>
      </c>
      <c r="Y14" s="2"/>
      <c r="Z14" s="19">
        <f t="shared" si="3"/>
        <v>-9.9596051532361562E-2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9" t="s">
        <v>8</v>
      </c>
      <c r="C16" s="10"/>
      <c r="D16" s="4">
        <f>SUM(OSRRefD16x_0)</f>
        <v>201.29999999999995</v>
      </c>
      <c r="E16" s="4"/>
      <c r="F16" s="13">
        <f t="shared" ref="F16:F18" si="5">IF(D$12=0,0,D16/D$12)</f>
        <v>0</v>
      </c>
      <c r="G16" s="4"/>
      <c r="H16" s="4">
        <f>SUM(OSRRefH16x_0)</f>
        <v>6781.58</v>
      </c>
      <c r="I16" s="4"/>
      <c r="J16" s="13">
        <f t="shared" ref="J16:J18" si="6">IF(H$12=0,0,H16/H$12)</f>
        <v>1.7896514687293001</v>
      </c>
      <c r="K16" s="4"/>
      <c r="L16" s="4">
        <f t="shared" ref="L16:L18" si="7">+D16-H16</f>
        <v>-6580.28</v>
      </c>
      <c r="M16" s="4"/>
      <c r="N16" s="13">
        <f t="shared" ref="N16:N18" si="8">IF(H16=0,0,L16/H16)</f>
        <v>-0.9703166518716877</v>
      </c>
      <c r="O16" s="10"/>
      <c r="P16" s="4">
        <f>SUM(OSRRefP16x_0)</f>
        <v>146811.78</v>
      </c>
      <c r="Q16" s="4"/>
      <c r="R16" s="13">
        <f t="shared" ref="R16:R18" si="9">IF(P$12=0,0,P16/P$12)</f>
        <v>0.52155855195558631</v>
      </c>
      <c r="S16" s="4"/>
      <c r="T16" s="4">
        <f>SUM(OSRRefT16x_0)</f>
        <v>157569.79999999999</v>
      </c>
      <c r="U16" s="4"/>
      <c r="V16" s="13">
        <f t="shared" ref="V16:V18" si="10">IF(T$12=0,0,T16/T$12)</f>
        <v>0.49089462067664347</v>
      </c>
      <c r="W16" s="4"/>
      <c r="X16" s="4">
        <f t="shared" ref="X16:X18" si="11">+P16-T16</f>
        <v>-10758.01999999999</v>
      </c>
      <c r="Y16" s="4"/>
      <c r="Z16" s="13">
        <f t="shared" ref="Z16:Z18" si="12">IF(T16=0,0,X16/T16)</f>
        <v>-6.8274631306252789E-2</v>
      </c>
    </row>
    <row r="17" spans="1:26" s="24" customFormat="1" hidden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-1303.7</v>
      </c>
      <c r="E17" s="2"/>
      <c r="F17" s="19">
        <f t="shared" si="5"/>
        <v>0</v>
      </c>
      <c r="G17" s="2"/>
      <c r="H17" s="2">
        <v>464.58</v>
      </c>
      <c r="I17" s="2"/>
      <c r="J17" s="19">
        <f t="shared" si="6"/>
        <v>0.12260214866480353</v>
      </c>
      <c r="K17" s="2"/>
      <c r="L17" s="2">
        <f t="shared" si="7"/>
        <v>-1768.28</v>
      </c>
      <c r="M17" s="2"/>
      <c r="N17" s="19">
        <f t="shared" si="8"/>
        <v>-3.8061905376899565</v>
      </c>
      <c r="O17" s="11"/>
      <c r="P17" s="2">
        <v>132578.99</v>
      </c>
      <c r="Q17" s="2"/>
      <c r="R17" s="19">
        <f t="shared" si="9"/>
        <v>0.47099562476617446</v>
      </c>
      <c r="S17" s="2"/>
      <c r="T17" s="2">
        <v>134249.18</v>
      </c>
      <c r="U17" s="2"/>
      <c r="V17" s="19">
        <f t="shared" si="10"/>
        <v>0.41824131459359876</v>
      </c>
      <c r="W17" s="2"/>
      <c r="X17" s="2">
        <f t="shared" si="11"/>
        <v>-1670.1900000000023</v>
      </c>
      <c r="Y17" s="2"/>
      <c r="Z17" s="19">
        <f t="shared" si="12"/>
        <v>-1.24409698442851E-2</v>
      </c>
    </row>
    <row r="18" spans="1:26" s="24" customFormat="1" hidden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1505</v>
      </c>
      <c r="E18" s="2"/>
      <c r="F18" s="19">
        <f t="shared" si="5"/>
        <v>0</v>
      </c>
      <c r="G18" s="2"/>
      <c r="H18" s="2">
        <v>6317</v>
      </c>
      <c r="I18" s="2"/>
      <c r="J18" s="19">
        <f t="shared" si="6"/>
        <v>1.6670493200644967</v>
      </c>
      <c r="K18" s="2"/>
      <c r="L18" s="2">
        <f t="shared" si="7"/>
        <v>-4812</v>
      </c>
      <c r="M18" s="2"/>
      <c r="N18" s="19">
        <f t="shared" si="8"/>
        <v>-0.76175399715054615</v>
      </c>
      <c r="O18" s="11"/>
      <c r="P18" s="2">
        <v>14232.79</v>
      </c>
      <c r="Q18" s="2"/>
      <c r="R18" s="19">
        <f t="shared" si="9"/>
        <v>5.0562927189411841E-2</v>
      </c>
      <c r="S18" s="2"/>
      <c r="T18" s="2">
        <v>23320.62</v>
      </c>
      <c r="U18" s="2"/>
      <c r="V18" s="19">
        <f t="shared" si="10"/>
        <v>7.2653306083044752E-2</v>
      </c>
      <c r="W18" s="2"/>
      <c r="X18" s="2">
        <f t="shared" si="11"/>
        <v>-9087.8299999999981</v>
      </c>
      <c r="Y18" s="2"/>
      <c r="Z18" s="19">
        <f t="shared" si="12"/>
        <v>-0.38969075436244827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-201.29999999999995</v>
      </c>
      <c r="E20" s="14"/>
      <c r="F20" s="21">
        <f>IF(D$12=0,0,D20/D$12)</f>
        <v>0</v>
      </c>
      <c r="G20" s="14"/>
      <c r="H20" s="22">
        <f>H12-H16</f>
        <v>-2992.2499999999995</v>
      </c>
      <c r="I20" s="14"/>
      <c r="J20" s="21">
        <f>IF(H$12=0,0,H20/H$12)</f>
        <v>-0.78965146872930025</v>
      </c>
      <c r="K20" s="15"/>
      <c r="L20" s="22">
        <f>+D20-H20</f>
        <v>2790.95</v>
      </c>
      <c r="M20" s="15"/>
      <c r="N20" s="21">
        <f>IF(H20=0,0,L20/H20)</f>
        <v>-0.9327262093742168</v>
      </c>
      <c r="O20" s="29"/>
      <c r="P20" s="22">
        <f>P12-P16</f>
        <v>134674.89000000004</v>
      </c>
      <c r="Q20" s="14"/>
      <c r="R20" s="21">
        <f>IF(P$12=0,0,P20/P$12)</f>
        <v>0.47844144804441369</v>
      </c>
      <c r="S20" s="14"/>
      <c r="T20" s="22">
        <f>T12-T16</f>
        <v>163415.18</v>
      </c>
      <c r="U20" s="14"/>
      <c r="V20" s="21">
        <f>IF(T$12=0,0,T20/T$12)</f>
        <v>0.50910537932335653</v>
      </c>
      <c r="W20" s="15"/>
      <c r="X20" s="22">
        <f>+P20-T20</f>
        <v>-28740.28999999995</v>
      </c>
      <c r="Y20" s="15"/>
      <c r="Z20" s="21">
        <f>IF(T20=0,0,X20/T20)</f>
        <v>-0.1758728289501621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1136.3100000000002</v>
      </c>
      <c r="E22" s="20"/>
      <c r="F22" s="36">
        <f t="shared" ref="F22:F30" si="13">IF(D$12=0,0,D22/D$12)</f>
        <v>0</v>
      </c>
      <c r="G22" s="20"/>
      <c r="H22" s="20">
        <f>SUM(OSRRefH22x_0)</f>
        <v>10471.220000000001</v>
      </c>
      <c r="I22" s="20"/>
      <c r="J22" s="36">
        <f t="shared" ref="J22:J30" si="14">IF(H$12=0,0,H22/H$12)</f>
        <v>2.763343387881235</v>
      </c>
      <c r="K22" s="4"/>
      <c r="L22" s="20">
        <f t="shared" ref="L22:L30" si="15">+D22-H22</f>
        <v>-9334.9100000000017</v>
      </c>
      <c r="M22" s="4"/>
      <c r="N22" s="36">
        <f t="shared" ref="N22:N30" si="16">IF(H22=0,0,L22/H22)</f>
        <v>-0.89148255886133621</v>
      </c>
      <c r="O22" s="10"/>
      <c r="P22" s="20">
        <f>SUM(OSRRefP22x_0)</f>
        <v>122078.97</v>
      </c>
      <c r="Q22" s="20"/>
      <c r="R22" s="36">
        <f t="shared" ref="R22:R30" si="17">IF(P$12=0,0,P22/P$12)</f>
        <v>0.43369360971871235</v>
      </c>
      <c r="S22" s="20"/>
      <c r="T22" s="20">
        <f>SUM(OSRRefT22x_0)</f>
        <v>106397.20999999998</v>
      </c>
      <c r="U22" s="20"/>
      <c r="V22" s="36">
        <f t="shared" ref="V22:V30" si="18">IF(T$12=0,0,T22/T$12)</f>
        <v>0.33147099281717163</v>
      </c>
      <c r="W22" s="4"/>
      <c r="X22" s="20">
        <f t="shared" ref="X22:X30" si="19">+P22-T22</f>
        <v>15681.760000000024</v>
      </c>
      <c r="Y22" s="4"/>
      <c r="Z22" s="36">
        <f t="shared" ref="Z22:Z30" si="20">IF(T22=0,0,X22/T22)</f>
        <v>0.14738882720702945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-125.59</v>
      </c>
      <c r="E23" s="1"/>
      <c r="F23" s="5">
        <f t="shared" si="13"/>
        <v>0</v>
      </c>
      <c r="G23" s="1"/>
      <c r="H23" s="1">
        <f>SUM(OSRRefH22_0x_0)</f>
        <v>174.60000000000002</v>
      </c>
      <c r="I23" s="1"/>
      <c r="J23" s="5">
        <f t="shared" si="14"/>
        <v>4.6076747076659992E-2</v>
      </c>
      <c r="K23" s="1"/>
      <c r="L23" s="1">
        <f t="shared" si="15"/>
        <v>-300.19000000000005</v>
      </c>
      <c r="M23" s="1"/>
      <c r="N23" s="5">
        <f t="shared" si="16"/>
        <v>-1.7193012600229096</v>
      </c>
      <c r="O23" s="12"/>
      <c r="P23" s="1">
        <f>SUM(OSRRefP22_0x_0)</f>
        <v>10137.439999999999</v>
      </c>
      <c r="Q23" s="1"/>
      <c r="R23" s="5">
        <f t="shared" si="17"/>
        <v>3.6013925632783952E-2</v>
      </c>
      <c r="S23" s="1"/>
      <c r="T23" s="1">
        <f>SUM(OSRRefT22_0x_0)</f>
        <v>1070.8499999999999</v>
      </c>
      <c r="U23" s="1"/>
      <c r="V23" s="5">
        <f t="shared" si="18"/>
        <v>3.3361374105417641E-3</v>
      </c>
      <c r="W23" s="1"/>
      <c r="X23" s="1">
        <f t="shared" si="19"/>
        <v>9066.5899999999983</v>
      </c>
      <c r="Y23" s="1"/>
      <c r="Z23" s="5">
        <f t="shared" si="20"/>
        <v>8.4667226969230036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>
        <v>142.18</v>
      </c>
      <c r="I24" s="2"/>
      <c r="J24" s="6">
        <f t="shared" si="14"/>
        <v>3.7521144898966304E-2</v>
      </c>
      <c r="K24" s="2"/>
      <c r="L24" s="7">
        <f t="shared" si="15"/>
        <v>-142.18</v>
      </c>
      <c r="M24" s="2"/>
      <c r="N24" s="6">
        <f t="shared" si="16"/>
        <v>-1</v>
      </c>
      <c r="O24" s="11"/>
      <c r="P24" s="7">
        <v>2418.25</v>
      </c>
      <c r="Q24" s="2"/>
      <c r="R24" s="6">
        <f t="shared" si="17"/>
        <v>8.5909929589205753E-3</v>
      </c>
      <c r="S24" s="2"/>
      <c r="T24" s="7">
        <v>567.9</v>
      </c>
      <c r="U24" s="2"/>
      <c r="V24" s="6">
        <f t="shared" si="18"/>
        <v>1.769241663581891E-3</v>
      </c>
      <c r="W24" s="2"/>
      <c r="X24" s="7">
        <f t="shared" si="19"/>
        <v>1850.35</v>
      </c>
      <c r="Y24" s="2"/>
      <c r="Z24" s="6">
        <f t="shared" si="20"/>
        <v>3.2582320831132243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>
        <v>26.61</v>
      </c>
      <c r="I25" s="2"/>
      <c r="J25" s="6">
        <f t="shared" si="14"/>
        <v>7.0223495974222347E-3</v>
      </c>
      <c r="K25" s="2"/>
      <c r="L25" s="7">
        <f t="shared" si="15"/>
        <v>-26.61</v>
      </c>
      <c r="M25" s="2"/>
      <c r="N25" s="6">
        <f t="shared" si="16"/>
        <v>-1</v>
      </c>
      <c r="O25" s="11"/>
      <c r="P25" s="7">
        <v>874.82</v>
      </c>
      <c r="Q25" s="2"/>
      <c r="R25" s="6">
        <f t="shared" si="17"/>
        <v>3.1078558711146072E-3</v>
      </c>
      <c r="S25" s="2"/>
      <c r="T25" s="7">
        <v>403.63</v>
      </c>
      <c r="U25" s="2"/>
      <c r="V25" s="6">
        <f t="shared" si="18"/>
        <v>1.2574731689937641E-3</v>
      </c>
      <c r="W25" s="2"/>
      <c r="X25" s="7">
        <f t="shared" si="19"/>
        <v>471.19000000000005</v>
      </c>
      <c r="Y25" s="2"/>
      <c r="Z25" s="6">
        <f t="shared" si="20"/>
        <v>1.1673810172682904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3"/>
        <v>0</v>
      </c>
      <c r="G26" s="2"/>
      <c r="H26" s="7"/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>
        <v>4676.5</v>
      </c>
      <c r="Q26" s="2"/>
      <c r="R26" s="6">
        <f t="shared" si="17"/>
        <v>1.6613575342661873E-2</v>
      </c>
      <c r="S26" s="2"/>
      <c r="T26" s="7"/>
      <c r="U26" s="2"/>
      <c r="V26" s="6">
        <f t="shared" si="18"/>
        <v>0</v>
      </c>
      <c r="W26" s="2"/>
      <c r="X26" s="7">
        <f t="shared" si="19"/>
        <v>4676.5</v>
      </c>
      <c r="Y26" s="2"/>
      <c r="Z26" s="6">
        <f t="shared" si="20"/>
        <v>0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-125.59</v>
      </c>
      <c r="E27" s="2"/>
      <c r="F27" s="6">
        <f t="shared" si="13"/>
        <v>0</v>
      </c>
      <c r="G27" s="2"/>
      <c r="H27" s="7">
        <v>5.81</v>
      </c>
      <c r="I27" s="2"/>
      <c r="J27" s="6">
        <f t="shared" si="14"/>
        <v>1.533252580271446E-3</v>
      </c>
      <c r="K27" s="2"/>
      <c r="L27" s="7">
        <f t="shared" si="15"/>
        <v>-131.4</v>
      </c>
      <c r="M27" s="2"/>
      <c r="N27" s="6">
        <f t="shared" si="16"/>
        <v>-22.616179001721171</v>
      </c>
      <c r="O27" s="11"/>
      <c r="P27" s="7">
        <v>0</v>
      </c>
      <c r="Q27" s="2"/>
      <c r="R27" s="6">
        <f t="shared" si="17"/>
        <v>0</v>
      </c>
      <c r="S27" s="2"/>
      <c r="T27" s="7">
        <v>99.32</v>
      </c>
      <c r="U27" s="2"/>
      <c r="V27" s="6">
        <f t="shared" si="18"/>
        <v>3.0942257796610917E-4</v>
      </c>
      <c r="W27" s="2"/>
      <c r="X27" s="7">
        <f t="shared" si="19"/>
        <v>-99.32</v>
      </c>
      <c r="Y27" s="2"/>
      <c r="Z27" s="6">
        <f t="shared" si="20"/>
        <v>-1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670.55</v>
      </c>
      <c r="Q28" s="2"/>
      <c r="R28" s="6">
        <f t="shared" si="17"/>
        <v>2.3821731949154107E-3</v>
      </c>
      <c r="S28" s="2"/>
      <c r="T28" s="7"/>
      <c r="U28" s="2"/>
      <c r="V28" s="6">
        <f t="shared" si="18"/>
        <v>0</v>
      </c>
      <c r="W28" s="2"/>
      <c r="X28" s="7">
        <f t="shared" si="19"/>
        <v>670.55</v>
      </c>
      <c r="Y28" s="2"/>
      <c r="Z28" s="6">
        <f t="shared" si="20"/>
        <v>0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3"/>
        <v>0</v>
      </c>
      <c r="G29" s="2"/>
      <c r="H29" s="7"/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>
        <v>1098.8</v>
      </c>
      <c r="Q29" s="2"/>
      <c r="R29" s="6">
        <f t="shared" si="17"/>
        <v>3.9035596250437004E-3</v>
      </c>
      <c r="S29" s="2"/>
      <c r="T29" s="7"/>
      <c r="U29" s="2"/>
      <c r="V29" s="6">
        <f t="shared" si="18"/>
        <v>0</v>
      </c>
      <c r="W29" s="2"/>
      <c r="X29" s="7">
        <f t="shared" si="19"/>
        <v>1098.8</v>
      </c>
      <c r="Y29" s="2"/>
      <c r="Z29" s="6">
        <f t="shared" si="20"/>
        <v>0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3"/>
        <v>0</v>
      </c>
      <c r="G30" s="2"/>
      <c r="H30" s="7"/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>
        <v>398.52</v>
      </c>
      <c r="Q30" s="2"/>
      <c r="R30" s="6">
        <f t="shared" si="17"/>
        <v>1.4157686401277897E-3</v>
      </c>
      <c r="S30" s="2"/>
      <c r="T30" s="7"/>
      <c r="U30" s="2"/>
      <c r="V30" s="6">
        <f t="shared" si="18"/>
        <v>0</v>
      </c>
      <c r="W30" s="2"/>
      <c r="X30" s="7">
        <f t="shared" si="19"/>
        <v>398.52</v>
      </c>
      <c r="Y30" s="2"/>
      <c r="Z30" s="6">
        <f t="shared" si="20"/>
        <v>0</v>
      </c>
    </row>
    <row r="31" spans="1:26" s="25" customFormat="1" outlineLevel="1" collapsed="1" x14ac:dyDescent="0.35">
      <c r="A31" s="26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0</v>
      </c>
      <c r="E31" s="1"/>
      <c r="F31" s="5">
        <f t="shared" ref="F31:F36" si="21">IF(D$12=0,0,D31/D$12)</f>
        <v>0</v>
      </c>
      <c r="G31" s="1"/>
      <c r="H31" s="1">
        <f>SUM(OSRRefH22_1x_0)</f>
        <v>1858.62</v>
      </c>
      <c r="I31" s="1"/>
      <c r="J31" s="5">
        <f t="shared" ref="J31:J36" si="22">IF(H$12=0,0,H31/H$12)</f>
        <v>0.49048776432773067</v>
      </c>
      <c r="K31" s="1"/>
      <c r="L31" s="1">
        <f t="shared" ref="L31:L36" si="23">+D31-H31</f>
        <v>-1858.62</v>
      </c>
      <c r="M31" s="1"/>
      <c r="N31" s="5">
        <f t="shared" ref="N31:N36" si="24">IF(H31=0,0,L31/H31)</f>
        <v>-1</v>
      </c>
      <c r="O31" s="12"/>
      <c r="P31" s="1">
        <f>SUM(OSRRefP22_1x_0)</f>
        <v>51305.1</v>
      </c>
      <c r="Q31" s="1"/>
      <c r="R31" s="5">
        <f t="shared" ref="R31:R36" si="25">IF(P$12=0,0,P31/P$12)</f>
        <v>0.18226475875394024</v>
      </c>
      <c r="S31" s="1"/>
      <c r="T31" s="1">
        <f>SUM(OSRRefT22_1x_0)</f>
        <v>41786.589999999997</v>
      </c>
      <c r="U31" s="1"/>
      <c r="V31" s="5">
        <f t="shared" ref="V31:V36" si="26">IF(T$12=0,0,T31/T$12)</f>
        <v>0.13018238423492587</v>
      </c>
      <c r="W31" s="1"/>
      <c r="X31" s="1">
        <f t="shared" ref="X31:X36" si="27">+P31-T31</f>
        <v>9518.510000000002</v>
      </c>
      <c r="Y31" s="1"/>
      <c r="Z31" s="5">
        <f t="shared" ref="Z31:Z36" si="28">IF(T31=0,0,X31/T31)</f>
        <v>0.22778862788277299</v>
      </c>
    </row>
    <row r="32" spans="1:26" s="24" customFormat="1" hidden="1" outlineLevel="2" x14ac:dyDescent="0.35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1"/>
        <v>0</v>
      </c>
      <c r="G32" s="2"/>
      <c r="H32" s="7"/>
      <c r="I32" s="2"/>
      <c r="J32" s="6">
        <f t="shared" si="22"/>
        <v>0</v>
      </c>
      <c r="K32" s="2"/>
      <c r="L32" s="7">
        <f t="shared" si="23"/>
        <v>0</v>
      </c>
      <c r="M32" s="2"/>
      <c r="N32" s="6">
        <f t="shared" si="24"/>
        <v>0</v>
      </c>
      <c r="O32" s="11"/>
      <c r="P32" s="7">
        <v>10272</v>
      </c>
      <c r="Q32" s="2"/>
      <c r="R32" s="6">
        <f t="shared" si="25"/>
        <v>3.6491958926509728E-2</v>
      </c>
      <c r="S32" s="2"/>
      <c r="T32" s="7"/>
      <c r="U32" s="2"/>
      <c r="V32" s="6">
        <f t="shared" si="26"/>
        <v>0</v>
      </c>
      <c r="W32" s="2"/>
      <c r="X32" s="7">
        <f t="shared" si="27"/>
        <v>10272</v>
      </c>
      <c r="Y32" s="2"/>
      <c r="Z32" s="6">
        <f t="shared" si="28"/>
        <v>0</v>
      </c>
    </row>
    <row r="33" spans="1:26" s="24" customFormat="1" hidden="1" outlineLevel="2" x14ac:dyDescent="0.3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21"/>
        <v>0</v>
      </c>
      <c r="G33" s="2"/>
      <c r="H33" s="7">
        <v>1253</v>
      </c>
      <c r="I33" s="2"/>
      <c r="J33" s="6">
        <f t="shared" si="22"/>
        <v>0.33066531550432393</v>
      </c>
      <c r="K33" s="2"/>
      <c r="L33" s="7">
        <f t="shared" si="23"/>
        <v>-1253</v>
      </c>
      <c r="M33" s="2"/>
      <c r="N33" s="6">
        <f t="shared" si="24"/>
        <v>-1</v>
      </c>
      <c r="O33" s="11"/>
      <c r="P33" s="7">
        <v>3822.17</v>
      </c>
      <c r="Q33" s="2"/>
      <c r="R33" s="6">
        <f t="shared" si="25"/>
        <v>1.3578511550831162E-2</v>
      </c>
      <c r="S33" s="2"/>
      <c r="T33" s="7">
        <v>4442.29</v>
      </c>
      <c r="U33" s="2"/>
      <c r="V33" s="6">
        <f t="shared" si="26"/>
        <v>1.3839557227880259E-2</v>
      </c>
      <c r="W33" s="2"/>
      <c r="X33" s="7">
        <f t="shared" si="27"/>
        <v>-620.11999999999989</v>
      </c>
      <c r="Y33" s="2"/>
      <c r="Z33" s="6">
        <f t="shared" si="28"/>
        <v>-0.1395946685155629</v>
      </c>
    </row>
    <row r="34" spans="1:26" s="24" customFormat="1" hidden="1" outlineLevel="2" x14ac:dyDescent="0.35">
      <c r="A34" s="27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21"/>
        <v>0</v>
      </c>
      <c r="G34" s="2"/>
      <c r="H34" s="7">
        <v>315.56</v>
      </c>
      <c r="I34" s="2"/>
      <c r="J34" s="6">
        <f t="shared" si="22"/>
        <v>8.327593532365879E-2</v>
      </c>
      <c r="K34" s="2"/>
      <c r="L34" s="7">
        <f t="shared" si="23"/>
        <v>-315.56</v>
      </c>
      <c r="M34" s="2"/>
      <c r="N34" s="6">
        <f t="shared" si="24"/>
        <v>-1</v>
      </c>
      <c r="O34" s="11"/>
      <c r="P34" s="7">
        <v>13120.47</v>
      </c>
      <c r="Q34" s="2"/>
      <c r="R34" s="6">
        <f t="shared" si="25"/>
        <v>4.6611336870765491E-2</v>
      </c>
      <c r="S34" s="2"/>
      <c r="T34" s="7">
        <v>940.82</v>
      </c>
      <c r="U34" s="2"/>
      <c r="V34" s="6">
        <f t="shared" si="26"/>
        <v>2.9310405739234281E-3</v>
      </c>
      <c r="W34" s="2"/>
      <c r="X34" s="7">
        <f t="shared" si="27"/>
        <v>12179.65</v>
      </c>
      <c r="Y34" s="2"/>
      <c r="Z34" s="6">
        <f t="shared" si="28"/>
        <v>12.945781339682403</v>
      </c>
    </row>
    <row r="35" spans="1:26" s="24" customFormat="1" hidden="1" outlineLevel="2" x14ac:dyDescent="0.3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1"/>
        <v>0</v>
      </c>
      <c r="G35" s="2"/>
      <c r="H35" s="7">
        <v>290.06</v>
      </c>
      <c r="I35" s="2"/>
      <c r="J35" s="6">
        <f t="shared" si="22"/>
        <v>7.6546513499747976E-2</v>
      </c>
      <c r="K35" s="2"/>
      <c r="L35" s="7">
        <f t="shared" si="23"/>
        <v>-290.06</v>
      </c>
      <c r="M35" s="2"/>
      <c r="N35" s="6">
        <f t="shared" si="24"/>
        <v>-1</v>
      </c>
      <c r="O35" s="11"/>
      <c r="P35" s="7">
        <v>23036.15</v>
      </c>
      <c r="Q35" s="2"/>
      <c r="R35" s="6">
        <f t="shared" si="25"/>
        <v>8.1837445446350965E-2</v>
      </c>
      <c r="S35" s="2"/>
      <c r="T35" s="7">
        <v>34119.71</v>
      </c>
      <c r="U35" s="2"/>
      <c r="V35" s="6">
        <f t="shared" si="26"/>
        <v>0.1062969052321389</v>
      </c>
      <c r="W35" s="2"/>
      <c r="X35" s="7">
        <f t="shared" si="27"/>
        <v>-11083.559999999998</v>
      </c>
      <c r="Y35" s="2"/>
      <c r="Z35" s="6">
        <f t="shared" si="28"/>
        <v>-0.32484332369765151</v>
      </c>
    </row>
    <row r="36" spans="1:26" s="24" customFormat="1" hidden="1" outlineLevel="2" x14ac:dyDescent="0.3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1"/>
        <v>0</v>
      </c>
      <c r="G36" s="2"/>
      <c r="H36" s="7"/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>
        <v>1054.31</v>
      </c>
      <c r="Q36" s="2"/>
      <c r="R36" s="6">
        <f t="shared" si="25"/>
        <v>3.7455059594829121E-3</v>
      </c>
      <c r="S36" s="2"/>
      <c r="T36" s="7">
        <v>2283.77</v>
      </c>
      <c r="U36" s="2"/>
      <c r="V36" s="6">
        <f t="shared" si="26"/>
        <v>7.1148812009832986E-3</v>
      </c>
      <c r="W36" s="2"/>
      <c r="X36" s="7">
        <f t="shared" si="27"/>
        <v>-1229.46</v>
      </c>
      <c r="Y36" s="2"/>
      <c r="Z36" s="6">
        <f t="shared" si="28"/>
        <v>-0.53834668114564954</v>
      </c>
    </row>
    <row r="37" spans="1:26" s="25" customFormat="1" outlineLevel="1" collapsed="1" x14ac:dyDescent="0.35">
      <c r="A37" s="26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50" si="29">IF(D$12=0,0,D37/D$12)</f>
        <v>0</v>
      </c>
      <c r="G37" s="1"/>
      <c r="H37" s="1">
        <f>SUM(OSRRefH22_2x_0)</f>
        <v>0</v>
      </c>
      <c r="I37" s="1"/>
      <c r="J37" s="5">
        <f t="shared" ref="J37:J50" si="30">IF(H$12=0,0,H37/H$12)</f>
        <v>0</v>
      </c>
      <c r="K37" s="1"/>
      <c r="L37" s="1">
        <f t="shared" ref="L37:L50" si="31">+D37-H37</f>
        <v>0</v>
      </c>
      <c r="M37" s="1"/>
      <c r="N37" s="5">
        <f t="shared" ref="N37:N50" si="32">IF(H37=0,0,L37/H37)</f>
        <v>0</v>
      </c>
      <c r="O37" s="12"/>
      <c r="P37" s="1">
        <f>SUM(OSRRefP22_2x_0)</f>
        <v>2.4900000000000002</v>
      </c>
      <c r="Q37" s="1"/>
      <c r="R37" s="5">
        <f t="shared" ref="R37:R50" si="33">IF(P$12=0,0,P37/P$12)</f>
        <v>8.8458895762275348E-6</v>
      </c>
      <c r="S37" s="1"/>
      <c r="T37" s="1">
        <f>SUM(OSRRefT22_2x_0)</f>
        <v>976.5</v>
      </c>
      <c r="U37" s="1"/>
      <c r="V37" s="5">
        <f t="shared" ref="V37:V50" si="34">IF(T$12=0,0,T37/T$12)</f>
        <v>3.0421984231162468E-3</v>
      </c>
      <c r="W37" s="1"/>
      <c r="X37" s="1">
        <f t="shared" ref="X37:X50" si="35">+P37-T37</f>
        <v>-974.01</v>
      </c>
      <c r="Y37" s="1"/>
      <c r="Z37" s="5">
        <f t="shared" ref="Z37:Z50" si="36">IF(T37=0,0,X37/T37)</f>
        <v>-0.99745007680491549</v>
      </c>
    </row>
    <row r="38" spans="1:26" s="24" customFormat="1" hidden="1" outlineLevel="2" x14ac:dyDescent="0.35">
      <c r="A38" s="27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29"/>
        <v>0</v>
      </c>
      <c r="G38" s="2"/>
      <c r="H38" s="7"/>
      <c r="I38" s="2"/>
      <c r="J38" s="6">
        <f t="shared" si="30"/>
        <v>0</v>
      </c>
      <c r="K38" s="2"/>
      <c r="L38" s="7">
        <f t="shared" si="31"/>
        <v>0</v>
      </c>
      <c r="M38" s="2"/>
      <c r="N38" s="6">
        <f t="shared" si="32"/>
        <v>0</v>
      </c>
      <c r="O38" s="11"/>
      <c r="P38" s="7">
        <v>2.4900000000000002</v>
      </c>
      <c r="Q38" s="2"/>
      <c r="R38" s="6">
        <f t="shared" si="33"/>
        <v>8.8458895762275348E-6</v>
      </c>
      <c r="S38" s="2"/>
      <c r="T38" s="7">
        <v>976.5</v>
      </c>
      <c r="U38" s="2"/>
      <c r="V38" s="6">
        <f t="shared" si="34"/>
        <v>3.0421984231162468E-3</v>
      </c>
      <c r="W38" s="2"/>
      <c r="X38" s="7">
        <f t="shared" si="35"/>
        <v>-974.01</v>
      </c>
      <c r="Y38" s="2"/>
      <c r="Z38" s="6">
        <f t="shared" si="36"/>
        <v>-0.99745007680491549</v>
      </c>
    </row>
    <row r="39" spans="1:26" s="25" customFormat="1" outlineLevel="1" collapsed="1" x14ac:dyDescent="0.35">
      <c r="A39" s="26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29"/>
        <v>0</v>
      </c>
      <c r="G39" s="1"/>
      <c r="H39" s="1">
        <f>SUM(OSRRefH22_3x_0)</f>
        <v>545.29</v>
      </c>
      <c r="I39" s="1"/>
      <c r="J39" s="5">
        <f t="shared" si="30"/>
        <v>0.1439014284847189</v>
      </c>
      <c r="K39" s="1"/>
      <c r="L39" s="1">
        <f t="shared" si="31"/>
        <v>-545.29</v>
      </c>
      <c r="M39" s="1"/>
      <c r="N39" s="5">
        <f t="shared" si="32"/>
        <v>-1</v>
      </c>
      <c r="O39" s="12"/>
      <c r="P39" s="1">
        <f>SUM(OSRRefP22_3x_0)</f>
        <v>-74.03</v>
      </c>
      <c r="Q39" s="1"/>
      <c r="R39" s="5">
        <f t="shared" si="33"/>
        <v>-2.6299646800326276E-4</v>
      </c>
      <c r="S39" s="1"/>
      <c r="T39" s="1">
        <f>SUM(OSRRefT22_3x_0)</f>
        <v>417.51</v>
      </c>
      <c r="U39" s="1"/>
      <c r="V39" s="5">
        <f t="shared" si="34"/>
        <v>1.300715067726845E-3</v>
      </c>
      <c r="W39" s="1"/>
      <c r="X39" s="1">
        <f t="shared" si="35"/>
        <v>-491.53999999999996</v>
      </c>
      <c r="Y39" s="1"/>
      <c r="Z39" s="5">
        <f t="shared" si="36"/>
        <v>-1.1773131182486647</v>
      </c>
    </row>
    <row r="40" spans="1:26" s="24" customFormat="1" hidden="1" outlineLevel="2" x14ac:dyDescent="0.35">
      <c r="A40" s="27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29"/>
        <v>0</v>
      </c>
      <c r="G40" s="2"/>
      <c r="H40" s="7">
        <v>545.29</v>
      </c>
      <c r="I40" s="2"/>
      <c r="J40" s="6">
        <f t="shared" si="30"/>
        <v>0.1439014284847189</v>
      </c>
      <c r="K40" s="2"/>
      <c r="L40" s="7">
        <f t="shared" si="31"/>
        <v>-545.29</v>
      </c>
      <c r="M40" s="2"/>
      <c r="N40" s="6">
        <f t="shared" si="32"/>
        <v>-1</v>
      </c>
      <c r="O40" s="11"/>
      <c r="P40" s="7">
        <v>-74.03</v>
      </c>
      <c r="Q40" s="2"/>
      <c r="R40" s="6">
        <f t="shared" si="33"/>
        <v>-2.6299646800326276E-4</v>
      </c>
      <c r="S40" s="2"/>
      <c r="T40" s="7">
        <v>417.51</v>
      </c>
      <c r="U40" s="2"/>
      <c r="V40" s="6">
        <f t="shared" si="34"/>
        <v>1.300715067726845E-3</v>
      </c>
      <c r="W40" s="2"/>
      <c r="X40" s="7">
        <f t="shared" si="35"/>
        <v>-491.53999999999996</v>
      </c>
      <c r="Y40" s="2"/>
      <c r="Z40" s="6">
        <f t="shared" si="36"/>
        <v>-1.1773131182486647</v>
      </c>
    </row>
    <row r="41" spans="1:26" s="25" customFormat="1" outlineLevel="1" collapsed="1" x14ac:dyDescent="0.35">
      <c r="A41" s="26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29"/>
        <v>0</v>
      </c>
      <c r="G41" s="1"/>
      <c r="H41" s="1">
        <f>SUM(OSRRefH22_4x_0)</f>
        <v>132.08000000000001</v>
      </c>
      <c r="I41" s="1"/>
      <c r="J41" s="5">
        <f t="shared" si="30"/>
        <v>3.4855766058907514E-2</v>
      </c>
      <c r="K41" s="1"/>
      <c r="L41" s="1">
        <f t="shared" si="31"/>
        <v>-132.08000000000001</v>
      </c>
      <c r="M41" s="1"/>
      <c r="N41" s="5">
        <f t="shared" si="32"/>
        <v>-1</v>
      </c>
      <c r="O41" s="12"/>
      <c r="P41" s="1">
        <f>SUM(OSRRefP22_4x_0)</f>
        <v>10703.22</v>
      </c>
      <c r="Q41" s="1"/>
      <c r="R41" s="5">
        <f t="shared" si="33"/>
        <v>3.802389647793978E-2</v>
      </c>
      <c r="S41" s="1"/>
      <c r="T41" s="1">
        <f>SUM(OSRRefT22_4x_0)</f>
        <v>10319.9</v>
      </c>
      <c r="U41" s="1"/>
      <c r="V41" s="5">
        <f t="shared" si="34"/>
        <v>3.2150725557314241E-2</v>
      </c>
      <c r="W41" s="1"/>
      <c r="X41" s="1">
        <f t="shared" si="35"/>
        <v>383.31999999999971</v>
      </c>
      <c r="Y41" s="1"/>
      <c r="Z41" s="5">
        <f t="shared" si="36"/>
        <v>3.7143770772972581E-2</v>
      </c>
    </row>
    <row r="42" spans="1:26" s="24" customFormat="1" hidden="1" outlineLevel="2" x14ac:dyDescent="0.35">
      <c r="A42" s="27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29"/>
        <v>0</v>
      </c>
      <c r="G42" s="2"/>
      <c r="H42" s="7">
        <v>132.08000000000001</v>
      </c>
      <c r="I42" s="2"/>
      <c r="J42" s="6">
        <f t="shared" si="30"/>
        <v>3.4855766058907514E-2</v>
      </c>
      <c r="K42" s="2"/>
      <c r="L42" s="7">
        <f t="shared" si="31"/>
        <v>-132.08000000000001</v>
      </c>
      <c r="M42" s="2"/>
      <c r="N42" s="6">
        <f t="shared" si="32"/>
        <v>-1</v>
      </c>
      <c r="O42" s="11"/>
      <c r="P42" s="7">
        <v>10703.22</v>
      </c>
      <c r="Q42" s="2"/>
      <c r="R42" s="6">
        <f t="shared" si="33"/>
        <v>3.802389647793978E-2</v>
      </c>
      <c r="S42" s="2"/>
      <c r="T42" s="7">
        <v>10319.9</v>
      </c>
      <c r="U42" s="2"/>
      <c r="V42" s="6">
        <f t="shared" si="34"/>
        <v>3.2150725557314241E-2</v>
      </c>
      <c r="W42" s="2"/>
      <c r="X42" s="7">
        <f t="shared" si="35"/>
        <v>383.31999999999971</v>
      </c>
      <c r="Y42" s="2"/>
      <c r="Z42" s="6">
        <f t="shared" si="36"/>
        <v>3.7143770772972581E-2</v>
      </c>
    </row>
    <row r="43" spans="1:26" s="25" customFormat="1" outlineLevel="1" collapsed="1" x14ac:dyDescent="0.35">
      <c r="A43" s="26"/>
      <c r="B43" s="12" t="str">
        <f>CONCATENATE("     ","Depreciation                                      ")</f>
        <v xml:space="preserve">     Depreciation                                      </v>
      </c>
      <c r="C43" s="12"/>
      <c r="D43" s="1">
        <f>SUM(OSRRefD22_5x_0)</f>
        <v>1075.45</v>
      </c>
      <c r="E43" s="1"/>
      <c r="F43" s="5">
        <f t="shared" si="29"/>
        <v>0</v>
      </c>
      <c r="G43" s="1"/>
      <c r="H43" s="1">
        <f>SUM(OSRRefH22_5x_0)</f>
        <v>968.94</v>
      </c>
      <c r="I43" s="1"/>
      <c r="J43" s="5">
        <f t="shared" si="30"/>
        <v>0.25570219537490796</v>
      </c>
      <c r="K43" s="1"/>
      <c r="L43" s="1">
        <f t="shared" si="31"/>
        <v>106.50999999999999</v>
      </c>
      <c r="M43" s="1"/>
      <c r="N43" s="5">
        <f t="shared" si="32"/>
        <v>0.10992424711540445</v>
      </c>
      <c r="O43" s="12"/>
      <c r="P43" s="1">
        <f>SUM(OSRRefP22_5x_0)</f>
        <v>12052.44</v>
      </c>
      <c r="Q43" s="1"/>
      <c r="R43" s="5">
        <f t="shared" si="33"/>
        <v>4.2817089704460957E-2</v>
      </c>
      <c r="S43" s="1"/>
      <c r="T43" s="1">
        <f>SUM(OSRRefT22_5x_0)</f>
        <v>11626.4</v>
      </c>
      <c r="U43" s="1"/>
      <c r="V43" s="5">
        <f t="shared" si="34"/>
        <v>3.62210094690412E-2</v>
      </c>
      <c r="W43" s="1"/>
      <c r="X43" s="1">
        <f t="shared" si="35"/>
        <v>426.04000000000087</v>
      </c>
      <c r="Y43" s="1"/>
      <c r="Z43" s="5">
        <f t="shared" si="36"/>
        <v>3.664418908690574E-2</v>
      </c>
    </row>
    <row r="44" spans="1:26" s="24" customFormat="1" hidden="1" outlineLevel="2" x14ac:dyDescent="0.3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1075.45</v>
      </c>
      <c r="E44" s="2"/>
      <c r="F44" s="6">
        <f t="shared" si="29"/>
        <v>0</v>
      </c>
      <c r="G44" s="2"/>
      <c r="H44" s="7">
        <v>968.94</v>
      </c>
      <c r="I44" s="2"/>
      <c r="J44" s="6">
        <f t="shared" si="30"/>
        <v>0.25570219537490796</v>
      </c>
      <c r="K44" s="2"/>
      <c r="L44" s="7">
        <f t="shared" si="31"/>
        <v>106.50999999999999</v>
      </c>
      <c r="M44" s="2"/>
      <c r="N44" s="6">
        <f t="shared" si="32"/>
        <v>0.10992424711540445</v>
      </c>
      <c r="O44" s="11"/>
      <c r="P44" s="7">
        <v>12052.44</v>
      </c>
      <c r="Q44" s="2"/>
      <c r="R44" s="6">
        <f t="shared" si="33"/>
        <v>4.2817089704460957E-2</v>
      </c>
      <c r="S44" s="2"/>
      <c r="T44" s="7">
        <v>11626.4</v>
      </c>
      <c r="U44" s="2"/>
      <c r="V44" s="6">
        <f t="shared" si="34"/>
        <v>3.62210094690412E-2</v>
      </c>
      <c r="W44" s="2"/>
      <c r="X44" s="7">
        <f t="shared" si="35"/>
        <v>426.04000000000087</v>
      </c>
      <c r="Y44" s="2"/>
      <c r="Z44" s="6">
        <f t="shared" si="36"/>
        <v>3.664418908690574E-2</v>
      </c>
    </row>
    <row r="45" spans="1:26" s="25" customFormat="1" outlineLevel="1" collapsed="1" x14ac:dyDescent="0.35">
      <c r="A45" s="26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si="29"/>
        <v>0</v>
      </c>
      <c r="G45" s="1"/>
      <c r="H45" s="1">
        <f>SUM(OSRRefH22_6x_0)</f>
        <v>0</v>
      </c>
      <c r="I45" s="1"/>
      <c r="J45" s="5">
        <f t="shared" si="30"/>
        <v>0</v>
      </c>
      <c r="K45" s="1"/>
      <c r="L45" s="1">
        <f t="shared" si="31"/>
        <v>0</v>
      </c>
      <c r="M45" s="1"/>
      <c r="N45" s="5">
        <f t="shared" si="32"/>
        <v>0</v>
      </c>
      <c r="O45" s="12"/>
      <c r="P45" s="1">
        <f>SUM(OSRRefP22_6x_0)</f>
        <v>1356.19</v>
      </c>
      <c r="Q45" s="1"/>
      <c r="R45" s="5">
        <f t="shared" si="33"/>
        <v>4.8179546122024174E-3</v>
      </c>
      <c r="S45" s="1"/>
      <c r="T45" s="1">
        <f>SUM(OSRRefT22_6x_0)</f>
        <v>1266.54</v>
      </c>
      <c r="U45" s="1"/>
      <c r="V45" s="5">
        <f t="shared" si="34"/>
        <v>3.9457921052879173E-3</v>
      </c>
      <c r="W45" s="1"/>
      <c r="X45" s="1">
        <f t="shared" si="35"/>
        <v>89.650000000000091</v>
      </c>
      <c r="Y45" s="1"/>
      <c r="Z45" s="5">
        <f t="shared" si="36"/>
        <v>7.0783394128886651E-2</v>
      </c>
    </row>
    <row r="46" spans="1:26" s="24" customFormat="1" hidden="1" outlineLevel="2" x14ac:dyDescent="0.35">
      <c r="A46" s="27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29"/>
        <v>0</v>
      </c>
      <c r="G46" s="2"/>
      <c r="H46" s="7"/>
      <c r="I46" s="2"/>
      <c r="J46" s="6">
        <f t="shared" si="30"/>
        <v>0</v>
      </c>
      <c r="K46" s="2"/>
      <c r="L46" s="7">
        <f t="shared" si="31"/>
        <v>0</v>
      </c>
      <c r="M46" s="2"/>
      <c r="N46" s="6">
        <f t="shared" si="32"/>
        <v>0</v>
      </c>
      <c r="O46" s="11"/>
      <c r="P46" s="7">
        <v>1356.19</v>
      </c>
      <c r="Q46" s="2"/>
      <c r="R46" s="6">
        <f t="shared" si="33"/>
        <v>4.8179546122024174E-3</v>
      </c>
      <c r="S46" s="2"/>
      <c r="T46" s="7">
        <v>1266.54</v>
      </c>
      <c r="U46" s="2"/>
      <c r="V46" s="6">
        <f t="shared" si="34"/>
        <v>3.9457921052879173E-3</v>
      </c>
      <c r="W46" s="2"/>
      <c r="X46" s="7">
        <f t="shared" si="35"/>
        <v>89.650000000000091</v>
      </c>
      <c r="Y46" s="2"/>
      <c r="Z46" s="6">
        <f t="shared" si="36"/>
        <v>7.0783394128886651E-2</v>
      </c>
    </row>
    <row r="47" spans="1:26" s="25" customFormat="1" outlineLevel="1" collapsed="1" x14ac:dyDescent="0.35">
      <c r="A47" s="26"/>
      <c r="B47" s="12" t="str">
        <f>CONCATENATE("     ","Repair and Maintenance                            ")</f>
        <v xml:space="preserve">     Repair and Maintenance                            </v>
      </c>
      <c r="C47" s="12"/>
      <c r="D47" s="1">
        <f>SUM(OSRRefD22_7x_0)</f>
        <v>48.23</v>
      </c>
      <c r="E47" s="1"/>
      <c r="F47" s="5">
        <f t="shared" si="29"/>
        <v>0</v>
      </c>
      <c r="G47" s="1"/>
      <c r="H47" s="1">
        <f>SUM(OSRRefH22_7x_0)</f>
        <v>330.81</v>
      </c>
      <c r="I47" s="1"/>
      <c r="J47" s="5">
        <f t="shared" si="30"/>
        <v>8.7300393473252524E-2</v>
      </c>
      <c r="K47" s="1"/>
      <c r="L47" s="1">
        <f t="shared" si="31"/>
        <v>-282.58</v>
      </c>
      <c r="M47" s="1"/>
      <c r="N47" s="5">
        <f t="shared" si="32"/>
        <v>-0.85420634200900813</v>
      </c>
      <c r="O47" s="12"/>
      <c r="P47" s="1">
        <f>SUM(OSRRefP22_7x_0)</f>
        <v>1713.35</v>
      </c>
      <c r="Q47" s="1"/>
      <c r="R47" s="5">
        <f t="shared" si="33"/>
        <v>6.0867891186463631E-3</v>
      </c>
      <c r="S47" s="1"/>
      <c r="T47" s="1">
        <f>SUM(OSRRefT22_7x_0)</f>
        <v>1792.19</v>
      </c>
      <c r="U47" s="1"/>
      <c r="V47" s="5">
        <f t="shared" si="34"/>
        <v>5.5834076722219217E-3</v>
      </c>
      <c r="W47" s="1"/>
      <c r="X47" s="1">
        <f t="shared" si="35"/>
        <v>-78.840000000000146</v>
      </c>
      <c r="Y47" s="1"/>
      <c r="Z47" s="5">
        <f t="shared" si="36"/>
        <v>-4.3990871503579498E-2</v>
      </c>
    </row>
    <row r="48" spans="1:26" s="24" customFormat="1" hidden="1" outlineLevel="2" x14ac:dyDescent="0.35">
      <c r="A48" s="27"/>
      <c r="B48" s="11" t="str">
        <f>CONCATENATE("          ", "6371", " - ", "COMPUTER SOFTWARE MAINTENANCE")</f>
        <v xml:space="preserve">          6371 - COMPUTER SOFTWARE MAINTENANCE</v>
      </c>
      <c r="C48" s="11"/>
      <c r="D48" s="7"/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437.31</v>
      </c>
      <c r="Q48" s="2"/>
      <c r="R48" s="6">
        <f t="shared" si="33"/>
        <v>1.5535726789478164E-3</v>
      </c>
      <c r="S48" s="2"/>
      <c r="T48" s="7"/>
      <c r="U48" s="2"/>
      <c r="V48" s="6">
        <f t="shared" si="34"/>
        <v>0</v>
      </c>
      <c r="W48" s="2"/>
      <c r="X48" s="7">
        <f t="shared" si="35"/>
        <v>437.31</v>
      </c>
      <c r="Y48" s="2"/>
      <c r="Z48" s="6">
        <f t="shared" si="36"/>
        <v>0</v>
      </c>
    </row>
    <row r="49" spans="1:26" s="24" customFormat="1" hidden="1" outlineLevel="2" x14ac:dyDescent="0.35">
      <c r="A49" s="27"/>
      <c r="B49" s="11" t="str">
        <f>CONCATENATE("          ", "6373", " - ", "MAINTENANCE CONTRACTS")</f>
        <v xml:space="preserve">          6373 - MAINTENANCE CONTRACTS</v>
      </c>
      <c r="C49" s="11"/>
      <c r="D49" s="7">
        <v>48.23</v>
      </c>
      <c r="E49" s="2"/>
      <c r="F49" s="6">
        <f t="shared" si="29"/>
        <v>0</v>
      </c>
      <c r="G49" s="2"/>
      <c r="H49" s="7">
        <v>44.98</v>
      </c>
      <c r="I49" s="2"/>
      <c r="J49" s="6">
        <f t="shared" si="30"/>
        <v>1.187017229958858E-2</v>
      </c>
      <c r="K49" s="2"/>
      <c r="L49" s="7">
        <f t="shared" si="31"/>
        <v>3.25</v>
      </c>
      <c r="M49" s="2"/>
      <c r="N49" s="6">
        <f t="shared" si="32"/>
        <v>7.2254335260115612E-2</v>
      </c>
      <c r="O49" s="11"/>
      <c r="P49" s="7">
        <v>189.68</v>
      </c>
      <c r="Q49" s="2"/>
      <c r="R49" s="6">
        <f t="shared" si="33"/>
        <v>6.7385073687503563E-4</v>
      </c>
      <c r="S49" s="2"/>
      <c r="T49" s="7">
        <v>179.92</v>
      </c>
      <c r="U49" s="2"/>
      <c r="V49" s="6">
        <f t="shared" si="34"/>
        <v>5.6052467003284698E-4</v>
      </c>
      <c r="W49" s="2"/>
      <c r="X49" s="7">
        <f t="shared" si="35"/>
        <v>9.7600000000000193</v>
      </c>
      <c r="Y49" s="2"/>
      <c r="Z49" s="6">
        <f t="shared" si="36"/>
        <v>5.4246331702979211E-2</v>
      </c>
    </row>
    <row r="50" spans="1:26" s="24" customFormat="1" hidden="1" outlineLevel="2" x14ac:dyDescent="0.35">
      <c r="A50" s="27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29"/>
        <v>0</v>
      </c>
      <c r="G50" s="2"/>
      <c r="H50" s="7">
        <v>285.83</v>
      </c>
      <c r="I50" s="2"/>
      <c r="J50" s="6">
        <f t="shared" si="30"/>
        <v>7.5430221173663936E-2</v>
      </c>
      <c r="K50" s="2"/>
      <c r="L50" s="7">
        <f t="shared" si="31"/>
        <v>-285.83</v>
      </c>
      <c r="M50" s="2"/>
      <c r="N50" s="6">
        <f t="shared" si="32"/>
        <v>-1</v>
      </c>
      <c r="O50" s="11"/>
      <c r="P50" s="7">
        <v>1086.3599999999999</v>
      </c>
      <c r="Q50" s="2"/>
      <c r="R50" s="6">
        <f t="shared" si="33"/>
        <v>3.8593657028235112E-3</v>
      </c>
      <c r="S50" s="2"/>
      <c r="T50" s="7">
        <v>1612.27</v>
      </c>
      <c r="U50" s="2"/>
      <c r="V50" s="6">
        <f t="shared" si="34"/>
        <v>5.022883002189075E-3</v>
      </c>
      <c r="W50" s="2"/>
      <c r="X50" s="7">
        <f t="shared" si="35"/>
        <v>-525.91000000000008</v>
      </c>
      <c r="Y50" s="2"/>
      <c r="Z50" s="6">
        <f t="shared" si="36"/>
        <v>-0.32619226308248622</v>
      </c>
    </row>
    <row r="51" spans="1:26" s="25" customFormat="1" outlineLevel="1" collapsed="1" x14ac:dyDescent="0.35">
      <c r="A51" s="26"/>
      <c r="B51" s="12" t="str">
        <f>CONCATENATE("     ","Royalty &amp; Commissions                             ")</f>
        <v xml:space="preserve">     Royalty &amp; Commissions                             </v>
      </c>
      <c r="C51" s="12"/>
      <c r="D51" s="1">
        <f>SUM(OSRRefD22_8x_0)</f>
        <v>0</v>
      </c>
      <c r="E51" s="1"/>
      <c r="F51" s="5">
        <f t="shared" ref="F51:F56" si="37">IF(D$12=0,0,D51/D$12)</f>
        <v>0</v>
      </c>
      <c r="G51" s="1"/>
      <c r="H51" s="1">
        <f>SUM(OSRRefH22_8x_0)</f>
        <v>6321.75</v>
      </c>
      <c r="I51" s="1"/>
      <c r="J51" s="5">
        <f t="shared" ref="J51:J56" si="38">IF(H$12=0,0,H51/H$12)</f>
        <v>1.6683028398160096</v>
      </c>
      <c r="K51" s="1"/>
      <c r="L51" s="1">
        <f t="shared" ref="L51:L56" si="39">+D51-H51</f>
        <v>-6321.75</v>
      </c>
      <c r="M51" s="1"/>
      <c r="N51" s="5">
        <f t="shared" ref="N51:N56" si="40">IF(H51=0,0,L51/H51)</f>
        <v>-1</v>
      </c>
      <c r="O51" s="12"/>
      <c r="P51" s="1">
        <f>SUM(OSRRefP22_8x_0)</f>
        <v>24556.14</v>
      </c>
      <c r="Q51" s="1"/>
      <c r="R51" s="5">
        <f t="shared" ref="R51:R56" si="41">IF(P$12=0,0,P51/P$12)</f>
        <v>8.7237310384893171E-2</v>
      </c>
      <c r="S51" s="1"/>
      <c r="T51" s="1">
        <f>SUM(OSRRefT22_8x_0)</f>
        <v>29123.129999999997</v>
      </c>
      <c r="U51" s="1"/>
      <c r="V51" s="5">
        <f t="shared" ref="V51:V56" si="42">IF(T$12=0,0,T51/T$12)</f>
        <v>9.0730507078555511E-2</v>
      </c>
      <c r="W51" s="1"/>
      <c r="X51" s="1">
        <f t="shared" ref="X51:X56" si="43">+P51-T51</f>
        <v>-4566.989999999998</v>
      </c>
      <c r="Y51" s="1"/>
      <c r="Z51" s="5">
        <f t="shared" ref="Z51:Z56" si="44">IF(T51=0,0,X51/T51)</f>
        <v>-0.15681659217261326</v>
      </c>
    </row>
    <row r="52" spans="1:26" s="24" customFormat="1" hidden="1" outlineLevel="2" x14ac:dyDescent="0.35">
      <c r="A52" s="27"/>
      <c r="B52" s="11" t="str">
        <f>CONCATENATE("          ", "6254", " - ", "ROYALTY &amp; COMMISSIONS")</f>
        <v xml:space="preserve">          6254 - ROYALTY &amp; COMMISSIONS</v>
      </c>
      <c r="C52" s="11"/>
      <c r="D52" s="7"/>
      <c r="E52" s="2"/>
      <c r="F52" s="6">
        <f t="shared" si="37"/>
        <v>0</v>
      </c>
      <c r="G52" s="2"/>
      <c r="H52" s="7">
        <v>6321.75</v>
      </c>
      <c r="I52" s="2"/>
      <c r="J52" s="6">
        <f t="shared" si="38"/>
        <v>1.6683028398160096</v>
      </c>
      <c r="K52" s="2"/>
      <c r="L52" s="7">
        <f t="shared" si="39"/>
        <v>-6321.75</v>
      </c>
      <c r="M52" s="2"/>
      <c r="N52" s="6">
        <f t="shared" si="40"/>
        <v>-1</v>
      </c>
      <c r="O52" s="11"/>
      <c r="P52" s="7">
        <v>24556.14</v>
      </c>
      <c r="Q52" s="2"/>
      <c r="R52" s="6">
        <f t="shared" si="41"/>
        <v>8.7237310384893171E-2</v>
      </c>
      <c r="S52" s="2"/>
      <c r="T52" s="7">
        <v>29123.129999999997</v>
      </c>
      <c r="U52" s="2"/>
      <c r="V52" s="6">
        <f t="shared" si="42"/>
        <v>9.0730507078555511E-2</v>
      </c>
      <c r="W52" s="2"/>
      <c r="X52" s="7">
        <f t="shared" si="43"/>
        <v>-4566.989999999998</v>
      </c>
      <c r="Y52" s="2"/>
      <c r="Z52" s="6">
        <f t="shared" si="44"/>
        <v>-0.15681659217261326</v>
      </c>
    </row>
    <row r="53" spans="1:26" s="25" customFormat="1" outlineLevel="1" collapsed="1" x14ac:dyDescent="0.35">
      <c r="A53" s="26"/>
      <c r="B53" s="12" t="str">
        <f>CONCATENATE("     ","Services                                          ")</f>
        <v xml:space="preserve">     Services                                          </v>
      </c>
      <c r="C53" s="12"/>
      <c r="D53" s="1">
        <f>SUM(OSRRefD22_9x_0)</f>
        <v>106.22</v>
      </c>
      <c r="E53" s="1"/>
      <c r="F53" s="5">
        <f t="shared" si="37"/>
        <v>0</v>
      </c>
      <c r="G53" s="1"/>
      <c r="H53" s="1">
        <f>SUM(OSRRefH22_9x_0)</f>
        <v>124.04</v>
      </c>
      <c r="I53" s="1"/>
      <c r="J53" s="5">
        <f t="shared" si="38"/>
        <v>3.2734018942662688E-2</v>
      </c>
      <c r="K53" s="1"/>
      <c r="L53" s="1">
        <f t="shared" si="39"/>
        <v>-17.820000000000007</v>
      </c>
      <c r="M53" s="1"/>
      <c r="N53" s="5">
        <f t="shared" si="40"/>
        <v>-0.14366333440825546</v>
      </c>
      <c r="O53" s="12"/>
      <c r="P53" s="1">
        <f>SUM(OSRRefP22_9x_0)</f>
        <v>2025.62</v>
      </c>
      <c r="Q53" s="1"/>
      <c r="R53" s="5">
        <f t="shared" si="41"/>
        <v>7.1961489330915731E-3</v>
      </c>
      <c r="S53" s="1"/>
      <c r="T53" s="1">
        <f>SUM(OSRRefT22_9x_0)</f>
        <v>1994.23</v>
      </c>
      <c r="U53" s="1"/>
      <c r="V53" s="5">
        <f t="shared" si="42"/>
        <v>6.2128452240974019E-3</v>
      </c>
      <c r="W53" s="1"/>
      <c r="X53" s="1">
        <f t="shared" si="43"/>
        <v>31.389999999999873</v>
      </c>
      <c r="Y53" s="1"/>
      <c r="Z53" s="5">
        <f t="shared" si="44"/>
        <v>1.5740411085982998E-2</v>
      </c>
    </row>
    <row r="54" spans="1:26" s="24" customFormat="1" hidden="1" outlineLevel="2" x14ac:dyDescent="0.35">
      <c r="A54" s="27"/>
      <c r="B54" s="11" t="str">
        <f>CONCATENATE("          ", "6282", " - ", "JANITORIAL/EXTERMINATOR EXPENS")</f>
        <v xml:space="preserve">          6282 - JANITORIAL/EXTERMINATOR EXPENS</v>
      </c>
      <c r="C54" s="11"/>
      <c r="D54" s="7">
        <v>82</v>
      </c>
      <c r="E54" s="2"/>
      <c r="F54" s="6">
        <f t="shared" si="37"/>
        <v>0</v>
      </c>
      <c r="G54" s="2"/>
      <c r="H54" s="7">
        <v>38.5</v>
      </c>
      <c r="I54" s="2"/>
      <c r="J54" s="6">
        <f t="shared" si="38"/>
        <v>1.0160107459630065E-2</v>
      </c>
      <c r="K54" s="2"/>
      <c r="L54" s="7">
        <f t="shared" si="39"/>
        <v>43.5</v>
      </c>
      <c r="M54" s="2"/>
      <c r="N54" s="6">
        <f t="shared" si="40"/>
        <v>1.1298701298701299</v>
      </c>
      <c r="O54" s="11"/>
      <c r="P54" s="7">
        <v>410</v>
      </c>
      <c r="Q54" s="2"/>
      <c r="R54" s="6">
        <f t="shared" si="41"/>
        <v>1.4565520988969031E-3</v>
      </c>
      <c r="S54" s="2"/>
      <c r="T54" s="7">
        <v>384.59</v>
      </c>
      <c r="U54" s="2"/>
      <c r="V54" s="6">
        <f t="shared" si="42"/>
        <v>1.1981557517114975E-3</v>
      </c>
      <c r="W54" s="2"/>
      <c r="X54" s="7">
        <f t="shared" si="43"/>
        <v>25.410000000000025</v>
      </c>
      <c r="Y54" s="2"/>
      <c r="Z54" s="6">
        <f t="shared" si="44"/>
        <v>6.6070360643802561E-2</v>
      </c>
    </row>
    <row r="55" spans="1:26" s="24" customFormat="1" hidden="1" outlineLevel="2" x14ac:dyDescent="0.35">
      <c r="A55" s="27"/>
      <c r="B55" s="11" t="str">
        <f>CONCATENATE("          ", "6285", " - ", "JANITORIAL SERVICES")</f>
        <v xml:space="preserve">          6285 - JANITORIAL SERVICES</v>
      </c>
      <c r="C55" s="11"/>
      <c r="D55" s="7">
        <v>24.22</v>
      </c>
      <c r="E55" s="2"/>
      <c r="F55" s="6">
        <f t="shared" si="37"/>
        <v>0</v>
      </c>
      <c r="G55" s="2"/>
      <c r="H55" s="7">
        <v>22.62</v>
      </c>
      <c r="I55" s="2"/>
      <c r="J55" s="6">
        <f t="shared" si="38"/>
        <v>5.9693930061514829E-3</v>
      </c>
      <c r="K55" s="2"/>
      <c r="L55" s="7">
        <f t="shared" si="39"/>
        <v>1.5999999999999979</v>
      </c>
      <c r="M55" s="2"/>
      <c r="N55" s="6">
        <f t="shared" si="40"/>
        <v>7.0733863837312019E-2</v>
      </c>
      <c r="O55" s="11"/>
      <c r="P55" s="7">
        <v>281.04000000000002</v>
      </c>
      <c r="Q55" s="2"/>
      <c r="R55" s="6">
        <f t="shared" si="41"/>
        <v>9.9841317530240418E-4</v>
      </c>
      <c r="S55" s="2"/>
      <c r="T55" s="7">
        <v>261.72000000000003</v>
      </c>
      <c r="U55" s="2"/>
      <c r="V55" s="6">
        <f t="shared" si="42"/>
        <v>8.1536525478544217E-4</v>
      </c>
      <c r="W55" s="2"/>
      <c r="X55" s="7">
        <f t="shared" si="43"/>
        <v>19.319999999999993</v>
      </c>
      <c r="Y55" s="2"/>
      <c r="Z55" s="6">
        <f t="shared" si="44"/>
        <v>7.3819348922512573E-2</v>
      </c>
    </row>
    <row r="56" spans="1:26" s="24" customFormat="1" hidden="1" outlineLevel="2" x14ac:dyDescent="0.35">
      <c r="A56" s="27"/>
      <c r="B56" s="11" t="str">
        <f>CONCATENATE("          ", "6286", " - ", "LAUNDRY EXPENSE")</f>
        <v xml:space="preserve">          6286 - LAUNDRY EXPENSE</v>
      </c>
      <c r="C56" s="11"/>
      <c r="D56" s="7"/>
      <c r="E56" s="2"/>
      <c r="F56" s="6">
        <f t="shared" si="37"/>
        <v>0</v>
      </c>
      <c r="G56" s="2"/>
      <c r="H56" s="7">
        <v>62.92</v>
      </c>
      <c r="I56" s="2"/>
      <c r="J56" s="6">
        <f t="shared" si="38"/>
        <v>1.6604518476881137E-2</v>
      </c>
      <c r="K56" s="2"/>
      <c r="L56" s="7">
        <f t="shared" si="39"/>
        <v>-62.92</v>
      </c>
      <c r="M56" s="2"/>
      <c r="N56" s="6">
        <f t="shared" si="40"/>
        <v>-1</v>
      </c>
      <c r="O56" s="11"/>
      <c r="P56" s="7">
        <v>1334.58</v>
      </c>
      <c r="Q56" s="2"/>
      <c r="R56" s="6">
        <f t="shared" si="41"/>
        <v>4.7411836588922658E-3</v>
      </c>
      <c r="S56" s="2"/>
      <c r="T56" s="7">
        <v>1347.92</v>
      </c>
      <c r="U56" s="2"/>
      <c r="V56" s="6">
        <f t="shared" si="42"/>
        <v>4.1993242176004628E-3</v>
      </c>
      <c r="W56" s="2"/>
      <c r="X56" s="7">
        <f t="shared" si="43"/>
        <v>-13.340000000000146</v>
      </c>
      <c r="Y56" s="2"/>
      <c r="Z56" s="6">
        <f t="shared" si="44"/>
        <v>-9.8967297762479565E-3</v>
      </c>
    </row>
    <row r="57" spans="1:26" s="25" customFormat="1" outlineLevel="1" collapsed="1" x14ac:dyDescent="0.35">
      <c r="A57" s="26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SUM(OSRRefD22_10x_0)</f>
        <v>0</v>
      </c>
      <c r="E57" s="1"/>
      <c r="F57" s="5">
        <f t="shared" ref="F57:F63" si="45">IF(D$12=0,0,D57/D$12)</f>
        <v>0</v>
      </c>
      <c r="G57" s="1"/>
      <c r="H57" s="1">
        <f>SUM(OSRRefH22_10x_0)</f>
        <v>-53.41</v>
      </c>
      <c r="I57" s="1"/>
      <c r="J57" s="5">
        <f t="shared" ref="J57:J63" si="46">IF(H$12=0,0,H57/H$12)</f>
        <v>-1.409483998490498E-2</v>
      </c>
      <c r="K57" s="1"/>
      <c r="L57" s="1">
        <f t="shared" ref="L57:L63" si="47">+D57-H57</f>
        <v>53.41</v>
      </c>
      <c r="M57" s="1"/>
      <c r="N57" s="5">
        <f t="shared" ref="N57:N63" si="48">IF(H57=0,0,L57/H57)</f>
        <v>-1</v>
      </c>
      <c r="O57" s="12"/>
      <c r="P57" s="1">
        <f>SUM(OSRRefP22_10x_0)</f>
        <v>7668.1800000000012</v>
      </c>
      <c r="Q57" s="1"/>
      <c r="R57" s="5">
        <f t="shared" ref="R57:R63" si="49">IF(P$12=0,0,P57/P$12)</f>
        <v>2.7241716277364041E-2</v>
      </c>
      <c r="S57" s="1"/>
      <c r="T57" s="1">
        <f>SUM(OSRRefT22_10x_0)</f>
        <v>4562.26</v>
      </c>
      <c r="U57" s="1"/>
      <c r="V57" s="5">
        <f t="shared" ref="V57:V63" si="50">IF(T$12=0,0,T57/T$12)</f>
        <v>1.4213313034148826E-2</v>
      </c>
      <c r="W57" s="1"/>
      <c r="X57" s="1">
        <f t="shared" ref="X57:X63" si="51">+P57-T57</f>
        <v>3105.920000000001</v>
      </c>
      <c r="Y57" s="1"/>
      <c r="Z57" s="5">
        <f t="shared" ref="Z57:Z63" si="52">IF(T57=0,0,X57/T57)</f>
        <v>0.68078540021831302</v>
      </c>
    </row>
    <row r="58" spans="1:26" s="24" customFormat="1" hidden="1" outlineLevel="2" x14ac:dyDescent="0.35">
      <c r="A58" s="27"/>
      <c r="B58" s="11" t="str">
        <f>CONCATENATE("          ", "6234", " - ", "EXPENDABLE SUPPLIES &amp; EQUIPMEN")</f>
        <v xml:space="preserve">          6234 - EXPENDABLE SUPPLIES &amp; EQUIPMEN</v>
      </c>
      <c r="C58" s="11"/>
      <c r="D58" s="7"/>
      <c r="E58" s="2"/>
      <c r="F58" s="6">
        <f t="shared" si="45"/>
        <v>0</v>
      </c>
      <c r="G58" s="2"/>
      <c r="H58" s="7"/>
      <c r="I58" s="2"/>
      <c r="J58" s="6">
        <f t="shared" si="46"/>
        <v>0</v>
      </c>
      <c r="K58" s="2"/>
      <c r="L58" s="7">
        <f t="shared" si="47"/>
        <v>0</v>
      </c>
      <c r="M58" s="2"/>
      <c r="N58" s="6">
        <f t="shared" si="48"/>
        <v>0</v>
      </c>
      <c r="O58" s="11"/>
      <c r="P58" s="7">
        <v>354.71</v>
      </c>
      <c r="Q58" s="2"/>
      <c r="R58" s="6">
        <f t="shared" si="49"/>
        <v>1.2601307195115135E-3</v>
      </c>
      <c r="S58" s="2"/>
      <c r="T58" s="7"/>
      <c r="U58" s="2"/>
      <c r="V58" s="6">
        <f t="shared" si="50"/>
        <v>0</v>
      </c>
      <c r="W58" s="2"/>
      <c r="X58" s="7">
        <f t="shared" si="51"/>
        <v>354.71</v>
      </c>
      <c r="Y58" s="2"/>
      <c r="Z58" s="6">
        <f t="shared" si="52"/>
        <v>0</v>
      </c>
    </row>
    <row r="59" spans="1:26" s="24" customFormat="1" hidden="1" outlineLevel="2" x14ac:dyDescent="0.35">
      <c r="A59" s="27"/>
      <c r="B59" s="11" t="str">
        <f>CONCATENATE("          ", "6237", " - ", "JANITORIAL SUPPLIES")</f>
        <v xml:space="preserve">          6237 - JANITORIAL SUPPLIES</v>
      </c>
      <c r="C59" s="11"/>
      <c r="D59" s="7"/>
      <c r="E59" s="2"/>
      <c r="F59" s="6">
        <f t="shared" si="45"/>
        <v>0</v>
      </c>
      <c r="G59" s="2"/>
      <c r="H59" s="7"/>
      <c r="I59" s="2"/>
      <c r="J59" s="6">
        <f t="shared" si="46"/>
        <v>0</v>
      </c>
      <c r="K59" s="2"/>
      <c r="L59" s="7">
        <f t="shared" si="47"/>
        <v>0</v>
      </c>
      <c r="M59" s="2"/>
      <c r="N59" s="6">
        <f t="shared" si="48"/>
        <v>0</v>
      </c>
      <c r="O59" s="11"/>
      <c r="P59" s="7">
        <v>38.56</v>
      </c>
      <c r="Q59" s="2"/>
      <c r="R59" s="6">
        <f t="shared" si="49"/>
        <v>1.369869486182063E-4</v>
      </c>
      <c r="S59" s="2"/>
      <c r="T59" s="7">
        <v>481.06</v>
      </c>
      <c r="U59" s="2"/>
      <c r="V59" s="6">
        <f t="shared" si="50"/>
        <v>1.4986994095486962E-3</v>
      </c>
      <c r="W59" s="2"/>
      <c r="X59" s="7">
        <f t="shared" si="51"/>
        <v>-442.5</v>
      </c>
      <c r="Y59" s="2"/>
      <c r="Z59" s="6">
        <f t="shared" si="52"/>
        <v>-0.91984367854321702</v>
      </c>
    </row>
    <row r="60" spans="1:26" s="24" customFormat="1" hidden="1" outlineLevel="2" x14ac:dyDescent="0.35">
      <c r="A60" s="27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5"/>
        <v>0</v>
      </c>
      <c r="G60" s="2"/>
      <c r="H60" s="7"/>
      <c r="I60" s="2"/>
      <c r="J60" s="6">
        <f t="shared" si="46"/>
        <v>0</v>
      </c>
      <c r="K60" s="2"/>
      <c r="L60" s="7">
        <f t="shared" si="47"/>
        <v>0</v>
      </c>
      <c r="M60" s="2"/>
      <c r="N60" s="6">
        <f t="shared" si="48"/>
        <v>0</v>
      </c>
      <c r="O60" s="11"/>
      <c r="P60" s="7"/>
      <c r="Q60" s="2"/>
      <c r="R60" s="6">
        <f t="shared" si="49"/>
        <v>0</v>
      </c>
      <c r="S60" s="2"/>
      <c r="T60" s="7">
        <v>34</v>
      </c>
      <c r="U60" s="2"/>
      <c r="V60" s="6">
        <f t="shared" si="50"/>
        <v>1.0592395943261895E-4</v>
      </c>
      <c r="W60" s="2"/>
      <c r="X60" s="7">
        <f t="shared" si="51"/>
        <v>-34</v>
      </c>
      <c r="Y60" s="2"/>
      <c r="Z60" s="6">
        <f t="shared" si="52"/>
        <v>-1</v>
      </c>
    </row>
    <row r="61" spans="1:26" s="24" customFormat="1" hidden="1" outlineLevel="2" x14ac:dyDescent="0.35">
      <c r="A61" s="27"/>
      <c r="B61" s="11" t="str">
        <f>CONCATENATE("          ", "6243", " - ", "PAPER SUPPLIES")</f>
        <v xml:space="preserve">          6243 - PAPER SUPPLIES</v>
      </c>
      <c r="C61" s="11"/>
      <c r="D61" s="7"/>
      <c r="E61" s="2"/>
      <c r="F61" s="6">
        <f t="shared" si="45"/>
        <v>0</v>
      </c>
      <c r="G61" s="2"/>
      <c r="H61" s="7"/>
      <c r="I61" s="2"/>
      <c r="J61" s="6">
        <f t="shared" si="46"/>
        <v>0</v>
      </c>
      <c r="K61" s="2"/>
      <c r="L61" s="7">
        <f t="shared" si="47"/>
        <v>0</v>
      </c>
      <c r="M61" s="2"/>
      <c r="N61" s="6">
        <f t="shared" si="48"/>
        <v>0</v>
      </c>
      <c r="O61" s="11"/>
      <c r="P61" s="7"/>
      <c r="Q61" s="2"/>
      <c r="R61" s="6">
        <f t="shared" si="49"/>
        <v>0</v>
      </c>
      <c r="S61" s="2"/>
      <c r="T61" s="7">
        <v>45.85</v>
      </c>
      <c r="U61" s="2"/>
      <c r="V61" s="6">
        <f t="shared" si="50"/>
        <v>1.4284157470545819E-4</v>
      </c>
      <c r="W61" s="2"/>
      <c r="X61" s="7">
        <f t="shared" si="51"/>
        <v>-45.85</v>
      </c>
      <c r="Y61" s="2"/>
      <c r="Z61" s="6">
        <f t="shared" si="52"/>
        <v>-1</v>
      </c>
    </row>
    <row r="62" spans="1:26" s="24" customFormat="1" hidden="1" outlineLevel="2" x14ac:dyDescent="0.35">
      <c r="A62" s="27"/>
      <c r="B62" s="11" t="str">
        <f>CONCATENATE("          ", "6247", " - ", "STORE SUPPLIES")</f>
        <v xml:space="preserve">          6247 - STORE SUPPLIES</v>
      </c>
      <c r="C62" s="11"/>
      <c r="D62" s="7"/>
      <c r="E62" s="2"/>
      <c r="F62" s="6">
        <f t="shared" si="45"/>
        <v>0</v>
      </c>
      <c r="G62" s="2"/>
      <c r="H62" s="7">
        <v>-53.41</v>
      </c>
      <c r="I62" s="2"/>
      <c r="J62" s="6">
        <f t="shared" si="46"/>
        <v>-1.409483998490498E-2</v>
      </c>
      <c r="K62" s="2"/>
      <c r="L62" s="7">
        <f t="shared" si="47"/>
        <v>53.41</v>
      </c>
      <c r="M62" s="2"/>
      <c r="N62" s="6">
        <f t="shared" si="48"/>
        <v>-1</v>
      </c>
      <c r="O62" s="11"/>
      <c r="P62" s="7">
        <v>7192.77</v>
      </c>
      <c r="Q62" s="2"/>
      <c r="R62" s="6">
        <f t="shared" si="49"/>
        <v>2.5552790830201656E-2</v>
      </c>
      <c r="S62" s="2"/>
      <c r="T62" s="7">
        <v>3813.48</v>
      </c>
      <c r="U62" s="2"/>
      <c r="V62" s="6">
        <f t="shared" si="50"/>
        <v>1.1880555906385402E-2</v>
      </c>
      <c r="W62" s="2"/>
      <c r="X62" s="7">
        <f t="shared" si="51"/>
        <v>3379.2900000000004</v>
      </c>
      <c r="Y62" s="2"/>
      <c r="Z62" s="6">
        <f t="shared" si="52"/>
        <v>0.88614336511532787</v>
      </c>
    </row>
    <row r="63" spans="1:26" s="24" customFormat="1" hidden="1" outlineLevel="2" x14ac:dyDescent="0.35">
      <c r="A63" s="27"/>
      <c r="B63" s="11" t="str">
        <f>CONCATENATE("          ", "6248", " - ", "UNIFORMS")</f>
        <v xml:space="preserve">          6248 - UNIFORMS</v>
      </c>
      <c r="C63" s="11"/>
      <c r="D63" s="7"/>
      <c r="E63" s="2"/>
      <c r="F63" s="6">
        <f t="shared" si="45"/>
        <v>0</v>
      </c>
      <c r="G63" s="2"/>
      <c r="H63" s="7"/>
      <c r="I63" s="2"/>
      <c r="J63" s="6">
        <f t="shared" si="46"/>
        <v>0</v>
      </c>
      <c r="K63" s="2"/>
      <c r="L63" s="7">
        <f t="shared" si="47"/>
        <v>0</v>
      </c>
      <c r="M63" s="2"/>
      <c r="N63" s="6">
        <f t="shared" si="48"/>
        <v>0</v>
      </c>
      <c r="O63" s="11"/>
      <c r="P63" s="7">
        <v>82.14</v>
      </c>
      <c r="Q63" s="2"/>
      <c r="R63" s="6">
        <f t="shared" si="49"/>
        <v>2.9180777903266248E-4</v>
      </c>
      <c r="S63" s="2"/>
      <c r="T63" s="7">
        <v>187.87</v>
      </c>
      <c r="U63" s="2"/>
      <c r="V63" s="6">
        <f t="shared" si="50"/>
        <v>5.8529218407665058E-4</v>
      </c>
      <c r="W63" s="2"/>
      <c r="X63" s="7">
        <f t="shared" si="51"/>
        <v>-105.73</v>
      </c>
      <c r="Y63" s="2"/>
      <c r="Z63" s="6">
        <f t="shared" si="52"/>
        <v>-0.56278277532336196</v>
      </c>
    </row>
    <row r="64" spans="1:26" s="25" customFormat="1" outlineLevel="1" collapsed="1" x14ac:dyDescent="0.35">
      <c r="A64" s="26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SUM(OSRRefD22_11x_0)</f>
        <v>28</v>
      </c>
      <c r="E64" s="1"/>
      <c r="F64" s="5">
        <f t="shared" ref="F64:F69" si="53">IF(D$12=0,0,D64/D$12)</f>
        <v>0</v>
      </c>
      <c r="G64" s="1"/>
      <c r="H64" s="1">
        <f>SUM(OSRRefH22_11x_0)</f>
        <v>52.5</v>
      </c>
      <c r="I64" s="1"/>
      <c r="J64" s="5">
        <f t="shared" ref="J64:J69" si="54">IF(H$12=0,0,H64/H$12)</f>
        <v>1.3854691990404636E-2</v>
      </c>
      <c r="K64" s="1"/>
      <c r="L64" s="1">
        <f t="shared" ref="L64:L69" si="55">+D64-H64</f>
        <v>-24.5</v>
      </c>
      <c r="M64" s="1"/>
      <c r="N64" s="5">
        <f t="shared" ref="N64:N69" si="56">IF(H64=0,0,L64/H64)</f>
        <v>-0.46666666666666667</v>
      </c>
      <c r="O64" s="12"/>
      <c r="P64" s="1">
        <f>SUM(OSRRefP22_11x_0)</f>
        <v>656.09</v>
      </c>
      <c r="Q64" s="1"/>
      <c r="R64" s="5">
        <f t="shared" ref="R64:R69" si="57">IF(P$12=0,0,P64/P$12)</f>
        <v>2.3308030891835835E-3</v>
      </c>
      <c r="S64" s="1"/>
      <c r="T64" s="1">
        <f>SUM(OSRRefT22_11x_0)</f>
        <v>630</v>
      </c>
      <c r="U64" s="1"/>
      <c r="V64" s="5">
        <f t="shared" ref="V64:V69" si="58">IF(T$12=0,0,T64/T$12)</f>
        <v>1.9627086600749982E-3</v>
      </c>
      <c r="W64" s="1"/>
      <c r="X64" s="1">
        <f t="shared" ref="X64:X69" si="59">+P64-T64</f>
        <v>26.090000000000032</v>
      </c>
      <c r="Y64" s="1"/>
      <c r="Z64" s="5">
        <f t="shared" ref="Z64:Z69" si="60">IF(T64=0,0,X64/T64)</f>
        <v>4.1412698412698463E-2</v>
      </c>
    </row>
    <row r="65" spans="1:26" s="24" customFormat="1" hidden="1" outlineLevel="2" x14ac:dyDescent="0.35">
      <c r="A65" s="27"/>
      <c r="B65" s="11" t="str">
        <f>CONCATENATE("          ", "6309", " - ", "TELEPHONE")</f>
        <v xml:space="preserve">          6309 - TELEPHONE</v>
      </c>
      <c r="C65" s="11"/>
      <c r="D65" s="7">
        <v>28</v>
      </c>
      <c r="E65" s="2"/>
      <c r="F65" s="6">
        <f t="shared" si="53"/>
        <v>0</v>
      </c>
      <c r="G65" s="2"/>
      <c r="H65" s="7">
        <v>52.5</v>
      </c>
      <c r="I65" s="2"/>
      <c r="J65" s="6">
        <f t="shared" si="54"/>
        <v>1.3854691990404636E-2</v>
      </c>
      <c r="K65" s="2"/>
      <c r="L65" s="7">
        <f t="shared" si="55"/>
        <v>-24.5</v>
      </c>
      <c r="M65" s="2"/>
      <c r="N65" s="6">
        <f t="shared" si="56"/>
        <v>-0.46666666666666667</v>
      </c>
      <c r="O65" s="11"/>
      <c r="P65" s="7">
        <v>656.09</v>
      </c>
      <c r="Q65" s="2"/>
      <c r="R65" s="6">
        <f t="shared" si="57"/>
        <v>2.3308030891835835E-3</v>
      </c>
      <c r="S65" s="2"/>
      <c r="T65" s="7">
        <v>630</v>
      </c>
      <c r="U65" s="2"/>
      <c r="V65" s="6">
        <f t="shared" si="58"/>
        <v>1.9627086600749982E-3</v>
      </c>
      <c r="W65" s="2"/>
      <c r="X65" s="7">
        <f t="shared" si="59"/>
        <v>26.090000000000032</v>
      </c>
      <c r="Y65" s="2"/>
      <c r="Z65" s="6">
        <f t="shared" si="60"/>
        <v>4.1412698412698463E-2</v>
      </c>
    </row>
    <row r="66" spans="1:26" s="25" customFormat="1" outlineLevel="1" collapsed="1" x14ac:dyDescent="0.35">
      <c r="A66" s="26"/>
      <c r="B66" s="12" t="str">
        <f>CONCATENATE("     ","Training                                          ")</f>
        <v xml:space="preserve">     Training                                          </v>
      </c>
      <c r="C66" s="12"/>
      <c r="D66" s="1">
        <f>SUM(OSRRefD22_12x_0)</f>
        <v>0</v>
      </c>
      <c r="E66" s="1"/>
      <c r="F66" s="5">
        <f t="shared" si="53"/>
        <v>0</v>
      </c>
      <c r="G66" s="1"/>
      <c r="H66" s="1">
        <f>SUM(OSRRefH22_12x_0)</f>
        <v>0</v>
      </c>
      <c r="I66" s="1"/>
      <c r="J66" s="5">
        <f t="shared" si="54"/>
        <v>0</v>
      </c>
      <c r="K66" s="1"/>
      <c r="L66" s="1">
        <f t="shared" si="55"/>
        <v>0</v>
      </c>
      <c r="M66" s="1"/>
      <c r="N66" s="5">
        <f t="shared" si="56"/>
        <v>0</v>
      </c>
      <c r="O66" s="12"/>
      <c r="P66" s="1">
        <f>SUM(OSRRefP22_12x_0)</f>
        <v>0</v>
      </c>
      <c r="Q66" s="1"/>
      <c r="R66" s="5">
        <f t="shared" si="57"/>
        <v>0</v>
      </c>
      <c r="S66" s="1"/>
      <c r="T66" s="1">
        <f>SUM(OSRRefT22_12x_0)</f>
        <v>60</v>
      </c>
      <c r="U66" s="1"/>
      <c r="V66" s="5">
        <f t="shared" si="58"/>
        <v>1.8692463429285694E-4</v>
      </c>
      <c r="W66" s="1"/>
      <c r="X66" s="1">
        <f t="shared" si="59"/>
        <v>-60</v>
      </c>
      <c r="Y66" s="1"/>
      <c r="Z66" s="5">
        <f t="shared" si="60"/>
        <v>-1</v>
      </c>
    </row>
    <row r="67" spans="1:26" s="24" customFormat="1" hidden="1" outlineLevel="2" x14ac:dyDescent="0.35">
      <c r="A67" s="27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53"/>
        <v>0</v>
      </c>
      <c r="G67" s="2"/>
      <c r="H67" s="7"/>
      <c r="I67" s="2"/>
      <c r="J67" s="6">
        <f t="shared" si="54"/>
        <v>0</v>
      </c>
      <c r="K67" s="2"/>
      <c r="L67" s="7">
        <f t="shared" si="55"/>
        <v>0</v>
      </c>
      <c r="M67" s="2"/>
      <c r="N67" s="6">
        <f t="shared" si="56"/>
        <v>0</v>
      </c>
      <c r="O67" s="11"/>
      <c r="P67" s="7"/>
      <c r="Q67" s="2"/>
      <c r="R67" s="6">
        <f t="shared" si="57"/>
        <v>0</v>
      </c>
      <c r="S67" s="2"/>
      <c r="T67" s="7">
        <v>60</v>
      </c>
      <c r="U67" s="2"/>
      <c r="V67" s="6">
        <f t="shared" si="58"/>
        <v>1.8692463429285694E-4</v>
      </c>
      <c r="W67" s="2"/>
      <c r="X67" s="7">
        <f t="shared" si="59"/>
        <v>-60</v>
      </c>
      <c r="Y67" s="2"/>
      <c r="Z67" s="6">
        <f t="shared" si="60"/>
        <v>-1</v>
      </c>
    </row>
    <row r="68" spans="1:26" s="25" customFormat="1" outlineLevel="1" collapsed="1" x14ac:dyDescent="0.35">
      <c r="A68" s="26"/>
      <c r="B68" s="12" t="str">
        <f>CONCATENATE("     ","Utilities                                         ")</f>
        <v xml:space="preserve">     Utilities                                         </v>
      </c>
      <c r="C68" s="12"/>
      <c r="D68" s="1">
        <f>SUM(OSRRefD22_13x_0)</f>
        <v>4</v>
      </c>
      <c r="E68" s="1"/>
      <c r="F68" s="5">
        <f t="shared" si="53"/>
        <v>0</v>
      </c>
      <c r="G68" s="1"/>
      <c r="H68" s="1">
        <f>SUM(OSRRefH22_13x_0)</f>
        <v>16</v>
      </c>
      <c r="I68" s="1"/>
      <c r="J68" s="5">
        <f t="shared" si="54"/>
        <v>4.2223823208852223E-3</v>
      </c>
      <c r="K68" s="1"/>
      <c r="L68" s="1">
        <f t="shared" si="55"/>
        <v>-12</v>
      </c>
      <c r="M68" s="1"/>
      <c r="N68" s="5">
        <f t="shared" si="56"/>
        <v>-0.75</v>
      </c>
      <c r="O68" s="12"/>
      <c r="P68" s="1">
        <f>SUM(OSRRefP22_13x_0)</f>
        <v>-23.26</v>
      </c>
      <c r="Q68" s="1"/>
      <c r="R68" s="5">
        <f t="shared" si="57"/>
        <v>-8.2632687366687729E-5</v>
      </c>
      <c r="S68" s="1"/>
      <c r="T68" s="1">
        <f>SUM(OSRRefT22_13x_0)</f>
        <v>771.11</v>
      </c>
      <c r="U68" s="1"/>
      <c r="V68" s="5">
        <f t="shared" si="58"/>
        <v>2.4023242458260821E-3</v>
      </c>
      <c r="W68" s="1"/>
      <c r="X68" s="1">
        <f t="shared" si="59"/>
        <v>-794.37</v>
      </c>
      <c r="Y68" s="1"/>
      <c r="Z68" s="5">
        <f t="shared" si="60"/>
        <v>-1.0301643085941046</v>
      </c>
    </row>
    <row r="69" spans="1:26" s="24" customFormat="1" hidden="1" outlineLevel="2" x14ac:dyDescent="0.35">
      <c r="A69" s="27"/>
      <c r="B69" s="11" t="str">
        <f>CONCATENATE("          ", "6274", " - ", "UTILITIES")</f>
        <v xml:space="preserve">          6274 - UTILITIES</v>
      </c>
      <c r="C69" s="11"/>
      <c r="D69" s="7">
        <v>4</v>
      </c>
      <c r="E69" s="2"/>
      <c r="F69" s="6">
        <f t="shared" si="53"/>
        <v>0</v>
      </c>
      <c r="G69" s="2"/>
      <c r="H69" s="7">
        <v>16</v>
      </c>
      <c r="I69" s="2"/>
      <c r="J69" s="6">
        <f t="shared" si="54"/>
        <v>4.2223823208852223E-3</v>
      </c>
      <c r="K69" s="2"/>
      <c r="L69" s="7">
        <f t="shared" si="55"/>
        <v>-12</v>
      </c>
      <c r="M69" s="2"/>
      <c r="N69" s="6">
        <f t="shared" si="56"/>
        <v>-0.75</v>
      </c>
      <c r="O69" s="11"/>
      <c r="P69" s="7">
        <v>-23.26</v>
      </c>
      <c r="Q69" s="2"/>
      <c r="R69" s="6">
        <f t="shared" si="57"/>
        <v>-8.2632687366687729E-5</v>
      </c>
      <c r="S69" s="2"/>
      <c r="T69" s="7">
        <v>771.11</v>
      </c>
      <c r="U69" s="2"/>
      <c r="V69" s="6">
        <f t="shared" si="58"/>
        <v>2.4023242458260821E-3</v>
      </c>
      <c r="W69" s="2"/>
      <c r="X69" s="7">
        <f t="shared" si="59"/>
        <v>-794.37</v>
      </c>
      <c r="Y69" s="2"/>
      <c r="Z69" s="6">
        <f t="shared" si="60"/>
        <v>-1.0301643085941046</v>
      </c>
    </row>
    <row r="70" spans="1:26" s="56" customFormat="1" x14ac:dyDescent="0.3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35">
      <c r="A71" s="10"/>
      <c r="B71" s="29" t="s">
        <v>0</v>
      </c>
      <c r="C71" s="10"/>
      <c r="D71" s="4">
        <f>SUM(0)</f>
        <v>0</v>
      </c>
      <c r="E71" s="4"/>
      <c r="F71" s="13">
        <f>IF(D$12=0,0,D71/D$12)</f>
        <v>0</v>
      </c>
      <c r="G71" s="4"/>
      <c r="H71" s="4">
        <f>SUM(0)</f>
        <v>0</v>
      </c>
      <c r="I71" s="4"/>
      <c r="J71" s="13">
        <f>IF(H$12=0,0,H71/H$12)</f>
        <v>0</v>
      </c>
      <c r="K71" s="4"/>
      <c r="L71" s="4">
        <f>+D71-H71</f>
        <v>0</v>
      </c>
      <c r="M71" s="4"/>
      <c r="N71" s="13">
        <f>IF(H71=0,0,L71/H71)</f>
        <v>0</v>
      </c>
      <c r="O71" s="10"/>
      <c r="P71" s="4">
        <f>SUM(0)</f>
        <v>0</v>
      </c>
      <c r="Q71" s="4"/>
      <c r="R71" s="13">
        <f>IF(P$12=0,0,P71/P$12)</f>
        <v>0</v>
      </c>
      <c r="S71" s="4"/>
      <c r="T71" s="4">
        <f>SUM(0)</f>
        <v>0</v>
      </c>
      <c r="U71" s="4"/>
      <c r="V71" s="13">
        <f>IF(T$12=0,0,T71/T$12)</f>
        <v>0</v>
      </c>
      <c r="W71" s="4"/>
      <c r="X71" s="4">
        <f>+P71-T71</f>
        <v>0</v>
      </c>
      <c r="Y71" s="4"/>
      <c r="Z71" s="13">
        <f>IF(T71=0,0,X71/T71)</f>
        <v>0</v>
      </c>
    </row>
    <row r="72" spans="1:26" x14ac:dyDescent="0.3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5">
      <c r="A73" s="10"/>
      <c r="B73" s="28" t="s">
        <v>3</v>
      </c>
      <c r="C73" s="28"/>
      <c r="D73" s="22">
        <f>+D20-D22+D71</f>
        <v>-1337.6100000000001</v>
      </c>
      <c r="E73" s="14"/>
      <c r="F73" s="21">
        <f>IF(D$12=0,0,D73/D$12)</f>
        <v>0</v>
      </c>
      <c r="G73" s="14"/>
      <c r="H73" s="22">
        <f>+H20-H22+H71</f>
        <v>-13463.470000000001</v>
      </c>
      <c r="I73" s="14"/>
      <c r="J73" s="21">
        <f>IF(H$12=0,0,H73/H$12)</f>
        <v>-3.5529948566105354</v>
      </c>
      <c r="K73" s="15"/>
      <c r="L73" s="22">
        <f>+D73-H73</f>
        <v>12125.86</v>
      </c>
      <c r="M73" s="15"/>
      <c r="N73" s="21">
        <f>IF(H73=0,0,L73/H73)</f>
        <v>-0.90064894117192662</v>
      </c>
      <c r="O73" s="29"/>
      <c r="P73" s="22">
        <f>+P20-P22+P71</f>
        <v>12595.920000000042</v>
      </c>
      <c r="Q73" s="14"/>
      <c r="R73" s="21">
        <f>IF(P$12=0,0,P73/P$12)</f>
        <v>4.4747838325701318E-2</v>
      </c>
      <c r="S73" s="14"/>
      <c r="T73" s="22">
        <f>+T20-T22+T71</f>
        <v>57017.970000000016</v>
      </c>
      <c r="U73" s="14"/>
      <c r="V73" s="21">
        <f>IF(T$12=0,0,T73/T$12)</f>
        <v>0.17763438650618488</v>
      </c>
      <c r="W73" s="15"/>
      <c r="X73" s="22">
        <f>+P73-T73</f>
        <v>-44422.049999999974</v>
      </c>
      <c r="Y73" s="15"/>
      <c r="Z73" s="21">
        <f>IF(T73=0,0,X73/T73)</f>
        <v>-0.77908859259633345</v>
      </c>
    </row>
    <row r="74" spans="1:26" x14ac:dyDescent="0.3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5">
      <c r="A75" s="51"/>
      <c r="B75" s="10" t="s">
        <v>13</v>
      </c>
      <c r="C75" s="10"/>
      <c r="D75" s="4">
        <v>9294.18</v>
      </c>
      <c r="E75" s="4"/>
      <c r="F75" s="13">
        <f>IF(D$12=0,0,D75/D$12)</f>
        <v>0</v>
      </c>
      <c r="G75" s="4"/>
      <c r="H75" s="4">
        <v>-10114.09</v>
      </c>
      <c r="I75" s="4"/>
      <c r="J75" s="13">
        <f>IF(H$12=0,0,H75/H$12)</f>
        <v>-2.6690971754901258</v>
      </c>
      <c r="K75" s="4"/>
      <c r="L75" s="4">
        <f>+D75-H75</f>
        <v>19408.27</v>
      </c>
      <c r="M75" s="4"/>
      <c r="N75" s="13">
        <f>IF(H75=0,0,L75/H75)</f>
        <v>-1.9189338833251435</v>
      </c>
      <c r="O75" s="10"/>
      <c r="P75" s="4">
        <v>42627.990000000005</v>
      </c>
      <c r="Q75" s="4"/>
      <c r="R75" s="13">
        <f>IF(P$12=0,0,P75/P$12)</f>
        <v>0.15143875196647855</v>
      </c>
      <c r="S75" s="4"/>
      <c r="T75" s="4">
        <v>22878.880000000001</v>
      </c>
      <c r="U75" s="4"/>
      <c r="V75" s="13">
        <f>IF(T$12=0,0,T75/T$12)</f>
        <v>7.1277104617169323E-2</v>
      </c>
      <c r="W75" s="4"/>
      <c r="X75" s="4">
        <f>+P75-T75</f>
        <v>19749.110000000004</v>
      </c>
      <c r="Y75" s="4"/>
      <c r="Z75" s="13">
        <f>IF(T75=0,0,X75/T75)</f>
        <v>0.86320265677340868</v>
      </c>
    </row>
    <row r="76" spans="1:26" x14ac:dyDescent="0.3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4">
      <c r="A77" s="10"/>
      <c r="B77" s="28" t="s">
        <v>4</v>
      </c>
      <c r="C77" s="28"/>
      <c r="D77" s="34">
        <f>+D73-D75</f>
        <v>-10631.79</v>
      </c>
      <c r="E77" s="14"/>
      <c r="F77" s="32">
        <f>IF(D$12=0,0,D77/D$12)</f>
        <v>0</v>
      </c>
      <c r="G77" s="14"/>
      <c r="H77" s="34">
        <f>+H73-H75</f>
        <v>-3349.380000000001</v>
      </c>
      <c r="I77" s="14"/>
      <c r="J77" s="32">
        <f>IF(H$12=0,0,H77/H$12)</f>
        <v>-0.88389768112040934</v>
      </c>
      <c r="K77" s="15"/>
      <c r="L77" s="34">
        <f>D77-H77</f>
        <v>-7282.41</v>
      </c>
      <c r="M77" s="15"/>
      <c r="N77" s="32">
        <f>IF(H77=0,0,L77/H77)</f>
        <v>2.1742561309854356</v>
      </c>
      <c r="O77" s="29"/>
      <c r="P77" s="34">
        <f>+P73-P75</f>
        <v>-30032.069999999963</v>
      </c>
      <c r="Q77" s="14"/>
      <c r="R77" s="32">
        <f>IF(P$12=0,0,P77/P$12)</f>
        <v>-0.10669091364077724</v>
      </c>
      <c r="S77" s="14"/>
      <c r="T77" s="34">
        <f>+T73-T75</f>
        <v>34139.090000000011</v>
      </c>
      <c r="U77" s="14"/>
      <c r="V77" s="32">
        <f>IF(T$12=0,0,T77/T$12)</f>
        <v>0.10635728188901554</v>
      </c>
      <c r="W77" s="15"/>
      <c r="X77" s="34">
        <f>P77-T77</f>
        <v>-64171.159999999974</v>
      </c>
      <c r="Y77" s="15"/>
      <c r="Z77" s="32">
        <f>IF(T77=0,0,X77/T77)</f>
        <v>-1.8796974377465818</v>
      </c>
    </row>
    <row r="78" spans="1:26" ht="15" thickTop="1" x14ac:dyDescent="0.3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3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4">
      <c r="A80" s="10"/>
      <c r="B80" s="28" t="s">
        <v>5</v>
      </c>
      <c r="C80" s="28"/>
      <c r="D80" s="35">
        <f>SUM(D77:D79)</f>
        <v>-10631.79</v>
      </c>
      <c r="E80" s="14"/>
      <c r="F80" s="33">
        <f>IF(D$12=0,0,D80/D$12)</f>
        <v>0</v>
      </c>
      <c r="G80" s="14"/>
      <c r="H80" s="35">
        <f>SUM(H77:H79)</f>
        <v>-3349.380000000001</v>
      </c>
      <c r="I80" s="14"/>
      <c r="J80" s="33">
        <f>IF(H$12=0,0,H80/H$12)</f>
        <v>-0.88389768112040934</v>
      </c>
      <c r="K80" s="15"/>
      <c r="L80" s="35">
        <f>+D80-H80</f>
        <v>-7282.41</v>
      </c>
      <c r="M80" s="15"/>
      <c r="N80" s="33">
        <f>IF(H80=0,0,L80/H80)</f>
        <v>2.1742561309854356</v>
      </c>
      <c r="O80" s="29"/>
      <c r="P80" s="35">
        <f>SUM(P77:P79)</f>
        <v>-30032.069999999963</v>
      </c>
      <c r="Q80" s="14"/>
      <c r="R80" s="33">
        <f>IF(P$12=0,0,P80/P$12)</f>
        <v>-0.10669091364077724</v>
      </c>
      <c r="S80" s="14"/>
      <c r="T80" s="35">
        <f>SUM(T77:T79)</f>
        <v>34139.090000000011</v>
      </c>
      <c r="U80" s="14"/>
      <c r="V80" s="33">
        <f>IF(T$12=0,0,T80/T$12)</f>
        <v>0.10635728188901554</v>
      </c>
      <c r="W80" s="15"/>
      <c r="X80" s="35">
        <f>+P80-T80</f>
        <v>-64171.159999999974</v>
      </c>
      <c r="Y80" s="15"/>
      <c r="Z80" s="33">
        <f>IF(T80=0,0,X80/T80)</f>
        <v>-1.8796974377465818</v>
      </c>
    </row>
    <row r="81" spans="1:24" ht="15" thickTop="1" x14ac:dyDescent="0.3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5">
      <c r="A82" s="9"/>
      <c r="B82" s="52">
        <v>44043.522987696757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5">
      <c r="A83" s="9"/>
      <c r="B83" s="61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3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3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","322", " - ", "Beach Hut")</f>
        <v>Department 322 - Beach Hut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12137.279999999999</v>
      </c>
      <c r="I12" s="4"/>
      <c r="J12" s="13"/>
      <c r="K12" s="4"/>
      <c r="L12" s="4">
        <f t="shared" ref="L12:L14" si="0">+D12-H12</f>
        <v>-12137.279999999999</v>
      </c>
      <c r="M12" s="4"/>
      <c r="N12" s="13">
        <f t="shared" ref="N12:N14" si="1">IF(H12=0,0,L12/H12)</f>
        <v>-1</v>
      </c>
      <c r="O12" s="10"/>
      <c r="P12" s="4">
        <f>SUM(OSRRefP13x_0)</f>
        <v>689915.82</v>
      </c>
      <c r="Q12" s="4"/>
      <c r="R12" s="13"/>
      <c r="S12" s="4"/>
      <c r="T12" s="4">
        <f>SUM(OSRRefT13x_0)</f>
        <v>921855</v>
      </c>
      <c r="U12" s="4"/>
      <c r="V12" s="13"/>
      <c r="W12" s="4"/>
      <c r="X12" s="4">
        <f t="shared" ref="X12:X14" si="2">+P12-T12</f>
        <v>-231939.18000000005</v>
      </c>
      <c r="Y12" s="4"/>
      <c r="Z12" s="13">
        <f t="shared" ref="Z12:Z14" si="3">IF(T12=0,0,X12/T12)</f>
        <v>-0.25160050116341515</v>
      </c>
    </row>
    <row r="13" spans="1:26" s="24" customFormat="1" hidden="1" outlineLevel="1" x14ac:dyDescent="0.3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--1649.46</f>
        <v>1649.46</v>
      </c>
      <c r="I13" s="2"/>
      <c r="J13" s="19"/>
      <c r="K13" s="2"/>
      <c r="L13" s="2">
        <f t="shared" si="0"/>
        <v>-1649.46</v>
      </c>
      <c r="M13" s="2"/>
      <c r="N13" s="19">
        <f t="shared" si="1"/>
        <v>-1</v>
      </c>
      <c r="O13" s="11"/>
      <c r="P13" s="2">
        <f>--85250.21</f>
        <v>85250.21</v>
      </c>
      <c r="Q13" s="2"/>
      <c r="R13" s="19"/>
      <c r="S13" s="2"/>
      <c r="T13" s="2">
        <f>--145498.57</f>
        <v>145498.57</v>
      </c>
      <c r="U13" s="2"/>
      <c r="V13" s="19"/>
      <c r="W13" s="2"/>
      <c r="X13" s="2">
        <f t="shared" si="2"/>
        <v>-60248.36</v>
      </c>
      <c r="Y13" s="2"/>
      <c r="Z13" s="19">
        <f t="shared" si="3"/>
        <v>-0.41408214527469239</v>
      </c>
    </row>
    <row r="14" spans="1:26" s="24" customFormat="1" hidden="1" outlineLevel="1" x14ac:dyDescent="0.3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--10487.82</f>
        <v>10487.82</v>
      </c>
      <c r="I14" s="2"/>
      <c r="J14" s="19"/>
      <c r="K14" s="2"/>
      <c r="L14" s="2">
        <f t="shared" si="0"/>
        <v>-10487.82</v>
      </c>
      <c r="M14" s="2"/>
      <c r="N14" s="19">
        <f t="shared" si="1"/>
        <v>-1</v>
      </c>
      <c r="O14" s="11"/>
      <c r="P14" s="2">
        <f>--604665.61</f>
        <v>604665.61</v>
      </c>
      <c r="Q14" s="2"/>
      <c r="R14" s="19"/>
      <c r="S14" s="2"/>
      <c r="T14" s="2">
        <f>--776356.43</f>
        <v>776356.43</v>
      </c>
      <c r="U14" s="2"/>
      <c r="V14" s="19"/>
      <c r="W14" s="2"/>
      <c r="X14" s="2">
        <f t="shared" si="2"/>
        <v>-171690.82000000007</v>
      </c>
      <c r="Y14" s="2"/>
      <c r="Z14" s="19">
        <f t="shared" si="3"/>
        <v>-0.22114947898351284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9" t="s">
        <v>8</v>
      </c>
      <c r="C16" s="10"/>
      <c r="D16" s="4">
        <f>SUM(OSRRefD16x_0)</f>
        <v>464.90000000000009</v>
      </c>
      <c r="E16" s="4"/>
      <c r="F16" s="13">
        <f t="shared" ref="F16:F18" si="5">IF(D$12=0,0,D16/D$12)</f>
        <v>0</v>
      </c>
      <c r="G16" s="4"/>
      <c r="H16" s="4">
        <f>SUM(OSRRefH16x_0)</f>
        <v>15100.42</v>
      </c>
      <c r="I16" s="4"/>
      <c r="J16" s="13">
        <f t="shared" ref="J16:J18" si="6">IF(H$12=0,0,H16/H$12)</f>
        <v>1.2441354240818372</v>
      </c>
      <c r="K16" s="4"/>
      <c r="L16" s="4">
        <f t="shared" ref="L16:L18" si="7">+D16-H16</f>
        <v>-14635.52</v>
      </c>
      <c r="M16" s="4"/>
      <c r="N16" s="13">
        <f t="shared" ref="N16:N18" si="8">IF(H16=0,0,L16/H16)</f>
        <v>-0.9692127768631601</v>
      </c>
      <c r="O16" s="10"/>
      <c r="P16" s="4">
        <f>SUM(OSRRefP16x_0)</f>
        <v>393681.72000000003</v>
      </c>
      <c r="Q16" s="4"/>
      <c r="R16" s="13">
        <f t="shared" ref="R16:R18" si="9">IF(P$12=0,0,P16/P$12)</f>
        <v>0.57062283337697639</v>
      </c>
      <c r="S16" s="4"/>
      <c r="T16" s="4">
        <f>SUM(OSRRefT16x_0)</f>
        <v>449860.5</v>
      </c>
      <c r="U16" s="4"/>
      <c r="V16" s="13">
        <f t="shared" ref="V16:V18" si="10">IF(T$12=0,0,T16/T$12)</f>
        <v>0.48799485819353366</v>
      </c>
      <c r="W16" s="4"/>
      <c r="X16" s="4">
        <f t="shared" ref="X16:X18" si="11">+P16-T16</f>
        <v>-56178.77999999997</v>
      </c>
      <c r="Y16" s="4"/>
      <c r="Z16" s="13">
        <f t="shared" ref="Z16:Z18" si="12">IF(T16=0,0,X16/T16)</f>
        <v>-0.12488044627167749</v>
      </c>
    </row>
    <row r="17" spans="1:26" s="24" customFormat="1" hidden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-1040.0999999999999</v>
      </c>
      <c r="E17" s="2"/>
      <c r="F17" s="19">
        <f t="shared" si="5"/>
        <v>0</v>
      </c>
      <c r="G17" s="2"/>
      <c r="H17" s="2">
        <v>2959.42</v>
      </c>
      <c r="I17" s="2"/>
      <c r="J17" s="19">
        <f t="shared" si="6"/>
        <v>0.24382893036990169</v>
      </c>
      <c r="K17" s="2"/>
      <c r="L17" s="2">
        <f t="shared" si="7"/>
        <v>-3999.52</v>
      </c>
      <c r="M17" s="2"/>
      <c r="N17" s="19">
        <f t="shared" si="8"/>
        <v>-1.3514540011218414</v>
      </c>
      <c r="O17" s="11"/>
      <c r="P17" s="2">
        <v>366024.14</v>
      </c>
      <c r="Q17" s="2"/>
      <c r="R17" s="19">
        <f t="shared" si="9"/>
        <v>0.53053449332412761</v>
      </c>
      <c r="S17" s="2"/>
      <c r="T17" s="2">
        <v>431901.81</v>
      </c>
      <c r="U17" s="2"/>
      <c r="V17" s="19">
        <f t="shared" si="10"/>
        <v>0.46851382267276309</v>
      </c>
      <c r="W17" s="2"/>
      <c r="X17" s="2">
        <f t="shared" si="11"/>
        <v>-65877.669999999984</v>
      </c>
      <c r="Y17" s="2"/>
      <c r="Z17" s="19">
        <f t="shared" si="12"/>
        <v>-0.15252927511463771</v>
      </c>
    </row>
    <row r="18" spans="1:26" s="24" customFormat="1" hidden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1505</v>
      </c>
      <c r="E18" s="2"/>
      <c r="F18" s="19">
        <f t="shared" si="5"/>
        <v>0</v>
      </c>
      <c r="G18" s="2"/>
      <c r="H18" s="2">
        <v>12141</v>
      </c>
      <c r="I18" s="2"/>
      <c r="J18" s="19">
        <f t="shared" si="6"/>
        <v>1.0003064937119355</v>
      </c>
      <c r="K18" s="2"/>
      <c r="L18" s="2">
        <f t="shared" si="7"/>
        <v>-10636</v>
      </c>
      <c r="M18" s="2"/>
      <c r="N18" s="19">
        <f t="shared" si="8"/>
        <v>-0.87603986492051722</v>
      </c>
      <c r="O18" s="11"/>
      <c r="P18" s="2">
        <v>27657.58</v>
      </c>
      <c r="Q18" s="2"/>
      <c r="R18" s="19">
        <f t="shared" si="9"/>
        <v>4.0088340052848774E-2</v>
      </c>
      <c r="S18" s="2"/>
      <c r="T18" s="2">
        <v>17958.689999999999</v>
      </c>
      <c r="U18" s="2"/>
      <c r="V18" s="19">
        <f t="shared" si="10"/>
        <v>1.9481035520770618E-2</v>
      </c>
      <c r="W18" s="2"/>
      <c r="X18" s="2">
        <f t="shared" si="11"/>
        <v>9698.8900000000031</v>
      </c>
      <c r="Y18" s="2"/>
      <c r="Z18" s="19">
        <f t="shared" si="12"/>
        <v>0.54006667524190255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-464.90000000000009</v>
      </c>
      <c r="E20" s="14"/>
      <c r="F20" s="21">
        <f>IF(D$12=0,0,D20/D$12)</f>
        <v>0</v>
      </c>
      <c r="G20" s="14"/>
      <c r="H20" s="22">
        <f>H12-H16</f>
        <v>-2963.1400000000012</v>
      </c>
      <c r="I20" s="14"/>
      <c r="J20" s="21">
        <f>IF(H$12=0,0,H20/H$12)</f>
        <v>-0.24413542408183725</v>
      </c>
      <c r="K20" s="15"/>
      <c r="L20" s="22">
        <f>+D20-H20</f>
        <v>2498.2400000000011</v>
      </c>
      <c r="M20" s="15"/>
      <c r="N20" s="21">
        <f>IF(H20=0,0,L20/H20)</f>
        <v>-0.84310562443893977</v>
      </c>
      <c r="O20" s="29"/>
      <c r="P20" s="22">
        <f>P12-P16</f>
        <v>296234.09999999992</v>
      </c>
      <c r="Q20" s="14"/>
      <c r="R20" s="21">
        <f>IF(P$12=0,0,P20/P$12)</f>
        <v>0.42937716662302355</v>
      </c>
      <c r="S20" s="14"/>
      <c r="T20" s="22">
        <f>T12-T16</f>
        <v>471994.5</v>
      </c>
      <c r="U20" s="14"/>
      <c r="V20" s="21">
        <f>IF(T$12=0,0,T20/T$12)</f>
        <v>0.51200514180646628</v>
      </c>
      <c r="W20" s="15"/>
      <c r="X20" s="22">
        <f>+P20-T20</f>
        <v>-175760.40000000008</v>
      </c>
      <c r="Y20" s="15"/>
      <c r="Z20" s="21">
        <f>IF(T20=0,0,X20/T20)</f>
        <v>-0.37237806796477518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11266.779999999999</v>
      </c>
      <c r="E22" s="20"/>
      <c r="F22" s="36">
        <f t="shared" ref="F22:F31" si="13">IF(D$12=0,0,D22/D$12)</f>
        <v>0</v>
      </c>
      <c r="G22" s="20"/>
      <c r="H22" s="20">
        <f>SUM(OSRRefH22x_0)</f>
        <v>17578.969999999998</v>
      </c>
      <c r="I22" s="20"/>
      <c r="J22" s="36">
        <f t="shared" ref="J22:J31" si="14">IF(H$12=0,0,H22/H$12)</f>
        <v>1.448345098737114</v>
      </c>
      <c r="K22" s="4"/>
      <c r="L22" s="20">
        <f t="shared" ref="L22:L31" si="15">+D22-H22</f>
        <v>-6312.1899999999987</v>
      </c>
      <c r="M22" s="4"/>
      <c r="N22" s="36">
        <f t="shared" ref="N22:N31" si="16">IF(H22=0,0,L22/H22)</f>
        <v>-0.35907621436295756</v>
      </c>
      <c r="O22" s="10"/>
      <c r="P22" s="20">
        <f>SUM(OSRRefP22x_0)</f>
        <v>290422.59000000003</v>
      </c>
      <c r="Q22" s="20"/>
      <c r="R22" s="36">
        <f t="shared" ref="R22:R31" si="17">IF(P$12=0,0,P22/P$12)</f>
        <v>0.42095366069443085</v>
      </c>
      <c r="S22" s="20"/>
      <c r="T22" s="20">
        <f>SUM(OSRRefT22x_0)</f>
        <v>326823.97000000003</v>
      </c>
      <c r="U22" s="20"/>
      <c r="V22" s="36">
        <f t="shared" ref="V22:V31" si="18">IF(T$12=0,0,T22/T$12)</f>
        <v>0.35452860807827696</v>
      </c>
      <c r="W22" s="4"/>
      <c r="X22" s="20">
        <f t="shared" ref="X22:X31" si="19">+P22-T22</f>
        <v>-36401.380000000005</v>
      </c>
      <c r="Y22" s="4"/>
      <c r="Z22" s="36">
        <f t="shared" ref="Z22:Z31" si="20">IF(T22=0,0,X22/T22)</f>
        <v>-0.11137916230562893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1385.73</v>
      </c>
      <c r="E23" s="1"/>
      <c r="F23" s="5">
        <f t="shared" si="13"/>
        <v>0</v>
      </c>
      <c r="G23" s="1"/>
      <c r="H23" s="1">
        <f>SUM(OSRRefH22_0x_0)</f>
        <v>2175.39</v>
      </c>
      <c r="I23" s="1"/>
      <c r="J23" s="5">
        <f t="shared" si="14"/>
        <v>0.17923208494819268</v>
      </c>
      <c r="K23" s="1"/>
      <c r="L23" s="1">
        <f t="shared" si="15"/>
        <v>-789.65999999999985</v>
      </c>
      <c r="M23" s="1"/>
      <c r="N23" s="5">
        <f t="shared" si="16"/>
        <v>-0.36299697985188856</v>
      </c>
      <c r="O23" s="12"/>
      <c r="P23" s="1">
        <f>SUM(OSRRefP22_0x_0)</f>
        <v>27043.710000000003</v>
      </c>
      <c r="Q23" s="1"/>
      <c r="R23" s="5">
        <f t="shared" si="17"/>
        <v>3.9198564833605357E-2</v>
      </c>
      <c r="S23" s="1"/>
      <c r="T23" s="1">
        <f>SUM(OSRRefT22_0x_0)</f>
        <v>27234.66</v>
      </c>
      <c r="U23" s="1"/>
      <c r="V23" s="5">
        <f t="shared" si="18"/>
        <v>2.9543322973786548E-2</v>
      </c>
      <c r="W23" s="1"/>
      <c r="X23" s="1">
        <f t="shared" si="19"/>
        <v>-190.94999999999709</v>
      </c>
      <c r="Y23" s="1"/>
      <c r="Z23" s="5">
        <f t="shared" si="20"/>
        <v>-7.0112863534920978E-3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>
        <v>318.24</v>
      </c>
      <c r="E24" s="2"/>
      <c r="F24" s="6">
        <f t="shared" si="13"/>
        <v>0</v>
      </c>
      <c r="G24" s="2"/>
      <c r="H24" s="7">
        <v>740.58</v>
      </c>
      <c r="I24" s="2"/>
      <c r="J24" s="6">
        <f t="shared" si="14"/>
        <v>6.1016965909989729E-2</v>
      </c>
      <c r="K24" s="2"/>
      <c r="L24" s="7">
        <f t="shared" si="15"/>
        <v>-422.34000000000003</v>
      </c>
      <c r="M24" s="2"/>
      <c r="N24" s="6">
        <f t="shared" si="16"/>
        <v>-0.57028275135704454</v>
      </c>
      <c r="O24" s="11"/>
      <c r="P24" s="7">
        <v>5804.54</v>
      </c>
      <c r="Q24" s="2"/>
      <c r="R24" s="6">
        <f t="shared" si="17"/>
        <v>8.413403246790312E-3</v>
      </c>
      <c r="S24" s="2"/>
      <c r="T24" s="7">
        <v>6700.92</v>
      </c>
      <c r="U24" s="2"/>
      <c r="V24" s="6">
        <f t="shared" si="18"/>
        <v>7.2689522755747926E-3</v>
      </c>
      <c r="W24" s="2"/>
      <c r="X24" s="7">
        <f t="shared" si="19"/>
        <v>-896.38000000000011</v>
      </c>
      <c r="Y24" s="2"/>
      <c r="Z24" s="6">
        <f t="shared" si="20"/>
        <v>-0.13376969132596719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79.040000000000006</v>
      </c>
      <c r="E25" s="2"/>
      <c r="F25" s="6">
        <f t="shared" si="13"/>
        <v>0</v>
      </c>
      <c r="G25" s="2"/>
      <c r="H25" s="7">
        <v>201.5</v>
      </c>
      <c r="I25" s="2"/>
      <c r="J25" s="6">
        <f t="shared" si="14"/>
        <v>1.6601742729837329E-2</v>
      </c>
      <c r="K25" s="2"/>
      <c r="L25" s="7">
        <f t="shared" si="15"/>
        <v>-122.46</v>
      </c>
      <c r="M25" s="2"/>
      <c r="N25" s="6">
        <f t="shared" si="16"/>
        <v>-0.6077419354838709</v>
      </c>
      <c r="O25" s="11"/>
      <c r="P25" s="7">
        <v>3114.05</v>
      </c>
      <c r="Q25" s="2"/>
      <c r="R25" s="6">
        <f t="shared" si="17"/>
        <v>4.5136666093553279E-3</v>
      </c>
      <c r="S25" s="2"/>
      <c r="T25" s="7">
        <v>2283.02</v>
      </c>
      <c r="U25" s="2"/>
      <c r="V25" s="6">
        <f t="shared" si="18"/>
        <v>2.4765499997288077E-3</v>
      </c>
      <c r="W25" s="2"/>
      <c r="X25" s="7">
        <f t="shared" si="19"/>
        <v>831.0300000000002</v>
      </c>
      <c r="Y25" s="2"/>
      <c r="Z25" s="6">
        <f t="shared" si="20"/>
        <v>0.36400469553486181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>
        <v>683.68</v>
      </c>
      <c r="E26" s="2"/>
      <c r="F26" s="6">
        <f t="shared" si="13"/>
        <v>0</v>
      </c>
      <c r="G26" s="2"/>
      <c r="H26" s="7">
        <v>641.14</v>
      </c>
      <c r="I26" s="2"/>
      <c r="J26" s="6">
        <f t="shared" si="14"/>
        <v>5.2824026470510696E-2</v>
      </c>
      <c r="K26" s="2"/>
      <c r="L26" s="7">
        <f t="shared" si="15"/>
        <v>42.539999999999964</v>
      </c>
      <c r="M26" s="2"/>
      <c r="N26" s="6">
        <f t="shared" si="16"/>
        <v>6.6350563059550116E-2</v>
      </c>
      <c r="O26" s="11"/>
      <c r="P26" s="7">
        <v>7948.92</v>
      </c>
      <c r="Q26" s="2"/>
      <c r="R26" s="6">
        <f t="shared" si="17"/>
        <v>1.152157954574806E-2</v>
      </c>
      <c r="S26" s="2"/>
      <c r="T26" s="7">
        <v>7569.72</v>
      </c>
      <c r="U26" s="2"/>
      <c r="V26" s="6">
        <f t="shared" si="18"/>
        <v>8.2113998405389139E-3</v>
      </c>
      <c r="W26" s="2"/>
      <c r="X26" s="7">
        <f t="shared" si="19"/>
        <v>379.19999999999982</v>
      </c>
      <c r="Y26" s="2"/>
      <c r="Z26" s="6">
        <f t="shared" si="20"/>
        <v>5.009432317179497E-2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-460.49</v>
      </c>
      <c r="E27" s="2"/>
      <c r="F27" s="6">
        <f t="shared" si="13"/>
        <v>0</v>
      </c>
      <c r="G27" s="2"/>
      <c r="H27" s="7">
        <v>44.02</v>
      </c>
      <c r="I27" s="2"/>
      <c r="J27" s="6">
        <f t="shared" si="14"/>
        <v>3.6268422579029246E-3</v>
      </c>
      <c r="K27" s="2"/>
      <c r="L27" s="7">
        <f t="shared" si="15"/>
        <v>-504.51</v>
      </c>
      <c r="M27" s="2"/>
      <c r="N27" s="6">
        <f t="shared" si="16"/>
        <v>-11.460926851431166</v>
      </c>
      <c r="O27" s="11"/>
      <c r="P27" s="7">
        <v>0</v>
      </c>
      <c r="Q27" s="2"/>
      <c r="R27" s="6">
        <f t="shared" si="17"/>
        <v>0</v>
      </c>
      <c r="S27" s="2"/>
      <c r="T27" s="7">
        <v>551.61</v>
      </c>
      <c r="U27" s="2"/>
      <c r="V27" s="6">
        <f t="shared" si="18"/>
        <v>5.9836959174707524E-4</v>
      </c>
      <c r="W27" s="2"/>
      <c r="X27" s="7">
        <f t="shared" si="19"/>
        <v>-551.61</v>
      </c>
      <c r="Y27" s="2"/>
      <c r="Z27" s="6">
        <f t="shared" si="20"/>
        <v>-1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>
        <v>290.58</v>
      </c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290.58</v>
      </c>
      <c r="M28" s="2"/>
      <c r="N28" s="6">
        <f t="shared" si="16"/>
        <v>0</v>
      </c>
      <c r="O28" s="11"/>
      <c r="P28" s="7">
        <v>3352.8</v>
      </c>
      <c r="Q28" s="2"/>
      <c r="R28" s="6">
        <f t="shared" si="17"/>
        <v>4.8597233210277745E-3</v>
      </c>
      <c r="S28" s="2"/>
      <c r="T28" s="7">
        <v>3046.46</v>
      </c>
      <c r="U28" s="2"/>
      <c r="V28" s="6">
        <f t="shared" si="18"/>
        <v>3.3047062715936886E-3</v>
      </c>
      <c r="W28" s="2"/>
      <c r="X28" s="7">
        <f t="shared" si="19"/>
        <v>306.34000000000015</v>
      </c>
      <c r="Y28" s="2"/>
      <c r="Z28" s="6">
        <f t="shared" si="20"/>
        <v>0.10055605522475271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>
        <v>239.72</v>
      </c>
      <c r="E29" s="2"/>
      <c r="F29" s="6">
        <f t="shared" si="13"/>
        <v>0</v>
      </c>
      <c r="G29" s="2"/>
      <c r="H29" s="7">
        <v>221.28</v>
      </c>
      <c r="I29" s="2"/>
      <c r="J29" s="6">
        <f t="shared" si="14"/>
        <v>1.8231432413193072E-2</v>
      </c>
      <c r="K29" s="2"/>
      <c r="L29" s="7">
        <f t="shared" si="15"/>
        <v>18.439999999999998</v>
      </c>
      <c r="M29" s="2"/>
      <c r="N29" s="6">
        <f t="shared" si="16"/>
        <v>8.3333333333333329E-2</v>
      </c>
      <c r="O29" s="11"/>
      <c r="P29" s="7">
        <v>2996.5</v>
      </c>
      <c r="Q29" s="2"/>
      <c r="R29" s="6">
        <f t="shared" si="17"/>
        <v>4.3432835037758664E-3</v>
      </c>
      <c r="S29" s="2"/>
      <c r="T29" s="7">
        <v>2871.31</v>
      </c>
      <c r="U29" s="2"/>
      <c r="V29" s="6">
        <f t="shared" si="18"/>
        <v>3.1147089292784657E-3</v>
      </c>
      <c r="W29" s="2"/>
      <c r="X29" s="7">
        <f t="shared" si="19"/>
        <v>125.19000000000005</v>
      </c>
      <c r="Y29" s="2"/>
      <c r="Z29" s="6">
        <f t="shared" si="20"/>
        <v>4.3600307873409717E-2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>
        <v>191.88</v>
      </c>
      <c r="E30" s="2"/>
      <c r="F30" s="6">
        <f t="shared" si="13"/>
        <v>0</v>
      </c>
      <c r="G30" s="2"/>
      <c r="H30" s="7">
        <v>177.12</v>
      </c>
      <c r="I30" s="2"/>
      <c r="J30" s="6">
        <f t="shared" si="14"/>
        <v>1.459305544570118E-2</v>
      </c>
      <c r="K30" s="2"/>
      <c r="L30" s="7">
        <f t="shared" si="15"/>
        <v>14.759999999999991</v>
      </c>
      <c r="M30" s="2"/>
      <c r="N30" s="6">
        <f t="shared" si="16"/>
        <v>8.3333333333333273E-2</v>
      </c>
      <c r="O30" s="11"/>
      <c r="P30" s="7">
        <v>2398.5</v>
      </c>
      <c r="Q30" s="2"/>
      <c r="R30" s="6">
        <f t="shared" si="17"/>
        <v>3.4765110908748262E-3</v>
      </c>
      <c r="S30" s="2"/>
      <c r="T30" s="7">
        <v>2417.96</v>
      </c>
      <c r="U30" s="2"/>
      <c r="V30" s="6">
        <f t="shared" si="18"/>
        <v>2.6229287686241327E-3</v>
      </c>
      <c r="W30" s="2"/>
      <c r="X30" s="7">
        <f t="shared" si="19"/>
        <v>-19.460000000000036</v>
      </c>
      <c r="Y30" s="2"/>
      <c r="Z30" s="6">
        <f t="shared" si="20"/>
        <v>-8.0481066684312541E-3</v>
      </c>
    </row>
    <row r="31" spans="1:26" s="24" customFormat="1" hidden="1" outlineLevel="2" x14ac:dyDescent="0.35">
      <c r="A31" s="27"/>
      <c r="B31" s="11" t="str">
        <f>CONCATENATE("          ", "6156", " - ", "EMPLOYEE MEALS")</f>
        <v xml:space="preserve">          6156 - EMPLOYEE MEALS</v>
      </c>
      <c r="C31" s="11"/>
      <c r="D31" s="7">
        <v>43.08</v>
      </c>
      <c r="E31" s="2"/>
      <c r="F31" s="6">
        <f t="shared" si="13"/>
        <v>0</v>
      </c>
      <c r="G31" s="2"/>
      <c r="H31" s="7">
        <v>149.75</v>
      </c>
      <c r="I31" s="2"/>
      <c r="J31" s="6">
        <f t="shared" si="14"/>
        <v>1.2338019721057768E-2</v>
      </c>
      <c r="K31" s="2"/>
      <c r="L31" s="7">
        <f t="shared" si="15"/>
        <v>-106.67</v>
      </c>
      <c r="M31" s="2"/>
      <c r="N31" s="6">
        <f t="shared" si="16"/>
        <v>-0.71232053422370623</v>
      </c>
      <c r="O31" s="11"/>
      <c r="P31" s="7">
        <v>1428.4</v>
      </c>
      <c r="Q31" s="2"/>
      <c r="R31" s="6">
        <f t="shared" si="17"/>
        <v>2.0703975160331883E-3</v>
      </c>
      <c r="S31" s="2"/>
      <c r="T31" s="7">
        <v>1793.66</v>
      </c>
      <c r="U31" s="2"/>
      <c r="V31" s="6">
        <f t="shared" si="18"/>
        <v>1.9457072967006743E-3</v>
      </c>
      <c r="W31" s="2"/>
      <c r="X31" s="7">
        <f t="shared" si="19"/>
        <v>-365.26</v>
      </c>
      <c r="Y31" s="2"/>
      <c r="Z31" s="6">
        <f t="shared" si="20"/>
        <v>-0.20363948574423246</v>
      </c>
    </row>
    <row r="32" spans="1:26" s="25" customFormat="1" outlineLevel="1" collapsed="1" x14ac:dyDescent="0.3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4160</v>
      </c>
      <c r="E32" s="1"/>
      <c r="F32" s="5">
        <f t="shared" ref="F32:F37" si="21">IF(D$12=0,0,D32/D$12)</f>
        <v>0</v>
      </c>
      <c r="G32" s="1"/>
      <c r="H32" s="1">
        <f>SUM(OSRRefH22_1x_0)</f>
        <v>9296.5400000000009</v>
      </c>
      <c r="I32" s="1"/>
      <c r="J32" s="5">
        <f t="shared" ref="J32:J37" si="22">IF(H$12=0,0,H32/H$12)</f>
        <v>0.76594920773023289</v>
      </c>
      <c r="K32" s="1"/>
      <c r="L32" s="1">
        <f t="shared" ref="L32:L37" si="23">+D32-H32</f>
        <v>-5136.5400000000009</v>
      </c>
      <c r="M32" s="1"/>
      <c r="N32" s="5">
        <f t="shared" ref="N32:N37" si="24">IF(H32=0,0,L32/H32)</f>
        <v>-0.55252169086563396</v>
      </c>
      <c r="O32" s="12"/>
      <c r="P32" s="1">
        <f>SUM(OSRRefP22_1x_0)</f>
        <v>168753.33999999997</v>
      </c>
      <c r="Q32" s="1"/>
      <c r="R32" s="5">
        <f t="shared" ref="R32:R37" si="25">IF(P$12=0,0,P32/P$12)</f>
        <v>0.24459989915871183</v>
      </c>
      <c r="S32" s="1"/>
      <c r="T32" s="1">
        <f>SUM(OSRRefT22_1x_0)</f>
        <v>197992.71000000002</v>
      </c>
      <c r="U32" s="1"/>
      <c r="V32" s="5">
        <f t="shared" ref="V32:V37" si="26">IF(T$12=0,0,T32/T$12)</f>
        <v>0.2147764127764128</v>
      </c>
      <c r="W32" s="1"/>
      <c r="X32" s="1">
        <f t="shared" ref="X32:X37" si="27">+P32-T32</f>
        <v>-29239.370000000054</v>
      </c>
      <c r="Y32" s="1"/>
      <c r="Z32" s="5">
        <f t="shared" ref="Z32:Z37" si="28">IF(T32=0,0,X32/T32)</f>
        <v>-0.1476790231317105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>
        <v>4160</v>
      </c>
      <c r="E33" s="2"/>
      <c r="F33" s="6">
        <f t="shared" si="21"/>
        <v>0</v>
      </c>
      <c r="G33" s="2"/>
      <c r="H33" s="7">
        <v>3456</v>
      </c>
      <c r="I33" s="2"/>
      <c r="J33" s="6">
        <f t="shared" si="22"/>
        <v>0.28474254528197424</v>
      </c>
      <c r="K33" s="2"/>
      <c r="L33" s="7">
        <f t="shared" si="23"/>
        <v>704</v>
      </c>
      <c r="M33" s="2"/>
      <c r="N33" s="6">
        <f t="shared" si="24"/>
        <v>0.20370370370370369</v>
      </c>
      <c r="O33" s="11"/>
      <c r="P33" s="7">
        <v>46312</v>
      </c>
      <c r="Q33" s="2"/>
      <c r="R33" s="6">
        <f t="shared" si="25"/>
        <v>6.7127030077379593E-2</v>
      </c>
      <c r="S33" s="2"/>
      <c r="T33" s="7">
        <v>44487.08</v>
      </c>
      <c r="U33" s="2"/>
      <c r="V33" s="6">
        <f t="shared" si="26"/>
        <v>4.8258218483384047E-2</v>
      </c>
      <c r="W33" s="2"/>
      <c r="X33" s="7">
        <f t="shared" si="27"/>
        <v>1824.9199999999983</v>
      </c>
      <c r="Y33" s="2"/>
      <c r="Z33" s="6">
        <f t="shared" si="28"/>
        <v>4.1021348220651885E-2</v>
      </c>
    </row>
    <row r="34" spans="1:26" s="24" customFormat="1" hidden="1" outlineLevel="2" x14ac:dyDescent="0.3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1"/>
        <v>0</v>
      </c>
      <c r="G34" s="2"/>
      <c r="H34" s="7"/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>
        <v>9018.76</v>
      </c>
      <c r="Q34" s="2"/>
      <c r="R34" s="6">
        <f t="shared" si="25"/>
        <v>1.3072261482567541E-2</v>
      </c>
      <c r="S34" s="2"/>
      <c r="T34" s="7"/>
      <c r="U34" s="2"/>
      <c r="V34" s="6">
        <f t="shared" si="26"/>
        <v>0</v>
      </c>
      <c r="W34" s="2"/>
      <c r="X34" s="7">
        <f t="shared" si="27"/>
        <v>9018.76</v>
      </c>
      <c r="Y34" s="2"/>
      <c r="Z34" s="6">
        <f t="shared" si="28"/>
        <v>0</v>
      </c>
    </row>
    <row r="35" spans="1:26" s="24" customFormat="1" hidden="1" outlineLevel="2" x14ac:dyDescent="0.3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1"/>
        <v>0</v>
      </c>
      <c r="G35" s="2"/>
      <c r="H35" s="7"/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>
        <v>1199.43</v>
      </c>
      <c r="Q35" s="2"/>
      <c r="R35" s="6">
        <f t="shared" si="25"/>
        <v>1.7385164468326007E-3</v>
      </c>
      <c r="S35" s="2"/>
      <c r="T35" s="7">
        <v>18579.47</v>
      </c>
      <c r="U35" s="2"/>
      <c r="V35" s="6">
        <f t="shared" si="26"/>
        <v>2.0154438604769731E-2</v>
      </c>
      <c r="W35" s="2"/>
      <c r="X35" s="7">
        <f t="shared" si="27"/>
        <v>-17380.04</v>
      </c>
      <c r="Y35" s="2"/>
      <c r="Z35" s="6">
        <f t="shared" si="28"/>
        <v>-0.93544326076039841</v>
      </c>
    </row>
    <row r="36" spans="1:26" s="24" customFormat="1" hidden="1" outlineLevel="2" x14ac:dyDescent="0.3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1"/>
        <v>0</v>
      </c>
      <c r="G36" s="2"/>
      <c r="H36" s="7">
        <v>5840.54</v>
      </c>
      <c r="I36" s="2"/>
      <c r="J36" s="6">
        <f t="shared" si="22"/>
        <v>0.4812066624482586</v>
      </c>
      <c r="K36" s="2"/>
      <c r="L36" s="7">
        <f t="shared" si="23"/>
        <v>-5840.54</v>
      </c>
      <c r="M36" s="2"/>
      <c r="N36" s="6">
        <f t="shared" si="24"/>
        <v>-1</v>
      </c>
      <c r="O36" s="11"/>
      <c r="P36" s="7">
        <v>109564.34999999999</v>
      </c>
      <c r="Q36" s="2"/>
      <c r="R36" s="6">
        <f t="shared" si="25"/>
        <v>0.15880828765457211</v>
      </c>
      <c r="S36" s="2"/>
      <c r="T36" s="7">
        <v>130602.41000000002</v>
      </c>
      <c r="U36" s="2"/>
      <c r="V36" s="6">
        <f t="shared" si="26"/>
        <v>0.14167348444169639</v>
      </c>
      <c r="W36" s="2"/>
      <c r="X36" s="7">
        <f t="shared" si="27"/>
        <v>-21038.060000000027</v>
      </c>
      <c r="Y36" s="2"/>
      <c r="Z36" s="6">
        <f t="shared" si="28"/>
        <v>-0.16108477630696114</v>
      </c>
    </row>
    <row r="37" spans="1:26" s="24" customFormat="1" hidden="1" outlineLevel="2" x14ac:dyDescent="0.3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1"/>
        <v>0</v>
      </c>
      <c r="G37" s="2"/>
      <c r="H37" s="7"/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>
        <v>2658.8</v>
      </c>
      <c r="Q37" s="2"/>
      <c r="R37" s="6">
        <f t="shared" si="25"/>
        <v>3.8538034973600119E-3</v>
      </c>
      <c r="S37" s="2"/>
      <c r="T37" s="7">
        <v>4323.75</v>
      </c>
      <c r="U37" s="2"/>
      <c r="V37" s="6">
        <f t="shared" si="26"/>
        <v>4.6902712465626377E-3</v>
      </c>
      <c r="W37" s="2"/>
      <c r="X37" s="7">
        <f t="shared" si="27"/>
        <v>-1664.9499999999998</v>
      </c>
      <c r="Y37" s="2"/>
      <c r="Z37" s="6">
        <f t="shared" si="28"/>
        <v>-0.38507082971957207</v>
      </c>
    </row>
    <row r="38" spans="1:26" s="25" customFormat="1" outlineLevel="1" collapsed="1" x14ac:dyDescent="0.35">
      <c r="A38" s="26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8" si="29">IF(D$12=0,0,D38/D$12)</f>
        <v>0</v>
      </c>
      <c r="G38" s="1"/>
      <c r="H38" s="1">
        <f>SUM(OSRRefH22_2x_0)</f>
        <v>0</v>
      </c>
      <c r="I38" s="1"/>
      <c r="J38" s="5">
        <f t="shared" ref="J38:J58" si="30">IF(H$12=0,0,H38/H$12)</f>
        <v>0</v>
      </c>
      <c r="K38" s="1"/>
      <c r="L38" s="1">
        <f t="shared" ref="L38:L58" si="31">+D38-H38</f>
        <v>0</v>
      </c>
      <c r="M38" s="1"/>
      <c r="N38" s="5">
        <f t="shared" ref="N38:N58" si="32">IF(H38=0,0,L38/H38)</f>
        <v>0</v>
      </c>
      <c r="O38" s="12"/>
      <c r="P38" s="1">
        <f>SUM(OSRRefP22_2x_0)</f>
        <v>262.2</v>
      </c>
      <c r="Q38" s="1"/>
      <c r="R38" s="5">
        <f t="shared" ref="R38:R58" si="33">IF(P$12=0,0,P38/P$12)</f>
        <v>3.8004636565661012E-4</v>
      </c>
      <c r="S38" s="1"/>
      <c r="T38" s="1">
        <f>SUM(OSRRefT22_2x_0)</f>
        <v>438.35</v>
      </c>
      <c r="U38" s="1"/>
      <c r="V38" s="5">
        <f t="shared" ref="V38:V58" si="34">IF(T$12=0,0,T38/T$12)</f>
        <v>4.7550862120398547E-4</v>
      </c>
      <c r="W38" s="1"/>
      <c r="X38" s="1">
        <f t="shared" ref="X38:X58" si="35">+P38-T38</f>
        <v>-176.15000000000003</v>
      </c>
      <c r="Y38" s="1"/>
      <c r="Z38" s="5">
        <f t="shared" ref="Z38:Z58" si="36">IF(T38=0,0,X38/T38)</f>
        <v>-0.40184783848522876</v>
      </c>
    </row>
    <row r="39" spans="1:26" s="24" customFormat="1" hidden="1" outlineLevel="2" x14ac:dyDescent="0.35">
      <c r="A39" s="27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29"/>
        <v>0</v>
      </c>
      <c r="G39" s="2"/>
      <c r="H39" s="7"/>
      <c r="I39" s="2"/>
      <c r="J39" s="6">
        <f t="shared" si="30"/>
        <v>0</v>
      </c>
      <c r="K39" s="2"/>
      <c r="L39" s="7">
        <f t="shared" si="31"/>
        <v>0</v>
      </c>
      <c r="M39" s="2"/>
      <c r="N39" s="6">
        <f t="shared" si="32"/>
        <v>0</v>
      </c>
      <c r="O39" s="11"/>
      <c r="P39" s="7">
        <v>262.2</v>
      </c>
      <c r="Q39" s="2"/>
      <c r="R39" s="6">
        <f t="shared" si="33"/>
        <v>3.8004636565661012E-4</v>
      </c>
      <c r="S39" s="2"/>
      <c r="T39" s="7">
        <v>438.35</v>
      </c>
      <c r="U39" s="2"/>
      <c r="V39" s="6">
        <f t="shared" si="34"/>
        <v>4.7550862120398547E-4</v>
      </c>
      <c r="W39" s="2"/>
      <c r="X39" s="7">
        <f t="shared" si="35"/>
        <v>-176.15000000000003</v>
      </c>
      <c r="Y39" s="2"/>
      <c r="Z39" s="6">
        <f t="shared" si="36"/>
        <v>-0.40184783848522876</v>
      </c>
    </row>
    <row r="40" spans="1:26" s="25" customFormat="1" outlineLevel="1" collapsed="1" x14ac:dyDescent="0.35">
      <c r="A40" s="26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1567.46</v>
      </c>
      <c r="I40" s="1"/>
      <c r="J40" s="5">
        <f t="shared" si="30"/>
        <v>0.12914425637375096</v>
      </c>
      <c r="K40" s="1"/>
      <c r="L40" s="1">
        <f t="shared" si="31"/>
        <v>-1567.46</v>
      </c>
      <c r="M40" s="1"/>
      <c r="N40" s="5">
        <f t="shared" si="32"/>
        <v>-1</v>
      </c>
      <c r="O40" s="12"/>
      <c r="P40" s="1">
        <f>SUM(OSRRefP22_3x_0)</f>
        <v>-53.23</v>
      </c>
      <c r="Q40" s="1"/>
      <c r="R40" s="5">
        <f t="shared" si="33"/>
        <v>-7.7154340365756508E-5</v>
      </c>
      <c r="S40" s="1"/>
      <c r="T40" s="1">
        <f>SUM(OSRRefT22_3x_0)</f>
        <v>1291.52</v>
      </c>
      <c r="U40" s="1"/>
      <c r="V40" s="5">
        <f t="shared" si="34"/>
        <v>1.4010012420608447E-3</v>
      </c>
      <c r="W40" s="1"/>
      <c r="X40" s="1">
        <f t="shared" si="35"/>
        <v>-1344.75</v>
      </c>
      <c r="Y40" s="1"/>
      <c r="Z40" s="5">
        <f t="shared" si="36"/>
        <v>-1.0412150024777007</v>
      </c>
    </row>
    <row r="41" spans="1:26" s="24" customFormat="1" hidden="1" outlineLevel="2" x14ac:dyDescent="0.35">
      <c r="A41" s="27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29"/>
        <v>0</v>
      </c>
      <c r="G41" s="2"/>
      <c r="H41" s="7">
        <v>1567.46</v>
      </c>
      <c r="I41" s="2"/>
      <c r="J41" s="6">
        <f t="shared" si="30"/>
        <v>0.12914425637375096</v>
      </c>
      <c r="K41" s="2"/>
      <c r="L41" s="7">
        <f t="shared" si="31"/>
        <v>-1567.46</v>
      </c>
      <c r="M41" s="2"/>
      <c r="N41" s="6">
        <f t="shared" si="32"/>
        <v>-1</v>
      </c>
      <c r="O41" s="11"/>
      <c r="P41" s="7">
        <v>-53.23</v>
      </c>
      <c r="Q41" s="2"/>
      <c r="R41" s="6">
        <f t="shared" si="33"/>
        <v>-7.7154340365756508E-5</v>
      </c>
      <c r="S41" s="2"/>
      <c r="T41" s="7">
        <v>1291.52</v>
      </c>
      <c r="U41" s="2"/>
      <c r="V41" s="6">
        <f t="shared" si="34"/>
        <v>1.4010012420608447E-3</v>
      </c>
      <c r="W41" s="2"/>
      <c r="X41" s="7">
        <f t="shared" si="35"/>
        <v>-1344.75</v>
      </c>
      <c r="Y41" s="2"/>
      <c r="Z41" s="6">
        <f t="shared" si="36"/>
        <v>-1.0412150024777007</v>
      </c>
    </row>
    <row r="42" spans="1:26" s="25" customFormat="1" outlineLevel="1" collapsed="1" x14ac:dyDescent="0.35">
      <c r="A42" s="26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29"/>
        <v>0</v>
      </c>
      <c r="G42" s="1"/>
      <c r="H42" s="1">
        <f>SUM(OSRRefH22_4x_0)</f>
        <v>370.81</v>
      </c>
      <c r="I42" s="1"/>
      <c r="J42" s="5">
        <f t="shared" si="30"/>
        <v>3.0551326162039604E-2</v>
      </c>
      <c r="K42" s="1"/>
      <c r="L42" s="1">
        <f t="shared" si="31"/>
        <v>-370.81</v>
      </c>
      <c r="M42" s="1"/>
      <c r="N42" s="5">
        <f t="shared" si="32"/>
        <v>-1</v>
      </c>
      <c r="O42" s="12"/>
      <c r="P42" s="1">
        <f>SUM(OSRRefP22_4x_0)</f>
        <v>25665.63</v>
      </c>
      <c r="Q42" s="1"/>
      <c r="R42" s="5">
        <f t="shared" si="33"/>
        <v>3.7201103752049061E-2</v>
      </c>
      <c r="S42" s="1"/>
      <c r="T42" s="1">
        <f>SUM(OSRRefT22_4x_0)</f>
        <v>30213.710000000003</v>
      </c>
      <c r="U42" s="1"/>
      <c r="V42" s="5">
        <f t="shared" si="34"/>
        <v>3.2774904947090379E-2</v>
      </c>
      <c r="W42" s="1"/>
      <c r="X42" s="1">
        <f t="shared" si="35"/>
        <v>-4548.0800000000017</v>
      </c>
      <c r="Y42" s="1"/>
      <c r="Z42" s="5">
        <f t="shared" si="36"/>
        <v>-0.15053033871047286</v>
      </c>
    </row>
    <row r="43" spans="1:26" s="24" customFormat="1" hidden="1" outlineLevel="2" x14ac:dyDescent="0.35">
      <c r="A43" s="27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29"/>
        <v>0</v>
      </c>
      <c r="G43" s="2"/>
      <c r="H43" s="7">
        <v>370.81</v>
      </c>
      <c r="I43" s="2"/>
      <c r="J43" s="6">
        <f t="shared" si="30"/>
        <v>3.0551326162039604E-2</v>
      </c>
      <c r="K43" s="2"/>
      <c r="L43" s="7">
        <f t="shared" si="31"/>
        <v>-370.81</v>
      </c>
      <c r="M43" s="2"/>
      <c r="N43" s="6">
        <f t="shared" si="32"/>
        <v>-1</v>
      </c>
      <c r="O43" s="11"/>
      <c r="P43" s="7">
        <v>25665.63</v>
      </c>
      <c r="Q43" s="2"/>
      <c r="R43" s="6">
        <f t="shared" si="33"/>
        <v>3.7201103752049061E-2</v>
      </c>
      <c r="S43" s="2"/>
      <c r="T43" s="7">
        <v>30213.710000000003</v>
      </c>
      <c r="U43" s="2"/>
      <c r="V43" s="6">
        <f t="shared" si="34"/>
        <v>3.2774904947090379E-2</v>
      </c>
      <c r="W43" s="2"/>
      <c r="X43" s="7">
        <f t="shared" si="35"/>
        <v>-4548.0800000000017</v>
      </c>
      <c r="Y43" s="2"/>
      <c r="Z43" s="6">
        <f t="shared" si="36"/>
        <v>-0.15053033871047286</v>
      </c>
    </row>
    <row r="44" spans="1:26" s="25" customFormat="1" outlineLevel="1" collapsed="1" x14ac:dyDescent="0.35">
      <c r="A44" s="26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2017.37</v>
      </c>
      <c r="E44" s="1"/>
      <c r="F44" s="5">
        <f t="shared" si="29"/>
        <v>0</v>
      </c>
      <c r="G44" s="1"/>
      <c r="H44" s="1">
        <f>SUM(OSRRefH22_5x_0)</f>
        <v>1857.6</v>
      </c>
      <c r="I44" s="1"/>
      <c r="J44" s="5">
        <f t="shared" si="30"/>
        <v>0.15304911808906116</v>
      </c>
      <c r="K44" s="1"/>
      <c r="L44" s="1">
        <f t="shared" si="31"/>
        <v>159.76999999999998</v>
      </c>
      <c r="M44" s="1"/>
      <c r="N44" s="5">
        <f t="shared" si="32"/>
        <v>8.6008828596037895E-2</v>
      </c>
      <c r="O44" s="12"/>
      <c r="P44" s="1">
        <f>SUM(OSRRefP22_5x_0)</f>
        <v>22930.030000000002</v>
      </c>
      <c r="Q44" s="1"/>
      <c r="R44" s="5">
        <f t="shared" si="33"/>
        <v>3.3235982326075671E-2</v>
      </c>
      <c r="S44" s="1"/>
      <c r="T44" s="1">
        <f>SUM(OSRRefT22_5x_0)</f>
        <v>25118.37</v>
      </c>
      <c r="U44" s="1"/>
      <c r="V44" s="5">
        <f t="shared" si="34"/>
        <v>2.7247636558894835E-2</v>
      </c>
      <c r="W44" s="1"/>
      <c r="X44" s="1">
        <f t="shared" si="35"/>
        <v>-2188.3399999999965</v>
      </c>
      <c r="Y44" s="1"/>
      <c r="Z44" s="5">
        <f t="shared" si="36"/>
        <v>-8.7121099020358278E-2</v>
      </c>
    </row>
    <row r="45" spans="1:26" s="24" customFormat="1" hidden="1" outlineLevel="2" x14ac:dyDescent="0.3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2017.37</v>
      </c>
      <c r="E45" s="2"/>
      <c r="F45" s="6">
        <f t="shared" si="29"/>
        <v>0</v>
      </c>
      <c r="G45" s="2"/>
      <c r="H45" s="7">
        <v>1857.6</v>
      </c>
      <c r="I45" s="2"/>
      <c r="J45" s="6">
        <f t="shared" si="30"/>
        <v>0.15304911808906116</v>
      </c>
      <c r="K45" s="2"/>
      <c r="L45" s="7">
        <f t="shared" si="31"/>
        <v>159.76999999999998</v>
      </c>
      <c r="M45" s="2"/>
      <c r="N45" s="6">
        <f t="shared" si="32"/>
        <v>8.6008828596037895E-2</v>
      </c>
      <c r="O45" s="11"/>
      <c r="P45" s="7">
        <v>22930.030000000002</v>
      </c>
      <c r="Q45" s="2"/>
      <c r="R45" s="6">
        <f t="shared" si="33"/>
        <v>3.3235982326075671E-2</v>
      </c>
      <c r="S45" s="2"/>
      <c r="T45" s="7">
        <v>25118.37</v>
      </c>
      <c r="U45" s="2"/>
      <c r="V45" s="6">
        <f t="shared" si="34"/>
        <v>2.7247636558894835E-2</v>
      </c>
      <c r="W45" s="2"/>
      <c r="X45" s="7">
        <f t="shared" si="35"/>
        <v>-2188.3399999999965</v>
      </c>
      <c r="Y45" s="2"/>
      <c r="Z45" s="6">
        <f t="shared" si="36"/>
        <v>-8.7121099020358278E-2</v>
      </c>
    </row>
    <row r="46" spans="1:26" s="25" customFormat="1" outlineLevel="1" collapsed="1" x14ac:dyDescent="0.35">
      <c r="A46" s="26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2"/>
      <c r="P46" s="1">
        <f>SUM(OSRRefP22_6x_0)</f>
        <v>0</v>
      </c>
      <c r="Q46" s="1"/>
      <c r="R46" s="5">
        <f t="shared" si="33"/>
        <v>0</v>
      </c>
      <c r="S46" s="1"/>
      <c r="T46" s="1">
        <f>SUM(OSRRefT22_6x_0)</f>
        <v>172.13</v>
      </c>
      <c r="U46" s="1"/>
      <c r="V46" s="5">
        <f t="shared" si="34"/>
        <v>1.8672133903921984E-4</v>
      </c>
      <c r="W46" s="1"/>
      <c r="X46" s="1">
        <f t="shared" si="35"/>
        <v>-172.13</v>
      </c>
      <c r="Y46" s="1"/>
      <c r="Z46" s="5">
        <f t="shared" si="36"/>
        <v>-1</v>
      </c>
    </row>
    <row r="47" spans="1:26" s="24" customFormat="1" hidden="1" outlineLevel="2" x14ac:dyDescent="0.3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9"/>
        <v>0</v>
      </c>
      <c r="G47" s="2"/>
      <c r="H47" s="7"/>
      <c r="I47" s="2"/>
      <c r="J47" s="6">
        <f t="shared" si="30"/>
        <v>0</v>
      </c>
      <c r="K47" s="2"/>
      <c r="L47" s="7">
        <f t="shared" si="31"/>
        <v>0</v>
      </c>
      <c r="M47" s="2"/>
      <c r="N47" s="6">
        <f t="shared" si="32"/>
        <v>0</v>
      </c>
      <c r="O47" s="11"/>
      <c r="P47" s="7"/>
      <c r="Q47" s="2"/>
      <c r="R47" s="6">
        <f t="shared" si="33"/>
        <v>0</v>
      </c>
      <c r="S47" s="2"/>
      <c r="T47" s="7">
        <v>172.13</v>
      </c>
      <c r="U47" s="2"/>
      <c r="V47" s="6">
        <f t="shared" si="34"/>
        <v>1.8672133903921984E-4</v>
      </c>
      <c r="W47" s="2"/>
      <c r="X47" s="7">
        <f t="shared" si="35"/>
        <v>-172.13</v>
      </c>
      <c r="Y47" s="2"/>
      <c r="Z47" s="6">
        <f t="shared" si="36"/>
        <v>-1</v>
      </c>
    </row>
    <row r="48" spans="1:26" s="25" customFormat="1" outlineLevel="1" collapsed="1" x14ac:dyDescent="0.35">
      <c r="A48" s="26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0</v>
      </c>
      <c r="E48" s="1"/>
      <c r="F48" s="5">
        <f t="shared" si="29"/>
        <v>0</v>
      </c>
      <c r="G48" s="1"/>
      <c r="H48" s="1">
        <f>SUM(OSRRefH22_7x_0)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2"/>
      <c r="P48" s="1">
        <f>SUM(OSRRefP22_7x_0)</f>
        <v>0</v>
      </c>
      <c r="Q48" s="1"/>
      <c r="R48" s="5">
        <f t="shared" si="33"/>
        <v>0</v>
      </c>
      <c r="S48" s="1"/>
      <c r="T48" s="1">
        <f>SUM(OSRRefT22_7x_0)</f>
        <v>34.159999999999997</v>
      </c>
      <c r="U48" s="1"/>
      <c r="V48" s="5">
        <f t="shared" si="34"/>
        <v>3.7055719174924471E-5</v>
      </c>
      <c r="W48" s="1"/>
      <c r="X48" s="1">
        <f t="shared" si="35"/>
        <v>-34.159999999999997</v>
      </c>
      <c r="Y48" s="1"/>
      <c r="Z48" s="5">
        <f t="shared" si="36"/>
        <v>-1</v>
      </c>
    </row>
    <row r="49" spans="1:26" s="24" customFormat="1" hidden="1" outlineLevel="2" x14ac:dyDescent="0.35">
      <c r="A49" s="27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29"/>
        <v>0</v>
      </c>
      <c r="G49" s="2"/>
      <c r="H49" s="7"/>
      <c r="I49" s="2"/>
      <c r="J49" s="6">
        <f t="shared" si="30"/>
        <v>0</v>
      </c>
      <c r="K49" s="2"/>
      <c r="L49" s="7">
        <f t="shared" si="31"/>
        <v>0</v>
      </c>
      <c r="M49" s="2"/>
      <c r="N49" s="6">
        <f t="shared" si="32"/>
        <v>0</v>
      </c>
      <c r="O49" s="11"/>
      <c r="P49" s="7"/>
      <c r="Q49" s="2"/>
      <c r="R49" s="6">
        <f t="shared" si="33"/>
        <v>0</v>
      </c>
      <c r="S49" s="2"/>
      <c r="T49" s="7">
        <v>34.159999999999997</v>
      </c>
      <c r="U49" s="2"/>
      <c r="V49" s="6">
        <f t="shared" si="34"/>
        <v>3.7055719174924471E-5</v>
      </c>
      <c r="W49" s="2"/>
      <c r="X49" s="7">
        <f t="shared" si="35"/>
        <v>-34.159999999999997</v>
      </c>
      <c r="Y49" s="2"/>
      <c r="Z49" s="6">
        <f t="shared" si="36"/>
        <v>-1</v>
      </c>
    </row>
    <row r="50" spans="1:26" s="25" customFormat="1" outlineLevel="1" collapsed="1" x14ac:dyDescent="0.35">
      <c r="A50" s="26"/>
      <c r="B50" s="12" t="str">
        <f>CONCATENATE("     ","Freight out/Postage                               ")</f>
        <v xml:space="preserve">     Freight out/Postage                               </v>
      </c>
      <c r="C50" s="12"/>
      <c r="D50" s="1">
        <f>SUM(OSRRefD22_8x_0)</f>
        <v>0</v>
      </c>
      <c r="E50" s="1"/>
      <c r="F50" s="5">
        <f t="shared" si="29"/>
        <v>0</v>
      </c>
      <c r="G50" s="1"/>
      <c r="H50" s="1">
        <f>SUM(OSRRefH22_8x_0)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2"/>
      <c r="P50" s="1">
        <f>SUM(OSRRefP22_8x_0)</f>
        <v>0</v>
      </c>
      <c r="Q50" s="1"/>
      <c r="R50" s="5">
        <f t="shared" si="33"/>
        <v>0</v>
      </c>
      <c r="S50" s="1"/>
      <c r="T50" s="1">
        <f>SUM(OSRRefT22_8x_0)</f>
        <v>-39.549999999999997</v>
      </c>
      <c r="U50" s="1"/>
      <c r="V50" s="5">
        <f t="shared" si="34"/>
        <v>-4.2902625684082633E-5</v>
      </c>
      <c r="W50" s="1"/>
      <c r="X50" s="1">
        <f t="shared" si="35"/>
        <v>39.549999999999997</v>
      </c>
      <c r="Y50" s="1"/>
      <c r="Z50" s="5">
        <f t="shared" si="36"/>
        <v>-1</v>
      </c>
    </row>
    <row r="51" spans="1:26" s="24" customFormat="1" hidden="1" outlineLevel="2" x14ac:dyDescent="0.35">
      <c r="A51" s="27"/>
      <c r="B51" s="11" t="str">
        <f>CONCATENATE("          ", "6307", " - ", "POSTAGE")</f>
        <v xml:space="preserve">          6307 - POSTAGE</v>
      </c>
      <c r="C51" s="11"/>
      <c r="D51" s="7"/>
      <c r="E51" s="2"/>
      <c r="F51" s="6">
        <f t="shared" si="29"/>
        <v>0</v>
      </c>
      <c r="G51" s="2"/>
      <c r="H51" s="7"/>
      <c r="I51" s="2"/>
      <c r="J51" s="6">
        <f t="shared" si="30"/>
        <v>0</v>
      </c>
      <c r="K51" s="2"/>
      <c r="L51" s="7">
        <f t="shared" si="31"/>
        <v>0</v>
      </c>
      <c r="M51" s="2"/>
      <c r="N51" s="6">
        <f t="shared" si="32"/>
        <v>0</v>
      </c>
      <c r="O51" s="11"/>
      <c r="P51" s="7"/>
      <c r="Q51" s="2"/>
      <c r="R51" s="6">
        <f t="shared" si="33"/>
        <v>0</v>
      </c>
      <c r="S51" s="2"/>
      <c r="T51" s="7">
        <v>-39.549999999999997</v>
      </c>
      <c r="U51" s="2"/>
      <c r="V51" s="6">
        <f t="shared" si="34"/>
        <v>-4.2902625684082633E-5</v>
      </c>
      <c r="W51" s="2"/>
      <c r="X51" s="7">
        <f t="shared" si="35"/>
        <v>39.549999999999997</v>
      </c>
      <c r="Y51" s="2"/>
      <c r="Z51" s="6">
        <f t="shared" si="36"/>
        <v>-1</v>
      </c>
    </row>
    <row r="52" spans="1:26" s="25" customFormat="1" outlineLevel="1" collapsed="1" x14ac:dyDescent="0.35">
      <c r="A52" s="26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SUM(OSRRefD22_9x_0)</f>
        <v>0</v>
      </c>
      <c r="E52" s="1"/>
      <c r="F52" s="5">
        <f t="shared" si="29"/>
        <v>0</v>
      </c>
      <c r="G52" s="1"/>
      <c r="H52" s="1">
        <f>SUM(OSRRefH22_9x_0)</f>
        <v>1.5</v>
      </c>
      <c r="I52" s="1"/>
      <c r="J52" s="5">
        <f t="shared" si="30"/>
        <v>1.2358617416752355E-4</v>
      </c>
      <c r="K52" s="1"/>
      <c r="L52" s="1">
        <f t="shared" si="31"/>
        <v>-1.5</v>
      </c>
      <c r="M52" s="1"/>
      <c r="N52" s="5">
        <f t="shared" si="32"/>
        <v>-1</v>
      </c>
      <c r="O52" s="12"/>
      <c r="P52" s="1">
        <f>SUM(OSRRefP22_9x_0)</f>
        <v>1231.03</v>
      </c>
      <c r="Q52" s="1"/>
      <c r="R52" s="5">
        <f t="shared" si="33"/>
        <v>1.7843191362099801E-3</v>
      </c>
      <c r="S52" s="1"/>
      <c r="T52" s="1">
        <f>SUM(OSRRefT22_9x_0)</f>
        <v>1649.67</v>
      </c>
      <c r="U52" s="1"/>
      <c r="V52" s="5">
        <f t="shared" si="34"/>
        <v>1.7895113656703062E-3</v>
      </c>
      <c r="W52" s="1"/>
      <c r="X52" s="1">
        <f t="shared" si="35"/>
        <v>-418.6400000000001</v>
      </c>
      <c r="Y52" s="1"/>
      <c r="Z52" s="5">
        <f t="shared" si="36"/>
        <v>-0.25377196651451506</v>
      </c>
    </row>
    <row r="53" spans="1:26" s="24" customFormat="1" hidden="1" outlineLevel="2" x14ac:dyDescent="0.35">
      <c r="A53" s="27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29"/>
        <v>0</v>
      </c>
      <c r="G53" s="2"/>
      <c r="H53" s="7">
        <v>1.5</v>
      </c>
      <c r="I53" s="2"/>
      <c r="J53" s="6">
        <f t="shared" si="30"/>
        <v>1.2358617416752355E-4</v>
      </c>
      <c r="K53" s="2"/>
      <c r="L53" s="7">
        <f t="shared" si="31"/>
        <v>-1.5</v>
      </c>
      <c r="M53" s="2"/>
      <c r="N53" s="6">
        <f t="shared" si="32"/>
        <v>-1</v>
      </c>
      <c r="O53" s="11"/>
      <c r="P53" s="7">
        <v>1231.03</v>
      </c>
      <c r="Q53" s="2"/>
      <c r="R53" s="6">
        <f t="shared" si="33"/>
        <v>1.7843191362099801E-3</v>
      </c>
      <c r="S53" s="2"/>
      <c r="T53" s="7">
        <v>1649.67</v>
      </c>
      <c r="U53" s="2"/>
      <c r="V53" s="6">
        <f t="shared" si="34"/>
        <v>1.7895113656703062E-3</v>
      </c>
      <c r="W53" s="2"/>
      <c r="X53" s="7">
        <f t="shared" si="35"/>
        <v>-418.6400000000001</v>
      </c>
      <c r="Y53" s="2"/>
      <c r="Z53" s="6">
        <f t="shared" si="36"/>
        <v>-0.25377196651451506</v>
      </c>
    </row>
    <row r="54" spans="1:26" s="25" customFormat="1" outlineLevel="1" collapsed="1" x14ac:dyDescent="0.35">
      <c r="A54" s="26"/>
      <c r="B54" s="12" t="str">
        <f>CONCATENATE("     ","Rent                                              ")</f>
        <v xml:space="preserve">     Rent                                              </v>
      </c>
      <c r="C54" s="12"/>
      <c r="D54" s="1">
        <f>SUM(OSRRefD22_10x_0)</f>
        <v>1150</v>
      </c>
      <c r="E54" s="1"/>
      <c r="F54" s="5">
        <f t="shared" si="29"/>
        <v>0</v>
      </c>
      <c r="G54" s="1"/>
      <c r="H54" s="1">
        <f>SUM(OSRRefH22_10x_0)</f>
        <v>1150</v>
      </c>
      <c r="I54" s="1"/>
      <c r="J54" s="5">
        <f t="shared" si="30"/>
        <v>9.4749400195101377E-2</v>
      </c>
      <c r="K54" s="1"/>
      <c r="L54" s="1">
        <f t="shared" si="31"/>
        <v>0</v>
      </c>
      <c r="M54" s="1"/>
      <c r="N54" s="5">
        <f t="shared" si="32"/>
        <v>0</v>
      </c>
      <c r="O54" s="12"/>
      <c r="P54" s="1">
        <f>SUM(OSRRefP22_10x_0)</f>
        <v>13800</v>
      </c>
      <c r="Q54" s="1"/>
      <c r="R54" s="5">
        <f t="shared" si="33"/>
        <v>2.0002440297716324E-2</v>
      </c>
      <c r="S54" s="1"/>
      <c r="T54" s="1">
        <f>SUM(OSRRefT22_10x_0)</f>
        <v>13800</v>
      </c>
      <c r="U54" s="1"/>
      <c r="V54" s="5">
        <f t="shared" si="34"/>
        <v>1.4969816294319606E-2</v>
      </c>
      <c r="W54" s="1"/>
      <c r="X54" s="1">
        <f t="shared" si="35"/>
        <v>0</v>
      </c>
      <c r="Y54" s="1"/>
      <c r="Z54" s="5">
        <f t="shared" si="36"/>
        <v>0</v>
      </c>
    </row>
    <row r="55" spans="1:26" s="24" customFormat="1" hidden="1" outlineLevel="2" x14ac:dyDescent="0.35">
      <c r="A55" s="27"/>
      <c r="B55" s="11" t="str">
        <f>CONCATENATE("          ", "6273", " - ", "RENT")</f>
        <v xml:space="preserve">          6273 - RENT</v>
      </c>
      <c r="C55" s="11"/>
      <c r="D55" s="7">
        <v>1150</v>
      </c>
      <c r="E55" s="2"/>
      <c r="F55" s="6">
        <f t="shared" si="29"/>
        <v>0</v>
      </c>
      <c r="G55" s="2"/>
      <c r="H55" s="7">
        <v>1150</v>
      </c>
      <c r="I55" s="2"/>
      <c r="J55" s="6">
        <f t="shared" si="30"/>
        <v>9.4749400195101377E-2</v>
      </c>
      <c r="K55" s="2"/>
      <c r="L55" s="7">
        <f t="shared" si="31"/>
        <v>0</v>
      </c>
      <c r="M55" s="2"/>
      <c r="N55" s="6">
        <f t="shared" si="32"/>
        <v>0</v>
      </c>
      <c r="O55" s="11"/>
      <c r="P55" s="7">
        <v>13800</v>
      </c>
      <c r="Q55" s="2"/>
      <c r="R55" s="6">
        <f t="shared" si="33"/>
        <v>2.0002440297716324E-2</v>
      </c>
      <c r="S55" s="2"/>
      <c r="T55" s="7">
        <v>13800</v>
      </c>
      <c r="U55" s="2"/>
      <c r="V55" s="6">
        <f t="shared" si="34"/>
        <v>1.4969816294319606E-2</v>
      </c>
      <c r="W55" s="2"/>
      <c r="X55" s="7">
        <f t="shared" si="35"/>
        <v>0</v>
      </c>
      <c r="Y55" s="2"/>
      <c r="Z55" s="6">
        <f t="shared" si="36"/>
        <v>0</v>
      </c>
    </row>
    <row r="56" spans="1:26" s="25" customFormat="1" outlineLevel="1" collapsed="1" x14ac:dyDescent="0.35">
      <c r="A56" s="26"/>
      <c r="B56" s="12" t="str">
        <f>CONCATENATE("     ","Repair and Maintenance                            ")</f>
        <v xml:space="preserve">     Repair and Maintenance                            </v>
      </c>
      <c r="C56" s="12"/>
      <c r="D56" s="1">
        <f>SUM(OSRRefD22_11x_0)</f>
        <v>72.349999999999994</v>
      </c>
      <c r="E56" s="1"/>
      <c r="F56" s="5">
        <f t="shared" si="29"/>
        <v>0</v>
      </c>
      <c r="G56" s="1"/>
      <c r="H56" s="1">
        <f>SUM(OSRRefH22_11x_0)</f>
        <v>113.16</v>
      </c>
      <c r="I56" s="1"/>
      <c r="J56" s="5">
        <f t="shared" si="30"/>
        <v>9.3233409791979756E-3</v>
      </c>
      <c r="K56" s="1"/>
      <c r="L56" s="1">
        <f t="shared" si="31"/>
        <v>-40.81</v>
      </c>
      <c r="M56" s="1"/>
      <c r="N56" s="5">
        <f t="shared" si="32"/>
        <v>-0.36063980205019447</v>
      </c>
      <c r="O56" s="12"/>
      <c r="P56" s="1">
        <f>SUM(OSRRefP22_11x_0)</f>
        <v>6568.8899999999994</v>
      </c>
      <c r="Q56" s="1"/>
      <c r="R56" s="5">
        <f t="shared" si="33"/>
        <v>9.5212920324105627E-3</v>
      </c>
      <c r="S56" s="1"/>
      <c r="T56" s="1">
        <f>SUM(OSRRefT22_11x_0)</f>
        <v>3845.07</v>
      </c>
      <c r="U56" s="1"/>
      <c r="V56" s="5">
        <f t="shared" si="34"/>
        <v>4.1710138796231516E-3</v>
      </c>
      <c r="W56" s="1"/>
      <c r="X56" s="1">
        <f t="shared" si="35"/>
        <v>2723.8199999999993</v>
      </c>
      <c r="Y56" s="1"/>
      <c r="Z56" s="5">
        <f t="shared" si="36"/>
        <v>0.70839282509811241</v>
      </c>
    </row>
    <row r="57" spans="1:26" s="24" customFormat="1" hidden="1" outlineLevel="2" x14ac:dyDescent="0.35">
      <c r="A57" s="27"/>
      <c r="B57" s="11" t="str">
        <f>CONCATENATE("          ", "6373", " - ", "MAINTENANCE CONTRACTS")</f>
        <v xml:space="preserve">          6373 - MAINTENANCE CONTRACTS</v>
      </c>
      <c r="C57" s="11"/>
      <c r="D57" s="7">
        <v>72.349999999999994</v>
      </c>
      <c r="E57" s="2"/>
      <c r="F57" s="6">
        <f t="shared" si="29"/>
        <v>0</v>
      </c>
      <c r="G57" s="2"/>
      <c r="H57" s="7">
        <v>67.47</v>
      </c>
      <c r="I57" s="2"/>
      <c r="J57" s="6">
        <f t="shared" si="30"/>
        <v>5.5589061140552086E-3</v>
      </c>
      <c r="K57" s="2"/>
      <c r="L57" s="7">
        <f t="shared" si="31"/>
        <v>4.8799999999999955</v>
      </c>
      <c r="M57" s="2"/>
      <c r="N57" s="6">
        <f t="shared" si="32"/>
        <v>7.232844227063874E-2</v>
      </c>
      <c r="O57" s="11"/>
      <c r="P57" s="7">
        <v>284.52999999999997</v>
      </c>
      <c r="Q57" s="2"/>
      <c r="R57" s="6">
        <f t="shared" si="33"/>
        <v>4.124126331818279E-4</v>
      </c>
      <c r="S57" s="2"/>
      <c r="T57" s="7">
        <v>269.88</v>
      </c>
      <c r="U57" s="2"/>
      <c r="V57" s="6">
        <f t="shared" si="34"/>
        <v>2.9275753779065038E-4</v>
      </c>
      <c r="W57" s="2"/>
      <c r="X57" s="7">
        <f t="shared" si="35"/>
        <v>14.649999999999977</v>
      </c>
      <c r="Y57" s="2"/>
      <c r="Z57" s="6">
        <f t="shared" si="36"/>
        <v>5.4283385208240616E-2</v>
      </c>
    </row>
    <row r="58" spans="1:26" s="24" customFormat="1" hidden="1" outlineLevel="2" x14ac:dyDescent="0.35">
      <c r="A58" s="27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29"/>
        <v>0</v>
      </c>
      <c r="G58" s="2"/>
      <c r="H58" s="7">
        <v>45.69</v>
      </c>
      <c r="I58" s="2"/>
      <c r="J58" s="6">
        <f t="shared" si="30"/>
        <v>3.764434865142767E-3</v>
      </c>
      <c r="K58" s="2"/>
      <c r="L58" s="7">
        <f t="shared" si="31"/>
        <v>-45.69</v>
      </c>
      <c r="M58" s="2"/>
      <c r="N58" s="6">
        <f t="shared" si="32"/>
        <v>-1</v>
      </c>
      <c r="O58" s="11"/>
      <c r="P58" s="7">
        <v>6284.36</v>
      </c>
      <c r="Q58" s="2"/>
      <c r="R58" s="6">
        <f t="shared" si="33"/>
        <v>9.1088793992287354E-3</v>
      </c>
      <c r="S58" s="2"/>
      <c r="T58" s="7">
        <v>3575.19</v>
      </c>
      <c r="U58" s="2"/>
      <c r="V58" s="6">
        <f t="shared" si="34"/>
        <v>3.8782563418325007E-3</v>
      </c>
      <c r="W58" s="2"/>
      <c r="X58" s="7">
        <f t="shared" si="35"/>
        <v>2709.1699999999996</v>
      </c>
      <c r="Y58" s="2"/>
      <c r="Z58" s="6">
        <f t="shared" si="36"/>
        <v>0.75776951714454321</v>
      </c>
    </row>
    <row r="59" spans="1:26" s="25" customFormat="1" outlineLevel="1" collapsed="1" x14ac:dyDescent="0.35">
      <c r="A59" s="26"/>
      <c r="B59" s="12" t="str">
        <f>CONCATENATE("     ","Services                                          ")</f>
        <v xml:space="preserve">     Services                                          </v>
      </c>
      <c r="C59" s="12"/>
      <c r="D59" s="1">
        <f>SUM(OSRRefD22_12x_0)</f>
        <v>2256.23</v>
      </c>
      <c r="E59" s="1"/>
      <c r="F59" s="5">
        <f t="shared" ref="F59:F62" si="37">IF(D$12=0,0,D59/D$12)</f>
        <v>0</v>
      </c>
      <c r="G59" s="1"/>
      <c r="H59" s="1">
        <f>SUM(OSRRefH22_12x_0)</f>
        <v>398.24</v>
      </c>
      <c r="I59" s="1"/>
      <c r="J59" s="5">
        <f t="shared" ref="J59:J62" si="38">IF(H$12=0,0,H59/H$12)</f>
        <v>3.2811305333649718E-2</v>
      </c>
      <c r="K59" s="1"/>
      <c r="L59" s="1">
        <f t="shared" ref="L59:L62" si="39">+D59-H59</f>
        <v>1857.99</v>
      </c>
      <c r="M59" s="1"/>
      <c r="N59" s="5">
        <f t="shared" ref="N59:N62" si="40">IF(H59=0,0,L59/H59)</f>
        <v>4.6655032141422259</v>
      </c>
      <c r="O59" s="12"/>
      <c r="P59" s="1">
        <f>SUM(OSRRefP22_12x_0)</f>
        <v>6676.4</v>
      </c>
      <c r="Q59" s="1"/>
      <c r="R59" s="5">
        <f t="shared" ref="R59:R62" si="41">IF(P$12=0,0,P59/P$12)</f>
        <v>9.6771226379473371E-3</v>
      </c>
      <c r="S59" s="1"/>
      <c r="T59" s="1">
        <f>SUM(OSRRefT22_12x_0)</f>
        <v>5837.03</v>
      </c>
      <c r="U59" s="1"/>
      <c r="V59" s="5">
        <f t="shared" ref="V59:V62" si="42">IF(T$12=0,0,T59/T$12)</f>
        <v>6.3318309278574177E-3</v>
      </c>
      <c r="W59" s="1"/>
      <c r="X59" s="1">
        <f t="shared" ref="X59:X62" si="43">+P59-T59</f>
        <v>839.36999999999989</v>
      </c>
      <c r="Y59" s="1"/>
      <c r="Z59" s="5">
        <f t="shared" ref="Z59:Z62" si="44">IF(T59=0,0,X59/T59)</f>
        <v>0.14380087133353775</v>
      </c>
    </row>
    <row r="60" spans="1:26" s="24" customFormat="1" hidden="1" outlineLevel="2" x14ac:dyDescent="0.35">
      <c r="A60" s="27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37"/>
        <v>0</v>
      </c>
      <c r="G60" s="2"/>
      <c r="H60" s="7">
        <v>24.92</v>
      </c>
      <c r="I60" s="2"/>
      <c r="J60" s="6">
        <f t="shared" si="38"/>
        <v>2.0531783068364578E-3</v>
      </c>
      <c r="K60" s="2"/>
      <c r="L60" s="7">
        <f t="shared" si="39"/>
        <v>-24.92</v>
      </c>
      <c r="M60" s="2"/>
      <c r="N60" s="6">
        <f t="shared" si="40"/>
        <v>-1</v>
      </c>
      <c r="O60" s="11"/>
      <c r="P60" s="7">
        <v>1051.29</v>
      </c>
      <c r="Q60" s="2"/>
      <c r="R60" s="6">
        <f t="shared" si="41"/>
        <v>1.5237945985932023E-3</v>
      </c>
      <c r="S60" s="2"/>
      <c r="T60" s="7">
        <v>1193.02</v>
      </c>
      <c r="U60" s="2"/>
      <c r="V60" s="6">
        <f t="shared" si="42"/>
        <v>1.2941514663368967E-3</v>
      </c>
      <c r="W60" s="2"/>
      <c r="X60" s="7">
        <f t="shared" si="43"/>
        <v>-141.73000000000002</v>
      </c>
      <c r="Y60" s="2"/>
      <c r="Z60" s="6">
        <f t="shared" si="44"/>
        <v>-0.11879934954988183</v>
      </c>
    </row>
    <row r="61" spans="1:26" s="24" customFormat="1" hidden="1" outlineLevel="2" x14ac:dyDescent="0.35">
      <c r="A61" s="27"/>
      <c r="B61" s="11" t="str">
        <f>CONCATENATE("          ", "6285", " - ", "JANITORIAL SERVICES")</f>
        <v xml:space="preserve">          6285 - JANITORIAL SERVICES</v>
      </c>
      <c r="C61" s="11"/>
      <c r="D61" s="7">
        <v>2256.23</v>
      </c>
      <c r="E61" s="2"/>
      <c r="F61" s="6">
        <f t="shared" si="37"/>
        <v>0</v>
      </c>
      <c r="G61" s="2"/>
      <c r="H61" s="7">
        <v>75.680000000000007</v>
      </c>
      <c r="I61" s="2"/>
      <c r="J61" s="6">
        <f t="shared" si="38"/>
        <v>6.235334440665455E-3</v>
      </c>
      <c r="K61" s="2"/>
      <c r="L61" s="7">
        <f t="shared" si="39"/>
        <v>2180.5500000000002</v>
      </c>
      <c r="M61" s="2"/>
      <c r="N61" s="6">
        <f t="shared" si="40"/>
        <v>28.812764270613108</v>
      </c>
      <c r="O61" s="11"/>
      <c r="P61" s="7">
        <v>3015.51</v>
      </c>
      <c r="Q61" s="2"/>
      <c r="R61" s="6">
        <f t="shared" si="41"/>
        <v>4.3708375900120694E-3</v>
      </c>
      <c r="S61" s="2"/>
      <c r="T61" s="7">
        <v>875.58</v>
      </c>
      <c r="U61" s="2"/>
      <c r="V61" s="6">
        <f t="shared" si="42"/>
        <v>9.4980230079567832E-4</v>
      </c>
      <c r="W61" s="2"/>
      <c r="X61" s="7">
        <f t="shared" si="43"/>
        <v>2139.9300000000003</v>
      </c>
      <c r="Y61" s="2"/>
      <c r="Z61" s="6">
        <f t="shared" si="44"/>
        <v>2.4440142534091689</v>
      </c>
    </row>
    <row r="62" spans="1:26" s="24" customFormat="1" hidden="1" outlineLevel="2" x14ac:dyDescent="0.35">
      <c r="A62" s="27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37"/>
        <v>0</v>
      </c>
      <c r="G62" s="2"/>
      <c r="H62" s="7">
        <v>297.64</v>
      </c>
      <c r="I62" s="2"/>
      <c r="J62" s="6">
        <f t="shared" si="38"/>
        <v>2.4522792586147802E-2</v>
      </c>
      <c r="K62" s="2"/>
      <c r="L62" s="7">
        <f t="shared" si="39"/>
        <v>-297.64</v>
      </c>
      <c r="M62" s="2"/>
      <c r="N62" s="6">
        <f t="shared" si="40"/>
        <v>-1</v>
      </c>
      <c r="O62" s="11"/>
      <c r="P62" s="7">
        <v>2609.6</v>
      </c>
      <c r="Q62" s="2"/>
      <c r="R62" s="6">
        <f t="shared" si="41"/>
        <v>3.7824904493420661E-3</v>
      </c>
      <c r="S62" s="2"/>
      <c r="T62" s="7">
        <v>3768.43</v>
      </c>
      <c r="U62" s="2"/>
      <c r="V62" s="6">
        <f t="shared" si="42"/>
        <v>4.0878771607248425E-3</v>
      </c>
      <c r="W62" s="2"/>
      <c r="X62" s="7">
        <f t="shared" si="43"/>
        <v>-1158.83</v>
      </c>
      <c r="Y62" s="2"/>
      <c r="Z62" s="6">
        <f t="shared" si="44"/>
        <v>-0.30751002406837863</v>
      </c>
    </row>
    <row r="63" spans="1:26" s="25" customFormat="1" outlineLevel="1" collapsed="1" x14ac:dyDescent="0.35">
      <c r="A63" s="26"/>
      <c r="B63" s="12" t="str">
        <f>CONCATENATE("     ","Subscriptions &amp; Dues                              ")</f>
        <v xml:space="preserve">     Subscriptions &amp; Dues                              </v>
      </c>
      <c r="C63" s="12"/>
      <c r="D63" s="1">
        <f>SUM(OSRRefD22_13x_0)</f>
        <v>0</v>
      </c>
      <c r="E63" s="1"/>
      <c r="F63" s="5">
        <f t="shared" ref="F63:F72" si="45">IF(D$12=0,0,D63/D$12)</f>
        <v>0</v>
      </c>
      <c r="G63" s="1"/>
      <c r="H63" s="1">
        <f>SUM(OSRRefH22_13x_0)</f>
        <v>0</v>
      </c>
      <c r="I63" s="1"/>
      <c r="J63" s="5">
        <f t="shared" ref="J63:J72" si="46">IF(H$12=0,0,H63/H$12)</f>
        <v>0</v>
      </c>
      <c r="K63" s="1"/>
      <c r="L63" s="1">
        <f t="shared" ref="L63:L72" si="47">+D63-H63</f>
        <v>0</v>
      </c>
      <c r="M63" s="1"/>
      <c r="N63" s="5">
        <f t="shared" ref="N63:N72" si="48">IF(H63=0,0,L63/H63)</f>
        <v>0</v>
      </c>
      <c r="O63" s="12"/>
      <c r="P63" s="1">
        <f>SUM(OSRRefP22_13x_0)</f>
        <v>0</v>
      </c>
      <c r="Q63" s="1"/>
      <c r="R63" s="5">
        <f t="shared" ref="R63:R72" si="49">IF(P$12=0,0,P63/P$12)</f>
        <v>0</v>
      </c>
      <c r="S63" s="1"/>
      <c r="T63" s="1">
        <f>SUM(OSRRefT22_13x_0)</f>
        <v>45</v>
      </c>
      <c r="U63" s="1"/>
      <c r="V63" s="5">
        <f t="shared" ref="V63:V72" si="50">IF(T$12=0,0,T63/T$12)</f>
        <v>4.8814618351042194E-5</v>
      </c>
      <c r="W63" s="1"/>
      <c r="X63" s="1">
        <f t="shared" ref="X63:X72" si="51">+P63-T63</f>
        <v>-45</v>
      </c>
      <c r="Y63" s="1"/>
      <c r="Z63" s="5">
        <f t="shared" ref="Z63:Z72" si="52">IF(T63=0,0,X63/T63)</f>
        <v>-1</v>
      </c>
    </row>
    <row r="64" spans="1:26" s="24" customFormat="1" hidden="1" outlineLevel="2" x14ac:dyDescent="0.35">
      <c r="A64" s="27"/>
      <c r="B64" s="11" t="str">
        <f>CONCATENATE("          ", "6258", " - ", "MEMBERSHIP DUES")</f>
        <v xml:space="preserve">          6258 - MEMBERSHIP DUES</v>
      </c>
      <c r="C64" s="11"/>
      <c r="D64" s="7"/>
      <c r="E64" s="2"/>
      <c r="F64" s="6">
        <f t="shared" si="45"/>
        <v>0</v>
      </c>
      <c r="G64" s="2"/>
      <c r="H64" s="7"/>
      <c r="I64" s="2"/>
      <c r="J64" s="6">
        <f t="shared" si="46"/>
        <v>0</v>
      </c>
      <c r="K64" s="2"/>
      <c r="L64" s="7">
        <f t="shared" si="47"/>
        <v>0</v>
      </c>
      <c r="M64" s="2"/>
      <c r="N64" s="6">
        <f t="shared" si="48"/>
        <v>0</v>
      </c>
      <c r="O64" s="11"/>
      <c r="P64" s="7"/>
      <c r="Q64" s="2"/>
      <c r="R64" s="6">
        <f t="shared" si="49"/>
        <v>0</v>
      </c>
      <c r="S64" s="2"/>
      <c r="T64" s="7">
        <v>45</v>
      </c>
      <c r="U64" s="2"/>
      <c r="V64" s="6">
        <f t="shared" si="50"/>
        <v>4.8814618351042194E-5</v>
      </c>
      <c r="W64" s="2"/>
      <c r="X64" s="7">
        <f t="shared" si="51"/>
        <v>-45</v>
      </c>
      <c r="Y64" s="2"/>
      <c r="Z64" s="6">
        <f t="shared" si="52"/>
        <v>-1</v>
      </c>
    </row>
    <row r="65" spans="1:26" s="25" customFormat="1" outlineLevel="1" collapsed="1" x14ac:dyDescent="0.35">
      <c r="A65" s="26"/>
      <c r="B65" s="12" t="str">
        <f>CONCATENATE("     ","Supplies                                          ")</f>
        <v xml:space="preserve">     Supplies                                          </v>
      </c>
      <c r="C65" s="12"/>
      <c r="D65" s="1">
        <f>SUM(OSRRefD22_14x_0)</f>
        <v>-29.9</v>
      </c>
      <c r="E65" s="1"/>
      <c r="F65" s="5">
        <f t="shared" si="45"/>
        <v>0</v>
      </c>
      <c r="G65" s="1"/>
      <c r="H65" s="1">
        <f>SUM(OSRRefH22_14x_0)</f>
        <v>430.27</v>
      </c>
      <c r="I65" s="1"/>
      <c r="J65" s="5">
        <f t="shared" si="46"/>
        <v>3.5450282106040232E-2</v>
      </c>
      <c r="K65" s="1"/>
      <c r="L65" s="1">
        <f t="shared" si="47"/>
        <v>-460.16999999999996</v>
      </c>
      <c r="M65" s="1"/>
      <c r="N65" s="5">
        <f t="shared" si="48"/>
        <v>-1.0694912496804332</v>
      </c>
      <c r="O65" s="12"/>
      <c r="P65" s="1">
        <f>SUM(OSRRefP22_14x_0)</f>
        <v>14308.310000000001</v>
      </c>
      <c r="Q65" s="1"/>
      <c r="R65" s="5">
        <f t="shared" si="49"/>
        <v>2.0739211343204163E-2</v>
      </c>
      <c r="S65" s="1"/>
      <c r="T65" s="1">
        <f>SUM(OSRRefT22_14x_0)</f>
        <v>16900.46</v>
      </c>
      <c r="U65" s="1"/>
      <c r="V65" s="5">
        <f t="shared" si="50"/>
        <v>1.8333100107934545E-2</v>
      </c>
      <c r="W65" s="1"/>
      <c r="X65" s="1">
        <f t="shared" si="51"/>
        <v>-2592.1499999999978</v>
      </c>
      <c r="Y65" s="1"/>
      <c r="Z65" s="5">
        <f t="shared" si="52"/>
        <v>-0.15337748203303331</v>
      </c>
    </row>
    <row r="66" spans="1:26" s="24" customFormat="1" hidden="1" outlineLevel="2" x14ac:dyDescent="0.35">
      <c r="A66" s="27"/>
      <c r="B66" s="11" t="str">
        <f>CONCATENATE("          ", "6234", " - ", "EXPENDABLE SUPPLIES &amp; EQUIPMEN")</f>
        <v xml:space="preserve">          6234 - EXPENDABLE SUPPLIES &amp; EQUIPMEN</v>
      </c>
      <c r="C66" s="11"/>
      <c r="D66" s="7"/>
      <c r="E66" s="2"/>
      <c r="F66" s="6">
        <f t="shared" si="45"/>
        <v>0</v>
      </c>
      <c r="G66" s="2"/>
      <c r="H66" s="7"/>
      <c r="I66" s="2"/>
      <c r="J66" s="6">
        <f t="shared" si="46"/>
        <v>0</v>
      </c>
      <c r="K66" s="2"/>
      <c r="L66" s="7">
        <f t="shared" si="47"/>
        <v>0</v>
      </c>
      <c r="M66" s="2"/>
      <c r="N66" s="6">
        <f t="shared" si="48"/>
        <v>0</v>
      </c>
      <c r="O66" s="11"/>
      <c r="P66" s="7">
        <v>354.71</v>
      </c>
      <c r="Q66" s="2"/>
      <c r="R66" s="6">
        <f t="shared" si="49"/>
        <v>5.1413518826108379E-4</v>
      </c>
      <c r="S66" s="2"/>
      <c r="T66" s="7"/>
      <c r="U66" s="2"/>
      <c r="V66" s="6">
        <f t="shared" si="50"/>
        <v>0</v>
      </c>
      <c r="W66" s="2"/>
      <c r="X66" s="7">
        <f t="shared" si="51"/>
        <v>354.71</v>
      </c>
      <c r="Y66" s="2"/>
      <c r="Z66" s="6">
        <f t="shared" si="52"/>
        <v>0</v>
      </c>
    </row>
    <row r="67" spans="1:26" s="24" customFormat="1" hidden="1" outlineLevel="2" x14ac:dyDescent="0.35">
      <c r="A67" s="27"/>
      <c r="B67" s="11" t="str">
        <f>CONCATENATE("          ", "6237", " - ", "JANITORIAL SUPPLIES")</f>
        <v xml:space="preserve">          6237 - JANITORIAL SUPPLIES</v>
      </c>
      <c r="C67" s="11"/>
      <c r="D67" s="7"/>
      <c r="E67" s="2"/>
      <c r="F67" s="6">
        <f t="shared" si="45"/>
        <v>0</v>
      </c>
      <c r="G67" s="2"/>
      <c r="H67" s="7"/>
      <c r="I67" s="2"/>
      <c r="J67" s="6">
        <f t="shared" si="46"/>
        <v>0</v>
      </c>
      <c r="K67" s="2"/>
      <c r="L67" s="7">
        <f t="shared" si="47"/>
        <v>0</v>
      </c>
      <c r="M67" s="2"/>
      <c r="N67" s="6">
        <f t="shared" si="48"/>
        <v>0</v>
      </c>
      <c r="O67" s="11"/>
      <c r="P67" s="7">
        <v>1709.62</v>
      </c>
      <c r="Q67" s="2"/>
      <c r="R67" s="6">
        <f t="shared" si="49"/>
        <v>2.4780124624479549E-3</v>
      </c>
      <c r="S67" s="2"/>
      <c r="T67" s="7">
        <v>2355.12</v>
      </c>
      <c r="U67" s="2"/>
      <c r="V67" s="6">
        <f t="shared" si="50"/>
        <v>2.5547618660201441E-3</v>
      </c>
      <c r="W67" s="2"/>
      <c r="X67" s="7">
        <f t="shared" si="51"/>
        <v>-645.5</v>
      </c>
      <c r="Y67" s="2"/>
      <c r="Z67" s="6">
        <f t="shared" si="52"/>
        <v>-0.27408369849519348</v>
      </c>
    </row>
    <row r="68" spans="1:26" s="24" customFormat="1" hidden="1" outlineLevel="2" x14ac:dyDescent="0.35">
      <c r="A68" s="27"/>
      <c r="B68" s="11" t="str">
        <f>CONCATENATE("          ", "6239", " - ", "KITCHEN SUPPLIES")</f>
        <v xml:space="preserve">          6239 - KITCHEN SUPPLIES</v>
      </c>
      <c r="C68" s="11"/>
      <c r="D68" s="7"/>
      <c r="E68" s="2"/>
      <c r="F68" s="6">
        <f t="shared" si="45"/>
        <v>0</v>
      </c>
      <c r="G68" s="2"/>
      <c r="H68" s="7"/>
      <c r="I68" s="2"/>
      <c r="J68" s="6">
        <f t="shared" si="46"/>
        <v>0</v>
      </c>
      <c r="K68" s="2"/>
      <c r="L68" s="7">
        <f t="shared" si="47"/>
        <v>0</v>
      </c>
      <c r="M68" s="2"/>
      <c r="N68" s="6">
        <f t="shared" si="48"/>
        <v>0</v>
      </c>
      <c r="O68" s="11"/>
      <c r="P68" s="7">
        <v>441.2</v>
      </c>
      <c r="Q68" s="2"/>
      <c r="R68" s="6">
        <f t="shared" si="49"/>
        <v>6.3949830864872762E-4</v>
      </c>
      <c r="S68" s="2"/>
      <c r="T68" s="7">
        <v>43.19</v>
      </c>
      <c r="U68" s="2"/>
      <c r="V68" s="6">
        <f t="shared" si="50"/>
        <v>4.6851185924033604E-5</v>
      </c>
      <c r="W68" s="2"/>
      <c r="X68" s="7">
        <f t="shared" si="51"/>
        <v>398.01</v>
      </c>
      <c r="Y68" s="2"/>
      <c r="Z68" s="6">
        <f t="shared" si="52"/>
        <v>9.2153276221347529</v>
      </c>
    </row>
    <row r="69" spans="1:26" s="24" customFormat="1" hidden="1" outlineLevel="2" x14ac:dyDescent="0.35">
      <c r="A69" s="27"/>
      <c r="B69" s="11" t="str">
        <f>CONCATENATE("          ", "6241", " - ", "OFFICE EXPENSE")</f>
        <v xml:space="preserve">          6241 - OFFICE EXPENSE</v>
      </c>
      <c r="C69" s="11"/>
      <c r="D69" s="7"/>
      <c r="E69" s="2"/>
      <c r="F69" s="6">
        <f t="shared" si="45"/>
        <v>0</v>
      </c>
      <c r="G69" s="2"/>
      <c r="H69" s="7"/>
      <c r="I69" s="2"/>
      <c r="J69" s="6">
        <f t="shared" si="46"/>
        <v>0</v>
      </c>
      <c r="K69" s="2"/>
      <c r="L69" s="7">
        <f t="shared" si="47"/>
        <v>0</v>
      </c>
      <c r="M69" s="2"/>
      <c r="N69" s="6">
        <f t="shared" si="48"/>
        <v>0</v>
      </c>
      <c r="O69" s="11"/>
      <c r="P69" s="7">
        <v>1564.62</v>
      </c>
      <c r="Q69" s="2"/>
      <c r="R69" s="6">
        <f t="shared" si="49"/>
        <v>2.2678418941023851E-3</v>
      </c>
      <c r="S69" s="2"/>
      <c r="T69" s="7">
        <v>3377.63</v>
      </c>
      <c r="U69" s="2"/>
      <c r="V69" s="6">
        <f t="shared" si="50"/>
        <v>3.6639493195784589E-3</v>
      </c>
      <c r="W69" s="2"/>
      <c r="X69" s="7">
        <f t="shared" si="51"/>
        <v>-1813.0100000000002</v>
      </c>
      <c r="Y69" s="2"/>
      <c r="Z69" s="6">
        <f t="shared" si="52"/>
        <v>-0.53676986526055259</v>
      </c>
    </row>
    <row r="70" spans="1:26" s="24" customFormat="1" hidden="1" outlineLevel="2" x14ac:dyDescent="0.35">
      <c r="A70" s="27"/>
      <c r="B70" s="11" t="str">
        <f>CONCATENATE("          ", "6243", " - ", "PAPER SUPPLIES")</f>
        <v xml:space="preserve">          6243 - PAPER SUPPLIES</v>
      </c>
      <c r="C70" s="11"/>
      <c r="D70" s="7"/>
      <c r="E70" s="2"/>
      <c r="F70" s="6">
        <f t="shared" si="45"/>
        <v>0</v>
      </c>
      <c r="G70" s="2"/>
      <c r="H70" s="7"/>
      <c r="I70" s="2"/>
      <c r="J70" s="6">
        <f t="shared" si="46"/>
        <v>0</v>
      </c>
      <c r="K70" s="2"/>
      <c r="L70" s="7">
        <f t="shared" si="47"/>
        <v>0</v>
      </c>
      <c r="M70" s="2"/>
      <c r="N70" s="6">
        <f t="shared" si="48"/>
        <v>0</v>
      </c>
      <c r="O70" s="11"/>
      <c r="P70" s="7">
        <v>2823.28</v>
      </c>
      <c r="Q70" s="2"/>
      <c r="R70" s="6">
        <f t="shared" si="49"/>
        <v>4.0922093944736624E-3</v>
      </c>
      <c r="S70" s="2"/>
      <c r="T70" s="7">
        <v>5618.59</v>
      </c>
      <c r="U70" s="2"/>
      <c r="V70" s="6">
        <f t="shared" si="50"/>
        <v>6.0948739226884922E-3</v>
      </c>
      <c r="W70" s="2"/>
      <c r="X70" s="7">
        <f t="shared" si="51"/>
        <v>-2795.31</v>
      </c>
      <c r="Y70" s="2"/>
      <c r="Z70" s="6">
        <f t="shared" si="52"/>
        <v>-0.49751094135717322</v>
      </c>
    </row>
    <row r="71" spans="1:26" s="24" customFormat="1" hidden="1" outlineLevel="2" x14ac:dyDescent="0.35">
      <c r="A71" s="27"/>
      <c r="B71" s="11" t="str">
        <f>CONCATENATE("          ", "6247", " - ", "STORE SUPPLIES")</f>
        <v xml:space="preserve">          6247 - STORE SUPPLIES</v>
      </c>
      <c r="C71" s="11"/>
      <c r="D71" s="7">
        <v>-29.9</v>
      </c>
      <c r="E71" s="2"/>
      <c r="F71" s="6">
        <f t="shared" si="45"/>
        <v>0</v>
      </c>
      <c r="G71" s="2"/>
      <c r="H71" s="7">
        <v>430.27</v>
      </c>
      <c r="I71" s="2"/>
      <c r="J71" s="6">
        <f t="shared" si="46"/>
        <v>3.5450282106040232E-2</v>
      </c>
      <c r="K71" s="2"/>
      <c r="L71" s="7">
        <f t="shared" si="47"/>
        <v>-460.16999999999996</v>
      </c>
      <c r="M71" s="2"/>
      <c r="N71" s="6">
        <f t="shared" si="48"/>
        <v>-1.0694912496804332</v>
      </c>
      <c r="O71" s="11"/>
      <c r="P71" s="7">
        <v>7337.29</v>
      </c>
      <c r="Q71" s="2"/>
      <c r="R71" s="6">
        <f t="shared" si="49"/>
        <v>1.0635051099422536E-2</v>
      </c>
      <c r="S71" s="2"/>
      <c r="T71" s="7">
        <v>5318.06</v>
      </c>
      <c r="U71" s="2"/>
      <c r="V71" s="6">
        <f t="shared" si="50"/>
        <v>5.7688682059542995E-3</v>
      </c>
      <c r="W71" s="2"/>
      <c r="X71" s="7">
        <f t="shared" si="51"/>
        <v>2019.2299999999996</v>
      </c>
      <c r="Y71" s="2"/>
      <c r="Z71" s="6">
        <f t="shared" si="52"/>
        <v>0.37969297074497083</v>
      </c>
    </row>
    <row r="72" spans="1:26" s="24" customFormat="1" hidden="1" outlineLevel="2" x14ac:dyDescent="0.35">
      <c r="A72" s="27"/>
      <c r="B72" s="11" t="str">
        <f>CONCATENATE("          ", "6248", " - ", "UNIFORMS")</f>
        <v xml:space="preserve">          6248 - UNIFORMS</v>
      </c>
      <c r="C72" s="11"/>
      <c r="D72" s="7"/>
      <c r="E72" s="2"/>
      <c r="F72" s="6">
        <f t="shared" si="45"/>
        <v>0</v>
      </c>
      <c r="G72" s="2"/>
      <c r="H72" s="7"/>
      <c r="I72" s="2"/>
      <c r="J72" s="6">
        <f t="shared" si="46"/>
        <v>0</v>
      </c>
      <c r="K72" s="2"/>
      <c r="L72" s="7">
        <f t="shared" si="47"/>
        <v>0</v>
      </c>
      <c r="M72" s="2"/>
      <c r="N72" s="6">
        <f t="shared" si="48"/>
        <v>0</v>
      </c>
      <c r="O72" s="11"/>
      <c r="P72" s="7">
        <v>77.59</v>
      </c>
      <c r="Q72" s="2"/>
      <c r="R72" s="6">
        <f t="shared" si="49"/>
        <v>1.1246299584781229E-4</v>
      </c>
      <c r="S72" s="2"/>
      <c r="T72" s="7">
        <v>187.87</v>
      </c>
      <c r="U72" s="2"/>
      <c r="V72" s="6">
        <f t="shared" si="50"/>
        <v>2.0379560776911772E-4</v>
      </c>
      <c r="W72" s="2"/>
      <c r="X72" s="7">
        <f t="shared" si="51"/>
        <v>-110.28</v>
      </c>
      <c r="Y72" s="2"/>
      <c r="Z72" s="6">
        <f t="shared" si="52"/>
        <v>-0.58700165007718097</v>
      </c>
    </row>
    <row r="73" spans="1:26" s="25" customFormat="1" outlineLevel="1" collapsed="1" x14ac:dyDescent="0.35">
      <c r="A73" s="26"/>
      <c r="B73" s="12" t="str">
        <f>CONCATENATE("     ","Telephone/Data Lines                              ")</f>
        <v xml:space="preserve">     Telephone/Data Lines                              </v>
      </c>
      <c r="C73" s="12"/>
      <c r="D73" s="1">
        <f>SUM(OSRRefD22_15x_0)</f>
        <v>47</v>
      </c>
      <c r="E73" s="1"/>
      <c r="F73" s="5">
        <f t="shared" ref="F73:F78" si="53">IF(D$12=0,0,D73/D$12)</f>
        <v>0</v>
      </c>
      <c r="G73" s="1"/>
      <c r="H73" s="1">
        <f>SUM(OSRRefH22_15x_0)</f>
        <v>36</v>
      </c>
      <c r="I73" s="1"/>
      <c r="J73" s="5">
        <f t="shared" ref="J73:J78" si="54">IF(H$12=0,0,H73/H$12)</f>
        <v>2.966068180020565E-3</v>
      </c>
      <c r="K73" s="1"/>
      <c r="L73" s="1">
        <f t="shared" ref="L73:L78" si="55">+D73-H73</f>
        <v>11</v>
      </c>
      <c r="M73" s="1"/>
      <c r="N73" s="5">
        <f t="shared" ref="N73:N78" si="56">IF(H73=0,0,L73/H73)</f>
        <v>0.30555555555555558</v>
      </c>
      <c r="O73" s="12"/>
      <c r="P73" s="1">
        <f>SUM(OSRRefP22_15x_0)</f>
        <v>737.28</v>
      </c>
      <c r="Q73" s="1"/>
      <c r="R73" s="5">
        <f t="shared" ref="R73:R78" si="57">IF(P$12=0,0,P73/P$12)</f>
        <v>1.0686521146884267E-3</v>
      </c>
      <c r="S73" s="1"/>
      <c r="T73" s="1">
        <f>SUM(OSRRefT22_15x_0)</f>
        <v>432</v>
      </c>
      <c r="U73" s="1"/>
      <c r="V73" s="5">
        <f t="shared" ref="V73:V78" si="58">IF(T$12=0,0,T73/T$12)</f>
        <v>4.6862033617000502E-4</v>
      </c>
      <c r="W73" s="1"/>
      <c r="X73" s="1">
        <f t="shared" ref="X73:X78" si="59">+P73-T73</f>
        <v>305.27999999999997</v>
      </c>
      <c r="Y73" s="1"/>
      <c r="Z73" s="5">
        <f t="shared" ref="Z73:Z78" si="60">IF(T73=0,0,X73/T73)</f>
        <v>0.70666666666666655</v>
      </c>
    </row>
    <row r="74" spans="1:26" s="24" customFormat="1" hidden="1" outlineLevel="2" x14ac:dyDescent="0.35">
      <c r="A74" s="27"/>
      <c r="B74" s="11" t="str">
        <f>CONCATENATE("          ", "6309", " - ", "TELEPHONE")</f>
        <v xml:space="preserve">          6309 - TELEPHONE</v>
      </c>
      <c r="C74" s="11"/>
      <c r="D74" s="7">
        <v>47</v>
      </c>
      <c r="E74" s="2"/>
      <c r="F74" s="6">
        <f t="shared" si="53"/>
        <v>0</v>
      </c>
      <c r="G74" s="2"/>
      <c r="H74" s="7">
        <v>36</v>
      </c>
      <c r="I74" s="2"/>
      <c r="J74" s="6">
        <f t="shared" si="54"/>
        <v>2.966068180020565E-3</v>
      </c>
      <c r="K74" s="2"/>
      <c r="L74" s="7">
        <f t="shared" si="55"/>
        <v>11</v>
      </c>
      <c r="M74" s="2"/>
      <c r="N74" s="6">
        <f t="shared" si="56"/>
        <v>0.30555555555555558</v>
      </c>
      <c r="O74" s="11"/>
      <c r="P74" s="7">
        <v>737.28</v>
      </c>
      <c r="Q74" s="2"/>
      <c r="R74" s="6">
        <f t="shared" si="57"/>
        <v>1.0686521146884267E-3</v>
      </c>
      <c r="S74" s="2"/>
      <c r="T74" s="7">
        <v>432</v>
      </c>
      <c r="U74" s="2"/>
      <c r="V74" s="6">
        <f t="shared" si="58"/>
        <v>4.6862033617000502E-4</v>
      </c>
      <c r="W74" s="2"/>
      <c r="X74" s="7">
        <f t="shared" si="59"/>
        <v>305.27999999999997</v>
      </c>
      <c r="Y74" s="2"/>
      <c r="Z74" s="6">
        <f t="shared" si="60"/>
        <v>0.70666666666666655</v>
      </c>
    </row>
    <row r="75" spans="1:26" s="25" customFormat="1" outlineLevel="1" collapsed="1" x14ac:dyDescent="0.35">
      <c r="A75" s="26"/>
      <c r="B75" s="12" t="str">
        <f>CONCATENATE("     ","Travel                                            ")</f>
        <v xml:space="preserve">     Travel                                            </v>
      </c>
      <c r="C75" s="12"/>
      <c r="D75" s="1">
        <f>SUM(OSRRefD22_16x_0)</f>
        <v>0</v>
      </c>
      <c r="E75" s="1"/>
      <c r="F75" s="5">
        <f t="shared" si="53"/>
        <v>0</v>
      </c>
      <c r="G75" s="1"/>
      <c r="H75" s="1">
        <f>SUM(OSRRefH22_16x_0)</f>
        <v>0</v>
      </c>
      <c r="I75" s="1"/>
      <c r="J75" s="5">
        <f t="shared" si="54"/>
        <v>0</v>
      </c>
      <c r="K75" s="1"/>
      <c r="L75" s="1">
        <f t="shared" si="55"/>
        <v>0</v>
      </c>
      <c r="M75" s="1"/>
      <c r="N75" s="5">
        <f t="shared" si="56"/>
        <v>0</v>
      </c>
      <c r="O75" s="12"/>
      <c r="P75" s="1">
        <f>SUM(OSRRefP22_16x_0)</f>
        <v>66</v>
      </c>
      <c r="Q75" s="1"/>
      <c r="R75" s="5">
        <f t="shared" si="57"/>
        <v>9.5663844902121542E-5</v>
      </c>
      <c r="S75" s="1"/>
      <c r="T75" s="1">
        <f>SUM(OSRRefT22_16x_0)</f>
        <v>0</v>
      </c>
      <c r="U75" s="1"/>
      <c r="V75" s="5">
        <f t="shared" si="58"/>
        <v>0</v>
      </c>
      <c r="W75" s="1"/>
      <c r="X75" s="1">
        <f t="shared" si="59"/>
        <v>66</v>
      </c>
      <c r="Y75" s="1"/>
      <c r="Z75" s="5">
        <f t="shared" si="60"/>
        <v>0</v>
      </c>
    </row>
    <row r="76" spans="1:26" s="24" customFormat="1" hidden="1" outlineLevel="2" x14ac:dyDescent="0.35">
      <c r="A76" s="27"/>
      <c r="B76" s="11" t="str">
        <f>CONCATENATE("          ", "6298", " - ", "VEHICLE MILEAGE")</f>
        <v xml:space="preserve">          6298 - VEHICLE MILEAGE</v>
      </c>
      <c r="C76" s="11"/>
      <c r="D76" s="7"/>
      <c r="E76" s="2"/>
      <c r="F76" s="6">
        <f t="shared" si="53"/>
        <v>0</v>
      </c>
      <c r="G76" s="2"/>
      <c r="H76" s="7"/>
      <c r="I76" s="2"/>
      <c r="J76" s="6">
        <f t="shared" si="54"/>
        <v>0</v>
      </c>
      <c r="K76" s="2"/>
      <c r="L76" s="7">
        <f t="shared" si="55"/>
        <v>0</v>
      </c>
      <c r="M76" s="2"/>
      <c r="N76" s="6">
        <f t="shared" si="56"/>
        <v>0</v>
      </c>
      <c r="O76" s="11"/>
      <c r="P76" s="7">
        <v>66</v>
      </c>
      <c r="Q76" s="2"/>
      <c r="R76" s="6">
        <f t="shared" si="57"/>
        <v>9.5663844902121542E-5</v>
      </c>
      <c r="S76" s="2"/>
      <c r="T76" s="7"/>
      <c r="U76" s="2"/>
      <c r="V76" s="6">
        <f t="shared" si="58"/>
        <v>0</v>
      </c>
      <c r="W76" s="2"/>
      <c r="X76" s="7">
        <f t="shared" si="59"/>
        <v>66</v>
      </c>
      <c r="Y76" s="2"/>
      <c r="Z76" s="6">
        <f t="shared" si="60"/>
        <v>0</v>
      </c>
    </row>
    <row r="77" spans="1:26" s="25" customFormat="1" outlineLevel="1" collapsed="1" x14ac:dyDescent="0.35">
      <c r="A77" s="26"/>
      <c r="B77" s="12" t="str">
        <f>CONCATENATE("     ","Utilities                                         ")</f>
        <v xml:space="preserve">     Utilities                                         </v>
      </c>
      <c r="C77" s="12"/>
      <c r="D77" s="1">
        <f>SUM(OSRRefD22_17x_0)</f>
        <v>208</v>
      </c>
      <c r="E77" s="1"/>
      <c r="F77" s="5">
        <f t="shared" si="53"/>
        <v>0</v>
      </c>
      <c r="G77" s="1"/>
      <c r="H77" s="1">
        <f>SUM(OSRRefH22_17x_0)</f>
        <v>182</v>
      </c>
      <c r="I77" s="1"/>
      <c r="J77" s="5">
        <f t="shared" si="54"/>
        <v>1.4995122465659523E-2</v>
      </c>
      <c r="K77" s="1"/>
      <c r="L77" s="1">
        <f t="shared" si="55"/>
        <v>26</v>
      </c>
      <c r="M77" s="1"/>
      <c r="N77" s="5">
        <f t="shared" si="56"/>
        <v>0.14285714285714285</v>
      </c>
      <c r="O77" s="12"/>
      <c r="P77" s="1">
        <f>SUM(OSRRefP22_17x_0)</f>
        <v>2433</v>
      </c>
      <c r="Q77" s="1"/>
      <c r="R77" s="5">
        <f t="shared" si="57"/>
        <v>3.5265171916191171E-3</v>
      </c>
      <c r="S77" s="1"/>
      <c r="T77" s="1">
        <f>SUM(OSRRefT22_17x_0)</f>
        <v>1858.68</v>
      </c>
      <c r="U77" s="1"/>
      <c r="V77" s="5">
        <f t="shared" si="58"/>
        <v>2.0162389963714468E-3</v>
      </c>
      <c r="W77" s="1"/>
      <c r="X77" s="1">
        <f t="shared" si="59"/>
        <v>574.31999999999994</v>
      </c>
      <c r="Y77" s="1"/>
      <c r="Z77" s="5">
        <f t="shared" si="60"/>
        <v>0.30899347924333392</v>
      </c>
    </row>
    <row r="78" spans="1:26" s="24" customFormat="1" hidden="1" outlineLevel="2" x14ac:dyDescent="0.35">
      <c r="A78" s="27"/>
      <c r="B78" s="11" t="str">
        <f>CONCATENATE("          ", "6274", " - ", "UTILITIES")</f>
        <v xml:space="preserve">          6274 - UTILITIES</v>
      </c>
      <c r="C78" s="11"/>
      <c r="D78" s="7">
        <v>208</v>
      </c>
      <c r="E78" s="2"/>
      <c r="F78" s="6">
        <f t="shared" si="53"/>
        <v>0</v>
      </c>
      <c r="G78" s="2"/>
      <c r="H78" s="7">
        <v>182</v>
      </c>
      <c r="I78" s="2"/>
      <c r="J78" s="6">
        <f t="shared" si="54"/>
        <v>1.4995122465659523E-2</v>
      </c>
      <c r="K78" s="2"/>
      <c r="L78" s="7">
        <f t="shared" si="55"/>
        <v>26</v>
      </c>
      <c r="M78" s="2"/>
      <c r="N78" s="6">
        <f t="shared" si="56"/>
        <v>0.14285714285714285</v>
      </c>
      <c r="O78" s="11"/>
      <c r="P78" s="7">
        <v>2433</v>
      </c>
      <c r="Q78" s="2"/>
      <c r="R78" s="6">
        <f t="shared" si="57"/>
        <v>3.5265171916191171E-3</v>
      </c>
      <c r="S78" s="2"/>
      <c r="T78" s="7">
        <v>1858.68</v>
      </c>
      <c r="U78" s="2"/>
      <c r="V78" s="6">
        <f t="shared" si="58"/>
        <v>2.0162389963714468E-3</v>
      </c>
      <c r="W78" s="2"/>
      <c r="X78" s="7">
        <f t="shared" si="59"/>
        <v>574.31999999999994</v>
      </c>
      <c r="Y78" s="2"/>
      <c r="Z78" s="6">
        <f t="shared" si="60"/>
        <v>0.30899347924333392</v>
      </c>
    </row>
    <row r="79" spans="1:26" s="56" customFormat="1" x14ac:dyDescent="0.3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35">
      <c r="A80" s="10"/>
      <c r="B80" s="29" t="s">
        <v>0</v>
      </c>
      <c r="C80" s="10"/>
      <c r="D80" s="4">
        <f>SUM(0)</f>
        <v>0</v>
      </c>
      <c r="E80" s="4"/>
      <c r="F80" s="13">
        <f>IF(D$12=0,0,D80/D$12)</f>
        <v>0</v>
      </c>
      <c r="G80" s="4"/>
      <c r="H80" s="4">
        <f>SUM(0)</f>
        <v>0</v>
      </c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0"/>
      <c r="P80" s="4">
        <f>SUM(0)</f>
        <v>0</v>
      </c>
      <c r="Q80" s="4"/>
      <c r="R80" s="13">
        <f>IF(P$12=0,0,P80/P$12)</f>
        <v>0</v>
      </c>
      <c r="S80" s="4"/>
      <c r="T80" s="4">
        <f>SUM(0)</f>
        <v>0</v>
      </c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3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5">
      <c r="A82" s="10"/>
      <c r="B82" s="28" t="s">
        <v>3</v>
      </c>
      <c r="C82" s="28"/>
      <c r="D82" s="22">
        <f>+D20-D22+D80</f>
        <v>-11731.679999999998</v>
      </c>
      <c r="E82" s="14"/>
      <c r="F82" s="21">
        <f>IF(D$12=0,0,D82/D$12)</f>
        <v>0</v>
      </c>
      <c r="G82" s="14"/>
      <c r="H82" s="22">
        <f>+H20-H22+H80</f>
        <v>-20542.11</v>
      </c>
      <c r="I82" s="14"/>
      <c r="J82" s="21">
        <f>IF(H$12=0,0,H82/H$12)</f>
        <v>-1.6924805228189514</v>
      </c>
      <c r="K82" s="15"/>
      <c r="L82" s="22">
        <f>+D82-H82</f>
        <v>8810.4300000000021</v>
      </c>
      <c r="M82" s="15"/>
      <c r="N82" s="21">
        <f>IF(H82=0,0,L82/H82)</f>
        <v>-0.42889605790252328</v>
      </c>
      <c r="O82" s="29"/>
      <c r="P82" s="22">
        <f>+P20-P22+P80</f>
        <v>5811.5099999998929</v>
      </c>
      <c r="Q82" s="14"/>
      <c r="R82" s="21">
        <f>IF(P$12=0,0,P82/P$12)</f>
        <v>8.4235059285926988E-3</v>
      </c>
      <c r="S82" s="14"/>
      <c r="T82" s="22">
        <f>+T20-T22+T80</f>
        <v>145170.52999999997</v>
      </c>
      <c r="U82" s="14"/>
      <c r="V82" s="21">
        <f>IF(T$12=0,0,T82/T$12)</f>
        <v>0.15747653372818932</v>
      </c>
      <c r="W82" s="15"/>
      <c r="X82" s="22">
        <f>+P82-T82</f>
        <v>-139359.02000000008</v>
      </c>
      <c r="Y82" s="15"/>
      <c r="Z82" s="21">
        <f>IF(T82=0,0,X82/T82)</f>
        <v>-0.95996770143361809</v>
      </c>
    </row>
    <row r="83" spans="1:26" x14ac:dyDescent="0.3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5">
      <c r="A84" s="51"/>
      <c r="B84" s="10" t="s">
        <v>13</v>
      </c>
      <c r="C84" s="10"/>
      <c r="D84" s="4">
        <v>22779.759999999998</v>
      </c>
      <c r="E84" s="4"/>
      <c r="F84" s="13">
        <f>IF(D$12=0,0,D84/D$12)</f>
        <v>0</v>
      </c>
      <c r="G84" s="4"/>
      <c r="H84" s="4">
        <v>-28916.76</v>
      </c>
      <c r="I84" s="4"/>
      <c r="J84" s="13">
        <f>IF(H$12=0,0,H84/H$12)</f>
        <v>-2.3824744918136518</v>
      </c>
      <c r="K84" s="4"/>
      <c r="L84" s="4">
        <f>+D84-H84</f>
        <v>51696.52</v>
      </c>
      <c r="M84" s="4"/>
      <c r="N84" s="13">
        <f>IF(H84=0,0,L84/H84)</f>
        <v>-1.7877701374566168</v>
      </c>
      <c r="O84" s="10"/>
      <c r="P84" s="4">
        <v>104479.99</v>
      </c>
      <c r="Q84" s="4"/>
      <c r="R84" s="13">
        <f>IF(P$12=0,0,P84/P$12)</f>
        <v>0.15143875088992742</v>
      </c>
      <c r="S84" s="4"/>
      <c r="T84" s="4">
        <v>65707.14</v>
      </c>
      <c r="U84" s="4"/>
      <c r="V84" s="13">
        <f>IF(T$12=0,0,T84/T$12)</f>
        <v>7.1277088045299961E-2</v>
      </c>
      <c r="W84" s="4"/>
      <c r="X84" s="4">
        <f>+P84-T84</f>
        <v>38772.850000000006</v>
      </c>
      <c r="Y84" s="4"/>
      <c r="Z84" s="13">
        <f>IF(T84=0,0,X84/T84)</f>
        <v>0.59008579585110543</v>
      </c>
    </row>
    <row r="85" spans="1:26" x14ac:dyDescent="0.3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4">
      <c r="A86" s="10"/>
      <c r="B86" s="28" t="s">
        <v>4</v>
      </c>
      <c r="C86" s="28"/>
      <c r="D86" s="34">
        <f>+D82-D84</f>
        <v>-34511.439999999995</v>
      </c>
      <c r="E86" s="14"/>
      <c r="F86" s="32">
        <f>IF(D$12=0,0,D86/D$12)</f>
        <v>0</v>
      </c>
      <c r="G86" s="14"/>
      <c r="H86" s="34">
        <f>+H82-H84</f>
        <v>8374.6499999999978</v>
      </c>
      <c r="I86" s="14"/>
      <c r="J86" s="32">
        <f>IF(H$12=0,0,H86/H$12)</f>
        <v>0.68999396899470056</v>
      </c>
      <c r="K86" s="15"/>
      <c r="L86" s="34">
        <f>D86-H86</f>
        <v>-42886.09</v>
      </c>
      <c r="M86" s="15"/>
      <c r="N86" s="32">
        <f>IF(H86=0,0,L86/H86)</f>
        <v>-5.1209411736609898</v>
      </c>
      <c r="O86" s="29"/>
      <c r="P86" s="34">
        <f>+P82-P84</f>
        <v>-98668.480000000112</v>
      </c>
      <c r="Q86" s="14"/>
      <c r="R86" s="32">
        <f>IF(P$12=0,0,P86/P$12)</f>
        <v>-0.14301524496133472</v>
      </c>
      <c r="S86" s="14"/>
      <c r="T86" s="34">
        <f>+T82-T84</f>
        <v>79463.38999999997</v>
      </c>
      <c r="U86" s="14"/>
      <c r="V86" s="32">
        <f>IF(T$12=0,0,T86/T$12)</f>
        <v>8.6199445682889356E-2</v>
      </c>
      <c r="W86" s="15"/>
      <c r="X86" s="34">
        <f>P86-T86</f>
        <v>-178131.87000000008</v>
      </c>
      <c r="Y86" s="15"/>
      <c r="Z86" s="32">
        <f>IF(T86=0,0,X86/T86)</f>
        <v>-2.2416847557095179</v>
      </c>
    </row>
    <row r="87" spans="1:26" ht="15" thickTop="1" x14ac:dyDescent="0.3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3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" thickBot="1" x14ac:dyDescent="0.4">
      <c r="A89" s="10"/>
      <c r="B89" s="28" t="s">
        <v>5</v>
      </c>
      <c r="C89" s="28"/>
      <c r="D89" s="35">
        <f>SUM(D86:D88)</f>
        <v>-34511.439999999995</v>
      </c>
      <c r="E89" s="14"/>
      <c r="F89" s="33">
        <f>IF(D$12=0,0,D89/D$12)</f>
        <v>0</v>
      </c>
      <c r="G89" s="14"/>
      <c r="H89" s="35">
        <f>SUM(H86:H88)</f>
        <v>8374.6499999999978</v>
      </c>
      <c r="I89" s="14"/>
      <c r="J89" s="33">
        <f>IF(H$12=0,0,H89/H$12)</f>
        <v>0.68999396899470056</v>
      </c>
      <c r="K89" s="15"/>
      <c r="L89" s="35">
        <f>+D89-H89</f>
        <v>-42886.09</v>
      </c>
      <c r="M89" s="15"/>
      <c r="N89" s="33">
        <f>IF(H89=0,0,L89/H89)</f>
        <v>-5.1209411736609898</v>
      </c>
      <c r="O89" s="29"/>
      <c r="P89" s="35">
        <f>SUM(P86:P88)</f>
        <v>-98668.480000000112</v>
      </c>
      <c r="Q89" s="14"/>
      <c r="R89" s="33">
        <f>IF(P$12=0,0,P89/P$12)</f>
        <v>-0.14301524496133472</v>
      </c>
      <c r="S89" s="14"/>
      <c r="T89" s="35">
        <f>SUM(T86:T88)</f>
        <v>79463.38999999997</v>
      </c>
      <c r="U89" s="14"/>
      <c r="V89" s="33">
        <f>IF(T$12=0,0,T89/T$12)</f>
        <v>8.6199445682889356E-2</v>
      </c>
      <c r="W89" s="15"/>
      <c r="X89" s="35">
        <f>+P89-T89</f>
        <v>-178131.87000000008</v>
      </c>
      <c r="Y89" s="15"/>
      <c r="Z89" s="33">
        <f>IF(T89=0,0,X89/T89)</f>
        <v>-2.2416847557095179</v>
      </c>
    </row>
    <row r="90" spans="1:26" ht="15" thickTop="1" x14ac:dyDescent="0.35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5">
      <c r="A91" s="9"/>
      <c r="B91" s="52">
        <v>44043.52300494213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5">
      <c r="A92" s="9"/>
      <c r="B92" s="61" t="s">
        <v>313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5">
      <c r="A93" s="9"/>
      <c r="B93" s="54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5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","325", " - ", "Outpost C-Store")</f>
        <v>Department 325 - Outpost C-Store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9632.11</v>
      </c>
      <c r="I12" s="4"/>
      <c r="J12" s="13"/>
      <c r="K12" s="4"/>
      <c r="L12" s="4">
        <f t="shared" ref="L12:L14" si="0">+D12-H12</f>
        <v>-9632.11</v>
      </c>
      <c r="M12" s="4"/>
      <c r="N12" s="13">
        <f t="shared" ref="N12:N14" si="1">IF(H12=0,0,L12/H12)</f>
        <v>-1</v>
      </c>
      <c r="O12" s="10"/>
      <c r="P12" s="4">
        <f>SUM(OSRRefP13x_0)</f>
        <v>596954.75</v>
      </c>
      <c r="Q12" s="4"/>
      <c r="R12" s="13"/>
      <c r="S12" s="4"/>
      <c r="T12" s="4">
        <f>SUM(OSRRefT13x_0)</f>
        <v>727347.75</v>
      </c>
      <c r="U12" s="4"/>
      <c r="V12" s="13"/>
      <c r="W12" s="4"/>
      <c r="X12" s="4">
        <f t="shared" ref="X12:X14" si="2">+P12-T12</f>
        <v>-130393</v>
      </c>
      <c r="Y12" s="4"/>
      <c r="Z12" s="13">
        <f t="shared" ref="Z12:Z14" si="3">IF(T12=0,0,X12/T12)</f>
        <v>-0.179271881984924</v>
      </c>
    </row>
    <row r="13" spans="1:26" s="24" customFormat="1" hidden="1" outlineLevel="1" x14ac:dyDescent="0.3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--1592.11</f>
        <v>1592.11</v>
      </c>
      <c r="I13" s="2"/>
      <c r="J13" s="19"/>
      <c r="K13" s="2"/>
      <c r="L13" s="2">
        <f t="shared" si="0"/>
        <v>-1592.11</v>
      </c>
      <c r="M13" s="2"/>
      <c r="N13" s="19">
        <f t="shared" si="1"/>
        <v>-1</v>
      </c>
      <c r="O13" s="11"/>
      <c r="P13" s="2">
        <f>--105564.32</f>
        <v>105564.32</v>
      </c>
      <c r="Q13" s="2"/>
      <c r="R13" s="19"/>
      <c r="S13" s="2"/>
      <c r="T13" s="2">
        <f>--155714.92</f>
        <v>155714.92000000001</v>
      </c>
      <c r="U13" s="2"/>
      <c r="V13" s="19"/>
      <c r="W13" s="2"/>
      <c r="X13" s="2">
        <f t="shared" si="2"/>
        <v>-50150.600000000006</v>
      </c>
      <c r="Y13" s="2"/>
      <c r="Z13" s="19">
        <f t="shared" si="3"/>
        <v>-0.32206676148952201</v>
      </c>
    </row>
    <row r="14" spans="1:26" s="24" customFormat="1" hidden="1" outlineLevel="1" x14ac:dyDescent="0.3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--8040</f>
        <v>8040</v>
      </c>
      <c r="I14" s="2"/>
      <c r="J14" s="19"/>
      <c r="K14" s="2"/>
      <c r="L14" s="2">
        <f t="shared" si="0"/>
        <v>-8040</v>
      </c>
      <c r="M14" s="2"/>
      <c r="N14" s="19">
        <f t="shared" si="1"/>
        <v>-1</v>
      </c>
      <c r="O14" s="11"/>
      <c r="P14" s="2">
        <f>--491390.43</f>
        <v>491390.43</v>
      </c>
      <c r="Q14" s="2"/>
      <c r="R14" s="19"/>
      <c r="S14" s="2"/>
      <c r="T14" s="2">
        <f>--571632.83</f>
        <v>571632.82999999996</v>
      </c>
      <c r="U14" s="2"/>
      <c r="V14" s="19"/>
      <c r="W14" s="2"/>
      <c r="X14" s="2">
        <f t="shared" si="2"/>
        <v>-80242.399999999965</v>
      </c>
      <c r="Y14" s="2"/>
      <c r="Z14" s="19">
        <f t="shared" si="3"/>
        <v>-0.14037402295455978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9" t="s">
        <v>8</v>
      </c>
      <c r="C16" s="10"/>
      <c r="D16" s="4">
        <f>SUM(OSRRefD16x_0)</f>
        <v>0</v>
      </c>
      <c r="E16" s="4"/>
      <c r="F16" s="13">
        <f t="shared" ref="F16:F18" si="5">IF(D$12=0,0,D16/D$12)</f>
        <v>0</v>
      </c>
      <c r="G16" s="4"/>
      <c r="H16" s="4">
        <f>SUM(OSRRefH16x_0)</f>
        <v>14084.06</v>
      </c>
      <c r="I16" s="4"/>
      <c r="J16" s="13">
        <f t="shared" ref="J16:J18" si="6">IF(H$12=0,0,H16/H$12)</f>
        <v>1.462198832862166</v>
      </c>
      <c r="K16" s="4"/>
      <c r="L16" s="4">
        <f t="shared" ref="L16:L18" si="7">+D16-H16</f>
        <v>-14084.06</v>
      </c>
      <c r="M16" s="4"/>
      <c r="N16" s="13">
        <f t="shared" ref="N16:N18" si="8">IF(H16=0,0,L16/H16)</f>
        <v>-1</v>
      </c>
      <c r="O16" s="10"/>
      <c r="P16" s="4">
        <f>SUM(OSRRefP16x_0)</f>
        <v>292875.49</v>
      </c>
      <c r="Q16" s="4"/>
      <c r="R16" s="13">
        <f t="shared" ref="R16:R18" si="9">IF(P$12=0,0,P16/P$12)</f>
        <v>0.49061589676604467</v>
      </c>
      <c r="S16" s="4"/>
      <c r="T16" s="4">
        <f>SUM(OSRRefT16x_0)</f>
        <v>351973.38</v>
      </c>
      <c r="U16" s="4"/>
      <c r="V16" s="13">
        <f t="shared" ref="V16:V18" si="10">IF(T$12=0,0,T16/T$12)</f>
        <v>0.48391347880020252</v>
      </c>
      <c r="W16" s="4"/>
      <c r="X16" s="4">
        <f t="shared" ref="X16:X18" si="11">+P16-T16</f>
        <v>-59097.890000000014</v>
      </c>
      <c r="Y16" s="4"/>
      <c r="Z16" s="13">
        <f t="shared" ref="Z16:Z18" si="12">IF(T16=0,0,X16/T16)</f>
        <v>-0.16790443072711922</v>
      </c>
    </row>
    <row r="17" spans="1:26" s="24" customFormat="1" hidden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1129.6600000000001</v>
      </c>
      <c r="I17" s="2"/>
      <c r="J17" s="19">
        <f t="shared" si="6"/>
        <v>0.11728063736813638</v>
      </c>
      <c r="K17" s="2"/>
      <c r="L17" s="2">
        <f t="shared" si="7"/>
        <v>-1129.6600000000001</v>
      </c>
      <c r="M17" s="2"/>
      <c r="N17" s="19">
        <f t="shared" si="8"/>
        <v>-1</v>
      </c>
      <c r="O17" s="11"/>
      <c r="P17" s="2">
        <v>281898.5</v>
      </c>
      <c r="Q17" s="2"/>
      <c r="R17" s="19">
        <f t="shared" si="9"/>
        <v>0.47222758508915458</v>
      </c>
      <c r="S17" s="2"/>
      <c r="T17" s="2">
        <v>325860.83</v>
      </c>
      <c r="U17" s="2"/>
      <c r="V17" s="19">
        <f t="shared" si="10"/>
        <v>0.44801242596818375</v>
      </c>
      <c r="W17" s="2"/>
      <c r="X17" s="2">
        <f t="shared" si="11"/>
        <v>-43962.330000000016</v>
      </c>
      <c r="Y17" s="2"/>
      <c r="Z17" s="19">
        <f t="shared" si="12"/>
        <v>-0.134911366916975</v>
      </c>
    </row>
    <row r="18" spans="1:26" s="24" customFormat="1" hidden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12954.4</v>
      </c>
      <c r="I18" s="2"/>
      <c r="J18" s="19">
        <f t="shared" si="6"/>
        <v>1.3449181954940297</v>
      </c>
      <c r="K18" s="2"/>
      <c r="L18" s="2">
        <f t="shared" si="7"/>
        <v>-12954.4</v>
      </c>
      <c r="M18" s="2"/>
      <c r="N18" s="19">
        <f t="shared" si="8"/>
        <v>-1</v>
      </c>
      <c r="O18" s="11"/>
      <c r="P18" s="2">
        <v>10976.99</v>
      </c>
      <c r="Q18" s="2"/>
      <c r="R18" s="19">
        <f t="shared" si="9"/>
        <v>1.8388311676890083E-2</v>
      </c>
      <c r="S18" s="2"/>
      <c r="T18" s="2">
        <v>26112.550000000003</v>
      </c>
      <c r="U18" s="2"/>
      <c r="V18" s="19">
        <f t="shared" si="10"/>
        <v>3.5901052832018804E-2</v>
      </c>
      <c r="W18" s="2"/>
      <c r="X18" s="2">
        <f t="shared" si="11"/>
        <v>-15135.560000000003</v>
      </c>
      <c r="Y18" s="2"/>
      <c r="Z18" s="19">
        <f t="shared" si="12"/>
        <v>-0.5796278034891269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0</v>
      </c>
      <c r="E20" s="14"/>
      <c r="F20" s="21">
        <f>IF(D$12=0,0,D20/D$12)</f>
        <v>0</v>
      </c>
      <c r="G20" s="14"/>
      <c r="H20" s="22">
        <f>H12-H16</f>
        <v>-4451.9499999999989</v>
      </c>
      <c r="I20" s="14"/>
      <c r="J20" s="21">
        <f>IF(H$12=0,0,H20/H$12)</f>
        <v>-0.46219883286216606</v>
      </c>
      <c r="K20" s="15"/>
      <c r="L20" s="22">
        <f>+D20-H20</f>
        <v>4451.9499999999989</v>
      </c>
      <c r="M20" s="15"/>
      <c r="N20" s="21">
        <f>IF(H20=0,0,L20/H20)</f>
        <v>-1</v>
      </c>
      <c r="O20" s="29"/>
      <c r="P20" s="22">
        <f>P12-P16</f>
        <v>304079.26</v>
      </c>
      <c r="Q20" s="14"/>
      <c r="R20" s="21">
        <f>IF(P$12=0,0,P20/P$12)</f>
        <v>0.50938410323395533</v>
      </c>
      <c r="S20" s="14"/>
      <c r="T20" s="22">
        <f>T12-T16</f>
        <v>375374.37</v>
      </c>
      <c r="U20" s="14"/>
      <c r="V20" s="21">
        <f>IF(T$12=0,0,T20/T$12)</f>
        <v>0.51608652119979748</v>
      </c>
      <c r="W20" s="15"/>
      <c r="X20" s="22">
        <f>+P20-T20</f>
        <v>-71295.109999999986</v>
      </c>
      <c r="Y20" s="15"/>
      <c r="Z20" s="21">
        <f>IF(T20=0,0,X20/T20)</f>
        <v>-0.18993068173514346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22102.61</v>
      </c>
      <c r="E22" s="20"/>
      <c r="F22" s="36">
        <f t="shared" ref="F22:F31" si="13">IF(D$12=0,0,D22/D$12)</f>
        <v>0</v>
      </c>
      <c r="G22" s="20"/>
      <c r="H22" s="20">
        <f>SUM(OSRRefH22x_0)</f>
        <v>19637.22</v>
      </c>
      <c r="I22" s="20"/>
      <c r="J22" s="36">
        <f t="shared" ref="J22:J31" si="14">IF(H$12=0,0,H22/H$12)</f>
        <v>2.0387246408107882</v>
      </c>
      <c r="K22" s="4"/>
      <c r="L22" s="20">
        <f t="shared" ref="L22:L31" si="15">+D22-H22</f>
        <v>2465.3899999999994</v>
      </c>
      <c r="M22" s="4"/>
      <c r="N22" s="36">
        <f t="shared" ref="N22:N31" si="16">IF(H22=0,0,L22/H22)</f>
        <v>0.12554679328336696</v>
      </c>
      <c r="O22" s="10"/>
      <c r="P22" s="20">
        <f>SUM(OSRRefP22x_0)</f>
        <v>332325.34000000003</v>
      </c>
      <c r="Q22" s="20"/>
      <c r="R22" s="36">
        <f t="shared" ref="R22:R31" si="17">IF(P$12=0,0,P22/P$12)</f>
        <v>0.55670105648711232</v>
      </c>
      <c r="S22" s="20"/>
      <c r="T22" s="20">
        <f>SUM(OSRRefT22x_0)</f>
        <v>340061.48000000004</v>
      </c>
      <c r="U22" s="20"/>
      <c r="V22" s="36">
        <f t="shared" ref="V22:V31" si="18">IF(T$12=0,0,T22/T$12)</f>
        <v>0.46753630570796439</v>
      </c>
      <c r="W22" s="4"/>
      <c r="X22" s="20">
        <f t="shared" ref="X22:X31" si="19">+P22-T22</f>
        <v>-7736.140000000014</v>
      </c>
      <c r="Y22" s="4"/>
      <c r="Z22" s="36">
        <f t="shared" ref="Z22:Z31" si="20">IF(T22=0,0,X22/T22)</f>
        <v>-2.2749239343426996E-2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2914.4</v>
      </c>
      <c r="E23" s="1"/>
      <c r="F23" s="5">
        <f t="shared" si="13"/>
        <v>0</v>
      </c>
      <c r="G23" s="1"/>
      <c r="H23" s="1">
        <f>SUM(OSRRefH22_0x_0)</f>
        <v>3247.03</v>
      </c>
      <c r="I23" s="1"/>
      <c r="J23" s="5">
        <f t="shared" si="14"/>
        <v>0.33710474651971373</v>
      </c>
      <c r="K23" s="1"/>
      <c r="L23" s="1">
        <f t="shared" si="15"/>
        <v>-332.63000000000011</v>
      </c>
      <c r="M23" s="1"/>
      <c r="N23" s="5">
        <f t="shared" si="16"/>
        <v>-0.10244130790291438</v>
      </c>
      <c r="O23" s="12"/>
      <c r="P23" s="1">
        <f>SUM(OSRRefP22_0x_0)</f>
        <v>44347.1</v>
      </c>
      <c r="Q23" s="1"/>
      <c r="R23" s="5">
        <f t="shared" si="17"/>
        <v>7.4288880354834261E-2</v>
      </c>
      <c r="S23" s="1"/>
      <c r="T23" s="1">
        <f>SUM(OSRRefT22_0x_0)</f>
        <v>42217.71</v>
      </c>
      <c r="U23" s="1"/>
      <c r="V23" s="5">
        <f t="shared" si="18"/>
        <v>5.8043363714261852E-2</v>
      </c>
      <c r="W23" s="1"/>
      <c r="X23" s="1">
        <f t="shared" si="19"/>
        <v>2129.3899999999994</v>
      </c>
      <c r="Y23" s="1"/>
      <c r="Z23" s="5">
        <f t="shared" si="20"/>
        <v>5.0438311315322393E-2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>
        <v>318.24</v>
      </c>
      <c r="E24" s="2"/>
      <c r="F24" s="6">
        <f t="shared" si="13"/>
        <v>0</v>
      </c>
      <c r="G24" s="2"/>
      <c r="H24" s="7">
        <v>540.19000000000005</v>
      </c>
      <c r="I24" s="2"/>
      <c r="J24" s="6">
        <f t="shared" si="14"/>
        <v>5.6082208363484223E-2</v>
      </c>
      <c r="K24" s="2"/>
      <c r="L24" s="7">
        <f t="shared" si="15"/>
        <v>-221.95000000000005</v>
      </c>
      <c r="M24" s="2"/>
      <c r="N24" s="6">
        <f t="shared" si="16"/>
        <v>-0.41087395175771491</v>
      </c>
      <c r="O24" s="11"/>
      <c r="P24" s="7">
        <v>6353.64</v>
      </c>
      <c r="Q24" s="2"/>
      <c r="R24" s="6">
        <f t="shared" si="17"/>
        <v>1.0643419790193478E-2</v>
      </c>
      <c r="S24" s="2"/>
      <c r="T24" s="7">
        <v>5597.77</v>
      </c>
      <c r="U24" s="2"/>
      <c r="V24" s="6">
        <f t="shared" si="18"/>
        <v>7.6961398450741073E-3</v>
      </c>
      <c r="W24" s="2"/>
      <c r="X24" s="7">
        <f t="shared" si="19"/>
        <v>755.86999999999989</v>
      </c>
      <c r="Y24" s="2"/>
      <c r="Z24" s="6">
        <f t="shared" si="20"/>
        <v>0.13503055681101578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79.040000000000006</v>
      </c>
      <c r="E25" s="2"/>
      <c r="F25" s="6">
        <f t="shared" si="13"/>
        <v>0</v>
      </c>
      <c r="G25" s="2"/>
      <c r="H25" s="7">
        <v>259.62</v>
      </c>
      <c r="I25" s="2"/>
      <c r="J25" s="6">
        <f t="shared" si="14"/>
        <v>2.6953595837256841E-2</v>
      </c>
      <c r="K25" s="2"/>
      <c r="L25" s="7">
        <f t="shared" si="15"/>
        <v>-180.57999999999998</v>
      </c>
      <c r="M25" s="2"/>
      <c r="N25" s="6">
        <f t="shared" si="16"/>
        <v>-0.69555504198443874</v>
      </c>
      <c r="O25" s="11"/>
      <c r="P25" s="7">
        <v>2150.89</v>
      </c>
      <c r="Q25" s="2"/>
      <c r="R25" s="6">
        <f t="shared" si="17"/>
        <v>3.6031039203557724E-3</v>
      </c>
      <c r="S25" s="2"/>
      <c r="T25" s="7">
        <v>2765.6</v>
      </c>
      <c r="U25" s="2"/>
      <c r="V25" s="6">
        <f t="shared" si="18"/>
        <v>3.8023077681892878E-3</v>
      </c>
      <c r="W25" s="2"/>
      <c r="X25" s="7">
        <f t="shared" si="19"/>
        <v>-614.71</v>
      </c>
      <c r="Y25" s="2"/>
      <c r="Z25" s="6">
        <f t="shared" si="20"/>
        <v>-0.2222700318194967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>
        <v>1915.63</v>
      </c>
      <c r="E26" s="2"/>
      <c r="F26" s="6">
        <f t="shared" si="13"/>
        <v>0</v>
      </c>
      <c r="G26" s="2"/>
      <c r="H26" s="7">
        <v>1815.82</v>
      </c>
      <c r="I26" s="2"/>
      <c r="J26" s="6">
        <f t="shared" si="14"/>
        <v>0.18851736535400859</v>
      </c>
      <c r="K26" s="2"/>
      <c r="L26" s="7">
        <f t="shared" si="15"/>
        <v>99.810000000000173</v>
      </c>
      <c r="M26" s="2"/>
      <c r="N26" s="6">
        <f t="shared" si="16"/>
        <v>5.496690200570551E-2</v>
      </c>
      <c r="O26" s="11"/>
      <c r="P26" s="7">
        <v>22856.350000000002</v>
      </c>
      <c r="Q26" s="2"/>
      <c r="R26" s="6">
        <f t="shared" si="17"/>
        <v>3.8288245465841426E-2</v>
      </c>
      <c r="S26" s="2"/>
      <c r="T26" s="7">
        <v>21667.11</v>
      </c>
      <c r="U26" s="2"/>
      <c r="V26" s="6">
        <f t="shared" si="18"/>
        <v>2.9789203307496313E-2</v>
      </c>
      <c r="W26" s="2"/>
      <c r="X26" s="7">
        <f t="shared" si="19"/>
        <v>1189.2400000000016</v>
      </c>
      <c r="Y26" s="2"/>
      <c r="Z26" s="6">
        <f t="shared" si="20"/>
        <v>5.4886876930056734E-2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-319.77999999999997</v>
      </c>
      <c r="E27" s="2"/>
      <c r="F27" s="6">
        <f t="shared" si="13"/>
        <v>0</v>
      </c>
      <c r="G27" s="2"/>
      <c r="H27" s="7">
        <v>27.65</v>
      </c>
      <c r="I27" s="2"/>
      <c r="J27" s="6">
        <f t="shared" si="14"/>
        <v>2.8706067517916631E-3</v>
      </c>
      <c r="K27" s="2"/>
      <c r="L27" s="7">
        <f t="shared" si="15"/>
        <v>-347.42999999999995</v>
      </c>
      <c r="M27" s="2"/>
      <c r="N27" s="6">
        <f t="shared" si="16"/>
        <v>-12.565280289330921</v>
      </c>
      <c r="O27" s="11"/>
      <c r="P27" s="7">
        <v>0</v>
      </c>
      <c r="Q27" s="2"/>
      <c r="R27" s="6">
        <f t="shared" si="17"/>
        <v>0</v>
      </c>
      <c r="S27" s="2"/>
      <c r="T27" s="7">
        <v>365.1</v>
      </c>
      <c r="U27" s="2"/>
      <c r="V27" s="6">
        <f t="shared" si="18"/>
        <v>5.0196071961451725E-4</v>
      </c>
      <c r="W27" s="2"/>
      <c r="X27" s="7">
        <f t="shared" si="19"/>
        <v>-365.1</v>
      </c>
      <c r="Y27" s="2"/>
      <c r="Z27" s="6">
        <f t="shared" si="20"/>
        <v>-1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>
        <v>425.19</v>
      </c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425.19</v>
      </c>
      <c r="M28" s="2"/>
      <c r="N28" s="6">
        <f t="shared" si="16"/>
        <v>0</v>
      </c>
      <c r="O28" s="11"/>
      <c r="P28" s="7">
        <v>5382.95</v>
      </c>
      <c r="Q28" s="2"/>
      <c r="R28" s="6">
        <f t="shared" si="17"/>
        <v>9.0173501425359296E-3</v>
      </c>
      <c r="S28" s="2"/>
      <c r="T28" s="7">
        <v>4505.18</v>
      </c>
      <c r="U28" s="2"/>
      <c r="V28" s="6">
        <f t="shared" si="18"/>
        <v>6.1939835518842259E-3</v>
      </c>
      <c r="W28" s="2"/>
      <c r="X28" s="7">
        <f t="shared" si="19"/>
        <v>877.76999999999953</v>
      </c>
      <c r="Y28" s="2"/>
      <c r="Z28" s="6">
        <f t="shared" si="20"/>
        <v>0.19483572243506353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>
        <v>304.2</v>
      </c>
      <c r="E29" s="2"/>
      <c r="F29" s="6">
        <f t="shared" si="13"/>
        <v>0</v>
      </c>
      <c r="G29" s="2"/>
      <c r="H29" s="7">
        <v>280.8</v>
      </c>
      <c r="I29" s="2"/>
      <c r="J29" s="6">
        <f t="shared" si="14"/>
        <v>2.9152490991070493E-2</v>
      </c>
      <c r="K29" s="2"/>
      <c r="L29" s="7">
        <f t="shared" si="15"/>
        <v>23.399999999999977</v>
      </c>
      <c r="M29" s="2"/>
      <c r="N29" s="6">
        <f t="shared" si="16"/>
        <v>8.3333333333333245E-2</v>
      </c>
      <c r="O29" s="11"/>
      <c r="P29" s="7">
        <v>3802.5</v>
      </c>
      <c r="Q29" s="2"/>
      <c r="R29" s="6">
        <f t="shared" si="17"/>
        <v>6.3698295390060972E-3</v>
      </c>
      <c r="S29" s="2"/>
      <c r="T29" s="7">
        <v>3652.94</v>
      </c>
      <c r="U29" s="2"/>
      <c r="V29" s="6">
        <f t="shared" si="18"/>
        <v>5.0222744210042585E-3</v>
      </c>
      <c r="W29" s="2"/>
      <c r="X29" s="7">
        <f t="shared" si="19"/>
        <v>149.55999999999995</v>
      </c>
      <c r="Y29" s="2"/>
      <c r="Z29" s="6">
        <f t="shared" si="20"/>
        <v>4.0942364232645467E-2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>
        <v>191.88</v>
      </c>
      <c r="E30" s="2"/>
      <c r="F30" s="6">
        <f t="shared" si="13"/>
        <v>0</v>
      </c>
      <c r="G30" s="2"/>
      <c r="H30" s="7">
        <v>177.12</v>
      </c>
      <c r="I30" s="2"/>
      <c r="J30" s="6">
        <f t="shared" si="14"/>
        <v>1.8388494317444465E-2</v>
      </c>
      <c r="K30" s="2"/>
      <c r="L30" s="7">
        <f t="shared" si="15"/>
        <v>14.759999999999991</v>
      </c>
      <c r="M30" s="2"/>
      <c r="N30" s="6">
        <f t="shared" si="16"/>
        <v>8.3333333333333273E-2</v>
      </c>
      <c r="O30" s="11"/>
      <c r="P30" s="7">
        <v>2398.5</v>
      </c>
      <c r="Q30" s="2"/>
      <c r="R30" s="6">
        <f t="shared" si="17"/>
        <v>4.0178924784499996E-3</v>
      </c>
      <c r="S30" s="2"/>
      <c r="T30" s="7">
        <v>2774.77</v>
      </c>
      <c r="U30" s="2"/>
      <c r="V30" s="6">
        <f t="shared" si="18"/>
        <v>3.814915217652079E-3</v>
      </c>
      <c r="W30" s="2"/>
      <c r="X30" s="7">
        <f t="shared" si="19"/>
        <v>-376.27</v>
      </c>
      <c r="Y30" s="2"/>
      <c r="Z30" s="6">
        <f t="shared" si="20"/>
        <v>-0.1356040320458993</v>
      </c>
    </row>
    <row r="31" spans="1:26" s="24" customFormat="1" hidden="1" outlineLevel="2" x14ac:dyDescent="0.3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3"/>
        <v>0</v>
      </c>
      <c r="G31" s="2"/>
      <c r="H31" s="7">
        <v>145.83000000000001</v>
      </c>
      <c r="I31" s="2"/>
      <c r="J31" s="6">
        <f t="shared" si="14"/>
        <v>1.5139984904657443E-2</v>
      </c>
      <c r="K31" s="2"/>
      <c r="L31" s="7">
        <f t="shared" si="15"/>
        <v>-145.83000000000001</v>
      </c>
      <c r="M31" s="2"/>
      <c r="N31" s="6">
        <f t="shared" si="16"/>
        <v>-1</v>
      </c>
      <c r="O31" s="11"/>
      <c r="P31" s="7">
        <v>1402.27</v>
      </c>
      <c r="Q31" s="2"/>
      <c r="R31" s="6">
        <f t="shared" si="17"/>
        <v>2.349039018451566E-3</v>
      </c>
      <c r="S31" s="2"/>
      <c r="T31" s="7">
        <v>889.24</v>
      </c>
      <c r="U31" s="2"/>
      <c r="V31" s="6">
        <f t="shared" si="18"/>
        <v>1.2225788833470648E-3</v>
      </c>
      <c r="W31" s="2"/>
      <c r="X31" s="7">
        <f t="shared" si="19"/>
        <v>513.03</v>
      </c>
      <c r="Y31" s="2"/>
      <c r="Z31" s="6">
        <f t="shared" si="20"/>
        <v>0.57693086230938773</v>
      </c>
    </row>
    <row r="32" spans="1:26" s="25" customFormat="1" outlineLevel="1" collapsed="1" x14ac:dyDescent="0.3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3120</v>
      </c>
      <c r="E32" s="1"/>
      <c r="F32" s="5">
        <f t="shared" ref="F32:F38" si="21">IF(D$12=0,0,D32/D$12)</f>
        <v>0</v>
      </c>
      <c r="G32" s="1"/>
      <c r="H32" s="1">
        <f>SUM(OSRRefH22_1x_0)</f>
        <v>7232.4400000000005</v>
      </c>
      <c r="I32" s="1"/>
      <c r="J32" s="5">
        <f t="shared" ref="J32:J38" si="22">IF(H$12=0,0,H32/H$12)</f>
        <v>0.75086767073881011</v>
      </c>
      <c r="K32" s="1"/>
      <c r="L32" s="1">
        <f t="shared" ref="L32:L38" si="23">+D32-H32</f>
        <v>-4112.4400000000005</v>
      </c>
      <c r="M32" s="1"/>
      <c r="N32" s="5">
        <f t="shared" ref="N32:N38" si="24">IF(H32=0,0,L32/H32)</f>
        <v>-0.5686103168501917</v>
      </c>
      <c r="O32" s="12"/>
      <c r="P32" s="1">
        <f>SUM(OSRRefP22_1x_0)</f>
        <v>108603.43000000001</v>
      </c>
      <c r="Q32" s="1"/>
      <c r="R32" s="5">
        <f t="shared" ref="R32:R38" si="25">IF(P$12=0,0,P32/P$12)</f>
        <v>0.18192908256446574</v>
      </c>
      <c r="S32" s="1"/>
      <c r="T32" s="1">
        <f>SUM(OSRRefT22_1x_0)</f>
        <v>126095.34999999999</v>
      </c>
      <c r="U32" s="1"/>
      <c r="V32" s="5">
        <f t="shared" ref="V32:V38" si="26">IF(T$12=0,0,T32/T$12)</f>
        <v>0.17336322275005317</v>
      </c>
      <c r="W32" s="1"/>
      <c r="X32" s="1">
        <f t="shared" ref="X32:X38" si="27">+P32-T32</f>
        <v>-17491.919999999984</v>
      </c>
      <c r="Y32" s="1"/>
      <c r="Z32" s="5">
        <f t="shared" ref="Z32:Z38" si="28">IF(T32=0,0,X32/T32)</f>
        <v>-0.13871978625698717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>
        <v>3120</v>
      </c>
      <c r="E33" s="2"/>
      <c r="F33" s="6">
        <f t="shared" si="21"/>
        <v>0</v>
      </c>
      <c r="G33" s="2"/>
      <c r="H33" s="7">
        <v>3840</v>
      </c>
      <c r="I33" s="2"/>
      <c r="J33" s="6">
        <f t="shared" si="22"/>
        <v>0.39866654346763064</v>
      </c>
      <c r="K33" s="2"/>
      <c r="L33" s="7">
        <f t="shared" si="23"/>
        <v>-720</v>
      </c>
      <c r="M33" s="2"/>
      <c r="N33" s="6">
        <f t="shared" si="24"/>
        <v>-0.1875</v>
      </c>
      <c r="O33" s="11"/>
      <c r="P33" s="7">
        <v>40384</v>
      </c>
      <c r="Q33" s="2"/>
      <c r="R33" s="6">
        <f t="shared" si="25"/>
        <v>6.7650018699072251E-2</v>
      </c>
      <c r="S33" s="2"/>
      <c r="T33" s="7">
        <v>45600.29</v>
      </c>
      <c r="U33" s="2"/>
      <c r="V33" s="6">
        <f t="shared" si="26"/>
        <v>6.2693931479130854E-2</v>
      </c>
      <c r="W33" s="2"/>
      <c r="X33" s="7">
        <f t="shared" si="27"/>
        <v>-5216.2900000000009</v>
      </c>
      <c r="Y33" s="2"/>
      <c r="Z33" s="6">
        <f t="shared" si="28"/>
        <v>-0.11439159707098355</v>
      </c>
    </row>
    <row r="34" spans="1:26" s="24" customFormat="1" hidden="1" outlineLevel="2" x14ac:dyDescent="0.3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1"/>
        <v>0</v>
      </c>
      <c r="G34" s="2"/>
      <c r="H34" s="7"/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>
        <v>254.64</v>
      </c>
      <c r="Q34" s="2"/>
      <c r="R34" s="6">
        <f t="shared" si="25"/>
        <v>4.2656499508547338E-4</v>
      </c>
      <c r="S34" s="2"/>
      <c r="T34" s="7"/>
      <c r="U34" s="2"/>
      <c r="V34" s="6">
        <f t="shared" si="26"/>
        <v>0</v>
      </c>
      <c r="W34" s="2"/>
      <c r="X34" s="7">
        <f t="shared" si="27"/>
        <v>254.64</v>
      </c>
      <c r="Y34" s="2"/>
      <c r="Z34" s="6">
        <f t="shared" si="28"/>
        <v>0</v>
      </c>
    </row>
    <row r="35" spans="1:26" s="24" customFormat="1" hidden="1" outlineLevel="2" x14ac:dyDescent="0.3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1"/>
        <v>0</v>
      </c>
      <c r="G35" s="2"/>
      <c r="H35" s="7"/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>
        <v>23945.94</v>
      </c>
      <c r="Q35" s="2"/>
      <c r="R35" s="6">
        <f t="shared" si="25"/>
        <v>4.0113492689353755E-2</v>
      </c>
      <c r="S35" s="2"/>
      <c r="T35" s="7">
        <v>7610.7</v>
      </c>
      <c r="U35" s="2"/>
      <c r="V35" s="6">
        <f t="shared" si="26"/>
        <v>1.046363311084691E-2</v>
      </c>
      <c r="W35" s="2"/>
      <c r="X35" s="7">
        <f t="shared" si="27"/>
        <v>16335.239999999998</v>
      </c>
      <c r="Y35" s="2"/>
      <c r="Z35" s="6">
        <f t="shared" si="28"/>
        <v>2.1463518467420868</v>
      </c>
    </row>
    <row r="36" spans="1:26" s="24" customFormat="1" hidden="1" outlineLevel="2" x14ac:dyDescent="0.3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1"/>
        <v>0</v>
      </c>
      <c r="G36" s="2"/>
      <c r="H36" s="7"/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4044.5</v>
      </c>
      <c r="U36" s="2"/>
      <c r="V36" s="6">
        <f t="shared" si="26"/>
        <v>5.5606138879236242E-3</v>
      </c>
      <c r="W36" s="2"/>
      <c r="X36" s="7">
        <f t="shared" si="27"/>
        <v>-4044.5</v>
      </c>
      <c r="Y36" s="2"/>
      <c r="Z36" s="6">
        <f t="shared" si="28"/>
        <v>-1</v>
      </c>
    </row>
    <row r="37" spans="1:26" s="24" customFormat="1" hidden="1" outlineLevel="2" x14ac:dyDescent="0.3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1"/>
        <v>0</v>
      </c>
      <c r="G37" s="2"/>
      <c r="H37" s="7">
        <v>3221.44</v>
      </c>
      <c r="I37" s="2"/>
      <c r="J37" s="6">
        <f t="shared" si="22"/>
        <v>0.33444800775738648</v>
      </c>
      <c r="K37" s="2"/>
      <c r="L37" s="7">
        <f t="shared" si="23"/>
        <v>-3221.44</v>
      </c>
      <c r="M37" s="2"/>
      <c r="N37" s="6">
        <f t="shared" si="24"/>
        <v>-1</v>
      </c>
      <c r="O37" s="11"/>
      <c r="P37" s="7">
        <v>40507.550000000003</v>
      </c>
      <c r="Q37" s="2"/>
      <c r="R37" s="6">
        <f t="shared" si="25"/>
        <v>6.7856985810063497E-2</v>
      </c>
      <c r="S37" s="2"/>
      <c r="T37" s="7">
        <v>60628.99</v>
      </c>
      <c r="U37" s="2"/>
      <c r="V37" s="6">
        <f t="shared" si="26"/>
        <v>8.3356262530543332E-2</v>
      </c>
      <c r="W37" s="2"/>
      <c r="X37" s="7">
        <f t="shared" si="27"/>
        <v>-20121.439999999995</v>
      </c>
      <c r="Y37" s="2"/>
      <c r="Z37" s="6">
        <f t="shared" si="28"/>
        <v>-0.33187819886163361</v>
      </c>
    </row>
    <row r="38" spans="1:26" s="24" customFormat="1" hidden="1" outlineLevel="2" x14ac:dyDescent="0.3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1"/>
        <v>0</v>
      </c>
      <c r="G38" s="2"/>
      <c r="H38" s="7">
        <v>171</v>
      </c>
      <c r="I38" s="2"/>
      <c r="J38" s="6">
        <f t="shared" si="22"/>
        <v>1.7753119513792926E-2</v>
      </c>
      <c r="K38" s="2"/>
      <c r="L38" s="7">
        <f t="shared" si="23"/>
        <v>-171</v>
      </c>
      <c r="M38" s="2"/>
      <c r="N38" s="6">
        <f t="shared" si="24"/>
        <v>-1</v>
      </c>
      <c r="O38" s="11"/>
      <c r="P38" s="7">
        <v>3511.3</v>
      </c>
      <c r="Q38" s="2"/>
      <c r="R38" s="6">
        <f t="shared" si="25"/>
        <v>5.882020370890759E-3</v>
      </c>
      <c r="S38" s="2"/>
      <c r="T38" s="7">
        <v>8210.8700000000008</v>
      </c>
      <c r="U38" s="2"/>
      <c r="V38" s="6">
        <f t="shared" si="26"/>
        <v>1.1288781741608469E-2</v>
      </c>
      <c r="W38" s="2"/>
      <c r="X38" s="7">
        <f t="shared" si="27"/>
        <v>-4699.5700000000006</v>
      </c>
      <c r="Y38" s="2"/>
      <c r="Z38" s="6">
        <f t="shared" si="28"/>
        <v>-0.57235956725657577</v>
      </c>
    </row>
    <row r="39" spans="1:26" s="25" customFormat="1" outlineLevel="1" collapsed="1" x14ac:dyDescent="0.3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47" si="29">IF(D$12=0,0,D39/D$12)</f>
        <v>0</v>
      </c>
      <c r="G39" s="1"/>
      <c r="H39" s="1">
        <f>SUM(OSRRefH22_2x_0)</f>
        <v>0</v>
      </c>
      <c r="I39" s="1"/>
      <c r="J39" s="5">
        <f t="shared" ref="J39:J47" si="30">IF(H$12=0,0,H39/H$12)</f>
        <v>0</v>
      </c>
      <c r="K39" s="1"/>
      <c r="L39" s="1">
        <f t="shared" ref="L39:L47" si="31">+D39-H39</f>
        <v>0</v>
      </c>
      <c r="M39" s="1"/>
      <c r="N39" s="5">
        <f t="shared" ref="N39:N47" si="32">IF(H39=0,0,L39/H39)</f>
        <v>0</v>
      </c>
      <c r="O39" s="12"/>
      <c r="P39" s="1">
        <f>SUM(OSRRefP22_2x_0)</f>
        <v>968.17</v>
      </c>
      <c r="Q39" s="1"/>
      <c r="R39" s="5">
        <f t="shared" ref="R39:R47" si="33">IF(P$12=0,0,P39/P$12)</f>
        <v>1.6218482221642427E-3</v>
      </c>
      <c r="S39" s="1"/>
      <c r="T39" s="1">
        <f>SUM(OSRRefT22_2x_0)</f>
        <v>1722.92</v>
      </c>
      <c r="U39" s="1"/>
      <c r="V39" s="5">
        <f t="shared" ref="V39:V47" si="34">IF(T$12=0,0,T39/T$12)</f>
        <v>2.3687706465029966E-3</v>
      </c>
      <c r="W39" s="1"/>
      <c r="X39" s="1">
        <f t="shared" ref="X39:X47" si="35">+P39-T39</f>
        <v>-754.75000000000011</v>
      </c>
      <c r="Y39" s="1"/>
      <c r="Z39" s="5">
        <f t="shared" ref="Z39:Z47" si="36">IF(T39=0,0,X39/T39)</f>
        <v>-0.43806444872658051</v>
      </c>
    </row>
    <row r="40" spans="1:26" s="24" customFormat="1" hidden="1" outlineLevel="2" x14ac:dyDescent="0.35">
      <c r="A40" s="27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29"/>
        <v>0</v>
      </c>
      <c r="G40" s="2"/>
      <c r="H40" s="7"/>
      <c r="I40" s="2"/>
      <c r="J40" s="6">
        <f t="shared" si="30"/>
        <v>0</v>
      </c>
      <c r="K40" s="2"/>
      <c r="L40" s="7">
        <f t="shared" si="31"/>
        <v>0</v>
      </c>
      <c r="M40" s="2"/>
      <c r="N40" s="6">
        <f t="shared" si="32"/>
        <v>0</v>
      </c>
      <c r="O40" s="11"/>
      <c r="P40" s="7">
        <v>968.17</v>
      </c>
      <c r="Q40" s="2"/>
      <c r="R40" s="6">
        <f t="shared" si="33"/>
        <v>1.6218482221642427E-3</v>
      </c>
      <c r="S40" s="2"/>
      <c r="T40" s="7">
        <v>1722.92</v>
      </c>
      <c r="U40" s="2"/>
      <c r="V40" s="6">
        <f t="shared" si="34"/>
        <v>2.3687706465029966E-3</v>
      </c>
      <c r="W40" s="2"/>
      <c r="X40" s="7">
        <f t="shared" si="35"/>
        <v>-754.75000000000011</v>
      </c>
      <c r="Y40" s="2"/>
      <c r="Z40" s="6">
        <f t="shared" si="36"/>
        <v>-0.43806444872658051</v>
      </c>
    </row>
    <row r="41" spans="1:26" s="25" customFormat="1" outlineLevel="1" collapsed="1" x14ac:dyDescent="0.3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1270.8599999999999</v>
      </c>
      <c r="I41" s="1"/>
      <c r="J41" s="5">
        <f t="shared" si="30"/>
        <v>0.13193993839356069</v>
      </c>
      <c r="K41" s="1"/>
      <c r="L41" s="1">
        <f t="shared" si="31"/>
        <v>-1270.8599999999999</v>
      </c>
      <c r="M41" s="1"/>
      <c r="N41" s="5">
        <f t="shared" si="32"/>
        <v>-1</v>
      </c>
      <c r="O41" s="12"/>
      <c r="P41" s="1">
        <f>SUM(OSRRefP22_3x_0)</f>
        <v>-84.11</v>
      </c>
      <c r="Q41" s="1"/>
      <c r="R41" s="5">
        <f t="shared" si="33"/>
        <v>-1.4089845168331435E-4</v>
      </c>
      <c r="S41" s="1"/>
      <c r="T41" s="1">
        <f>SUM(OSRRefT22_3x_0)</f>
        <v>1059.95</v>
      </c>
      <c r="U41" s="1"/>
      <c r="V41" s="5">
        <f t="shared" si="34"/>
        <v>1.4572809223648523E-3</v>
      </c>
      <c r="W41" s="1"/>
      <c r="X41" s="1">
        <f t="shared" si="35"/>
        <v>-1144.06</v>
      </c>
      <c r="Y41" s="1"/>
      <c r="Z41" s="5">
        <f t="shared" si="36"/>
        <v>-1.0793527996603614</v>
      </c>
    </row>
    <row r="42" spans="1:26" s="24" customFormat="1" hidden="1" outlineLevel="2" x14ac:dyDescent="0.35">
      <c r="A42" s="27"/>
      <c r="B42" s="11" t="str">
        <f>CONCATENATE("          ", "6272", " - ", "CASH (OVER/SHORT)")</f>
        <v xml:space="preserve">          6272 - CASH (OVER/SHORT)</v>
      </c>
      <c r="C42" s="11"/>
      <c r="D42" s="7"/>
      <c r="E42" s="2"/>
      <c r="F42" s="6">
        <f t="shared" si="29"/>
        <v>0</v>
      </c>
      <c r="G42" s="2"/>
      <c r="H42" s="7">
        <v>1270.8599999999999</v>
      </c>
      <c r="I42" s="2"/>
      <c r="J42" s="6">
        <f t="shared" si="30"/>
        <v>0.13193993839356069</v>
      </c>
      <c r="K42" s="2"/>
      <c r="L42" s="7">
        <f t="shared" si="31"/>
        <v>-1270.8599999999999</v>
      </c>
      <c r="M42" s="2"/>
      <c r="N42" s="6">
        <f t="shared" si="32"/>
        <v>-1</v>
      </c>
      <c r="O42" s="11"/>
      <c r="P42" s="7">
        <v>-84.11</v>
      </c>
      <c r="Q42" s="2"/>
      <c r="R42" s="6">
        <f t="shared" si="33"/>
        <v>-1.4089845168331435E-4</v>
      </c>
      <c r="S42" s="2"/>
      <c r="T42" s="7">
        <v>1059.95</v>
      </c>
      <c r="U42" s="2"/>
      <c r="V42" s="6">
        <f t="shared" si="34"/>
        <v>1.4572809223648523E-3</v>
      </c>
      <c r="W42" s="2"/>
      <c r="X42" s="7">
        <f t="shared" si="35"/>
        <v>-1144.06</v>
      </c>
      <c r="Y42" s="2"/>
      <c r="Z42" s="6">
        <f t="shared" si="36"/>
        <v>-1.0793527996603614</v>
      </c>
    </row>
    <row r="43" spans="1:26" s="25" customFormat="1" outlineLevel="1" collapsed="1" x14ac:dyDescent="0.3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332.79</v>
      </c>
      <c r="I43" s="1"/>
      <c r="J43" s="5">
        <f t="shared" si="30"/>
        <v>3.4550062239737708E-2</v>
      </c>
      <c r="K43" s="1"/>
      <c r="L43" s="1">
        <f t="shared" si="31"/>
        <v>-332.79</v>
      </c>
      <c r="M43" s="1"/>
      <c r="N43" s="5">
        <f t="shared" si="32"/>
        <v>-1</v>
      </c>
      <c r="O43" s="12"/>
      <c r="P43" s="1">
        <f>SUM(OSRRefP22_4x_0)</f>
        <v>22867.9</v>
      </c>
      <c r="Q43" s="1"/>
      <c r="R43" s="5">
        <f t="shared" si="33"/>
        <v>3.8307593666019074E-2</v>
      </c>
      <c r="S43" s="1"/>
      <c r="T43" s="1">
        <f>SUM(OSRRefT22_4x_0)</f>
        <v>24569.89</v>
      </c>
      <c r="U43" s="1"/>
      <c r="V43" s="5">
        <f t="shared" si="34"/>
        <v>3.3780114120102796E-2</v>
      </c>
      <c r="W43" s="1"/>
      <c r="X43" s="1">
        <f t="shared" si="35"/>
        <v>-1701.989999999998</v>
      </c>
      <c r="Y43" s="1"/>
      <c r="Z43" s="5">
        <f t="shared" si="36"/>
        <v>-6.9271372399306544E-2</v>
      </c>
    </row>
    <row r="44" spans="1:26" s="24" customFormat="1" hidden="1" outlineLevel="2" x14ac:dyDescent="0.35">
      <c r="A44" s="27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9"/>
        <v>0</v>
      </c>
      <c r="G44" s="2"/>
      <c r="H44" s="7">
        <v>332.79</v>
      </c>
      <c r="I44" s="2"/>
      <c r="J44" s="6">
        <f t="shared" si="30"/>
        <v>3.4550062239737708E-2</v>
      </c>
      <c r="K44" s="2"/>
      <c r="L44" s="7">
        <f t="shared" si="31"/>
        <v>-332.79</v>
      </c>
      <c r="M44" s="2"/>
      <c r="N44" s="6">
        <f t="shared" si="32"/>
        <v>-1</v>
      </c>
      <c r="O44" s="11"/>
      <c r="P44" s="7">
        <v>22867.9</v>
      </c>
      <c r="Q44" s="2"/>
      <c r="R44" s="6">
        <f t="shared" si="33"/>
        <v>3.8307593666019074E-2</v>
      </c>
      <c r="S44" s="2"/>
      <c r="T44" s="7">
        <v>24569.89</v>
      </c>
      <c r="U44" s="2"/>
      <c r="V44" s="6">
        <f t="shared" si="34"/>
        <v>3.3780114120102796E-2</v>
      </c>
      <c r="W44" s="2"/>
      <c r="X44" s="7">
        <f t="shared" si="35"/>
        <v>-1701.989999999998</v>
      </c>
      <c r="Y44" s="2"/>
      <c r="Z44" s="6">
        <f t="shared" si="36"/>
        <v>-6.9271372399306544E-2</v>
      </c>
    </row>
    <row r="45" spans="1:26" s="25" customFormat="1" outlineLevel="1" collapsed="1" x14ac:dyDescent="0.3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5582.48</v>
      </c>
      <c r="E45" s="1"/>
      <c r="F45" s="5">
        <f t="shared" si="29"/>
        <v>0</v>
      </c>
      <c r="G45" s="1"/>
      <c r="H45" s="1">
        <f>SUM(OSRRefH22_5x_0)</f>
        <v>5418.75</v>
      </c>
      <c r="I45" s="1"/>
      <c r="J45" s="5">
        <f t="shared" si="30"/>
        <v>0.56257144073313115</v>
      </c>
      <c r="K45" s="1"/>
      <c r="L45" s="1">
        <f t="shared" si="31"/>
        <v>163.72999999999956</v>
      </c>
      <c r="M45" s="1"/>
      <c r="N45" s="5">
        <f t="shared" si="32"/>
        <v>3.0215455594002225E-2</v>
      </c>
      <c r="O45" s="12"/>
      <c r="P45" s="1">
        <f>SUM(OSRRefP22_5x_0)</f>
        <v>66220.14</v>
      </c>
      <c r="Q45" s="1"/>
      <c r="R45" s="5">
        <f t="shared" si="33"/>
        <v>0.11092991554217468</v>
      </c>
      <c r="S45" s="1"/>
      <c r="T45" s="1">
        <f>SUM(OSRRefT22_5x_0)</f>
        <v>63930.13</v>
      </c>
      <c r="U45" s="1"/>
      <c r="V45" s="5">
        <f t="shared" si="34"/>
        <v>8.7894861845657729E-2</v>
      </c>
      <c r="W45" s="1"/>
      <c r="X45" s="1">
        <f t="shared" si="35"/>
        <v>2290.010000000002</v>
      </c>
      <c r="Y45" s="1"/>
      <c r="Z45" s="5">
        <f t="shared" si="36"/>
        <v>3.5820512174775838E-2</v>
      </c>
    </row>
    <row r="46" spans="1:26" s="24" customFormat="1" hidden="1" outlineLevel="2" x14ac:dyDescent="0.35">
      <c r="A46" s="27"/>
      <c r="B46" s="11" t="str">
        <f>CONCATENATE("          ", "6321", " - ", "BUILDING DEPRECIATION")</f>
        <v xml:space="preserve">          6321 - BUILDING DEPRECIATION</v>
      </c>
      <c r="C46" s="11"/>
      <c r="D46" s="7">
        <v>5080.4799999999996</v>
      </c>
      <c r="E46" s="2"/>
      <c r="F46" s="6">
        <f t="shared" si="29"/>
        <v>0</v>
      </c>
      <c r="G46" s="2"/>
      <c r="H46" s="7">
        <v>5080.4799999999996</v>
      </c>
      <c r="I46" s="2"/>
      <c r="J46" s="6">
        <f t="shared" si="30"/>
        <v>0.52745244811365311</v>
      </c>
      <c r="K46" s="2"/>
      <c r="L46" s="7">
        <f t="shared" si="31"/>
        <v>0</v>
      </c>
      <c r="M46" s="2"/>
      <c r="N46" s="6">
        <f t="shared" si="32"/>
        <v>0</v>
      </c>
      <c r="O46" s="11"/>
      <c r="P46" s="7">
        <v>60966.09</v>
      </c>
      <c r="Q46" s="2"/>
      <c r="R46" s="6">
        <f t="shared" si="33"/>
        <v>0.10212849466395903</v>
      </c>
      <c r="S46" s="2"/>
      <c r="T46" s="7">
        <v>60966.09</v>
      </c>
      <c r="U46" s="2"/>
      <c r="V46" s="6">
        <f t="shared" si="34"/>
        <v>8.3819727221263823E-2</v>
      </c>
      <c r="W46" s="2"/>
      <c r="X46" s="7">
        <f t="shared" si="35"/>
        <v>0</v>
      </c>
      <c r="Y46" s="2"/>
      <c r="Z46" s="6">
        <f t="shared" si="36"/>
        <v>0</v>
      </c>
    </row>
    <row r="47" spans="1:26" s="24" customFormat="1" hidden="1" outlineLevel="2" x14ac:dyDescent="0.3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502</v>
      </c>
      <c r="E47" s="2"/>
      <c r="F47" s="6">
        <f t="shared" si="29"/>
        <v>0</v>
      </c>
      <c r="G47" s="2"/>
      <c r="H47" s="7">
        <v>338.27</v>
      </c>
      <c r="I47" s="2"/>
      <c r="J47" s="6">
        <f t="shared" si="30"/>
        <v>3.5118992619477971E-2</v>
      </c>
      <c r="K47" s="2"/>
      <c r="L47" s="7">
        <f t="shared" si="31"/>
        <v>163.73000000000002</v>
      </c>
      <c r="M47" s="2"/>
      <c r="N47" s="6">
        <f t="shared" si="32"/>
        <v>0.48402163951872773</v>
      </c>
      <c r="O47" s="11"/>
      <c r="P47" s="7">
        <v>5254.05</v>
      </c>
      <c r="Q47" s="2"/>
      <c r="R47" s="6">
        <f t="shared" si="33"/>
        <v>8.8014208782156433E-3</v>
      </c>
      <c r="S47" s="2"/>
      <c r="T47" s="7">
        <v>2964.04</v>
      </c>
      <c r="U47" s="2"/>
      <c r="V47" s="6">
        <f t="shared" si="34"/>
        <v>4.0751346243939023E-3</v>
      </c>
      <c r="W47" s="2"/>
      <c r="X47" s="7">
        <f t="shared" si="35"/>
        <v>2290.0100000000002</v>
      </c>
      <c r="Y47" s="2"/>
      <c r="Z47" s="6">
        <f t="shared" si="36"/>
        <v>0.77259753579573831</v>
      </c>
    </row>
    <row r="48" spans="1:26" s="25" customFormat="1" outlineLevel="1" collapsed="1" x14ac:dyDescent="0.35">
      <c r="A48" s="26"/>
      <c r="B48" s="12" t="str">
        <f>CONCATENATE("     ","Employees' Appreciation                           ")</f>
        <v xml:space="preserve">     Employees' Appreciation                           </v>
      </c>
      <c r="C48" s="12"/>
      <c r="D48" s="1">
        <f>SUM(OSRRefD22_6x_0)</f>
        <v>0</v>
      </c>
      <c r="E48" s="1"/>
      <c r="F48" s="5">
        <f t="shared" ref="F48:F61" si="37">IF(D$12=0,0,D48/D$12)</f>
        <v>0</v>
      </c>
      <c r="G48" s="1"/>
      <c r="H48" s="1">
        <f>SUM(OSRRefH22_6x_0)</f>
        <v>0</v>
      </c>
      <c r="I48" s="1"/>
      <c r="J48" s="5">
        <f t="shared" ref="J48:J61" si="38">IF(H$12=0,0,H48/H$12)</f>
        <v>0</v>
      </c>
      <c r="K48" s="1"/>
      <c r="L48" s="1">
        <f t="shared" ref="L48:L61" si="39">+D48-H48</f>
        <v>0</v>
      </c>
      <c r="M48" s="1"/>
      <c r="N48" s="5">
        <f t="shared" ref="N48:N61" si="40">IF(H48=0,0,L48/H48)</f>
        <v>0</v>
      </c>
      <c r="O48" s="12"/>
      <c r="P48" s="1">
        <f>SUM(OSRRefP22_6x_0)</f>
        <v>101.58</v>
      </c>
      <c r="Q48" s="1"/>
      <c r="R48" s="5">
        <f t="shared" ref="R48:R61" si="41">IF(P$12=0,0,P48/P$12)</f>
        <v>1.7016365143254157E-4</v>
      </c>
      <c r="S48" s="1"/>
      <c r="T48" s="1">
        <f>SUM(OSRRefT22_6x_0)</f>
        <v>102.91</v>
      </c>
      <c r="U48" s="1"/>
      <c r="V48" s="5">
        <f t="shared" ref="V48:V61" si="42">IF(T$12=0,0,T48/T$12)</f>
        <v>1.4148665476726915E-4</v>
      </c>
      <c r="W48" s="1"/>
      <c r="X48" s="1">
        <f t="shared" ref="X48:X61" si="43">+P48-T48</f>
        <v>-1.3299999999999983</v>
      </c>
      <c r="Y48" s="1"/>
      <c r="Z48" s="5">
        <f t="shared" ref="Z48:Z61" si="44">IF(T48=0,0,X48/T48)</f>
        <v>-1.2923914099698749E-2</v>
      </c>
    </row>
    <row r="49" spans="1:26" s="24" customFormat="1" hidden="1" outlineLevel="2" x14ac:dyDescent="0.35">
      <c r="A49" s="27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7"/>
        <v>0</v>
      </c>
      <c r="G49" s="2"/>
      <c r="H49" s="7"/>
      <c r="I49" s="2"/>
      <c r="J49" s="6">
        <f t="shared" si="38"/>
        <v>0</v>
      </c>
      <c r="K49" s="2"/>
      <c r="L49" s="7">
        <f t="shared" si="39"/>
        <v>0</v>
      </c>
      <c r="M49" s="2"/>
      <c r="N49" s="6">
        <f t="shared" si="40"/>
        <v>0</v>
      </c>
      <c r="O49" s="11"/>
      <c r="P49" s="7">
        <v>101.58</v>
      </c>
      <c r="Q49" s="2"/>
      <c r="R49" s="6">
        <f t="shared" si="41"/>
        <v>1.7016365143254157E-4</v>
      </c>
      <c r="S49" s="2"/>
      <c r="T49" s="7">
        <v>102.91</v>
      </c>
      <c r="U49" s="2"/>
      <c r="V49" s="6">
        <f t="shared" si="42"/>
        <v>1.4148665476726915E-4</v>
      </c>
      <c r="W49" s="2"/>
      <c r="X49" s="7">
        <f t="shared" si="43"/>
        <v>-1.3299999999999983</v>
      </c>
      <c r="Y49" s="2"/>
      <c r="Z49" s="6">
        <f t="shared" si="44"/>
        <v>-1.2923914099698749E-2</v>
      </c>
    </row>
    <row r="50" spans="1:26" s="25" customFormat="1" outlineLevel="1" collapsed="1" x14ac:dyDescent="0.35">
      <c r="A50" s="26"/>
      <c r="B50" s="12" t="str">
        <f>CONCATENATE("     ","Equipment Rental                                  ")</f>
        <v xml:space="preserve">     Equipment Rental                                  </v>
      </c>
      <c r="C50" s="12"/>
      <c r="D50" s="1">
        <f>SUM(OSRRefD22_7x_0)</f>
        <v>36.270000000000003</v>
      </c>
      <c r="E50" s="1"/>
      <c r="F50" s="5">
        <f t="shared" si="37"/>
        <v>0</v>
      </c>
      <c r="G50" s="1"/>
      <c r="H50" s="1">
        <f>SUM(OSRRefH22_7x_0)</f>
        <v>108</v>
      </c>
      <c r="I50" s="1"/>
      <c r="J50" s="5">
        <f t="shared" si="38"/>
        <v>1.1212496535027112E-2</v>
      </c>
      <c r="K50" s="1"/>
      <c r="L50" s="1">
        <f t="shared" si="39"/>
        <v>-71.72999999999999</v>
      </c>
      <c r="M50" s="1"/>
      <c r="N50" s="5">
        <f t="shared" si="40"/>
        <v>-0.66416666666666657</v>
      </c>
      <c r="O50" s="12"/>
      <c r="P50" s="1">
        <f>SUM(OSRRefP22_7x_0)</f>
        <v>1010.39</v>
      </c>
      <c r="Q50" s="1"/>
      <c r="R50" s="5">
        <f t="shared" si="41"/>
        <v>1.6925738508655806E-3</v>
      </c>
      <c r="S50" s="1"/>
      <c r="T50" s="1">
        <f>SUM(OSRRefT22_7x_0)</f>
        <v>1410.05</v>
      </c>
      <c r="U50" s="1"/>
      <c r="V50" s="5">
        <f t="shared" si="42"/>
        <v>1.9386187693575733E-3</v>
      </c>
      <c r="W50" s="1"/>
      <c r="X50" s="1">
        <f t="shared" si="43"/>
        <v>-399.65999999999997</v>
      </c>
      <c r="Y50" s="1"/>
      <c r="Z50" s="5">
        <f t="shared" si="44"/>
        <v>-0.2834367575617886</v>
      </c>
    </row>
    <row r="51" spans="1:26" s="24" customFormat="1" hidden="1" outlineLevel="2" x14ac:dyDescent="0.35">
      <c r="A51" s="27"/>
      <c r="B51" s="11" t="str">
        <f>CONCATENATE("          ", "6351", " - ", "EQUIPMENT RENTAL")</f>
        <v xml:space="preserve">          6351 - EQUIPMENT RENTAL</v>
      </c>
      <c r="C51" s="11"/>
      <c r="D51" s="7">
        <v>36.270000000000003</v>
      </c>
      <c r="E51" s="2"/>
      <c r="F51" s="6">
        <f t="shared" si="37"/>
        <v>0</v>
      </c>
      <c r="G51" s="2"/>
      <c r="H51" s="7">
        <v>108</v>
      </c>
      <c r="I51" s="2"/>
      <c r="J51" s="6">
        <f t="shared" si="38"/>
        <v>1.1212496535027112E-2</v>
      </c>
      <c r="K51" s="2"/>
      <c r="L51" s="7">
        <f t="shared" si="39"/>
        <v>-71.72999999999999</v>
      </c>
      <c r="M51" s="2"/>
      <c r="N51" s="6">
        <f t="shared" si="40"/>
        <v>-0.66416666666666657</v>
      </c>
      <c r="O51" s="11"/>
      <c r="P51" s="7">
        <v>1010.39</v>
      </c>
      <c r="Q51" s="2"/>
      <c r="R51" s="6">
        <f t="shared" si="41"/>
        <v>1.6925738508655806E-3</v>
      </c>
      <c r="S51" s="2"/>
      <c r="T51" s="7">
        <v>1410.05</v>
      </c>
      <c r="U51" s="2"/>
      <c r="V51" s="6">
        <f t="shared" si="42"/>
        <v>1.9386187693575733E-3</v>
      </c>
      <c r="W51" s="2"/>
      <c r="X51" s="7">
        <f t="shared" si="43"/>
        <v>-399.65999999999997</v>
      </c>
      <c r="Y51" s="2"/>
      <c r="Z51" s="6">
        <f t="shared" si="44"/>
        <v>-0.2834367575617886</v>
      </c>
    </row>
    <row r="52" spans="1:26" s="25" customFormat="1" outlineLevel="1" collapsed="1" x14ac:dyDescent="0.35">
      <c r="A52" s="26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0</v>
      </c>
      <c r="I52" s="1"/>
      <c r="J52" s="5">
        <f t="shared" si="38"/>
        <v>0</v>
      </c>
      <c r="K52" s="1"/>
      <c r="L52" s="1">
        <f t="shared" si="39"/>
        <v>0</v>
      </c>
      <c r="M52" s="1"/>
      <c r="N52" s="5">
        <f t="shared" si="40"/>
        <v>0</v>
      </c>
      <c r="O52" s="12"/>
      <c r="P52" s="1">
        <f>SUM(OSRRefP22_8x_0)</f>
        <v>1345.73</v>
      </c>
      <c r="Q52" s="1"/>
      <c r="R52" s="5">
        <f t="shared" si="41"/>
        <v>2.2543249718676331E-3</v>
      </c>
      <c r="S52" s="1"/>
      <c r="T52" s="1">
        <f>SUM(OSRRefT22_8x_0)</f>
        <v>1294.97</v>
      </c>
      <c r="U52" s="1"/>
      <c r="V52" s="5">
        <f t="shared" si="42"/>
        <v>1.7804000906031538E-3</v>
      </c>
      <c r="W52" s="1"/>
      <c r="X52" s="1">
        <f t="shared" si="43"/>
        <v>50.759999999999991</v>
      </c>
      <c r="Y52" s="1"/>
      <c r="Z52" s="5">
        <f t="shared" si="44"/>
        <v>3.9197819254500096E-2</v>
      </c>
    </row>
    <row r="53" spans="1:26" s="24" customFormat="1" hidden="1" outlineLevel="2" x14ac:dyDescent="0.35">
      <c r="A53" s="27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7"/>
        <v>0</v>
      </c>
      <c r="G53" s="2"/>
      <c r="H53" s="7"/>
      <c r="I53" s="2"/>
      <c r="J53" s="6">
        <f t="shared" si="38"/>
        <v>0</v>
      </c>
      <c r="K53" s="2"/>
      <c r="L53" s="7">
        <f t="shared" si="39"/>
        <v>0</v>
      </c>
      <c r="M53" s="2"/>
      <c r="N53" s="6">
        <f t="shared" si="40"/>
        <v>0</v>
      </c>
      <c r="O53" s="11"/>
      <c r="P53" s="7">
        <v>1345.73</v>
      </c>
      <c r="Q53" s="2"/>
      <c r="R53" s="6">
        <f t="shared" si="41"/>
        <v>2.2543249718676331E-3</v>
      </c>
      <c r="S53" s="2"/>
      <c r="T53" s="7">
        <v>1294.97</v>
      </c>
      <c r="U53" s="2"/>
      <c r="V53" s="6">
        <f t="shared" si="42"/>
        <v>1.7804000906031538E-3</v>
      </c>
      <c r="W53" s="2"/>
      <c r="X53" s="7">
        <f t="shared" si="43"/>
        <v>50.759999999999991</v>
      </c>
      <c r="Y53" s="2"/>
      <c r="Z53" s="6">
        <f t="shared" si="44"/>
        <v>3.9197819254500096E-2</v>
      </c>
    </row>
    <row r="54" spans="1:26" s="25" customFormat="1" outlineLevel="1" collapsed="1" x14ac:dyDescent="0.35">
      <c r="A54" s="26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SUM(OSRRefD22_9x_0)</f>
        <v>243.54</v>
      </c>
      <c r="E54" s="1"/>
      <c r="F54" s="5">
        <f t="shared" si="37"/>
        <v>0</v>
      </c>
      <c r="G54" s="1"/>
      <c r="H54" s="1">
        <f>SUM(OSRRefH22_9x_0)</f>
        <v>229.44</v>
      </c>
      <c r="I54" s="1"/>
      <c r="J54" s="5">
        <f t="shared" si="38"/>
        <v>2.3820325972190932E-2</v>
      </c>
      <c r="K54" s="1"/>
      <c r="L54" s="1">
        <f t="shared" si="39"/>
        <v>14.099999999999994</v>
      </c>
      <c r="M54" s="1"/>
      <c r="N54" s="5">
        <f t="shared" si="40"/>
        <v>6.1453974895397466E-2</v>
      </c>
      <c r="O54" s="12"/>
      <c r="P54" s="1">
        <f>SUM(OSRRefP22_9x_0)</f>
        <v>2922.48</v>
      </c>
      <c r="Q54" s="1"/>
      <c r="R54" s="5">
        <f t="shared" si="41"/>
        <v>4.8956474506652303E-3</v>
      </c>
      <c r="S54" s="1"/>
      <c r="T54" s="1">
        <f>SUM(OSRRefT22_9x_0)</f>
        <v>2343.89</v>
      </c>
      <c r="U54" s="1"/>
      <c r="V54" s="5">
        <f t="shared" si="42"/>
        <v>3.2225163273001118E-3</v>
      </c>
      <c r="W54" s="1"/>
      <c r="X54" s="1">
        <f t="shared" si="43"/>
        <v>578.59000000000015</v>
      </c>
      <c r="Y54" s="1"/>
      <c r="Z54" s="5">
        <f t="shared" si="44"/>
        <v>0.24685032147413069</v>
      </c>
    </row>
    <row r="55" spans="1:26" s="24" customFormat="1" hidden="1" outlineLevel="2" x14ac:dyDescent="0.35">
      <c r="A55" s="27"/>
      <c r="B55" s="11" t="str">
        <f>CONCATENATE("          ", "6314", " - ", "LIABILITY INSURANCE")</f>
        <v xml:space="preserve">          6314 - LIABILITY INSURANCE</v>
      </c>
      <c r="C55" s="11"/>
      <c r="D55" s="7">
        <v>243.54</v>
      </c>
      <c r="E55" s="2"/>
      <c r="F55" s="6">
        <f t="shared" si="37"/>
        <v>0</v>
      </c>
      <c r="G55" s="2"/>
      <c r="H55" s="7">
        <v>229.44</v>
      </c>
      <c r="I55" s="2"/>
      <c r="J55" s="6">
        <f t="shared" si="38"/>
        <v>2.3820325972190932E-2</v>
      </c>
      <c r="K55" s="2"/>
      <c r="L55" s="7">
        <f t="shared" si="39"/>
        <v>14.099999999999994</v>
      </c>
      <c r="M55" s="2"/>
      <c r="N55" s="6">
        <f t="shared" si="40"/>
        <v>6.1453974895397466E-2</v>
      </c>
      <c r="O55" s="11"/>
      <c r="P55" s="7">
        <v>2922.48</v>
      </c>
      <c r="Q55" s="2"/>
      <c r="R55" s="6">
        <f t="shared" si="41"/>
        <v>4.8956474506652303E-3</v>
      </c>
      <c r="S55" s="2"/>
      <c r="T55" s="7">
        <v>2343.89</v>
      </c>
      <c r="U55" s="2"/>
      <c r="V55" s="6">
        <f t="shared" si="42"/>
        <v>3.2225163273001118E-3</v>
      </c>
      <c r="W55" s="2"/>
      <c r="X55" s="7">
        <f t="shared" si="43"/>
        <v>578.59000000000015</v>
      </c>
      <c r="Y55" s="2"/>
      <c r="Z55" s="6">
        <f t="shared" si="44"/>
        <v>0.24685032147413069</v>
      </c>
    </row>
    <row r="56" spans="1:26" s="25" customFormat="1" outlineLevel="1" collapsed="1" x14ac:dyDescent="0.35">
      <c r="A56" s="26"/>
      <c r="B56" s="12" t="str">
        <f>CONCATENATE("     ","Interest                                          ")</f>
        <v xml:space="preserve">     Interest                                          </v>
      </c>
      <c r="C56" s="12"/>
      <c r="D56" s="1">
        <f>SUM(OSRRefD22_10x_0)</f>
        <v>4175</v>
      </c>
      <c r="E56" s="1"/>
      <c r="F56" s="5">
        <f t="shared" si="37"/>
        <v>0</v>
      </c>
      <c r="G56" s="1"/>
      <c r="H56" s="1">
        <f>SUM(OSRRefH22_10x_0)</f>
        <v>-203.07</v>
      </c>
      <c r="I56" s="1"/>
      <c r="J56" s="5">
        <f t="shared" si="38"/>
        <v>-2.1082608068221809E-2</v>
      </c>
      <c r="K56" s="1"/>
      <c r="L56" s="1">
        <f t="shared" si="39"/>
        <v>4378.07</v>
      </c>
      <c r="M56" s="1"/>
      <c r="N56" s="5">
        <f t="shared" si="40"/>
        <v>-21.559413010292015</v>
      </c>
      <c r="O56" s="12"/>
      <c r="P56" s="1">
        <f>SUM(OSRRefP22_10x_0)</f>
        <v>48843.77</v>
      </c>
      <c r="Q56" s="1"/>
      <c r="R56" s="5">
        <f t="shared" si="41"/>
        <v>8.1821561852049918E-2</v>
      </c>
      <c r="S56" s="1"/>
      <c r="T56" s="1">
        <f>SUM(OSRRefT22_10x_0)</f>
        <v>46032.33</v>
      </c>
      <c r="U56" s="1"/>
      <c r="V56" s="5">
        <f t="shared" si="42"/>
        <v>6.3287925204965581E-2</v>
      </c>
      <c r="W56" s="1"/>
      <c r="X56" s="1">
        <f t="shared" si="43"/>
        <v>2811.4399999999951</v>
      </c>
      <c r="Y56" s="1"/>
      <c r="Z56" s="5">
        <f t="shared" si="44"/>
        <v>6.1075335530484658E-2</v>
      </c>
    </row>
    <row r="57" spans="1:26" s="24" customFormat="1" hidden="1" outlineLevel="2" x14ac:dyDescent="0.35">
      <c r="A57" s="27"/>
      <c r="B57" s="11" t="str">
        <f>CONCATENATE("          ", "6401", " - ", "INTEREST EXPENSE")</f>
        <v xml:space="preserve">          6401 - INTEREST EXPENSE</v>
      </c>
      <c r="C57" s="11"/>
      <c r="D57" s="7">
        <v>4175</v>
      </c>
      <c r="E57" s="2"/>
      <c r="F57" s="6">
        <f t="shared" si="37"/>
        <v>0</v>
      </c>
      <c r="G57" s="2"/>
      <c r="H57" s="7">
        <v>-203.07</v>
      </c>
      <c r="I57" s="2"/>
      <c r="J57" s="6">
        <f t="shared" si="38"/>
        <v>-2.1082608068221809E-2</v>
      </c>
      <c r="K57" s="2"/>
      <c r="L57" s="7">
        <f t="shared" si="39"/>
        <v>4378.07</v>
      </c>
      <c r="M57" s="2"/>
      <c r="N57" s="6">
        <f t="shared" si="40"/>
        <v>-21.559413010292015</v>
      </c>
      <c r="O57" s="11"/>
      <c r="P57" s="7">
        <v>48843.77</v>
      </c>
      <c r="Q57" s="2"/>
      <c r="R57" s="6">
        <f t="shared" si="41"/>
        <v>8.1821561852049918E-2</v>
      </c>
      <c r="S57" s="2"/>
      <c r="T57" s="7">
        <v>46032.33</v>
      </c>
      <c r="U57" s="2"/>
      <c r="V57" s="6">
        <f t="shared" si="42"/>
        <v>6.3287925204965581E-2</v>
      </c>
      <c r="W57" s="2"/>
      <c r="X57" s="7">
        <f t="shared" si="43"/>
        <v>2811.4399999999951</v>
      </c>
      <c r="Y57" s="2"/>
      <c r="Z57" s="6">
        <f t="shared" si="44"/>
        <v>6.1075335530484658E-2</v>
      </c>
    </row>
    <row r="58" spans="1:26" s="25" customFormat="1" outlineLevel="1" collapsed="1" x14ac:dyDescent="0.35">
      <c r="A58" s="26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SUM(OSRRefD22_11x_0)</f>
        <v>108.52</v>
      </c>
      <c r="E58" s="1"/>
      <c r="F58" s="5">
        <f t="shared" si="37"/>
        <v>0</v>
      </c>
      <c r="G58" s="1"/>
      <c r="H58" s="1">
        <f>SUM(OSRRefH22_11x_0)</f>
        <v>101.2</v>
      </c>
      <c r="I58" s="1"/>
      <c r="J58" s="5">
        <f t="shared" si="38"/>
        <v>1.0506524530969849E-2</v>
      </c>
      <c r="K58" s="1"/>
      <c r="L58" s="1">
        <f t="shared" si="39"/>
        <v>7.3199999999999932</v>
      </c>
      <c r="M58" s="1"/>
      <c r="N58" s="5">
        <f t="shared" si="40"/>
        <v>7.2332015810276609E-2</v>
      </c>
      <c r="O58" s="12"/>
      <c r="P58" s="1">
        <f>SUM(OSRRefP22_11x_0)</f>
        <v>1154.71</v>
      </c>
      <c r="Q58" s="1"/>
      <c r="R58" s="5">
        <f t="shared" si="41"/>
        <v>1.9343342187996661E-3</v>
      </c>
      <c r="S58" s="1"/>
      <c r="T58" s="1">
        <f>SUM(OSRRefT22_11x_0)</f>
        <v>1643.59</v>
      </c>
      <c r="U58" s="1"/>
      <c r="V58" s="5">
        <f t="shared" si="42"/>
        <v>2.2597031474971907E-3</v>
      </c>
      <c r="W58" s="1"/>
      <c r="X58" s="1">
        <f t="shared" si="43"/>
        <v>-488.87999999999988</v>
      </c>
      <c r="Y58" s="1"/>
      <c r="Z58" s="5">
        <f t="shared" si="44"/>
        <v>-0.297446443456093</v>
      </c>
    </row>
    <row r="59" spans="1:26" s="24" customFormat="1" hidden="1" outlineLevel="2" x14ac:dyDescent="0.3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0</v>
      </c>
      <c r="M59" s="2"/>
      <c r="N59" s="6">
        <f t="shared" si="40"/>
        <v>0</v>
      </c>
      <c r="O59" s="11"/>
      <c r="P59" s="7">
        <v>437.31</v>
      </c>
      <c r="Q59" s="2"/>
      <c r="R59" s="6">
        <f t="shared" si="41"/>
        <v>7.3256808828474861E-4</v>
      </c>
      <c r="S59" s="2"/>
      <c r="T59" s="7"/>
      <c r="U59" s="2"/>
      <c r="V59" s="6">
        <f t="shared" si="42"/>
        <v>0</v>
      </c>
      <c r="W59" s="2"/>
      <c r="X59" s="7">
        <f t="shared" si="43"/>
        <v>437.31</v>
      </c>
      <c r="Y59" s="2"/>
      <c r="Z59" s="6">
        <f t="shared" si="44"/>
        <v>0</v>
      </c>
    </row>
    <row r="60" spans="1:26" s="24" customFormat="1" hidden="1" outlineLevel="2" x14ac:dyDescent="0.35">
      <c r="A60" s="27"/>
      <c r="B60" s="11" t="str">
        <f>CONCATENATE("          ", "6373", " - ", "MAINTENANCE CONTRACTS")</f>
        <v xml:space="preserve">          6373 - MAINTENANCE CONTRACTS</v>
      </c>
      <c r="C60" s="11"/>
      <c r="D60" s="7">
        <v>108.52</v>
      </c>
      <c r="E60" s="2"/>
      <c r="F60" s="6">
        <f t="shared" si="37"/>
        <v>0</v>
      </c>
      <c r="G60" s="2"/>
      <c r="H60" s="7">
        <v>101.2</v>
      </c>
      <c r="I60" s="2"/>
      <c r="J60" s="6">
        <f t="shared" si="38"/>
        <v>1.0506524530969849E-2</v>
      </c>
      <c r="K60" s="2"/>
      <c r="L60" s="7">
        <f t="shared" si="39"/>
        <v>7.3199999999999932</v>
      </c>
      <c r="M60" s="2"/>
      <c r="N60" s="6">
        <f t="shared" si="40"/>
        <v>7.2332015810276609E-2</v>
      </c>
      <c r="O60" s="11"/>
      <c r="P60" s="7">
        <v>426.78</v>
      </c>
      <c r="Q60" s="2"/>
      <c r="R60" s="6">
        <f t="shared" si="41"/>
        <v>7.1492856033057782E-4</v>
      </c>
      <c r="S60" s="2"/>
      <c r="T60" s="7">
        <v>404.8</v>
      </c>
      <c r="U60" s="2"/>
      <c r="V60" s="6">
        <f t="shared" si="42"/>
        <v>5.5654258915353763E-4</v>
      </c>
      <c r="W60" s="2"/>
      <c r="X60" s="7">
        <f t="shared" si="43"/>
        <v>21.979999999999961</v>
      </c>
      <c r="Y60" s="2"/>
      <c r="Z60" s="6">
        <f t="shared" si="44"/>
        <v>5.4298418972331917E-2</v>
      </c>
    </row>
    <row r="61" spans="1:26" s="24" customFormat="1" hidden="1" outlineLevel="2" x14ac:dyDescent="0.3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37"/>
        <v>0</v>
      </c>
      <c r="G61" s="2"/>
      <c r="H61" s="7"/>
      <c r="I61" s="2"/>
      <c r="J61" s="6">
        <f t="shared" si="38"/>
        <v>0</v>
      </c>
      <c r="K61" s="2"/>
      <c r="L61" s="7">
        <f t="shared" si="39"/>
        <v>0</v>
      </c>
      <c r="M61" s="2"/>
      <c r="N61" s="6">
        <f t="shared" si="40"/>
        <v>0</v>
      </c>
      <c r="O61" s="11"/>
      <c r="P61" s="7">
        <v>290.62</v>
      </c>
      <c r="Q61" s="2"/>
      <c r="R61" s="6">
        <f t="shared" si="41"/>
        <v>4.8683757018433979E-4</v>
      </c>
      <c r="S61" s="2"/>
      <c r="T61" s="7">
        <v>1238.79</v>
      </c>
      <c r="U61" s="2"/>
      <c r="V61" s="6">
        <f t="shared" si="42"/>
        <v>1.7031605583436532E-3</v>
      </c>
      <c r="W61" s="2"/>
      <c r="X61" s="7">
        <f t="shared" si="43"/>
        <v>-948.17</v>
      </c>
      <c r="Y61" s="2"/>
      <c r="Z61" s="6">
        <f t="shared" si="44"/>
        <v>-0.7654001081700692</v>
      </c>
    </row>
    <row r="62" spans="1:26" s="25" customFormat="1" outlineLevel="1" collapsed="1" x14ac:dyDescent="0.35">
      <c r="A62" s="26"/>
      <c r="B62" s="12" t="str">
        <f>CONCATENATE("     ","Services                                          ")</f>
        <v xml:space="preserve">     Services                                          </v>
      </c>
      <c r="C62" s="12"/>
      <c r="D62" s="1">
        <f>SUM(OSRRefD22_12x_0)</f>
        <v>4958.3999999999996</v>
      </c>
      <c r="E62" s="1"/>
      <c r="F62" s="5">
        <f t="shared" ref="F62:F66" si="45">IF(D$12=0,0,D62/D$12)</f>
        <v>0</v>
      </c>
      <c r="G62" s="1"/>
      <c r="H62" s="1">
        <f>SUM(OSRRefH22_12x_0)</f>
        <v>436.71000000000004</v>
      </c>
      <c r="I62" s="1"/>
      <c r="J62" s="5">
        <f t="shared" ref="J62:J66" si="46">IF(H$12=0,0,H62/H$12)</f>
        <v>4.5338975572330464E-2</v>
      </c>
      <c r="K62" s="1"/>
      <c r="L62" s="1">
        <f t="shared" ref="L62:L66" si="47">+D62-H62</f>
        <v>4521.6899999999996</v>
      </c>
      <c r="M62" s="1"/>
      <c r="N62" s="5">
        <f t="shared" ref="N62:N66" si="48">IF(H62=0,0,L62/H62)</f>
        <v>10.35398777220581</v>
      </c>
      <c r="O62" s="12"/>
      <c r="P62" s="1">
        <f>SUM(OSRRefP22_12x_0)</f>
        <v>10586.58</v>
      </c>
      <c r="Q62" s="1"/>
      <c r="R62" s="5">
        <f t="shared" ref="R62:R66" si="49">IF(P$12=0,0,P62/P$12)</f>
        <v>1.7734309007508525E-2</v>
      </c>
      <c r="S62" s="1"/>
      <c r="T62" s="1">
        <f>SUM(OSRRefT22_12x_0)</f>
        <v>6219.25</v>
      </c>
      <c r="U62" s="1"/>
      <c r="V62" s="5">
        <f t="shared" ref="V62:V66" si="50">IF(T$12=0,0,T62/T$12)</f>
        <v>8.5505867035403638E-3</v>
      </c>
      <c r="W62" s="1"/>
      <c r="X62" s="1">
        <f t="shared" ref="X62:X66" si="51">+P62-T62</f>
        <v>4367.33</v>
      </c>
      <c r="Y62" s="1"/>
      <c r="Z62" s="5">
        <f t="shared" ref="Z62:Z66" si="52">IF(T62=0,0,X62/T62)</f>
        <v>0.70222776058206371</v>
      </c>
    </row>
    <row r="63" spans="1:26" s="24" customFormat="1" hidden="1" outlineLevel="2" x14ac:dyDescent="0.35">
      <c r="A63" s="27"/>
      <c r="B63" s="11" t="str">
        <f>CONCATENATE("          ", "6282", " - ", "JANITORIAL/EXTERMINATOR EXPENS")</f>
        <v xml:space="preserve">          6282 - JANITORIAL/EXTERMINATOR EXPENS</v>
      </c>
      <c r="C63" s="11"/>
      <c r="D63" s="7">
        <v>314.7</v>
      </c>
      <c r="E63" s="2"/>
      <c r="F63" s="6">
        <f t="shared" si="45"/>
        <v>0</v>
      </c>
      <c r="G63" s="2"/>
      <c r="H63" s="7">
        <v>157.35</v>
      </c>
      <c r="I63" s="2"/>
      <c r="J63" s="6">
        <f t="shared" si="46"/>
        <v>1.6335984535060334E-2</v>
      </c>
      <c r="K63" s="2"/>
      <c r="L63" s="7">
        <f t="shared" si="47"/>
        <v>157.35</v>
      </c>
      <c r="M63" s="2"/>
      <c r="N63" s="6">
        <f t="shared" si="48"/>
        <v>1</v>
      </c>
      <c r="O63" s="11"/>
      <c r="P63" s="7">
        <v>1888.2</v>
      </c>
      <c r="Q63" s="2"/>
      <c r="R63" s="6">
        <f t="shared" si="49"/>
        <v>3.1630538160555719E-3</v>
      </c>
      <c r="S63" s="2"/>
      <c r="T63" s="7">
        <v>1730.85</v>
      </c>
      <c r="U63" s="2"/>
      <c r="V63" s="6">
        <f t="shared" si="50"/>
        <v>2.3796732718290529E-3</v>
      </c>
      <c r="W63" s="2"/>
      <c r="X63" s="7">
        <f t="shared" si="51"/>
        <v>157.35000000000014</v>
      </c>
      <c r="Y63" s="2"/>
      <c r="Z63" s="6">
        <f t="shared" si="52"/>
        <v>9.0909090909090995E-2</v>
      </c>
    </row>
    <row r="64" spans="1:26" s="24" customFormat="1" hidden="1" outlineLevel="2" x14ac:dyDescent="0.35">
      <c r="A64" s="27"/>
      <c r="B64" s="11" t="str">
        <f>CONCATENATE("          ", "6284", " - ", "TRASH REMOVAL EXPENSE")</f>
        <v xml:space="preserve">          6284 - TRASH REMOVAL EXPENSE</v>
      </c>
      <c r="C64" s="11"/>
      <c r="D64" s="7">
        <v>289</v>
      </c>
      <c r="E64" s="2"/>
      <c r="F64" s="6">
        <f t="shared" si="45"/>
        <v>0</v>
      </c>
      <c r="G64" s="2"/>
      <c r="H64" s="7">
        <v>237</v>
      </c>
      <c r="I64" s="2"/>
      <c r="J64" s="6">
        <f t="shared" si="46"/>
        <v>2.4605200729642829E-2</v>
      </c>
      <c r="K64" s="2"/>
      <c r="L64" s="7">
        <f t="shared" si="47"/>
        <v>52</v>
      </c>
      <c r="M64" s="2"/>
      <c r="N64" s="6">
        <f t="shared" si="48"/>
        <v>0.21940928270042195</v>
      </c>
      <c r="O64" s="11"/>
      <c r="P64" s="7">
        <v>3467</v>
      </c>
      <c r="Q64" s="2"/>
      <c r="R64" s="6">
        <f t="shared" si="49"/>
        <v>5.8078103909885966E-3</v>
      </c>
      <c r="S64" s="2"/>
      <c r="T64" s="7">
        <v>3414.73</v>
      </c>
      <c r="U64" s="2"/>
      <c r="V64" s="6">
        <f t="shared" si="50"/>
        <v>4.6947694551883884E-3</v>
      </c>
      <c r="W64" s="2"/>
      <c r="X64" s="7">
        <f t="shared" si="51"/>
        <v>52.269999999999982</v>
      </c>
      <c r="Y64" s="2"/>
      <c r="Z64" s="6">
        <f t="shared" si="52"/>
        <v>1.5307213161801952E-2</v>
      </c>
    </row>
    <row r="65" spans="1:26" s="24" customFormat="1" hidden="1" outlineLevel="2" x14ac:dyDescent="0.35">
      <c r="A65" s="27"/>
      <c r="B65" s="11" t="str">
        <f>CONCATENATE("          ", "6285", " - ", "JANITORIAL SERVICES")</f>
        <v xml:space="preserve">          6285 - JANITORIAL SERVICES</v>
      </c>
      <c r="C65" s="11"/>
      <c r="D65" s="7">
        <v>4354.7</v>
      </c>
      <c r="E65" s="2"/>
      <c r="F65" s="6">
        <f t="shared" si="45"/>
        <v>0</v>
      </c>
      <c r="G65" s="2"/>
      <c r="H65" s="7"/>
      <c r="I65" s="2"/>
      <c r="J65" s="6">
        <f t="shared" si="46"/>
        <v>0</v>
      </c>
      <c r="K65" s="2"/>
      <c r="L65" s="7">
        <f t="shared" si="47"/>
        <v>4354.7</v>
      </c>
      <c r="M65" s="2"/>
      <c r="N65" s="6">
        <f t="shared" si="48"/>
        <v>0</v>
      </c>
      <c r="O65" s="11"/>
      <c r="P65" s="7">
        <v>4354.7</v>
      </c>
      <c r="Q65" s="2"/>
      <c r="R65" s="6">
        <f t="shared" si="49"/>
        <v>7.2948577760709662E-3</v>
      </c>
      <c r="S65" s="2"/>
      <c r="T65" s="7">
        <v>25</v>
      </c>
      <c r="U65" s="2"/>
      <c r="V65" s="6">
        <f t="shared" si="50"/>
        <v>3.4371454369660183E-5</v>
      </c>
      <c r="W65" s="2"/>
      <c r="X65" s="7">
        <f t="shared" si="51"/>
        <v>4329.7</v>
      </c>
      <c r="Y65" s="2"/>
      <c r="Z65" s="6">
        <f t="shared" si="52"/>
        <v>173.18799999999999</v>
      </c>
    </row>
    <row r="66" spans="1:26" s="24" customFormat="1" hidden="1" outlineLevel="2" x14ac:dyDescent="0.35">
      <c r="A66" s="27"/>
      <c r="B66" s="11" t="str">
        <f>CONCATENATE("          ", "6286", " - ", "LAUNDRY EXPENSE")</f>
        <v xml:space="preserve">          6286 - LAUNDRY EXPENSE</v>
      </c>
      <c r="C66" s="11"/>
      <c r="D66" s="7"/>
      <c r="E66" s="2"/>
      <c r="F66" s="6">
        <f t="shared" si="45"/>
        <v>0</v>
      </c>
      <c r="G66" s="2"/>
      <c r="H66" s="7">
        <v>42.36</v>
      </c>
      <c r="I66" s="2"/>
      <c r="J66" s="6">
        <f t="shared" si="46"/>
        <v>4.3977903076273007E-3</v>
      </c>
      <c r="K66" s="2"/>
      <c r="L66" s="7">
        <f t="shared" si="47"/>
        <v>-42.36</v>
      </c>
      <c r="M66" s="2"/>
      <c r="N66" s="6">
        <f t="shared" si="48"/>
        <v>-1</v>
      </c>
      <c r="O66" s="11"/>
      <c r="P66" s="7">
        <v>876.68</v>
      </c>
      <c r="Q66" s="2"/>
      <c r="R66" s="6">
        <f t="shared" si="49"/>
        <v>1.4685870243933898E-3</v>
      </c>
      <c r="S66" s="2"/>
      <c r="T66" s="7">
        <v>1048.67</v>
      </c>
      <c r="U66" s="2"/>
      <c r="V66" s="6">
        <f t="shared" si="50"/>
        <v>1.4417725221532616E-3</v>
      </c>
      <c r="W66" s="2"/>
      <c r="X66" s="7">
        <f t="shared" si="51"/>
        <v>-171.99000000000012</v>
      </c>
      <c r="Y66" s="2"/>
      <c r="Z66" s="6">
        <f t="shared" si="52"/>
        <v>-0.16400774314131245</v>
      </c>
    </row>
    <row r="67" spans="1:26" s="25" customFormat="1" outlineLevel="1" collapsed="1" x14ac:dyDescent="0.35">
      <c r="A67" s="26"/>
      <c r="B67" s="12" t="str">
        <f>CONCATENATE("     ","Subscriptions &amp; Dues                              ")</f>
        <v xml:space="preserve">     Subscriptions &amp; Dues                              </v>
      </c>
      <c r="C67" s="12"/>
      <c r="D67" s="1">
        <f>SUM(OSRRefD22_13x_0)</f>
        <v>0</v>
      </c>
      <c r="E67" s="1"/>
      <c r="F67" s="5">
        <f t="shared" ref="F67:F69" si="53">IF(D$12=0,0,D67/D$12)</f>
        <v>0</v>
      </c>
      <c r="G67" s="1"/>
      <c r="H67" s="1">
        <f>SUM(OSRRefH22_13x_0)</f>
        <v>176.4</v>
      </c>
      <c r="I67" s="1"/>
      <c r="J67" s="5">
        <f t="shared" ref="J67:J69" si="54">IF(H$12=0,0,H67/H$12)</f>
        <v>1.8313744340544284E-2</v>
      </c>
      <c r="K67" s="1"/>
      <c r="L67" s="1">
        <f t="shared" ref="L67:L69" si="55">+D67-H67</f>
        <v>-176.4</v>
      </c>
      <c r="M67" s="1"/>
      <c r="N67" s="5">
        <f t="shared" ref="N67:N69" si="56">IF(H67=0,0,L67/H67)</f>
        <v>-1</v>
      </c>
      <c r="O67" s="12"/>
      <c r="P67" s="1">
        <f>SUM(OSRRefP22_13x_0)</f>
        <v>1411.2</v>
      </c>
      <c r="Q67" s="1"/>
      <c r="R67" s="5">
        <f t="shared" ref="R67:R69" si="57">IF(P$12=0,0,P67/P$12)</f>
        <v>2.3639982762512571E-3</v>
      </c>
      <c r="S67" s="1"/>
      <c r="T67" s="1">
        <f>SUM(OSRRefT22_13x_0)</f>
        <v>1587.6000000000001</v>
      </c>
      <c r="U67" s="1"/>
      <c r="V67" s="5">
        <f t="shared" ref="V67:V69" si="58">IF(T$12=0,0,T67/T$12)</f>
        <v>2.1827248382909003E-3</v>
      </c>
      <c r="W67" s="1"/>
      <c r="X67" s="1">
        <f t="shared" ref="X67:X69" si="59">+P67-T67</f>
        <v>-176.40000000000009</v>
      </c>
      <c r="Y67" s="1"/>
      <c r="Z67" s="5">
        <f t="shared" ref="Z67:Z69" si="60">IF(T67=0,0,X67/T67)</f>
        <v>-0.11111111111111116</v>
      </c>
    </row>
    <row r="68" spans="1:26" s="24" customFormat="1" hidden="1" outlineLevel="2" x14ac:dyDescent="0.35">
      <c r="A68" s="27"/>
      <c r="B68" s="11" t="str">
        <f>CONCATENATE("          ", "6258", " - ", "MEMBERSHIP DUES")</f>
        <v xml:space="preserve">          6258 - MEMBERSHIP DUES</v>
      </c>
      <c r="C68" s="11"/>
      <c r="D68" s="7"/>
      <c r="E68" s="2"/>
      <c r="F68" s="6">
        <f t="shared" si="53"/>
        <v>0</v>
      </c>
      <c r="G68" s="2"/>
      <c r="H68" s="7"/>
      <c r="I68" s="2"/>
      <c r="J68" s="6">
        <f t="shared" si="54"/>
        <v>0</v>
      </c>
      <c r="K68" s="2"/>
      <c r="L68" s="7">
        <f t="shared" si="55"/>
        <v>0</v>
      </c>
      <c r="M68" s="2"/>
      <c r="N68" s="6">
        <f t="shared" si="56"/>
        <v>0</v>
      </c>
      <c r="O68" s="11"/>
      <c r="P68" s="7"/>
      <c r="Q68" s="2"/>
      <c r="R68" s="6">
        <f t="shared" si="57"/>
        <v>0</v>
      </c>
      <c r="S68" s="2"/>
      <c r="T68" s="7">
        <v>176.4</v>
      </c>
      <c r="U68" s="2"/>
      <c r="V68" s="6">
        <f t="shared" si="58"/>
        <v>2.4252498203232223E-4</v>
      </c>
      <c r="W68" s="2"/>
      <c r="X68" s="7">
        <f t="shared" si="59"/>
        <v>-176.4</v>
      </c>
      <c r="Y68" s="2"/>
      <c r="Z68" s="6">
        <f t="shared" si="60"/>
        <v>-1</v>
      </c>
    </row>
    <row r="69" spans="1:26" s="24" customFormat="1" hidden="1" outlineLevel="2" x14ac:dyDescent="0.35">
      <c r="A69" s="27"/>
      <c r="B69" s="11" t="str">
        <f>CONCATENATE("          ", "6275", " - ", "SUBSCRIPTIONS")</f>
        <v xml:space="preserve">          6275 - SUBSCRIPTIONS</v>
      </c>
      <c r="C69" s="11"/>
      <c r="D69" s="7"/>
      <c r="E69" s="2"/>
      <c r="F69" s="6">
        <f t="shared" si="53"/>
        <v>0</v>
      </c>
      <c r="G69" s="2"/>
      <c r="H69" s="7">
        <v>176.4</v>
      </c>
      <c r="I69" s="2"/>
      <c r="J69" s="6">
        <f t="shared" si="54"/>
        <v>1.8313744340544284E-2</v>
      </c>
      <c r="K69" s="2"/>
      <c r="L69" s="7">
        <f t="shared" si="55"/>
        <v>-176.4</v>
      </c>
      <c r="M69" s="2"/>
      <c r="N69" s="6">
        <f t="shared" si="56"/>
        <v>-1</v>
      </c>
      <c r="O69" s="11"/>
      <c r="P69" s="7">
        <v>1411.2</v>
      </c>
      <c r="Q69" s="2"/>
      <c r="R69" s="6">
        <f t="shared" si="57"/>
        <v>2.3639982762512571E-3</v>
      </c>
      <c r="S69" s="2"/>
      <c r="T69" s="7">
        <v>1411.2</v>
      </c>
      <c r="U69" s="2"/>
      <c r="V69" s="6">
        <f t="shared" si="58"/>
        <v>1.9401998562585778E-3</v>
      </c>
      <c r="W69" s="2"/>
      <c r="X69" s="7">
        <f t="shared" si="59"/>
        <v>0</v>
      </c>
      <c r="Y69" s="2"/>
      <c r="Z69" s="6">
        <f t="shared" si="60"/>
        <v>0</v>
      </c>
    </row>
    <row r="70" spans="1:26" s="25" customFormat="1" outlineLevel="1" collapsed="1" x14ac:dyDescent="0.35">
      <c r="A70" s="26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SUM(OSRRefD22_14x_0)</f>
        <v>0</v>
      </c>
      <c r="E70" s="1"/>
      <c r="F70" s="5">
        <f t="shared" ref="F70:F76" si="61">IF(D$12=0,0,D70/D$12)</f>
        <v>0</v>
      </c>
      <c r="G70" s="1"/>
      <c r="H70" s="1">
        <f>SUM(OSRRefH22_14x_0)</f>
        <v>476.97</v>
      </c>
      <c r="I70" s="1"/>
      <c r="J70" s="5">
        <f t="shared" ref="J70:J76" si="62">IF(H$12=0,0,H70/H$12)</f>
        <v>4.9518745113998903E-2</v>
      </c>
      <c r="K70" s="1"/>
      <c r="L70" s="1">
        <f t="shared" ref="L70:L76" si="63">+D70-H70</f>
        <v>-476.97</v>
      </c>
      <c r="M70" s="1"/>
      <c r="N70" s="5">
        <f t="shared" ref="N70:N76" si="64">IF(H70=0,0,L70/H70)</f>
        <v>-1</v>
      </c>
      <c r="O70" s="12"/>
      <c r="P70" s="1">
        <f>SUM(OSRRefP22_14x_0)</f>
        <v>10919.900000000001</v>
      </c>
      <c r="Q70" s="1"/>
      <c r="R70" s="5">
        <f t="shared" ref="R70:R76" si="65">IF(P$12=0,0,P70/P$12)</f>
        <v>1.8292676287440551E-2</v>
      </c>
      <c r="S70" s="1"/>
      <c r="T70" s="1">
        <f>SUM(OSRRefT22_14x_0)</f>
        <v>11347.29</v>
      </c>
      <c r="U70" s="1"/>
      <c r="V70" s="5">
        <f t="shared" ref="V70:V76" si="66">IF(T$12=0,0,T70/T$12)</f>
        <v>1.5600914418172051E-2</v>
      </c>
      <c r="W70" s="1"/>
      <c r="X70" s="1">
        <f t="shared" ref="X70:X76" si="67">+P70-T70</f>
        <v>-427.38999999999942</v>
      </c>
      <c r="Y70" s="1"/>
      <c r="Z70" s="5">
        <f t="shared" ref="Z70:Z76" si="68">IF(T70=0,0,X70/T70)</f>
        <v>-3.7664499629426883E-2</v>
      </c>
    </row>
    <row r="71" spans="1:26" s="24" customFormat="1" hidden="1" outlineLevel="2" x14ac:dyDescent="0.3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7"/>
      <c r="E71" s="2"/>
      <c r="F71" s="6">
        <f t="shared" si="61"/>
        <v>0</v>
      </c>
      <c r="G71" s="2"/>
      <c r="H71" s="7"/>
      <c r="I71" s="2"/>
      <c r="J71" s="6">
        <f t="shared" si="62"/>
        <v>0</v>
      </c>
      <c r="K71" s="2"/>
      <c r="L71" s="7">
        <f t="shared" si="63"/>
        <v>0</v>
      </c>
      <c r="M71" s="2"/>
      <c r="N71" s="6">
        <f t="shared" si="64"/>
        <v>0</v>
      </c>
      <c r="O71" s="11"/>
      <c r="P71" s="7">
        <v>28.22</v>
      </c>
      <c r="Q71" s="2"/>
      <c r="R71" s="6">
        <f t="shared" si="65"/>
        <v>4.7273264849638937E-5</v>
      </c>
      <c r="S71" s="2"/>
      <c r="T71" s="7">
        <v>939.33</v>
      </c>
      <c r="U71" s="2"/>
      <c r="V71" s="6">
        <f t="shared" si="66"/>
        <v>1.2914455293221159E-3</v>
      </c>
      <c r="W71" s="2"/>
      <c r="X71" s="7">
        <f t="shared" si="67"/>
        <v>-911.11</v>
      </c>
      <c r="Y71" s="2"/>
      <c r="Z71" s="6">
        <f t="shared" si="68"/>
        <v>-0.96995730999755136</v>
      </c>
    </row>
    <row r="72" spans="1:26" s="24" customFormat="1" hidden="1" outlineLevel="2" x14ac:dyDescent="0.35">
      <c r="A72" s="27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61"/>
        <v>0</v>
      </c>
      <c r="G72" s="2"/>
      <c r="H72" s="7">
        <v>603.21</v>
      </c>
      <c r="I72" s="2"/>
      <c r="J72" s="6">
        <f t="shared" si="62"/>
        <v>6.2624907730497267E-2</v>
      </c>
      <c r="K72" s="2"/>
      <c r="L72" s="7">
        <f t="shared" si="63"/>
        <v>-603.21</v>
      </c>
      <c r="M72" s="2"/>
      <c r="N72" s="6">
        <f t="shared" si="64"/>
        <v>-1</v>
      </c>
      <c r="O72" s="11"/>
      <c r="P72" s="7">
        <v>1422.57</v>
      </c>
      <c r="Q72" s="2"/>
      <c r="R72" s="6">
        <f t="shared" si="65"/>
        <v>2.3830449460365295E-3</v>
      </c>
      <c r="S72" s="2"/>
      <c r="T72" s="7">
        <v>3522.87</v>
      </c>
      <c r="U72" s="2"/>
      <c r="V72" s="6">
        <f t="shared" si="66"/>
        <v>4.8434466182097902E-3</v>
      </c>
      <c r="W72" s="2"/>
      <c r="X72" s="7">
        <f t="shared" si="67"/>
        <v>-2100.3000000000002</v>
      </c>
      <c r="Y72" s="2"/>
      <c r="Z72" s="6">
        <f t="shared" si="68"/>
        <v>-0.59619003823587025</v>
      </c>
    </row>
    <row r="73" spans="1:26" s="24" customFormat="1" hidden="1" outlineLevel="2" x14ac:dyDescent="0.35">
      <c r="A73" s="27"/>
      <c r="B73" s="11" t="str">
        <f>CONCATENATE("          ", "6241", " - ", "OFFICE EXPENSE")</f>
        <v xml:space="preserve">          6241 - OFFICE EXPENSE</v>
      </c>
      <c r="C73" s="11"/>
      <c r="D73" s="7"/>
      <c r="E73" s="2"/>
      <c r="F73" s="6">
        <f t="shared" si="61"/>
        <v>0</v>
      </c>
      <c r="G73" s="2"/>
      <c r="H73" s="7"/>
      <c r="I73" s="2"/>
      <c r="J73" s="6">
        <f t="shared" si="62"/>
        <v>0</v>
      </c>
      <c r="K73" s="2"/>
      <c r="L73" s="7">
        <f t="shared" si="63"/>
        <v>0</v>
      </c>
      <c r="M73" s="2"/>
      <c r="N73" s="6">
        <f t="shared" si="64"/>
        <v>0</v>
      </c>
      <c r="O73" s="11"/>
      <c r="P73" s="7">
        <v>484.03</v>
      </c>
      <c r="Q73" s="2"/>
      <c r="R73" s="6">
        <f t="shared" si="65"/>
        <v>8.1083197679556113E-4</v>
      </c>
      <c r="S73" s="2"/>
      <c r="T73" s="7">
        <v>4093.4</v>
      </c>
      <c r="U73" s="2"/>
      <c r="V73" s="6">
        <f t="shared" si="66"/>
        <v>5.6278444526706795E-3</v>
      </c>
      <c r="W73" s="2"/>
      <c r="X73" s="7">
        <f t="shared" si="67"/>
        <v>-3609.37</v>
      </c>
      <c r="Y73" s="2"/>
      <c r="Z73" s="6">
        <f t="shared" si="68"/>
        <v>-0.88175355450236959</v>
      </c>
    </row>
    <row r="74" spans="1:26" s="24" customFormat="1" hidden="1" outlineLevel="2" x14ac:dyDescent="0.35">
      <c r="A74" s="27"/>
      <c r="B74" s="11" t="str">
        <f>CONCATENATE("          ", "6243", " - ", "PAPER SUPPLIES")</f>
        <v xml:space="preserve">          6243 - PAPER SUPPLIES</v>
      </c>
      <c r="C74" s="11"/>
      <c r="D74" s="7"/>
      <c r="E74" s="2"/>
      <c r="F74" s="6">
        <f t="shared" si="61"/>
        <v>0</v>
      </c>
      <c r="G74" s="2"/>
      <c r="H74" s="7"/>
      <c r="I74" s="2"/>
      <c r="J74" s="6">
        <f t="shared" si="62"/>
        <v>0</v>
      </c>
      <c r="K74" s="2"/>
      <c r="L74" s="7">
        <f t="shared" si="63"/>
        <v>0</v>
      </c>
      <c r="M74" s="2"/>
      <c r="N74" s="6">
        <f t="shared" si="64"/>
        <v>0</v>
      </c>
      <c r="O74" s="11"/>
      <c r="P74" s="7">
        <v>1399.73</v>
      </c>
      <c r="Q74" s="2"/>
      <c r="R74" s="6">
        <f t="shared" si="65"/>
        <v>2.3447840895813293E-3</v>
      </c>
      <c r="S74" s="2"/>
      <c r="T74" s="7">
        <v>1918.67</v>
      </c>
      <c r="U74" s="2"/>
      <c r="V74" s="6">
        <f t="shared" si="66"/>
        <v>2.6378991342174362E-3</v>
      </c>
      <c r="W74" s="2"/>
      <c r="X74" s="7">
        <f t="shared" si="67"/>
        <v>-518.94000000000005</v>
      </c>
      <c r="Y74" s="2"/>
      <c r="Z74" s="6">
        <f t="shared" si="68"/>
        <v>-0.27046860585718235</v>
      </c>
    </row>
    <row r="75" spans="1:26" s="24" customFormat="1" hidden="1" outlineLevel="2" x14ac:dyDescent="0.35">
      <c r="A75" s="27"/>
      <c r="B75" s="11" t="str">
        <f>CONCATENATE("          ", "6247", " - ", "STORE SUPPLIES")</f>
        <v xml:space="preserve">          6247 - STORE SUPPLIES</v>
      </c>
      <c r="C75" s="11"/>
      <c r="D75" s="7"/>
      <c r="E75" s="2"/>
      <c r="F75" s="6">
        <f t="shared" si="61"/>
        <v>0</v>
      </c>
      <c r="G75" s="2"/>
      <c r="H75" s="7">
        <v>-126.24</v>
      </c>
      <c r="I75" s="2"/>
      <c r="J75" s="6">
        <f t="shared" si="62"/>
        <v>-1.3106162616498357E-2</v>
      </c>
      <c r="K75" s="2"/>
      <c r="L75" s="7">
        <f t="shared" si="63"/>
        <v>126.24</v>
      </c>
      <c r="M75" s="2"/>
      <c r="N75" s="6">
        <f t="shared" si="64"/>
        <v>-1</v>
      </c>
      <c r="O75" s="11"/>
      <c r="P75" s="7">
        <v>7585.35</v>
      </c>
      <c r="Q75" s="2"/>
      <c r="R75" s="6">
        <f t="shared" si="65"/>
        <v>1.2706742010177489E-2</v>
      </c>
      <c r="S75" s="2"/>
      <c r="T75" s="7">
        <v>473.32</v>
      </c>
      <c r="U75" s="2"/>
      <c r="V75" s="6">
        <f t="shared" si="66"/>
        <v>6.5074787128990223E-4</v>
      </c>
      <c r="W75" s="2"/>
      <c r="X75" s="7">
        <f t="shared" si="67"/>
        <v>7112.0300000000007</v>
      </c>
      <c r="Y75" s="2"/>
      <c r="Z75" s="6">
        <f t="shared" si="68"/>
        <v>15.025838756021297</v>
      </c>
    </row>
    <row r="76" spans="1:26" s="24" customFormat="1" hidden="1" outlineLevel="2" x14ac:dyDescent="0.35">
      <c r="A76" s="27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61"/>
        <v>0</v>
      </c>
      <c r="G76" s="2"/>
      <c r="H76" s="7"/>
      <c r="I76" s="2"/>
      <c r="J76" s="6">
        <f t="shared" si="62"/>
        <v>0</v>
      </c>
      <c r="K76" s="2"/>
      <c r="L76" s="7">
        <f t="shared" si="63"/>
        <v>0</v>
      </c>
      <c r="M76" s="2"/>
      <c r="N76" s="6">
        <f t="shared" si="64"/>
        <v>0</v>
      </c>
      <c r="O76" s="11"/>
      <c r="P76" s="7"/>
      <c r="Q76" s="2"/>
      <c r="R76" s="6">
        <f t="shared" si="65"/>
        <v>0</v>
      </c>
      <c r="S76" s="2"/>
      <c r="T76" s="7">
        <v>399.7</v>
      </c>
      <c r="U76" s="2"/>
      <c r="V76" s="6">
        <f t="shared" si="66"/>
        <v>5.4953081246212699E-4</v>
      </c>
      <c r="W76" s="2"/>
      <c r="X76" s="7">
        <f t="shared" si="67"/>
        <v>-399.7</v>
      </c>
      <c r="Y76" s="2"/>
      <c r="Z76" s="6">
        <f t="shared" si="68"/>
        <v>-1</v>
      </c>
    </row>
    <row r="77" spans="1:26" s="25" customFormat="1" outlineLevel="1" collapsed="1" x14ac:dyDescent="0.35">
      <c r="A77" s="26"/>
      <c r="B77" s="12" t="str">
        <f>CONCATENATE("     ","Telephone/Data Lines                              ")</f>
        <v xml:space="preserve">     Telephone/Data Lines                              </v>
      </c>
      <c r="C77" s="12"/>
      <c r="D77" s="1">
        <f>SUM(OSRRefD22_15x_0)</f>
        <v>86</v>
      </c>
      <c r="E77" s="1"/>
      <c r="F77" s="5">
        <f t="shared" ref="F77:F82" si="69">IF(D$12=0,0,D77/D$12)</f>
        <v>0</v>
      </c>
      <c r="G77" s="1"/>
      <c r="H77" s="1">
        <f>SUM(OSRRefH22_15x_0)</f>
        <v>38.700000000000003</v>
      </c>
      <c r="I77" s="1"/>
      <c r="J77" s="5">
        <f t="shared" ref="J77:J82" si="70">IF(H$12=0,0,H77/H$12)</f>
        <v>4.0178112583847151E-3</v>
      </c>
      <c r="K77" s="1"/>
      <c r="L77" s="1">
        <f t="shared" ref="L77:L82" si="71">+D77-H77</f>
        <v>47.3</v>
      </c>
      <c r="M77" s="1"/>
      <c r="N77" s="5">
        <f t="shared" ref="N77:N82" si="72">IF(H77=0,0,L77/H77)</f>
        <v>1.2222222222222221</v>
      </c>
      <c r="O77" s="12"/>
      <c r="P77" s="1">
        <f>SUM(OSRRefP22_15x_0)</f>
        <v>808.37</v>
      </c>
      <c r="Q77" s="1"/>
      <c r="R77" s="5">
        <f t="shared" ref="R77:R82" si="73">IF(P$12=0,0,P77/P$12)</f>
        <v>1.3541562404855644E-3</v>
      </c>
      <c r="S77" s="1"/>
      <c r="T77" s="1">
        <f>SUM(OSRRefT22_15x_0)</f>
        <v>468.95</v>
      </c>
      <c r="U77" s="1"/>
      <c r="V77" s="5">
        <f t="shared" ref="V77:V82" si="74">IF(T$12=0,0,T77/T$12)</f>
        <v>6.4473974106608563E-4</v>
      </c>
      <c r="W77" s="1"/>
      <c r="X77" s="1">
        <f t="shared" ref="X77:X82" si="75">+P77-T77</f>
        <v>339.42</v>
      </c>
      <c r="Y77" s="1"/>
      <c r="Z77" s="5">
        <f t="shared" ref="Z77:Z82" si="76">IF(T77=0,0,X77/T77)</f>
        <v>0.72378718413476917</v>
      </c>
    </row>
    <row r="78" spans="1:26" s="24" customFormat="1" hidden="1" outlineLevel="2" x14ac:dyDescent="0.35">
      <c r="A78" s="27"/>
      <c r="B78" s="11" t="str">
        <f>CONCATENATE("          ", "6309", " - ", "TELEPHONE")</f>
        <v xml:space="preserve">          6309 - TELEPHONE</v>
      </c>
      <c r="C78" s="11"/>
      <c r="D78" s="7">
        <v>86</v>
      </c>
      <c r="E78" s="2"/>
      <c r="F78" s="6">
        <f t="shared" si="69"/>
        <v>0</v>
      </c>
      <c r="G78" s="2"/>
      <c r="H78" s="7">
        <v>38.700000000000003</v>
      </c>
      <c r="I78" s="2"/>
      <c r="J78" s="6">
        <f t="shared" si="70"/>
        <v>4.0178112583847151E-3</v>
      </c>
      <c r="K78" s="2"/>
      <c r="L78" s="7">
        <f t="shared" si="71"/>
        <v>47.3</v>
      </c>
      <c r="M78" s="2"/>
      <c r="N78" s="6">
        <f t="shared" si="72"/>
        <v>1.2222222222222221</v>
      </c>
      <c r="O78" s="11"/>
      <c r="P78" s="7">
        <v>808.37</v>
      </c>
      <c r="Q78" s="2"/>
      <c r="R78" s="6">
        <f t="shared" si="73"/>
        <v>1.3541562404855644E-3</v>
      </c>
      <c r="S78" s="2"/>
      <c r="T78" s="7">
        <v>468.95</v>
      </c>
      <c r="U78" s="2"/>
      <c r="V78" s="6">
        <f t="shared" si="74"/>
        <v>6.4473974106608563E-4</v>
      </c>
      <c r="W78" s="2"/>
      <c r="X78" s="7">
        <f t="shared" si="75"/>
        <v>339.42</v>
      </c>
      <c r="Y78" s="2"/>
      <c r="Z78" s="6">
        <f t="shared" si="76"/>
        <v>0.72378718413476917</v>
      </c>
    </row>
    <row r="79" spans="1:26" s="25" customFormat="1" outlineLevel="1" collapsed="1" x14ac:dyDescent="0.35">
      <c r="A79" s="26"/>
      <c r="B79" s="12" t="str">
        <f>CONCATENATE("     ","Training                                          ")</f>
        <v xml:space="preserve">     Training                                          </v>
      </c>
      <c r="C79" s="12"/>
      <c r="D79" s="1">
        <f>SUM(OSRRefD22_16x_0)</f>
        <v>0</v>
      </c>
      <c r="E79" s="1"/>
      <c r="F79" s="5">
        <f t="shared" si="69"/>
        <v>0</v>
      </c>
      <c r="G79" s="1"/>
      <c r="H79" s="1">
        <f>SUM(OSRRefH22_16x_0)</f>
        <v>0</v>
      </c>
      <c r="I79" s="1"/>
      <c r="J79" s="5">
        <f t="shared" si="70"/>
        <v>0</v>
      </c>
      <c r="K79" s="1"/>
      <c r="L79" s="1">
        <f t="shared" si="71"/>
        <v>0</v>
      </c>
      <c r="M79" s="1"/>
      <c r="N79" s="5">
        <f t="shared" si="72"/>
        <v>0</v>
      </c>
      <c r="O79" s="12"/>
      <c r="P79" s="1">
        <f>SUM(OSRRefP22_16x_0)</f>
        <v>14</v>
      </c>
      <c r="Q79" s="1"/>
      <c r="R79" s="5">
        <f t="shared" si="73"/>
        <v>2.3452363851698979E-5</v>
      </c>
      <c r="S79" s="1"/>
      <c r="T79" s="1">
        <f>SUM(OSRRefT22_16x_0)</f>
        <v>139</v>
      </c>
      <c r="U79" s="1"/>
      <c r="V79" s="5">
        <f t="shared" si="74"/>
        <v>1.911052862953106E-4</v>
      </c>
      <c r="W79" s="1"/>
      <c r="X79" s="1">
        <f t="shared" si="75"/>
        <v>-125</v>
      </c>
      <c r="Y79" s="1"/>
      <c r="Z79" s="5">
        <f t="shared" si="76"/>
        <v>-0.89928057553956831</v>
      </c>
    </row>
    <row r="80" spans="1:26" s="24" customFormat="1" hidden="1" outlineLevel="2" x14ac:dyDescent="0.35">
      <c r="A80" s="27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69"/>
        <v>0</v>
      </c>
      <c r="G80" s="2"/>
      <c r="H80" s="7"/>
      <c r="I80" s="2"/>
      <c r="J80" s="6">
        <f t="shared" si="70"/>
        <v>0</v>
      </c>
      <c r="K80" s="2"/>
      <c r="L80" s="7">
        <f t="shared" si="71"/>
        <v>0</v>
      </c>
      <c r="M80" s="2"/>
      <c r="N80" s="6">
        <f t="shared" si="72"/>
        <v>0</v>
      </c>
      <c r="O80" s="11"/>
      <c r="P80" s="7">
        <v>14</v>
      </c>
      <c r="Q80" s="2"/>
      <c r="R80" s="6">
        <f t="shared" si="73"/>
        <v>2.3452363851698979E-5</v>
      </c>
      <c r="S80" s="2"/>
      <c r="T80" s="7">
        <v>139</v>
      </c>
      <c r="U80" s="2"/>
      <c r="V80" s="6">
        <f t="shared" si="74"/>
        <v>1.911052862953106E-4</v>
      </c>
      <c r="W80" s="2"/>
      <c r="X80" s="7">
        <f t="shared" si="75"/>
        <v>-125</v>
      </c>
      <c r="Y80" s="2"/>
      <c r="Z80" s="6">
        <f t="shared" si="76"/>
        <v>-0.89928057553956831</v>
      </c>
    </row>
    <row r="81" spans="1:26" s="25" customFormat="1" outlineLevel="1" collapsed="1" x14ac:dyDescent="0.35">
      <c r="A81" s="26"/>
      <c r="B81" s="12" t="str">
        <f>CONCATENATE("     ","Utilities                                         ")</f>
        <v xml:space="preserve">     Utilities                                         </v>
      </c>
      <c r="C81" s="12"/>
      <c r="D81" s="1">
        <f>SUM(OSRRefD22_17x_0)</f>
        <v>878</v>
      </c>
      <c r="E81" s="1"/>
      <c r="F81" s="5">
        <f t="shared" si="69"/>
        <v>0</v>
      </c>
      <c r="G81" s="1"/>
      <c r="H81" s="1">
        <f>SUM(OSRRefH22_17x_0)</f>
        <v>771</v>
      </c>
      <c r="I81" s="1"/>
      <c r="J81" s="5">
        <f t="shared" si="70"/>
        <v>8.0044766930610217E-2</v>
      </c>
      <c r="K81" s="1"/>
      <c r="L81" s="1">
        <f t="shared" si="71"/>
        <v>107</v>
      </c>
      <c r="M81" s="1"/>
      <c r="N81" s="5">
        <f t="shared" si="72"/>
        <v>0.13878080415045396</v>
      </c>
      <c r="O81" s="12"/>
      <c r="P81" s="1">
        <f>SUM(OSRRefP22_17x_0)</f>
        <v>10284</v>
      </c>
      <c r="Q81" s="1"/>
      <c r="R81" s="5">
        <f t="shared" si="73"/>
        <v>1.7227436417919448E-2</v>
      </c>
      <c r="S81" s="1"/>
      <c r="T81" s="1">
        <f>SUM(OSRRefT22_17x_0)</f>
        <v>7875.7</v>
      </c>
      <c r="U81" s="1"/>
      <c r="V81" s="5">
        <f t="shared" si="74"/>
        <v>1.0827970527165307E-2</v>
      </c>
      <c r="W81" s="1"/>
      <c r="X81" s="1">
        <f t="shared" si="75"/>
        <v>2408.3000000000002</v>
      </c>
      <c r="Y81" s="1"/>
      <c r="Z81" s="5">
        <f t="shared" si="76"/>
        <v>0.30578869179882429</v>
      </c>
    </row>
    <row r="82" spans="1:26" s="24" customFormat="1" hidden="1" outlineLevel="2" x14ac:dyDescent="0.35">
      <c r="A82" s="27"/>
      <c r="B82" s="11" t="str">
        <f>CONCATENATE("          ", "6274", " - ", "UTILITIES")</f>
        <v xml:space="preserve">          6274 - UTILITIES</v>
      </c>
      <c r="C82" s="11"/>
      <c r="D82" s="7">
        <v>878</v>
      </c>
      <c r="E82" s="2"/>
      <c r="F82" s="6">
        <f t="shared" si="69"/>
        <v>0</v>
      </c>
      <c r="G82" s="2"/>
      <c r="H82" s="7">
        <v>771</v>
      </c>
      <c r="I82" s="2"/>
      <c r="J82" s="6">
        <f t="shared" si="70"/>
        <v>8.0044766930610217E-2</v>
      </c>
      <c r="K82" s="2"/>
      <c r="L82" s="7">
        <f t="shared" si="71"/>
        <v>107</v>
      </c>
      <c r="M82" s="2"/>
      <c r="N82" s="6">
        <f t="shared" si="72"/>
        <v>0.13878080415045396</v>
      </c>
      <c r="O82" s="11"/>
      <c r="P82" s="7">
        <v>10284</v>
      </c>
      <c r="Q82" s="2"/>
      <c r="R82" s="6">
        <f t="shared" si="73"/>
        <v>1.7227436417919448E-2</v>
      </c>
      <c r="S82" s="2"/>
      <c r="T82" s="7">
        <v>7875.7</v>
      </c>
      <c r="U82" s="2"/>
      <c r="V82" s="6">
        <f t="shared" si="74"/>
        <v>1.0827970527165307E-2</v>
      </c>
      <c r="W82" s="2"/>
      <c r="X82" s="7">
        <f t="shared" si="75"/>
        <v>2408.3000000000002</v>
      </c>
      <c r="Y82" s="2"/>
      <c r="Z82" s="6">
        <f t="shared" si="76"/>
        <v>0.30578869179882429</v>
      </c>
    </row>
    <row r="83" spans="1:26" s="56" customFormat="1" x14ac:dyDescent="0.3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5">
      <c r="A84" s="10"/>
      <c r="B84" s="29" t="s">
        <v>0</v>
      </c>
      <c r="C84" s="10"/>
      <c r="D84" s="4">
        <f>SUM(0)</f>
        <v>0</v>
      </c>
      <c r="E84" s="4"/>
      <c r="F84" s="13">
        <f>IF(D$12=0,0,D84/D$12)</f>
        <v>0</v>
      </c>
      <c r="G84" s="4"/>
      <c r="H84" s="4">
        <f>SUM(0)</f>
        <v>0</v>
      </c>
      <c r="I84" s="4"/>
      <c r="J84" s="13">
        <f>IF(H$12=0,0,H84/H$12)</f>
        <v>0</v>
      </c>
      <c r="K84" s="4"/>
      <c r="L84" s="4">
        <f>+D84-H84</f>
        <v>0</v>
      </c>
      <c r="M84" s="4"/>
      <c r="N84" s="13">
        <f>IF(H84=0,0,L84/H84)</f>
        <v>0</v>
      </c>
      <c r="O84" s="10"/>
      <c r="P84" s="4">
        <f>SUM(0)</f>
        <v>0</v>
      </c>
      <c r="Q84" s="4"/>
      <c r="R84" s="13">
        <f>IF(P$12=0,0,P84/P$12)</f>
        <v>0</v>
      </c>
      <c r="S84" s="4"/>
      <c r="T84" s="4">
        <f>SUM(0)</f>
        <v>0</v>
      </c>
      <c r="U84" s="4"/>
      <c r="V84" s="13">
        <f>IF(T$12=0,0,T84/T$12)</f>
        <v>0</v>
      </c>
      <c r="W84" s="4"/>
      <c r="X84" s="4">
        <f>+P84-T84</f>
        <v>0</v>
      </c>
      <c r="Y84" s="4"/>
      <c r="Z84" s="13">
        <f>IF(T84=0,0,X84/T84)</f>
        <v>0</v>
      </c>
    </row>
    <row r="85" spans="1:26" x14ac:dyDescent="0.3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5">
      <c r="A86" s="10"/>
      <c r="B86" s="28" t="s">
        <v>3</v>
      </c>
      <c r="C86" s="28"/>
      <c r="D86" s="22">
        <f>+D20-D22+D84</f>
        <v>-22102.61</v>
      </c>
      <c r="E86" s="14"/>
      <c r="F86" s="21">
        <f>IF(D$12=0,0,D86/D$12)</f>
        <v>0</v>
      </c>
      <c r="G86" s="14"/>
      <c r="H86" s="22">
        <f>+H20-H22+H84</f>
        <v>-24089.17</v>
      </c>
      <c r="I86" s="14"/>
      <c r="J86" s="21">
        <f>IF(H$12=0,0,H86/H$12)</f>
        <v>-2.500923473672954</v>
      </c>
      <c r="K86" s="15"/>
      <c r="L86" s="22">
        <f>+D86-H86</f>
        <v>1986.5599999999977</v>
      </c>
      <c r="M86" s="15"/>
      <c r="N86" s="21">
        <f>IF(H86=0,0,L86/H86)</f>
        <v>-8.2466934311144713E-2</v>
      </c>
      <c r="O86" s="29"/>
      <c r="P86" s="22">
        <f>+P20-P22+P84</f>
        <v>-28246.080000000016</v>
      </c>
      <c r="Q86" s="14"/>
      <c r="R86" s="21">
        <f>IF(P$12=0,0,P86/P$12)</f>
        <v>-4.731695325315699E-2</v>
      </c>
      <c r="S86" s="14"/>
      <c r="T86" s="22">
        <f>+T20-T22+T84</f>
        <v>35312.889999999956</v>
      </c>
      <c r="U86" s="14"/>
      <c r="V86" s="21">
        <f>IF(T$12=0,0,T86/T$12)</f>
        <v>4.855021549183311E-2</v>
      </c>
      <c r="W86" s="15"/>
      <c r="X86" s="22">
        <f>+P86-T86</f>
        <v>-63558.969999999972</v>
      </c>
      <c r="Y86" s="15"/>
      <c r="Z86" s="21">
        <f>IF(T86=0,0,X86/T86)</f>
        <v>-1.7998801570757887</v>
      </c>
    </row>
    <row r="87" spans="1:26" x14ac:dyDescent="0.3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5">
      <c r="A88" s="51"/>
      <c r="B88" s="10" t="s">
        <v>13</v>
      </c>
      <c r="C88" s="10"/>
      <c r="D88" s="4">
        <v>19710.36</v>
      </c>
      <c r="E88" s="4"/>
      <c r="F88" s="13">
        <f>IF(D$12=0,0,D88/D$12)</f>
        <v>0</v>
      </c>
      <c r="G88" s="4"/>
      <c r="H88" s="4">
        <v>-22809.66</v>
      </c>
      <c r="I88" s="4"/>
      <c r="J88" s="13">
        <f>IF(H$12=0,0,H88/H$12)</f>
        <v>-2.3680854973624679</v>
      </c>
      <c r="K88" s="4"/>
      <c r="L88" s="4">
        <f>+D88-H88</f>
        <v>42520.020000000004</v>
      </c>
      <c r="M88" s="4"/>
      <c r="N88" s="13">
        <f>IF(H88=0,0,L88/H88)</f>
        <v>-1.8641233582613683</v>
      </c>
      <c r="O88" s="10"/>
      <c r="P88" s="4">
        <v>90402.08</v>
      </c>
      <c r="Q88" s="4"/>
      <c r="R88" s="13">
        <f>IF(P$12=0,0,P88/P$12)</f>
        <v>0.15143874807931423</v>
      </c>
      <c r="S88" s="4"/>
      <c r="T88" s="4">
        <v>51843.23</v>
      </c>
      <c r="U88" s="4"/>
      <c r="V88" s="13">
        <f>IF(T$12=0,0,T88/T$12)</f>
        <v>7.1277088572831909E-2</v>
      </c>
      <c r="W88" s="4"/>
      <c r="X88" s="4">
        <f>+P88-T88</f>
        <v>38558.85</v>
      </c>
      <c r="Y88" s="4"/>
      <c r="Z88" s="13">
        <f>IF(T88=0,0,X88/T88)</f>
        <v>0.7437586354090977</v>
      </c>
    </row>
    <row r="89" spans="1:26" x14ac:dyDescent="0.3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4">
      <c r="A90" s="10"/>
      <c r="B90" s="28" t="s">
        <v>4</v>
      </c>
      <c r="C90" s="28"/>
      <c r="D90" s="34">
        <f>+D86-D88</f>
        <v>-41812.97</v>
      </c>
      <c r="E90" s="14"/>
      <c r="F90" s="32">
        <f>IF(D$12=0,0,D90/D$12)</f>
        <v>0</v>
      </c>
      <c r="G90" s="14"/>
      <c r="H90" s="34">
        <f>+H86-H88</f>
        <v>-1279.5099999999984</v>
      </c>
      <c r="I90" s="14"/>
      <c r="J90" s="32">
        <f>IF(H$12=0,0,H90/H$12)</f>
        <v>-0.1328379763104863</v>
      </c>
      <c r="K90" s="15"/>
      <c r="L90" s="34">
        <f>D90-H90</f>
        <v>-40533.460000000006</v>
      </c>
      <c r="M90" s="15"/>
      <c r="N90" s="32">
        <f>IF(H90=0,0,L90/H90)</f>
        <v>31.67889270111219</v>
      </c>
      <c r="O90" s="29"/>
      <c r="P90" s="34">
        <f>+P86-P88</f>
        <v>-118648.16000000002</v>
      </c>
      <c r="Q90" s="14"/>
      <c r="R90" s="32">
        <f>IF(P$12=0,0,P90/P$12)</f>
        <v>-0.1987557013324712</v>
      </c>
      <c r="S90" s="14"/>
      <c r="T90" s="34">
        <f>+T86-T88</f>
        <v>-16530.340000000047</v>
      </c>
      <c r="U90" s="14"/>
      <c r="V90" s="32">
        <f>IF(T$12=0,0,T90/T$12)</f>
        <v>-2.2726873080998803E-2</v>
      </c>
      <c r="W90" s="15"/>
      <c r="X90" s="34">
        <f>P90-T90</f>
        <v>-102117.81999999998</v>
      </c>
      <c r="Y90" s="15"/>
      <c r="Z90" s="32">
        <f>IF(T90=0,0,X90/T90)</f>
        <v>6.1775994928113809</v>
      </c>
    </row>
    <row r="91" spans="1:26" ht="15" thickTop="1" x14ac:dyDescent="0.3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4">
      <c r="A93" s="10"/>
      <c r="B93" s="28" t="s">
        <v>5</v>
      </c>
      <c r="C93" s="28"/>
      <c r="D93" s="35">
        <f>SUM(D90:D92)</f>
        <v>-41812.97</v>
      </c>
      <c r="E93" s="14"/>
      <c r="F93" s="33">
        <f>IF(D$12=0,0,D93/D$12)</f>
        <v>0</v>
      </c>
      <c r="G93" s="14"/>
      <c r="H93" s="35">
        <f>SUM(H90:H92)</f>
        <v>-1279.5099999999984</v>
      </c>
      <c r="I93" s="14"/>
      <c r="J93" s="33">
        <f>IF(H$12=0,0,H93/H$12)</f>
        <v>-0.1328379763104863</v>
      </c>
      <c r="K93" s="15"/>
      <c r="L93" s="35">
        <f>+D93-H93</f>
        <v>-40533.460000000006</v>
      </c>
      <c r="M93" s="15"/>
      <c r="N93" s="33">
        <f>IF(H93=0,0,L93/H93)</f>
        <v>31.67889270111219</v>
      </c>
      <c r="O93" s="29"/>
      <c r="P93" s="35">
        <f>SUM(P90:P92)</f>
        <v>-118648.16000000002</v>
      </c>
      <c r="Q93" s="14"/>
      <c r="R93" s="33">
        <f>IF(P$12=0,0,P93/P$12)</f>
        <v>-0.1987557013324712</v>
      </c>
      <c r="S93" s="14"/>
      <c r="T93" s="35">
        <f>SUM(T90:T92)</f>
        <v>-16530.340000000047</v>
      </c>
      <c r="U93" s="14"/>
      <c r="V93" s="33">
        <f>IF(T$12=0,0,T93/T$12)</f>
        <v>-2.2726873080998803E-2</v>
      </c>
      <c r="W93" s="15"/>
      <c r="X93" s="35">
        <f>+P93-T93</f>
        <v>-102117.81999999998</v>
      </c>
      <c r="Y93" s="15"/>
      <c r="Z93" s="33">
        <f>IF(T93=0,0,X93/T93)</f>
        <v>6.1775994928113809</v>
      </c>
    </row>
    <row r="94" spans="1:26" ht="15" thickTop="1" x14ac:dyDescent="0.3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5">
      <c r="A95" s="9"/>
      <c r="B95" s="52">
        <v>44043.523056597223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5">
      <c r="A96" s="9"/>
      <c r="B96" s="61" t="s">
        <v>313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5">
      <c r="A97" s="9"/>
      <c r="B97" s="54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","327", " - ", "C-Store Vending Machine(s)")</f>
        <v>Department 327 - C-Store Vending Machine(s)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302.25</v>
      </c>
      <c r="I12" s="4"/>
      <c r="J12" s="13"/>
      <c r="K12" s="4"/>
      <c r="L12" s="4">
        <f t="shared" ref="L12:L13" si="0">+D12-H12</f>
        <v>-302.25</v>
      </c>
      <c r="M12" s="4"/>
      <c r="N12" s="13">
        <f t="shared" ref="N12:N13" si="1">IF(H12=0,0,L12/H12)</f>
        <v>-1</v>
      </c>
      <c r="O12" s="10"/>
      <c r="P12" s="4">
        <f>SUM(OSRRefP13x_0)</f>
        <v>12812.5</v>
      </c>
      <c r="Q12" s="4"/>
      <c r="R12" s="13"/>
      <c r="S12" s="4"/>
      <c r="T12" s="4">
        <f>SUM(OSRRefT13x_0)</f>
        <v>14530.67</v>
      </c>
      <c r="U12" s="4"/>
      <c r="V12" s="13"/>
      <c r="W12" s="4"/>
      <c r="X12" s="4">
        <f t="shared" ref="X12:X13" si="2">+P12-T12</f>
        <v>-1718.17</v>
      </c>
      <c r="Y12" s="4"/>
      <c r="Z12" s="13">
        <f t="shared" ref="Z12:Z13" si="3">IF(T12=0,0,X12/T12)</f>
        <v>-0.11824437551744001</v>
      </c>
    </row>
    <row r="13" spans="1:26" s="24" customFormat="1" hidden="1" outlineLevel="1" x14ac:dyDescent="0.3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0</f>
        <v>0</v>
      </c>
      <c r="E13" s="2"/>
      <c r="F13" s="19"/>
      <c r="G13" s="2"/>
      <c r="H13" s="2">
        <f>--302.25</f>
        <v>302.25</v>
      </c>
      <c r="I13" s="2"/>
      <c r="J13" s="19"/>
      <c r="K13" s="2"/>
      <c r="L13" s="2">
        <f t="shared" si="0"/>
        <v>-302.25</v>
      </c>
      <c r="M13" s="2"/>
      <c r="N13" s="19">
        <f t="shared" si="1"/>
        <v>-1</v>
      </c>
      <c r="O13" s="11"/>
      <c r="P13" s="2">
        <f>--12812.5</f>
        <v>12812.5</v>
      </c>
      <c r="Q13" s="2"/>
      <c r="R13" s="19"/>
      <c r="S13" s="2"/>
      <c r="T13" s="2">
        <f>--14530.67</f>
        <v>14530.67</v>
      </c>
      <c r="U13" s="2"/>
      <c r="V13" s="19"/>
      <c r="W13" s="2"/>
      <c r="X13" s="2">
        <f t="shared" si="2"/>
        <v>-1718.17</v>
      </c>
      <c r="Y13" s="2"/>
      <c r="Z13" s="19">
        <f t="shared" si="3"/>
        <v>-0.11824437551744001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>
        <f>SUM(OSRRefD16x_0)</f>
        <v>0</v>
      </c>
      <c r="E15" s="4"/>
      <c r="F15" s="13">
        <f t="shared" ref="F15:F16" si="4">IF(D$12=0,0,D15/D$12)</f>
        <v>0</v>
      </c>
      <c r="G15" s="4"/>
      <c r="H15" s="4">
        <f>SUM(OSRRefH16x_0)</f>
        <v>-703.42</v>
      </c>
      <c r="I15" s="4"/>
      <c r="J15" s="13">
        <f t="shared" ref="J15:J16" si="5">IF(H$12=0,0,H15/H$12)</f>
        <v>-2.3272787427626138</v>
      </c>
      <c r="K15" s="4"/>
      <c r="L15" s="4">
        <f t="shared" ref="L15:L16" si="6">+D15-H15</f>
        <v>703.42</v>
      </c>
      <c r="M15" s="4"/>
      <c r="N15" s="13">
        <f t="shared" ref="N15:N16" si="7">IF(H15=0,0,L15/H15)</f>
        <v>-1</v>
      </c>
      <c r="O15" s="10"/>
      <c r="P15" s="4">
        <f>SUM(OSRRefP16x_0)</f>
        <v>3256.12</v>
      </c>
      <c r="Q15" s="4"/>
      <c r="R15" s="13">
        <f t="shared" ref="R15:R16" si="8">IF(P$12=0,0,P15/P$12)</f>
        <v>0.25413619512195124</v>
      </c>
      <c r="S15" s="4"/>
      <c r="T15" s="4">
        <f>SUM(OSRRefT16x_0)</f>
        <v>1706.99</v>
      </c>
      <c r="U15" s="4"/>
      <c r="V15" s="13">
        <f t="shared" ref="V15:V16" si="9">IF(T$12=0,0,T15/T$12)</f>
        <v>0.11747496846325738</v>
      </c>
      <c r="W15" s="4"/>
      <c r="X15" s="4">
        <f t="shared" ref="X15:X16" si="10">+P15-T15</f>
        <v>1549.1299999999999</v>
      </c>
      <c r="Y15" s="4"/>
      <c r="Z15" s="13">
        <f t="shared" ref="Z15:Z16" si="11">IF(T15=0,0,X15/T15)</f>
        <v>0.90752142660472523</v>
      </c>
    </row>
    <row r="16" spans="1:26" s="24" customFormat="1" hidden="1" outlineLevel="1" x14ac:dyDescent="0.35">
      <c r="A16" s="44"/>
      <c r="B16" s="11" t="str">
        <f>CONCATENATE("          ", "5059", " - ", "PURCHASES @ COST-FOOD")</f>
        <v xml:space="preserve">          5059 - PURCHASES @ COST-FOOD</v>
      </c>
      <c r="C16" s="11"/>
      <c r="D16" s="2"/>
      <c r="E16" s="2"/>
      <c r="F16" s="19">
        <f t="shared" si="4"/>
        <v>0</v>
      </c>
      <c r="G16" s="2"/>
      <c r="H16" s="2">
        <v>-703.42</v>
      </c>
      <c r="I16" s="2"/>
      <c r="J16" s="19">
        <f t="shared" si="5"/>
        <v>-2.3272787427626138</v>
      </c>
      <c r="K16" s="2"/>
      <c r="L16" s="2">
        <f t="shared" si="6"/>
        <v>703.42</v>
      </c>
      <c r="M16" s="2"/>
      <c r="N16" s="19">
        <f t="shared" si="7"/>
        <v>-1</v>
      </c>
      <c r="O16" s="11"/>
      <c r="P16" s="2">
        <v>3256.12</v>
      </c>
      <c r="Q16" s="2"/>
      <c r="R16" s="19">
        <f t="shared" si="8"/>
        <v>0.25413619512195124</v>
      </c>
      <c r="S16" s="2"/>
      <c r="T16" s="2">
        <v>1706.99</v>
      </c>
      <c r="U16" s="2"/>
      <c r="V16" s="19">
        <f t="shared" si="9"/>
        <v>0.11747496846325738</v>
      </c>
      <c r="W16" s="2"/>
      <c r="X16" s="2">
        <f t="shared" si="10"/>
        <v>1549.1299999999999</v>
      </c>
      <c r="Y16" s="2"/>
      <c r="Z16" s="19">
        <f t="shared" si="11"/>
        <v>0.90752142660472523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>
        <f>D12-D15</f>
        <v>0</v>
      </c>
      <c r="E18" s="14"/>
      <c r="F18" s="21">
        <f>IF(D$12=0,0,D18/D$12)</f>
        <v>0</v>
      </c>
      <c r="G18" s="14"/>
      <c r="H18" s="22">
        <f>H12-H15</f>
        <v>1005.67</v>
      </c>
      <c r="I18" s="14"/>
      <c r="J18" s="21">
        <f>IF(H$12=0,0,H18/H$12)</f>
        <v>3.3272787427626138</v>
      </c>
      <c r="K18" s="15"/>
      <c r="L18" s="22">
        <f>+D18-H18</f>
        <v>-1005.67</v>
      </c>
      <c r="M18" s="15"/>
      <c r="N18" s="21">
        <f>IF(H18=0,0,L18/H18)</f>
        <v>-1</v>
      </c>
      <c r="O18" s="29"/>
      <c r="P18" s="22">
        <f>P12-P15</f>
        <v>9556.380000000001</v>
      </c>
      <c r="Q18" s="14"/>
      <c r="R18" s="21">
        <f>IF(P$12=0,0,P18/P$12)</f>
        <v>0.74586380487804882</v>
      </c>
      <c r="S18" s="14"/>
      <c r="T18" s="22">
        <f>T12-T15</f>
        <v>12823.68</v>
      </c>
      <c r="U18" s="14"/>
      <c r="V18" s="21">
        <f>IF(T$12=0,0,T18/T$12)</f>
        <v>0.88252503153674267</v>
      </c>
      <c r="W18" s="15"/>
      <c r="X18" s="22">
        <f>+P18-T18</f>
        <v>-3267.2999999999993</v>
      </c>
      <c r="Y18" s="15"/>
      <c r="Z18" s="21">
        <f>IF(T18=0,0,X18/T18)</f>
        <v>-0.25478645755352591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>
        <f>SUM(OSRRefD22x_0)</f>
        <v>0</v>
      </c>
      <c r="E20" s="20"/>
      <c r="F20" s="36">
        <f t="shared" ref="F20:F26" si="12">IF(D$12=0,0,D20/D$12)</f>
        <v>0</v>
      </c>
      <c r="G20" s="20"/>
      <c r="H20" s="20">
        <f>SUM(OSRRefH22x_0)</f>
        <v>75.55</v>
      </c>
      <c r="I20" s="20"/>
      <c r="J20" s="36">
        <f t="shared" ref="J20:J26" si="13">IF(H$12=0,0,H20/H$12)</f>
        <v>0.24995864350703059</v>
      </c>
      <c r="K20" s="4"/>
      <c r="L20" s="20">
        <f t="shared" ref="L20:L26" si="14">+D20-H20</f>
        <v>-75.55</v>
      </c>
      <c r="M20" s="4"/>
      <c r="N20" s="36">
        <f t="shared" ref="N20:N26" si="15">IF(H20=0,0,L20/H20)</f>
        <v>-1</v>
      </c>
      <c r="O20" s="10"/>
      <c r="P20" s="20">
        <f>SUM(OSRRefP22x_0)</f>
        <v>1569.51</v>
      </c>
      <c r="Q20" s="20"/>
      <c r="R20" s="36">
        <f t="shared" ref="R20:R26" si="16">IF(P$12=0,0,P20/P$12)</f>
        <v>0.12249834146341464</v>
      </c>
      <c r="S20" s="20"/>
      <c r="T20" s="20">
        <f>SUM(OSRRefT22x_0)</f>
        <v>7518.96</v>
      </c>
      <c r="U20" s="20"/>
      <c r="V20" s="36">
        <f t="shared" ref="V20:V26" si="17">IF(T$12=0,0,T20/T$12)</f>
        <v>0.51745446011780605</v>
      </c>
      <c r="W20" s="4"/>
      <c r="X20" s="20">
        <f t="shared" ref="X20:X26" si="18">+P20-T20</f>
        <v>-5949.45</v>
      </c>
      <c r="Y20" s="4"/>
      <c r="Z20" s="36">
        <f t="shared" ref="Z20:Z26" si="19">IF(T20=0,0,X20/T20)</f>
        <v>-0.7912596954898018</v>
      </c>
    </row>
    <row r="21" spans="1:26" s="25" customFormat="1" outlineLevel="1" collapsed="1" x14ac:dyDescent="0.35">
      <c r="A21" s="26"/>
      <c r="B21" s="12" t="str">
        <f>CONCATENATE("     ","Bank/card Fees                                    ")</f>
        <v xml:space="preserve">     Bank/card Fees                                    </v>
      </c>
      <c r="C21" s="12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56.6</v>
      </c>
      <c r="I21" s="1"/>
      <c r="J21" s="5">
        <f t="shared" si="13"/>
        <v>0.18726220016542597</v>
      </c>
      <c r="K21" s="1"/>
      <c r="L21" s="1">
        <f t="shared" si="14"/>
        <v>-56.6</v>
      </c>
      <c r="M21" s="1"/>
      <c r="N21" s="5">
        <f t="shared" si="15"/>
        <v>-1</v>
      </c>
      <c r="O21" s="12"/>
      <c r="P21" s="1">
        <f>SUM(OSRRefP22_0x_0)</f>
        <v>1249.06</v>
      </c>
      <c r="Q21" s="1"/>
      <c r="R21" s="5">
        <f t="shared" si="16"/>
        <v>9.7487609756097562E-2</v>
      </c>
      <c r="S21" s="1"/>
      <c r="T21" s="1">
        <f>SUM(OSRRefT22_0x_0)</f>
        <v>1293.5899999999999</v>
      </c>
      <c r="U21" s="1"/>
      <c r="V21" s="5">
        <f t="shared" si="17"/>
        <v>8.902480064580641E-2</v>
      </c>
      <c r="W21" s="1"/>
      <c r="X21" s="1">
        <f t="shared" si="18"/>
        <v>-44.529999999999973</v>
      </c>
      <c r="Y21" s="1"/>
      <c r="Z21" s="5">
        <f t="shared" si="19"/>
        <v>-3.4423580887298119E-2</v>
      </c>
    </row>
    <row r="22" spans="1:26" s="24" customFormat="1" hidden="1" outlineLevel="2" x14ac:dyDescent="0.35">
      <c r="A22" s="27"/>
      <c r="B22" s="11" t="str">
        <f>CONCATENATE("          ", "6381", " - ", "BANK/CREDIT CARD FEES")</f>
        <v xml:space="preserve">          6381 - BANK/CREDIT CARD FEES</v>
      </c>
      <c r="C22" s="11"/>
      <c r="D22" s="7"/>
      <c r="E22" s="2"/>
      <c r="F22" s="6">
        <f t="shared" si="12"/>
        <v>0</v>
      </c>
      <c r="G22" s="2"/>
      <c r="H22" s="7">
        <v>56.6</v>
      </c>
      <c r="I22" s="2"/>
      <c r="J22" s="6">
        <f t="shared" si="13"/>
        <v>0.18726220016542597</v>
      </c>
      <c r="K22" s="2"/>
      <c r="L22" s="7">
        <f t="shared" si="14"/>
        <v>-56.6</v>
      </c>
      <c r="M22" s="2"/>
      <c r="N22" s="6">
        <f t="shared" si="15"/>
        <v>-1</v>
      </c>
      <c r="O22" s="11"/>
      <c r="P22" s="7">
        <v>1249.06</v>
      </c>
      <c r="Q22" s="2"/>
      <c r="R22" s="6">
        <f t="shared" si="16"/>
        <v>9.7487609756097562E-2</v>
      </c>
      <c r="S22" s="2"/>
      <c r="T22" s="7">
        <v>1293.5899999999999</v>
      </c>
      <c r="U22" s="2"/>
      <c r="V22" s="6">
        <f t="shared" si="17"/>
        <v>8.902480064580641E-2</v>
      </c>
      <c r="W22" s="2"/>
      <c r="X22" s="7">
        <f t="shared" si="18"/>
        <v>-44.529999999999973</v>
      </c>
      <c r="Y22" s="2"/>
      <c r="Z22" s="6">
        <f t="shared" si="19"/>
        <v>-3.4423580887298119E-2</v>
      </c>
    </row>
    <row r="23" spans="1:26" s="25" customFormat="1" outlineLevel="1" collapsed="1" x14ac:dyDescent="0.35">
      <c r="A23" s="26"/>
      <c r="B23" s="12" t="str">
        <f>CONCATENATE("     ","General                                           ")</f>
        <v xml:space="preserve">     General                                           </v>
      </c>
      <c r="C23" s="12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8.9499999999999993</v>
      </c>
      <c r="I23" s="1"/>
      <c r="J23" s="5">
        <f t="shared" si="13"/>
        <v>2.9611248966087675E-2</v>
      </c>
      <c r="K23" s="1"/>
      <c r="L23" s="1">
        <f t="shared" si="14"/>
        <v>-8.9499999999999993</v>
      </c>
      <c r="M23" s="1"/>
      <c r="N23" s="5">
        <f t="shared" si="15"/>
        <v>-1</v>
      </c>
      <c r="O23" s="12"/>
      <c r="P23" s="1">
        <f>SUM(OSRRefP22_1x_0)</f>
        <v>23.45</v>
      </c>
      <c r="Q23" s="1"/>
      <c r="R23" s="5">
        <f t="shared" si="16"/>
        <v>1.8302439024390244E-3</v>
      </c>
      <c r="S23" s="1"/>
      <c r="T23" s="1">
        <f>SUM(OSRRefT22_1x_0)</f>
        <v>10.45</v>
      </c>
      <c r="U23" s="1"/>
      <c r="V23" s="5">
        <f t="shared" si="17"/>
        <v>7.1916848982187323E-4</v>
      </c>
      <c r="W23" s="1"/>
      <c r="X23" s="1">
        <f t="shared" si="18"/>
        <v>13</v>
      </c>
      <c r="Y23" s="1"/>
      <c r="Z23" s="5">
        <f t="shared" si="19"/>
        <v>1.2440191387559809</v>
      </c>
    </row>
    <row r="24" spans="1:26" s="24" customFormat="1" hidden="1" outlineLevel="2" x14ac:dyDescent="0.35">
      <c r="A24" s="27"/>
      <c r="B24" s="11" t="str">
        <f>CONCATENATE("          ", "6279", " - ", "GENERAL EXPENSE")</f>
        <v xml:space="preserve">          6279 - GENERAL EXPENSE</v>
      </c>
      <c r="C24" s="11"/>
      <c r="D24" s="7"/>
      <c r="E24" s="2"/>
      <c r="F24" s="6">
        <f t="shared" si="12"/>
        <v>0</v>
      </c>
      <c r="G24" s="2"/>
      <c r="H24" s="7">
        <v>8.9499999999999993</v>
      </c>
      <c r="I24" s="2"/>
      <c r="J24" s="6">
        <f t="shared" si="13"/>
        <v>2.9611248966087675E-2</v>
      </c>
      <c r="K24" s="2"/>
      <c r="L24" s="7">
        <f t="shared" si="14"/>
        <v>-8.9499999999999993</v>
      </c>
      <c r="M24" s="2"/>
      <c r="N24" s="6">
        <f t="shared" si="15"/>
        <v>-1</v>
      </c>
      <c r="O24" s="11"/>
      <c r="P24" s="7">
        <v>23.45</v>
      </c>
      <c r="Q24" s="2"/>
      <c r="R24" s="6">
        <f t="shared" si="16"/>
        <v>1.8302439024390244E-3</v>
      </c>
      <c r="S24" s="2"/>
      <c r="T24" s="7">
        <v>10.45</v>
      </c>
      <c r="U24" s="2"/>
      <c r="V24" s="6">
        <f t="shared" si="17"/>
        <v>7.1916848982187323E-4</v>
      </c>
      <c r="W24" s="2"/>
      <c r="X24" s="7">
        <f t="shared" si="18"/>
        <v>13</v>
      </c>
      <c r="Y24" s="2"/>
      <c r="Z24" s="6">
        <f t="shared" si="19"/>
        <v>1.2440191387559809</v>
      </c>
    </row>
    <row r="25" spans="1:26" s="25" customFormat="1" outlineLevel="1" collapsed="1" x14ac:dyDescent="0.35">
      <c r="A25" s="26"/>
      <c r="B25" s="12" t="str">
        <f>CONCATENATE("     ","Supplies                                          ")</f>
        <v xml:space="preserve">     Supplies                                          </v>
      </c>
      <c r="C25" s="12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10</v>
      </c>
      <c r="I25" s="1"/>
      <c r="J25" s="5">
        <f t="shared" si="13"/>
        <v>3.3085194375516956E-2</v>
      </c>
      <c r="K25" s="1"/>
      <c r="L25" s="1">
        <f t="shared" si="14"/>
        <v>-10</v>
      </c>
      <c r="M25" s="1"/>
      <c r="N25" s="5">
        <f t="shared" si="15"/>
        <v>-1</v>
      </c>
      <c r="O25" s="12"/>
      <c r="P25" s="1">
        <f>SUM(OSRRefP22_2x_0)</f>
        <v>297</v>
      </c>
      <c r="Q25" s="1"/>
      <c r="R25" s="5">
        <f t="shared" si="16"/>
        <v>2.3180487804878049E-2</v>
      </c>
      <c r="S25" s="1"/>
      <c r="T25" s="1">
        <f>SUM(OSRRefT22_2x_0)</f>
        <v>6214.92</v>
      </c>
      <c r="U25" s="1"/>
      <c r="V25" s="5">
        <f t="shared" si="17"/>
        <v>0.42771049098217773</v>
      </c>
      <c r="W25" s="1"/>
      <c r="X25" s="1">
        <f t="shared" si="18"/>
        <v>-5917.92</v>
      </c>
      <c r="Y25" s="1"/>
      <c r="Z25" s="5">
        <f t="shared" si="19"/>
        <v>-0.95221177424649073</v>
      </c>
    </row>
    <row r="26" spans="1:26" s="24" customFormat="1" hidden="1" outlineLevel="2" x14ac:dyDescent="0.35">
      <c r="A26" s="27"/>
      <c r="B26" s="11" t="str">
        <f>CONCATENATE("          ", "6247", " - ", "STORE SUPPLIES")</f>
        <v xml:space="preserve">          6247 - STORE SUPPLIES</v>
      </c>
      <c r="C26" s="11"/>
      <c r="D26" s="7"/>
      <c r="E26" s="2"/>
      <c r="F26" s="6">
        <f t="shared" si="12"/>
        <v>0</v>
      </c>
      <c r="G26" s="2"/>
      <c r="H26" s="7">
        <v>10</v>
      </c>
      <c r="I26" s="2"/>
      <c r="J26" s="6">
        <f t="shared" si="13"/>
        <v>3.3085194375516956E-2</v>
      </c>
      <c r="K26" s="2"/>
      <c r="L26" s="7">
        <f t="shared" si="14"/>
        <v>-10</v>
      </c>
      <c r="M26" s="2"/>
      <c r="N26" s="6">
        <f t="shared" si="15"/>
        <v>-1</v>
      </c>
      <c r="O26" s="11"/>
      <c r="P26" s="7">
        <v>297</v>
      </c>
      <c r="Q26" s="2"/>
      <c r="R26" s="6">
        <f t="shared" si="16"/>
        <v>2.3180487804878049E-2</v>
      </c>
      <c r="S26" s="2"/>
      <c r="T26" s="7">
        <v>6214.92</v>
      </c>
      <c r="U26" s="2"/>
      <c r="V26" s="6">
        <f t="shared" si="17"/>
        <v>0.42771049098217773</v>
      </c>
      <c r="W26" s="2"/>
      <c r="X26" s="7">
        <f t="shared" si="18"/>
        <v>-5917.92</v>
      </c>
      <c r="Y26" s="2"/>
      <c r="Z26" s="6">
        <f t="shared" si="19"/>
        <v>-0.95221177424649073</v>
      </c>
    </row>
    <row r="27" spans="1:26" s="56" customFormat="1" x14ac:dyDescent="0.3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5">
      <c r="A28" s="10"/>
      <c r="B28" s="29" t="s">
        <v>0</v>
      </c>
      <c r="C28" s="10"/>
      <c r="D28" s="4">
        <f>SUM(0)</f>
        <v>0</v>
      </c>
      <c r="E28" s="4"/>
      <c r="F28" s="13">
        <f>IF(D$12=0,0,D28/D$12)</f>
        <v>0</v>
      </c>
      <c r="G28" s="4"/>
      <c r="H28" s="4">
        <f>SUM(0)</f>
        <v>0</v>
      </c>
      <c r="I28" s="4"/>
      <c r="J28" s="13">
        <f>IF(H$12=0,0,H28/H$12)</f>
        <v>0</v>
      </c>
      <c r="K28" s="4"/>
      <c r="L28" s="4">
        <f>+D28-H28</f>
        <v>0</v>
      </c>
      <c r="M28" s="4"/>
      <c r="N28" s="13">
        <f>IF(H28=0,0,L28/H28)</f>
        <v>0</v>
      </c>
      <c r="O28" s="10"/>
      <c r="P28" s="4">
        <f>SUM(0)</f>
        <v>0</v>
      </c>
      <c r="Q28" s="4"/>
      <c r="R28" s="13">
        <f>IF(P$12=0,0,P28/P$12)</f>
        <v>0</v>
      </c>
      <c r="S28" s="4"/>
      <c r="T28" s="4">
        <f>SUM(0)</f>
        <v>0</v>
      </c>
      <c r="U28" s="4"/>
      <c r="V28" s="13">
        <f>IF(T$12=0,0,T28/T$12)</f>
        <v>0</v>
      </c>
      <c r="W28" s="4"/>
      <c r="X28" s="4">
        <f>+P28-T28</f>
        <v>0</v>
      </c>
      <c r="Y28" s="4"/>
      <c r="Z28" s="13">
        <f>IF(T28=0,0,X28/T28)</f>
        <v>0</v>
      </c>
    </row>
    <row r="29" spans="1:26" x14ac:dyDescent="0.3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5">
      <c r="A30" s="10"/>
      <c r="B30" s="28" t="s">
        <v>3</v>
      </c>
      <c r="C30" s="28"/>
      <c r="D30" s="22">
        <f>+D18-D20+D28</f>
        <v>0</v>
      </c>
      <c r="E30" s="14"/>
      <c r="F30" s="21">
        <f>IF(D$12=0,0,D30/D$12)</f>
        <v>0</v>
      </c>
      <c r="G30" s="14"/>
      <c r="H30" s="22">
        <f>+H18-H20+H28</f>
        <v>930.12</v>
      </c>
      <c r="I30" s="14"/>
      <c r="J30" s="21">
        <f>IF(H$12=0,0,H30/H$12)</f>
        <v>3.0773200992555831</v>
      </c>
      <c r="K30" s="15"/>
      <c r="L30" s="22">
        <f>+D30-H30</f>
        <v>-930.12</v>
      </c>
      <c r="M30" s="15"/>
      <c r="N30" s="21">
        <f>IF(H30=0,0,L30/H30)</f>
        <v>-1</v>
      </c>
      <c r="O30" s="29"/>
      <c r="P30" s="22">
        <f>+P18-P20+P28</f>
        <v>7986.8700000000008</v>
      </c>
      <c r="Q30" s="14"/>
      <c r="R30" s="21">
        <f>IF(P$12=0,0,P30/P$12)</f>
        <v>0.62336546341463417</v>
      </c>
      <c r="S30" s="14"/>
      <c r="T30" s="22">
        <f>+T18-T20+T28</f>
        <v>5304.72</v>
      </c>
      <c r="U30" s="14"/>
      <c r="V30" s="21">
        <f>IF(T$12=0,0,T30/T$12)</f>
        <v>0.36507057141893667</v>
      </c>
      <c r="W30" s="15"/>
      <c r="X30" s="22">
        <f>+P30-T30</f>
        <v>2682.1500000000005</v>
      </c>
      <c r="Y30" s="15"/>
      <c r="Z30" s="21">
        <f>IF(T30=0,0,X30/T30)</f>
        <v>0.50561575351762211</v>
      </c>
    </row>
    <row r="31" spans="1:26" x14ac:dyDescent="0.3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5">
      <c r="A32" s="51"/>
      <c r="B32" s="10" t="s">
        <v>13</v>
      </c>
      <c r="C32" s="10"/>
      <c r="D32" s="4">
        <v>423.05</v>
      </c>
      <c r="E32" s="4"/>
      <c r="F32" s="13">
        <f>IF(D$12=0,0,D32/D$12)</f>
        <v>0</v>
      </c>
      <c r="G32" s="4"/>
      <c r="H32" s="4">
        <v>-444.26</v>
      </c>
      <c r="I32" s="4"/>
      <c r="J32" s="13">
        <f>IF(H$12=0,0,H32/H$12)</f>
        <v>-1.4698428453267163</v>
      </c>
      <c r="K32" s="4"/>
      <c r="L32" s="4">
        <f>+D32-H32</f>
        <v>867.31</v>
      </c>
      <c r="M32" s="4"/>
      <c r="N32" s="13">
        <f>IF(H32=0,0,L32/H32)</f>
        <v>-1.9522576869400801</v>
      </c>
      <c r="O32" s="10"/>
      <c r="P32" s="4">
        <v>1940.31</v>
      </c>
      <c r="Q32" s="4"/>
      <c r="R32" s="13">
        <f>IF(P$12=0,0,P32/P$12)</f>
        <v>0.15143882926829269</v>
      </c>
      <c r="S32" s="4"/>
      <c r="T32" s="4">
        <v>1035.7</v>
      </c>
      <c r="U32" s="4"/>
      <c r="V32" s="13">
        <f>IF(T$12=0,0,T32/T$12)</f>
        <v>7.1276823436221451E-2</v>
      </c>
      <c r="W32" s="4"/>
      <c r="X32" s="4">
        <f>+P32-T32</f>
        <v>904.6099999999999</v>
      </c>
      <c r="Y32" s="4"/>
      <c r="Z32" s="13">
        <f>IF(T32=0,0,X32/T32)</f>
        <v>0.87342859901515868</v>
      </c>
    </row>
    <row r="33" spans="1:26" x14ac:dyDescent="0.3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4">
      <c r="A34" s="10"/>
      <c r="B34" s="28" t="s">
        <v>4</v>
      </c>
      <c r="C34" s="28"/>
      <c r="D34" s="34">
        <f>+D30-D32</f>
        <v>-423.05</v>
      </c>
      <c r="E34" s="14"/>
      <c r="F34" s="32">
        <f>IF(D$12=0,0,D34/D$12)</f>
        <v>0</v>
      </c>
      <c r="G34" s="14"/>
      <c r="H34" s="34">
        <f>+H30-H32</f>
        <v>1374.38</v>
      </c>
      <c r="I34" s="14"/>
      <c r="J34" s="32">
        <f>IF(H$12=0,0,H34/H$12)</f>
        <v>4.5471629445822996</v>
      </c>
      <c r="K34" s="15"/>
      <c r="L34" s="34">
        <f>D34-H34</f>
        <v>-1797.43</v>
      </c>
      <c r="M34" s="15"/>
      <c r="N34" s="32">
        <f>IF(H34=0,0,L34/H34)</f>
        <v>-1.3078115222864126</v>
      </c>
      <c r="O34" s="29"/>
      <c r="P34" s="34">
        <f>+P30-P32</f>
        <v>6046.5600000000013</v>
      </c>
      <c r="Q34" s="14"/>
      <c r="R34" s="32">
        <f>IF(P$12=0,0,P34/P$12)</f>
        <v>0.47192663414634156</v>
      </c>
      <c r="S34" s="14"/>
      <c r="T34" s="34">
        <f>+T30-T32</f>
        <v>4269.0200000000004</v>
      </c>
      <c r="U34" s="14"/>
      <c r="V34" s="32">
        <f>IF(T$12=0,0,T34/T$12)</f>
        <v>0.29379374798271524</v>
      </c>
      <c r="W34" s="15"/>
      <c r="X34" s="34">
        <f>P34-T34</f>
        <v>1777.5400000000009</v>
      </c>
      <c r="Y34" s="15"/>
      <c r="Z34" s="32">
        <f>IF(T34=0,0,X34/T34)</f>
        <v>0.41638127720179352</v>
      </c>
    </row>
    <row r="35" spans="1:26" ht="15" thickTop="1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4">
      <c r="A37" s="10"/>
      <c r="B37" s="28" t="s">
        <v>5</v>
      </c>
      <c r="C37" s="28"/>
      <c r="D37" s="35">
        <f>SUM(D34:D36)</f>
        <v>-423.05</v>
      </c>
      <c r="E37" s="14"/>
      <c r="F37" s="33">
        <f>IF(D$12=0,0,D37/D$12)</f>
        <v>0</v>
      </c>
      <c r="G37" s="14"/>
      <c r="H37" s="35">
        <f>SUM(H34:H36)</f>
        <v>1374.38</v>
      </c>
      <c r="I37" s="14"/>
      <c r="J37" s="33">
        <f>IF(H$12=0,0,H37/H$12)</f>
        <v>4.5471629445822996</v>
      </c>
      <c r="K37" s="15"/>
      <c r="L37" s="35">
        <f>+D37-H37</f>
        <v>-1797.43</v>
      </c>
      <c r="M37" s="15"/>
      <c r="N37" s="33">
        <f>IF(H37=0,0,L37/H37)</f>
        <v>-1.3078115222864126</v>
      </c>
      <c r="O37" s="29"/>
      <c r="P37" s="35">
        <f>SUM(P34:P36)</f>
        <v>6046.5600000000013</v>
      </c>
      <c r="Q37" s="14"/>
      <c r="R37" s="33">
        <f>IF(P$12=0,0,P37/P$12)</f>
        <v>0.47192663414634156</v>
      </c>
      <c r="S37" s="14"/>
      <c r="T37" s="35">
        <f>SUM(T34:T36)</f>
        <v>4269.0200000000004</v>
      </c>
      <c r="U37" s="14"/>
      <c r="V37" s="33">
        <f>IF(T$12=0,0,T37/T$12)</f>
        <v>0.29379374798271524</v>
      </c>
      <c r="W37" s="15"/>
      <c r="X37" s="35">
        <f>+P37-T37</f>
        <v>1777.5400000000009</v>
      </c>
      <c r="Y37" s="15"/>
      <c r="Z37" s="33">
        <f>IF(T37=0,0,X37/T37)</f>
        <v>0.41638127720179352</v>
      </c>
    </row>
    <row r="38" spans="1:26" ht="15" thickTop="1" x14ac:dyDescent="0.35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52">
        <v>44043.523092858799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61" t="s">
        <v>313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A41" s="9"/>
      <c r="B41" s="54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5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309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-133638.92000000001</v>
      </c>
      <c r="E12" s="4"/>
      <c r="F12" s="13"/>
      <c r="G12" s="4"/>
      <c r="H12" s="4">
        <f>SUM(OSRRefH13x_0)</f>
        <v>317697.84999999998</v>
      </c>
      <c r="I12" s="4"/>
      <c r="J12" s="13"/>
      <c r="K12" s="4"/>
      <c r="L12" s="4">
        <f t="shared" ref="L12:L25" si="0">+D12-H12</f>
        <v>-451336.77</v>
      </c>
      <c r="M12" s="4"/>
      <c r="N12" s="13">
        <f t="shared" ref="N12:N25" si="1">IF(H12=0,0,L12/H12)</f>
        <v>-1.4206478577050492</v>
      </c>
      <c r="O12" s="10"/>
      <c r="P12" s="4">
        <f>SUM(OSRRefP13x_0)</f>
        <v>13656888.200000001</v>
      </c>
      <c r="Q12" s="4"/>
      <c r="R12" s="13"/>
      <c r="S12" s="4"/>
      <c r="T12" s="4">
        <f>SUM(OSRRefT13x_0)</f>
        <v>17789543.329999998</v>
      </c>
      <c r="U12" s="4"/>
      <c r="V12" s="13"/>
      <c r="W12" s="4"/>
      <c r="X12" s="4">
        <f t="shared" ref="X12:X25" si="2">+P12-T12</f>
        <v>-4132655.1299999971</v>
      </c>
      <c r="Y12" s="4"/>
      <c r="Z12" s="13">
        <f t="shared" ref="Z12:Z25" si="3">IF(T12=0,0,X12/T12)</f>
        <v>-0.23230810669719409</v>
      </c>
    </row>
    <row r="13" spans="1:26" s="24" customFormat="1" hidden="1" outlineLevel="1" x14ac:dyDescent="0.3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--11666.69</f>
        <v>11666.69</v>
      </c>
      <c r="I13" s="2"/>
      <c r="J13" s="19"/>
      <c r="K13" s="2"/>
      <c r="L13" s="2">
        <f t="shared" si="0"/>
        <v>-11666.69</v>
      </c>
      <c r="M13" s="2"/>
      <c r="N13" s="19">
        <f t="shared" si="1"/>
        <v>-1</v>
      </c>
      <c r="O13" s="11"/>
      <c r="P13" s="2">
        <f>--454738.68</f>
        <v>454738.68</v>
      </c>
      <c r="Q13" s="2"/>
      <c r="R13" s="19"/>
      <c r="S13" s="2"/>
      <c r="T13" s="2">
        <f>--682221.54</f>
        <v>682221.54</v>
      </c>
      <c r="U13" s="2"/>
      <c r="V13" s="19"/>
      <c r="W13" s="2"/>
      <c r="X13" s="2">
        <f t="shared" si="2"/>
        <v>-227482.86000000004</v>
      </c>
      <c r="Y13" s="2"/>
      <c r="Z13" s="19">
        <f t="shared" si="3"/>
        <v>-0.33344426504035629</v>
      </c>
    </row>
    <row r="14" spans="1:26" s="24" customFormat="1" hidden="1" outlineLevel="1" x14ac:dyDescent="0.3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>
        <f>--69227.44</f>
        <v>69227.44</v>
      </c>
      <c r="I14" s="2"/>
      <c r="J14" s="19"/>
      <c r="K14" s="2"/>
      <c r="L14" s="2">
        <f t="shared" si="0"/>
        <v>-69227.44</v>
      </c>
      <c r="M14" s="2"/>
      <c r="N14" s="19">
        <f t="shared" si="1"/>
        <v>-1</v>
      </c>
      <c r="O14" s="11"/>
      <c r="P14" s="2">
        <f>--836487.29</f>
        <v>836487.29</v>
      </c>
      <c r="Q14" s="2"/>
      <c r="R14" s="19"/>
      <c r="S14" s="2"/>
      <c r="T14" s="2">
        <f>--1589998.48</f>
        <v>1589998.48</v>
      </c>
      <c r="U14" s="2"/>
      <c r="V14" s="19"/>
      <c r="W14" s="2"/>
      <c r="X14" s="2">
        <f t="shared" si="2"/>
        <v>-753511.19</v>
      </c>
      <c r="Y14" s="2"/>
      <c r="Z14" s="19">
        <f t="shared" si="3"/>
        <v>-0.47390686184806918</v>
      </c>
    </row>
    <row r="15" spans="1:26" s="24" customFormat="1" hidden="1" outlineLevel="1" x14ac:dyDescent="0.3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--27.9</f>
        <v>27.9</v>
      </c>
      <c r="E15" s="2"/>
      <c r="F15" s="19"/>
      <c r="G15" s="2"/>
      <c r="H15" s="2">
        <f>--12696.42</f>
        <v>12696.42</v>
      </c>
      <c r="I15" s="2"/>
      <c r="J15" s="19"/>
      <c r="K15" s="2"/>
      <c r="L15" s="2">
        <f t="shared" si="0"/>
        <v>-12668.52</v>
      </c>
      <c r="M15" s="2"/>
      <c r="N15" s="19">
        <f t="shared" si="1"/>
        <v>-0.99780253016204568</v>
      </c>
      <c r="O15" s="11"/>
      <c r="P15" s="2">
        <f>--280013.99</f>
        <v>280013.99</v>
      </c>
      <c r="Q15" s="2"/>
      <c r="R15" s="19"/>
      <c r="S15" s="2"/>
      <c r="T15" s="2">
        <f>--346743.32</f>
        <v>346743.32</v>
      </c>
      <c r="U15" s="2"/>
      <c r="V15" s="19"/>
      <c r="W15" s="2"/>
      <c r="X15" s="2">
        <f t="shared" si="2"/>
        <v>-66729.330000000016</v>
      </c>
      <c r="Y15" s="2"/>
      <c r="Z15" s="19">
        <f t="shared" si="3"/>
        <v>-0.19244589917406343</v>
      </c>
    </row>
    <row r="16" spans="1:26" s="24" customFormat="1" hidden="1" outlineLevel="1" x14ac:dyDescent="0.3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ref="D16:D18" si="5">0</f>
        <v>0</v>
      </c>
      <c r="E16" s="2"/>
      <c r="F16" s="19"/>
      <c r="G16" s="2"/>
      <c r="H16" s="2">
        <f>--16246.93</f>
        <v>16246.93</v>
      </c>
      <c r="I16" s="2"/>
      <c r="J16" s="19"/>
      <c r="K16" s="2"/>
      <c r="L16" s="2">
        <f t="shared" si="0"/>
        <v>-16246.93</v>
      </c>
      <c r="M16" s="2"/>
      <c r="N16" s="19">
        <f t="shared" si="1"/>
        <v>-1</v>
      </c>
      <c r="O16" s="11"/>
      <c r="P16" s="2">
        <f>--382379.53</f>
        <v>382379.53</v>
      </c>
      <c r="Q16" s="2"/>
      <c r="R16" s="19"/>
      <c r="S16" s="2"/>
      <c r="T16" s="2">
        <f>--627717.93</f>
        <v>627717.93000000005</v>
      </c>
      <c r="U16" s="2"/>
      <c r="V16" s="19"/>
      <c r="W16" s="2"/>
      <c r="X16" s="2">
        <f t="shared" si="2"/>
        <v>-245338.40000000002</v>
      </c>
      <c r="Y16" s="2"/>
      <c r="Z16" s="19">
        <f t="shared" si="3"/>
        <v>-0.39084179099360761</v>
      </c>
    </row>
    <row r="17" spans="1:26" s="24" customFormat="1" hidden="1" outlineLevel="1" x14ac:dyDescent="0.3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 t="shared" si="5"/>
        <v>0</v>
      </c>
      <c r="E17" s="2"/>
      <c r="F17" s="19"/>
      <c r="G17" s="2"/>
      <c r="H17" s="2">
        <f t="shared" ref="H17:H18" si="6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3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5"/>
        <v>0</v>
      </c>
      <c r="E18" s="2"/>
      <c r="F18" s="19"/>
      <c r="G18" s="2"/>
      <c r="H18" s="2">
        <f t="shared" si="6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--117077.57</f>
        <v>117077.57</v>
      </c>
      <c r="Q18" s="2"/>
      <c r="R18" s="19"/>
      <c r="S18" s="2"/>
      <c r="T18" s="2">
        <f>--200045.36</f>
        <v>200045.36</v>
      </c>
      <c r="U18" s="2"/>
      <c r="V18" s="19"/>
      <c r="W18" s="2"/>
      <c r="X18" s="2">
        <f t="shared" si="2"/>
        <v>-82967.789999999979</v>
      </c>
      <c r="Y18" s="2"/>
      <c r="Z18" s="19">
        <f t="shared" si="3"/>
        <v>-0.41474488585988689</v>
      </c>
    </row>
    <row r="19" spans="1:26" s="24" customFormat="1" hidden="1" outlineLevel="1" x14ac:dyDescent="0.3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-138366.42</f>
        <v>-138366.42000000001</v>
      </c>
      <c r="E19" s="2"/>
      <c r="F19" s="19"/>
      <c r="G19" s="2"/>
      <c r="H19" s="2">
        <f>--178422.72</f>
        <v>178422.72</v>
      </c>
      <c r="I19" s="2"/>
      <c r="J19" s="19"/>
      <c r="K19" s="2"/>
      <c r="L19" s="2">
        <f t="shared" si="0"/>
        <v>-316789.14</v>
      </c>
      <c r="M19" s="2"/>
      <c r="N19" s="19">
        <f t="shared" si="1"/>
        <v>-1.775497761720032</v>
      </c>
      <c r="O19" s="11"/>
      <c r="P19" s="2">
        <f>--10064261.55</f>
        <v>10064261.550000001</v>
      </c>
      <c r="Q19" s="2"/>
      <c r="R19" s="19"/>
      <c r="S19" s="2"/>
      <c r="T19" s="2">
        <f>--12410587.74</f>
        <v>12410587.74</v>
      </c>
      <c r="U19" s="2"/>
      <c r="V19" s="19"/>
      <c r="W19" s="2"/>
      <c r="X19" s="2">
        <f t="shared" si="2"/>
        <v>-2346326.1899999995</v>
      </c>
      <c r="Y19" s="2"/>
      <c r="Z19" s="19">
        <f t="shared" si="3"/>
        <v>-0.18905842649479543</v>
      </c>
    </row>
    <row r="20" spans="1:26" s="24" customFormat="1" hidden="1" outlineLevel="1" x14ac:dyDescent="0.3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0</f>
        <v>0</v>
      </c>
      <c r="E20" s="2"/>
      <c r="F20" s="19"/>
      <c r="G20" s="2"/>
      <c r="H20" s="2">
        <f>--3022.91</f>
        <v>3022.91</v>
      </c>
      <c r="I20" s="2"/>
      <c r="J20" s="19"/>
      <c r="K20" s="2"/>
      <c r="L20" s="2">
        <f t="shared" si="0"/>
        <v>-3022.91</v>
      </c>
      <c r="M20" s="2"/>
      <c r="N20" s="19">
        <f t="shared" si="1"/>
        <v>-1</v>
      </c>
      <c r="O20" s="11"/>
      <c r="P20" s="2">
        <f>--51415.27</f>
        <v>51415.27</v>
      </c>
      <c r="Q20" s="2"/>
      <c r="R20" s="19"/>
      <c r="S20" s="2"/>
      <c r="T20" s="2">
        <f>--79299.25</f>
        <v>79299.25</v>
      </c>
      <c r="U20" s="2"/>
      <c r="V20" s="19"/>
      <c r="W20" s="2"/>
      <c r="X20" s="2">
        <f t="shared" si="2"/>
        <v>-27883.980000000003</v>
      </c>
      <c r="Y20" s="2"/>
      <c r="Z20" s="19">
        <f t="shared" si="3"/>
        <v>-0.35162980734370125</v>
      </c>
    </row>
    <row r="21" spans="1:26" s="24" customFormat="1" hidden="1" outlineLevel="1" x14ac:dyDescent="0.3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--4699.6</f>
        <v>4699.6000000000004</v>
      </c>
      <c r="E21" s="2"/>
      <c r="F21" s="19"/>
      <c r="G21" s="2"/>
      <c r="H21" s="2">
        <f>--2950.96</f>
        <v>2950.96</v>
      </c>
      <c r="I21" s="2"/>
      <c r="J21" s="19"/>
      <c r="K21" s="2"/>
      <c r="L21" s="2">
        <f t="shared" si="0"/>
        <v>1748.6400000000003</v>
      </c>
      <c r="M21" s="2"/>
      <c r="N21" s="19">
        <f t="shared" si="1"/>
        <v>0.59256648683818158</v>
      </c>
      <c r="O21" s="11"/>
      <c r="P21" s="2">
        <f>--304153.32</f>
        <v>304153.32</v>
      </c>
      <c r="Q21" s="2"/>
      <c r="R21" s="19"/>
      <c r="S21" s="2"/>
      <c r="T21" s="2">
        <f>--319900.53</f>
        <v>319900.53000000003</v>
      </c>
      <c r="U21" s="2"/>
      <c r="V21" s="19"/>
      <c r="W21" s="2"/>
      <c r="X21" s="2">
        <f t="shared" si="2"/>
        <v>-15747.210000000021</v>
      </c>
      <c r="Y21" s="2"/>
      <c r="Z21" s="19">
        <f t="shared" si="3"/>
        <v>-4.9225332636991942E-2</v>
      </c>
    </row>
    <row r="22" spans="1:26" s="24" customFormat="1" hidden="1" outlineLevel="1" x14ac:dyDescent="0.3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 t="shared" ref="D22:D25" si="7">0</f>
        <v>0</v>
      </c>
      <c r="E22" s="2"/>
      <c r="F22" s="19"/>
      <c r="G22" s="2"/>
      <c r="H22" s="2">
        <f>--23463.78</f>
        <v>23463.78</v>
      </c>
      <c r="I22" s="2"/>
      <c r="J22" s="19"/>
      <c r="K22" s="2"/>
      <c r="L22" s="2">
        <f t="shared" si="0"/>
        <v>-23463.78</v>
      </c>
      <c r="M22" s="2"/>
      <c r="N22" s="19">
        <f t="shared" si="1"/>
        <v>-1</v>
      </c>
      <c r="O22" s="11"/>
      <c r="P22" s="2">
        <f>--691123.63</f>
        <v>691123.63</v>
      </c>
      <c r="Q22" s="2"/>
      <c r="R22" s="19"/>
      <c r="S22" s="2"/>
      <c r="T22" s="2">
        <f>--922459.02</f>
        <v>922459.02</v>
      </c>
      <c r="U22" s="2"/>
      <c r="V22" s="19"/>
      <c r="W22" s="2"/>
      <c r="X22" s="2">
        <f t="shared" si="2"/>
        <v>-231335.39</v>
      </c>
      <c r="Y22" s="2"/>
      <c r="Z22" s="19">
        <f t="shared" si="3"/>
        <v>-0.25078121085530719</v>
      </c>
    </row>
    <row r="23" spans="1:26" s="24" customFormat="1" hidden="1" outlineLevel="1" x14ac:dyDescent="0.35">
      <c r="A23" s="44"/>
      <c r="B23" s="11" t="str">
        <f>CONCATENATE("          ", "4157", " - ", "NON-TAXABLE SALES-FOOD")</f>
        <v xml:space="preserve">          4157 - NON-TAXABLE SALES-FOOD</v>
      </c>
      <c r="C23" s="11"/>
      <c r="D23" s="2">
        <f t="shared" si="7"/>
        <v>0</v>
      </c>
      <c r="E23" s="2"/>
      <c r="F23" s="19"/>
      <c r="G23" s="2"/>
      <c r="H23" s="2">
        <f t="shared" ref="H23:H25" si="8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--208</f>
        <v>208</v>
      </c>
      <c r="U23" s="2"/>
      <c r="V23" s="19"/>
      <c r="W23" s="2"/>
      <c r="X23" s="2">
        <f t="shared" si="2"/>
        <v>-208</v>
      </c>
      <c r="Y23" s="2"/>
      <c r="Z23" s="19">
        <f t="shared" si="3"/>
        <v>-1</v>
      </c>
    </row>
    <row r="24" spans="1:26" s="24" customFormat="1" hidden="1" outlineLevel="1" x14ac:dyDescent="0.3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7"/>
        <v>0</v>
      </c>
      <c r="E24" s="2"/>
      <c r="F24" s="19"/>
      <c r="G24" s="2"/>
      <c r="H24" s="2">
        <f t="shared" si="8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--474853.67</f>
        <v>474853.67</v>
      </c>
      <c r="Q24" s="2"/>
      <c r="R24" s="19"/>
      <c r="S24" s="2"/>
      <c r="T24" s="2">
        <f>--597801.18</f>
        <v>597801.18000000005</v>
      </c>
      <c r="U24" s="2"/>
      <c r="V24" s="19"/>
      <c r="W24" s="2"/>
      <c r="X24" s="2">
        <f t="shared" si="2"/>
        <v>-122947.51000000007</v>
      </c>
      <c r="Y24" s="2"/>
      <c r="Z24" s="19">
        <f t="shared" si="3"/>
        <v>-0.20566622166921794</v>
      </c>
    </row>
    <row r="25" spans="1:26" s="24" customFormat="1" hidden="1" outlineLevel="1" x14ac:dyDescent="0.35">
      <c r="A25" s="44"/>
      <c r="B25" s="11" t="str">
        <f>CONCATENATE("          ", "4159", " - ", "NON-TAXABLE SALES-FOOD")</f>
        <v xml:space="preserve">          4159 - NON-TAXABLE SALES-FOOD</v>
      </c>
      <c r="C25" s="11"/>
      <c r="D25" s="2">
        <f t="shared" si="7"/>
        <v>0</v>
      </c>
      <c r="E25" s="2"/>
      <c r="F25" s="19"/>
      <c r="G25" s="2"/>
      <c r="H25" s="2">
        <f t="shared" si="8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--383.7</f>
        <v>383.7</v>
      </c>
      <c r="Q25" s="2"/>
      <c r="R25" s="19"/>
      <c r="S25" s="2"/>
      <c r="T25" s="2">
        <f>--1054.9</f>
        <v>1054.9000000000001</v>
      </c>
      <c r="U25" s="2"/>
      <c r="V25" s="19"/>
      <c r="W25" s="2"/>
      <c r="X25" s="2">
        <f t="shared" si="2"/>
        <v>-671.2</v>
      </c>
      <c r="Y25" s="2"/>
      <c r="Z25" s="19">
        <f t="shared" si="3"/>
        <v>-0.63626884064840272</v>
      </c>
    </row>
    <row r="26" spans="1:26" x14ac:dyDescent="0.3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35">
      <c r="A27" s="10"/>
      <c r="B27" s="29" t="s">
        <v>8</v>
      </c>
      <c r="C27" s="10"/>
      <c r="D27" s="4">
        <f>SUM(OSRRefD16x_0)</f>
        <v>52164.21</v>
      </c>
      <c r="E27" s="4"/>
      <c r="F27" s="13">
        <f t="shared" ref="F27:F29" si="9">IF(D$12=0,0,D27/D$12)</f>
        <v>-0.39033696171743976</v>
      </c>
      <c r="G27" s="4"/>
      <c r="H27" s="4">
        <f>SUM(OSRRefH16x_0)</f>
        <v>157378.41</v>
      </c>
      <c r="I27" s="4"/>
      <c r="J27" s="13">
        <f t="shared" ref="J27:J29" si="10">IF(H$12=0,0,H27/H$12)</f>
        <v>0.49537134103992209</v>
      </c>
      <c r="K27" s="4"/>
      <c r="L27" s="4">
        <f t="shared" ref="L27:L29" si="11">+D27-H27</f>
        <v>-105214.20000000001</v>
      </c>
      <c r="M27" s="4"/>
      <c r="N27" s="13">
        <f t="shared" ref="N27:N29" si="12">IF(H27=0,0,L27/H27)</f>
        <v>-0.66854278169413461</v>
      </c>
      <c r="O27" s="10"/>
      <c r="P27" s="4">
        <f>SUM(OSRRefP16x_0)</f>
        <v>3892138.61</v>
      </c>
      <c r="Q27" s="4"/>
      <c r="R27" s="13">
        <f t="shared" ref="R27:R29" si="13">IF(P$12=0,0,P27/P$12)</f>
        <v>0.28499454290033649</v>
      </c>
      <c r="S27" s="4"/>
      <c r="T27" s="4">
        <f>SUM(OSRRefT16x_0)</f>
        <v>4889694.8199999994</v>
      </c>
      <c r="U27" s="4"/>
      <c r="V27" s="13">
        <f t="shared" ref="V27:V29" si="14">IF(T$12=0,0,T27/T$12)</f>
        <v>0.27486342562566501</v>
      </c>
      <c r="W27" s="4"/>
      <c r="X27" s="4">
        <f t="shared" ref="X27:X29" si="15">+P27-T27</f>
        <v>-997556.2099999995</v>
      </c>
      <c r="Y27" s="4"/>
      <c r="Z27" s="13">
        <f t="shared" ref="Z27:Z29" si="16">IF(T27=0,0,X27/T27)</f>
        <v>-0.20401195713069054</v>
      </c>
    </row>
    <row r="28" spans="1:26" s="24" customFormat="1" hidden="1" outlineLevel="1" x14ac:dyDescent="0.3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12722.21</v>
      </c>
      <c r="E28" s="2"/>
      <c r="F28" s="19">
        <f t="shared" si="9"/>
        <v>-9.5198389810393538E-2</v>
      </c>
      <c r="G28" s="2"/>
      <c r="H28" s="2">
        <v>136069.41</v>
      </c>
      <c r="I28" s="2"/>
      <c r="J28" s="19">
        <f t="shared" si="10"/>
        <v>0.42829817702574952</v>
      </c>
      <c r="K28" s="2"/>
      <c r="L28" s="2">
        <f t="shared" si="11"/>
        <v>-123347.20000000001</v>
      </c>
      <c r="M28" s="2"/>
      <c r="N28" s="19">
        <f t="shared" si="12"/>
        <v>-0.90650205656069216</v>
      </c>
      <c r="O28" s="11"/>
      <c r="P28" s="2">
        <v>3786321.88</v>
      </c>
      <c r="Q28" s="2"/>
      <c r="R28" s="19">
        <f t="shared" si="13"/>
        <v>0.27724631149869117</v>
      </c>
      <c r="S28" s="2"/>
      <c r="T28" s="2">
        <v>4911347.43</v>
      </c>
      <c r="U28" s="2"/>
      <c r="V28" s="19">
        <f t="shared" si="14"/>
        <v>0.27608057941080383</v>
      </c>
      <c r="W28" s="2"/>
      <c r="X28" s="2">
        <f t="shared" si="15"/>
        <v>-1125025.5499999998</v>
      </c>
      <c r="Y28" s="2"/>
      <c r="Z28" s="19">
        <f t="shared" si="16"/>
        <v>-0.22906657817119647</v>
      </c>
    </row>
    <row r="29" spans="1:26" s="24" customFormat="1" hidden="1" outlineLevel="1" x14ac:dyDescent="0.3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39442</v>
      </c>
      <c r="E29" s="2"/>
      <c r="F29" s="19">
        <f t="shared" si="9"/>
        <v>-0.29513857190704623</v>
      </c>
      <c r="G29" s="2"/>
      <c r="H29" s="2">
        <v>21309</v>
      </c>
      <c r="I29" s="2"/>
      <c r="J29" s="19">
        <f t="shared" si="10"/>
        <v>6.7073164014172584E-2</v>
      </c>
      <c r="K29" s="2"/>
      <c r="L29" s="2">
        <f t="shared" si="11"/>
        <v>18133</v>
      </c>
      <c r="M29" s="2"/>
      <c r="N29" s="19">
        <f t="shared" si="12"/>
        <v>0.85095499554178988</v>
      </c>
      <c r="O29" s="11"/>
      <c r="P29" s="2">
        <v>105816.73</v>
      </c>
      <c r="Q29" s="2"/>
      <c r="R29" s="19">
        <f t="shared" si="13"/>
        <v>7.7482314016453606E-3</v>
      </c>
      <c r="S29" s="2"/>
      <c r="T29" s="2">
        <v>-21652.609999999997</v>
      </c>
      <c r="U29" s="2"/>
      <c r="V29" s="19">
        <f t="shared" si="14"/>
        <v>-1.2171537851387892E-3</v>
      </c>
      <c r="W29" s="2"/>
      <c r="X29" s="2">
        <f t="shared" si="15"/>
        <v>127469.34</v>
      </c>
      <c r="Y29" s="2"/>
      <c r="Z29" s="19">
        <f t="shared" si="16"/>
        <v>-5.8870196248858688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5">
      <c r="A31" s="10"/>
      <c r="B31" s="28" t="s">
        <v>6</v>
      </c>
      <c r="C31" s="28"/>
      <c r="D31" s="22">
        <f>D12-D27</f>
        <v>-185803.13</v>
      </c>
      <c r="E31" s="14"/>
      <c r="F31" s="21">
        <f>IF(D$12=0,0,D31/D$12)</f>
        <v>1.3903369617174397</v>
      </c>
      <c r="G31" s="14"/>
      <c r="H31" s="22">
        <f>H12-H27</f>
        <v>160319.43999999997</v>
      </c>
      <c r="I31" s="14"/>
      <c r="J31" s="21">
        <f>IF(H$12=0,0,H31/H$12)</f>
        <v>0.50462865896007791</v>
      </c>
      <c r="K31" s="15"/>
      <c r="L31" s="22">
        <f>+D31-H31</f>
        <v>-346122.56999999995</v>
      </c>
      <c r="M31" s="15"/>
      <c r="N31" s="21">
        <f>IF(H31=0,0,L31/H31)</f>
        <v>-2.158955707430116</v>
      </c>
      <c r="O31" s="29"/>
      <c r="P31" s="22">
        <f>P12-P27</f>
        <v>9764749.5900000017</v>
      </c>
      <c r="Q31" s="14"/>
      <c r="R31" s="21">
        <f>IF(P$12=0,0,P31/P$12)</f>
        <v>0.71500545709966357</v>
      </c>
      <c r="S31" s="14"/>
      <c r="T31" s="22">
        <f>T12-T27</f>
        <v>12899848.509999998</v>
      </c>
      <c r="U31" s="14"/>
      <c r="V31" s="21">
        <f>IF(T$12=0,0,T31/T$12)</f>
        <v>0.72513657437433499</v>
      </c>
      <c r="W31" s="15"/>
      <c r="X31" s="22">
        <f>+P31-T31</f>
        <v>-3135098.9199999962</v>
      </c>
      <c r="Y31" s="15"/>
      <c r="Z31" s="21">
        <f>IF(T31=0,0,X31/T31)</f>
        <v>-0.24303377807651452</v>
      </c>
    </row>
    <row r="32" spans="1:26" x14ac:dyDescent="0.3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5">
      <c r="A33" s="10"/>
      <c r="B33" s="29" t="s">
        <v>9</v>
      </c>
      <c r="C33" s="10"/>
      <c r="D33" s="20">
        <f>SUM(OSRRefD22x_0)</f>
        <v>270353.82999999996</v>
      </c>
      <c r="E33" s="20"/>
      <c r="F33" s="36">
        <f t="shared" ref="F33:F43" si="17">IF(D$12=0,0,D33/D$12)</f>
        <v>-2.0230171719436219</v>
      </c>
      <c r="G33" s="20"/>
      <c r="H33" s="20">
        <f>SUM(OSRRefH22x_0)</f>
        <v>604156.90999999992</v>
      </c>
      <c r="I33" s="20"/>
      <c r="J33" s="36">
        <f t="shared" ref="J33:J43" si="18">IF(H$12=0,0,H33/H$12)</f>
        <v>1.9016713836747714</v>
      </c>
      <c r="K33" s="4"/>
      <c r="L33" s="20">
        <f t="shared" ref="L33:L43" si="19">+D33-H33</f>
        <v>-333803.07999999996</v>
      </c>
      <c r="M33" s="4"/>
      <c r="N33" s="36">
        <f t="shared" ref="N33:N43" si="20">IF(H33=0,0,L33/H33)</f>
        <v>-0.55251057212934962</v>
      </c>
      <c r="O33" s="10"/>
      <c r="P33" s="20">
        <f>SUM(OSRRefP22x_0)</f>
        <v>9781195.0600000061</v>
      </c>
      <c r="Q33" s="20"/>
      <c r="R33" s="36">
        <f t="shared" ref="R33:R43" si="21">IF(P$12=0,0,P33/P$12)</f>
        <v>0.71620964576688895</v>
      </c>
      <c r="S33" s="20"/>
      <c r="T33" s="20">
        <f>SUM(OSRRefT22x_0)</f>
        <v>10898304.689999996</v>
      </c>
      <c r="U33" s="20"/>
      <c r="V33" s="36">
        <f t="shared" ref="V33:V43" si="22">IF(T$12=0,0,T33/T$12)</f>
        <v>0.61262419657627021</v>
      </c>
      <c r="W33" s="4"/>
      <c r="X33" s="20">
        <f t="shared" ref="X33:X43" si="23">+P33-T33</f>
        <v>-1117109.6299999896</v>
      </c>
      <c r="Y33" s="4"/>
      <c r="Z33" s="36">
        <f t="shared" ref="Z33:Z43" si="24">IF(T33=0,0,X33/T33)</f>
        <v>-0.10250306463032005</v>
      </c>
    </row>
    <row r="34" spans="1:26" s="25" customFormat="1" outlineLevel="1" collapsed="1" x14ac:dyDescent="0.35">
      <c r="A34" s="26"/>
      <c r="B34" s="12" t="str">
        <f>CONCATENATE("     ","*Benefits                                         ")</f>
        <v xml:space="preserve">     *Benefits                                         </v>
      </c>
      <c r="C34" s="12"/>
      <c r="D34" s="1">
        <f>SUM(OSRRefD22_0x_0)</f>
        <v>80794.540000000008</v>
      </c>
      <c r="E34" s="1"/>
      <c r="F34" s="5">
        <f t="shared" si="17"/>
        <v>-0.60457342816000015</v>
      </c>
      <c r="G34" s="1"/>
      <c r="H34" s="1">
        <f>SUM(OSRRefH22_0x_0)</f>
        <v>112066.59999999999</v>
      </c>
      <c r="I34" s="1"/>
      <c r="J34" s="5">
        <f t="shared" si="18"/>
        <v>0.3527458558501419</v>
      </c>
      <c r="K34" s="1"/>
      <c r="L34" s="1">
        <f t="shared" si="19"/>
        <v>-31272.059999999983</v>
      </c>
      <c r="M34" s="1"/>
      <c r="N34" s="5">
        <f t="shared" si="20"/>
        <v>-0.2790488870011224</v>
      </c>
      <c r="O34" s="12"/>
      <c r="P34" s="1">
        <f>SUM(OSRRefP22_0x_0)</f>
        <v>1642370.6900000004</v>
      </c>
      <c r="Q34" s="1"/>
      <c r="R34" s="5">
        <f t="shared" si="21"/>
        <v>0.12025951050840412</v>
      </c>
      <c r="S34" s="1"/>
      <c r="T34" s="1">
        <f>SUM(OSRRefT22_0x_0)</f>
        <v>1771462.84</v>
      </c>
      <c r="U34" s="1"/>
      <c r="V34" s="5">
        <f t="shared" si="22"/>
        <v>9.9578882219682044E-2</v>
      </c>
      <c r="W34" s="1"/>
      <c r="X34" s="1">
        <f t="shared" si="23"/>
        <v>-129092.14999999967</v>
      </c>
      <c r="Y34" s="1"/>
      <c r="Z34" s="5">
        <f t="shared" si="24"/>
        <v>-7.2873191062816575E-2</v>
      </c>
    </row>
    <row r="35" spans="1:26" s="24" customFormat="1" hidden="1" outlineLevel="2" x14ac:dyDescent="0.35">
      <c r="A35" s="27"/>
      <c r="B35" s="11" t="str">
        <f>CONCATENATE("          ", "6111", " - ", "F.I.C.A.")</f>
        <v xml:space="preserve">          6111 - F.I.C.A.</v>
      </c>
      <c r="C35" s="11"/>
      <c r="D35" s="7">
        <v>9423.8700000000008</v>
      </c>
      <c r="E35" s="2"/>
      <c r="F35" s="6">
        <f t="shared" si="17"/>
        <v>-7.0517406156829165E-2</v>
      </c>
      <c r="G35" s="2"/>
      <c r="H35" s="7">
        <v>22162.38</v>
      </c>
      <c r="I35" s="2"/>
      <c r="J35" s="6">
        <f t="shared" si="18"/>
        <v>6.9759301172481969E-2</v>
      </c>
      <c r="K35" s="2"/>
      <c r="L35" s="7">
        <f t="shared" si="19"/>
        <v>-12738.51</v>
      </c>
      <c r="M35" s="2"/>
      <c r="N35" s="6">
        <f t="shared" si="20"/>
        <v>-0.57478077715480014</v>
      </c>
      <c r="O35" s="11"/>
      <c r="P35" s="7">
        <v>287420.75</v>
      </c>
      <c r="Q35" s="2"/>
      <c r="R35" s="6">
        <f t="shared" si="21"/>
        <v>2.1045844836014693E-2</v>
      </c>
      <c r="S35" s="2"/>
      <c r="T35" s="7">
        <v>291040.81</v>
      </c>
      <c r="U35" s="2"/>
      <c r="V35" s="6">
        <f t="shared" si="22"/>
        <v>1.6360218168680784E-2</v>
      </c>
      <c r="W35" s="2"/>
      <c r="X35" s="7">
        <f t="shared" si="23"/>
        <v>-3620.0599999999977</v>
      </c>
      <c r="Y35" s="2"/>
      <c r="Z35" s="6">
        <f t="shared" si="24"/>
        <v>-1.2438324371073589E-2</v>
      </c>
    </row>
    <row r="36" spans="1:26" s="24" customFormat="1" hidden="1" outlineLevel="2" x14ac:dyDescent="0.35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4134.12</v>
      </c>
      <c r="E36" s="2"/>
      <c r="F36" s="6">
        <f t="shared" si="17"/>
        <v>-3.0935000073331928E-2</v>
      </c>
      <c r="G36" s="2"/>
      <c r="H36" s="7">
        <v>14989.04</v>
      </c>
      <c r="I36" s="2"/>
      <c r="J36" s="6">
        <f t="shared" si="18"/>
        <v>4.7180174495987312E-2</v>
      </c>
      <c r="K36" s="2"/>
      <c r="L36" s="7">
        <f t="shared" si="19"/>
        <v>-10854.920000000002</v>
      </c>
      <c r="M36" s="2"/>
      <c r="N36" s="6">
        <f t="shared" si="20"/>
        <v>-0.72419047517386048</v>
      </c>
      <c r="O36" s="11"/>
      <c r="P36" s="7">
        <v>166799.38</v>
      </c>
      <c r="Q36" s="2"/>
      <c r="R36" s="6">
        <f t="shared" si="21"/>
        <v>1.2213571463519778E-2</v>
      </c>
      <c r="S36" s="2"/>
      <c r="T36" s="7">
        <v>174742.52000000002</v>
      </c>
      <c r="U36" s="2"/>
      <c r="V36" s="6">
        <f t="shared" si="22"/>
        <v>9.8227659225696394E-3</v>
      </c>
      <c r="W36" s="2"/>
      <c r="X36" s="7">
        <f t="shared" si="23"/>
        <v>-7943.140000000014</v>
      </c>
      <c r="Y36" s="2"/>
      <c r="Z36" s="6">
        <f t="shared" si="24"/>
        <v>-4.5456251861310075E-2</v>
      </c>
    </row>
    <row r="37" spans="1:26" s="24" customFormat="1" hidden="1" outlineLevel="2" x14ac:dyDescent="0.35">
      <c r="A37" s="27"/>
      <c r="B37" s="11" t="str">
        <f>CONCATENATE("          ", "6113", " - ", "GROUP INSURANCE")</f>
        <v xml:space="preserve">          6113 - GROUP INSURANCE</v>
      </c>
      <c r="C37" s="11"/>
      <c r="D37" s="7">
        <v>55309.619999999995</v>
      </c>
      <c r="E37" s="2"/>
      <c r="F37" s="6">
        <f t="shared" si="17"/>
        <v>-0.41387359311194666</v>
      </c>
      <c r="G37" s="2"/>
      <c r="H37" s="7">
        <v>66355.22</v>
      </c>
      <c r="I37" s="2"/>
      <c r="J37" s="6">
        <f t="shared" si="18"/>
        <v>0.20886266620941882</v>
      </c>
      <c r="K37" s="2"/>
      <c r="L37" s="7">
        <f t="shared" si="19"/>
        <v>-11045.600000000006</v>
      </c>
      <c r="M37" s="2"/>
      <c r="N37" s="6">
        <f t="shared" si="20"/>
        <v>-0.16646165893203285</v>
      </c>
      <c r="O37" s="11"/>
      <c r="P37" s="7">
        <v>807271.55</v>
      </c>
      <c r="Q37" s="2"/>
      <c r="R37" s="6">
        <f t="shared" si="21"/>
        <v>5.9110943736070121E-2</v>
      </c>
      <c r="S37" s="2"/>
      <c r="T37" s="7">
        <v>798533.2</v>
      </c>
      <c r="U37" s="2"/>
      <c r="V37" s="6">
        <f t="shared" si="22"/>
        <v>4.4887785211066462E-2</v>
      </c>
      <c r="W37" s="2"/>
      <c r="X37" s="7">
        <f t="shared" si="23"/>
        <v>8738.3500000000931</v>
      </c>
      <c r="Y37" s="2"/>
      <c r="Z37" s="6">
        <f t="shared" si="24"/>
        <v>1.0943001493237969E-2</v>
      </c>
    </row>
    <row r="38" spans="1:26" s="24" customFormat="1" hidden="1" outlineLevel="2" x14ac:dyDescent="0.3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-13299.63</v>
      </c>
      <c r="E38" s="2"/>
      <c r="F38" s="6">
        <f t="shared" si="17"/>
        <v>9.9519137089704085E-2</v>
      </c>
      <c r="G38" s="2"/>
      <c r="H38" s="7">
        <v>1132.76</v>
      </c>
      <c r="I38" s="2"/>
      <c r="J38" s="6">
        <f t="shared" si="18"/>
        <v>3.5655261752636979E-3</v>
      </c>
      <c r="K38" s="2"/>
      <c r="L38" s="7">
        <f t="shared" si="19"/>
        <v>-14432.39</v>
      </c>
      <c r="M38" s="2"/>
      <c r="N38" s="6">
        <f t="shared" si="20"/>
        <v>-12.740907164801017</v>
      </c>
      <c r="O38" s="11"/>
      <c r="P38" s="7">
        <v>0</v>
      </c>
      <c r="Q38" s="2"/>
      <c r="R38" s="6">
        <f t="shared" si="21"/>
        <v>0</v>
      </c>
      <c r="S38" s="2"/>
      <c r="T38" s="7">
        <v>14595.12</v>
      </c>
      <c r="U38" s="2"/>
      <c r="V38" s="6">
        <f t="shared" si="22"/>
        <v>8.2043252765162482E-4</v>
      </c>
      <c r="W38" s="2"/>
      <c r="X38" s="7">
        <f t="shared" si="23"/>
        <v>-14595.12</v>
      </c>
      <c r="Y38" s="2"/>
      <c r="Z38" s="6">
        <f t="shared" si="24"/>
        <v>-1</v>
      </c>
    </row>
    <row r="39" spans="1:26" s="24" customFormat="1" hidden="1" outlineLevel="2" x14ac:dyDescent="0.35">
      <c r="A39" s="27"/>
      <c r="B39" s="11" t="str">
        <f>CONCATENATE("          ", "6115", " - ", "P.E.R.S.")</f>
        <v xml:space="preserve">          6115 - P.E.R.S.</v>
      </c>
      <c r="C39" s="11"/>
      <c r="D39" s="7">
        <v>6347.38</v>
      </c>
      <c r="E39" s="2"/>
      <c r="F39" s="6">
        <f t="shared" si="17"/>
        <v>-4.7496492788178767E-2</v>
      </c>
      <c r="G39" s="2"/>
      <c r="H39" s="7"/>
      <c r="I39" s="2"/>
      <c r="J39" s="6">
        <f t="shared" si="18"/>
        <v>0</v>
      </c>
      <c r="K39" s="2"/>
      <c r="L39" s="7">
        <f t="shared" si="19"/>
        <v>6347.38</v>
      </c>
      <c r="M39" s="2"/>
      <c r="N39" s="6">
        <f t="shared" si="20"/>
        <v>0</v>
      </c>
      <c r="O39" s="11"/>
      <c r="P39" s="7">
        <v>130686.27</v>
      </c>
      <c r="Q39" s="2"/>
      <c r="R39" s="6">
        <f t="shared" si="21"/>
        <v>9.5692567798863568E-3</v>
      </c>
      <c r="S39" s="2"/>
      <c r="T39" s="7">
        <v>121140.51000000001</v>
      </c>
      <c r="U39" s="2"/>
      <c r="V39" s="6">
        <f t="shared" si="22"/>
        <v>6.8096469792853316E-3</v>
      </c>
      <c r="W39" s="2"/>
      <c r="X39" s="7">
        <f t="shared" si="23"/>
        <v>9545.7599999999948</v>
      </c>
      <c r="Y39" s="2"/>
      <c r="Z39" s="6">
        <f t="shared" si="24"/>
        <v>7.8799073901868119E-2</v>
      </c>
    </row>
    <row r="40" spans="1:26" s="24" customFormat="1" hidden="1" outlineLevel="2" x14ac:dyDescent="0.35">
      <c r="A40" s="27"/>
      <c r="B40" s="11" t="str">
        <f>CONCATENATE("          ", "6117", " - ", "RETIREMENT STAFF HOURLY")</f>
        <v xml:space="preserve">          6117 - RETIREMENT STAFF HOURLY</v>
      </c>
      <c r="C40" s="11"/>
      <c r="D40" s="7">
        <v>1453.91</v>
      </c>
      <c r="E40" s="2"/>
      <c r="F40" s="6">
        <f t="shared" si="17"/>
        <v>-1.0879390524856081E-2</v>
      </c>
      <c r="G40" s="2"/>
      <c r="H40" s="7">
        <v>1319.06</v>
      </c>
      <c r="I40" s="2"/>
      <c r="J40" s="6">
        <f t="shared" si="18"/>
        <v>4.1519324099927027E-3</v>
      </c>
      <c r="K40" s="2"/>
      <c r="L40" s="7">
        <f t="shared" si="19"/>
        <v>134.85000000000014</v>
      </c>
      <c r="M40" s="2"/>
      <c r="N40" s="6">
        <f t="shared" si="20"/>
        <v>0.1022318924082302</v>
      </c>
      <c r="O40" s="11"/>
      <c r="P40" s="7">
        <v>22230.05</v>
      </c>
      <c r="Q40" s="2"/>
      <c r="R40" s="6">
        <f t="shared" si="21"/>
        <v>1.6277536781768482E-3</v>
      </c>
      <c r="S40" s="2"/>
      <c r="T40" s="7">
        <v>19049.439999999999</v>
      </c>
      <c r="U40" s="2"/>
      <c r="V40" s="6">
        <f t="shared" si="22"/>
        <v>1.0708223166063702E-3</v>
      </c>
      <c r="W40" s="2"/>
      <c r="X40" s="7">
        <f t="shared" si="23"/>
        <v>3180.6100000000006</v>
      </c>
      <c r="Y40" s="2"/>
      <c r="Z40" s="6">
        <f t="shared" si="24"/>
        <v>0.166966063044373</v>
      </c>
    </row>
    <row r="41" spans="1:26" s="24" customFormat="1" hidden="1" outlineLevel="2" x14ac:dyDescent="0.35">
      <c r="A41" s="27"/>
      <c r="B41" s="11" t="str">
        <f>CONCATENATE("          ", "6118", " - ", "VACATION")</f>
        <v xml:space="preserve">          6118 - VACATION</v>
      </c>
      <c r="C41" s="11"/>
      <c r="D41" s="7">
        <v>8390.6200000000008</v>
      </c>
      <c r="E41" s="2"/>
      <c r="F41" s="6">
        <f t="shared" si="17"/>
        <v>-6.2785751336511847E-2</v>
      </c>
      <c r="G41" s="2"/>
      <c r="H41" s="7">
        <v>11631.42</v>
      </c>
      <c r="I41" s="2"/>
      <c r="J41" s="6">
        <f t="shared" si="18"/>
        <v>3.661157920961694E-2</v>
      </c>
      <c r="K41" s="2"/>
      <c r="L41" s="7">
        <f t="shared" si="19"/>
        <v>-3240.7999999999993</v>
      </c>
      <c r="M41" s="2"/>
      <c r="N41" s="6">
        <f t="shared" si="20"/>
        <v>-0.27862462192922266</v>
      </c>
      <c r="O41" s="11"/>
      <c r="P41" s="7">
        <v>176580.53</v>
      </c>
      <c r="Q41" s="2"/>
      <c r="R41" s="6">
        <f t="shared" si="21"/>
        <v>1.2929777809852759E-2</v>
      </c>
      <c r="S41" s="2"/>
      <c r="T41" s="7">
        <v>170430.75999999998</v>
      </c>
      <c r="U41" s="2"/>
      <c r="V41" s="6">
        <f t="shared" si="22"/>
        <v>9.5803898300519212E-3</v>
      </c>
      <c r="W41" s="2"/>
      <c r="X41" s="7">
        <f t="shared" si="23"/>
        <v>6149.7700000000186</v>
      </c>
      <c r="Y41" s="2"/>
      <c r="Z41" s="6">
        <f t="shared" si="24"/>
        <v>3.60836858322994E-2</v>
      </c>
    </row>
    <row r="42" spans="1:26" s="24" customFormat="1" hidden="1" outlineLevel="2" x14ac:dyDescent="0.35">
      <c r="A42" s="27"/>
      <c r="B42" s="11" t="str">
        <f>CONCATENATE("          ", "6119", " - ", "SICK LEAVE")</f>
        <v xml:space="preserve">          6119 - SICK LEAVE</v>
      </c>
      <c r="C42" s="11"/>
      <c r="D42" s="7">
        <v>6128.13</v>
      </c>
      <c r="E42" s="2"/>
      <c r="F42" s="6">
        <f t="shared" si="17"/>
        <v>-4.5855877913410253E-2</v>
      </c>
      <c r="G42" s="2"/>
      <c r="H42" s="7">
        <v>-10816.07</v>
      </c>
      <c r="I42" s="2"/>
      <c r="J42" s="6">
        <f t="shared" si="18"/>
        <v>-3.4045146984784447E-2</v>
      </c>
      <c r="K42" s="2"/>
      <c r="L42" s="7">
        <f t="shared" si="19"/>
        <v>16944.2</v>
      </c>
      <c r="M42" s="2"/>
      <c r="N42" s="6">
        <f t="shared" si="20"/>
        <v>-1.5665763997459337</v>
      </c>
      <c r="O42" s="11"/>
      <c r="P42" s="7">
        <v>-16128.72</v>
      </c>
      <c r="Q42" s="2"/>
      <c r="R42" s="6">
        <f t="shared" si="21"/>
        <v>-1.1809952431184139E-3</v>
      </c>
      <c r="S42" s="2"/>
      <c r="T42" s="7">
        <v>109457.82</v>
      </c>
      <c r="U42" s="2"/>
      <c r="V42" s="6">
        <f t="shared" si="22"/>
        <v>6.1529302899761404E-3</v>
      </c>
      <c r="W42" s="2"/>
      <c r="X42" s="7">
        <f t="shared" si="23"/>
        <v>-125586.54000000001</v>
      </c>
      <c r="Y42" s="2"/>
      <c r="Z42" s="6">
        <f t="shared" si="24"/>
        <v>-1.1473510069906381</v>
      </c>
    </row>
    <row r="43" spans="1:26" s="24" customFormat="1" hidden="1" outlineLevel="2" x14ac:dyDescent="0.35">
      <c r="A43" s="27"/>
      <c r="B43" s="11" t="str">
        <f>CONCATENATE("          ", "6156", " - ", "EMPLOYEE MEALS")</f>
        <v xml:space="preserve">          6156 - EMPLOYEE MEALS</v>
      </c>
      <c r="C43" s="11"/>
      <c r="D43" s="7">
        <v>2906.52</v>
      </c>
      <c r="E43" s="2"/>
      <c r="F43" s="6">
        <f t="shared" si="17"/>
        <v>-2.1749053344639419E-2</v>
      </c>
      <c r="G43" s="2"/>
      <c r="H43" s="7">
        <v>5292.79</v>
      </c>
      <c r="I43" s="2"/>
      <c r="J43" s="6">
        <f t="shared" si="18"/>
        <v>1.6659823162164931E-2</v>
      </c>
      <c r="K43" s="2"/>
      <c r="L43" s="7">
        <f t="shared" si="19"/>
        <v>-2386.27</v>
      </c>
      <c r="M43" s="2"/>
      <c r="N43" s="6">
        <f t="shared" si="20"/>
        <v>-0.45085295279049425</v>
      </c>
      <c r="O43" s="11"/>
      <c r="P43" s="7">
        <v>67510.880000000005</v>
      </c>
      <c r="Q43" s="2"/>
      <c r="R43" s="6">
        <f t="shared" si="21"/>
        <v>4.9433574480019539E-3</v>
      </c>
      <c r="S43" s="2"/>
      <c r="T43" s="7">
        <v>72472.66</v>
      </c>
      <c r="U43" s="2"/>
      <c r="V43" s="6">
        <f t="shared" si="22"/>
        <v>4.0738909737937611E-3</v>
      </c>
      <c r="W43" s="2"/>
      <c r="X43" s="7">
        <f t="shared" si="23"/>
        <v>-4961.7799999999988</v>
      </c>
      <c r="Y43" s="2"/>
      <c r="Z43" s="6">
        <f t="shared" si="24"/>
        <v>-6.8464162899498915E-2</v>
      </c>
    </row>
    <row r="44" spans="1:26" s="25" customFormat="1" outlineLevel="1" collapsed="1" x14ac:dyDescent="0.35">
      <c r="A44" s="26"/>
      <c r="B44" s="12" t="str">
        <f>CONCATENATE("     ","*Payroll                                          ")</f>
        <v xml:space="preserve">     *Payroll                                          </v>
      </c>
      <c r="C44" s="12"/>
      <c r="D44" s="1">
        <f>SUM(OSRRefD22_1x_0)</f>
        <v>92216.22</v>
      </c>
      <c r="E44" s="1"/>
      <c r="F44" s="5">
        <f t="shared" ref="F44:F51" si="25">IF(D$12=0,0,D44/D$12)</f>
        <v>-0.69004014698712013</v>
      </c>
      <c r="G44" s="1"/>
      <c r="H44" s="1">
        <f>SUM(OSRRefH22_1x_0)</f>
        <v>276399</v>
      </c>
      <c r="I44" s="1"/>
      <c r="J44" s="5">
        <f t="shared" ref="J44:J51" si="26">IF(H$12=0,0,H44/H$12)</f>
        <v>0.87000588766968368</v>
      </c>
      <c r="K44" s="1"/>
      <c r="L44" s="1">
        <f t="shared" ref="L44:L51" si="27">+D44-H44</f>
        <v>-184182.78</v>
      </c>
      <c r="M44" s="1"/>
      <c r="N44" s="5">
        <f t="shared" ref="N44:N51" si="28">IF(H44=0,0,L44/H44)</f>
        <v>-0.66636558019385017</v>
      </c>
      <c r="O44" s="12"/>
      <c r="P44" s="1">
        <f>SUM(OSRRefP22_1x_0)</f>
        <v>4759974.3900000006</v>
      </c>
      <c r="Q44" s="1"/>
      <c r="R44" s="5">
        <f t="shared" ref="R44:R51" si="29">IF(P$12=0,0,P44/P$12)</f>
        <v>0.34854018867929226</v>
      </c>
      <c r="S44" s="1"/>
      <c r="T44" s="1">
        <f>SUM(OSRRefT22_1x_0)</f>
        <v>5153507.1899999995</v>
      </c>
      <c r="U44" s="1"/>
      <c r="V44" s="5">
        <f t="shared" ref="V44:V51" si="30">IF(T$12=0,0,T44/T$12)</f>
        <v>0.289693057005528</v>
      </c>
      <c r="W44" s="1"/>
      <c r="X44" s="1">
        <f t="shared" ref="X44:X51" si="31">+P44-T44</f>
        <v>-393532.79999999888</v>
      </c>
      <c r="Y44" s="1"/>
      <c r="Z44" s="5">
        <f t="shared" ref="Z44:Z51" si="32">IF(T44=0,0,X44/T44)</f>
        <v>-7.6362132716845776E-2</v>
      </c>
    </row>
    <row r="45" spans="1:26" s="24" customFormat="1" hidden="1" outlineLevel="2" x14ac:dyDescent="0.35">
      <c r="A45" s="27"/>
      <c r="B45" s="11" t="str">
        <f>CONCATENATE("          ", "6001", " - ", "ADMINISTRATIVE SALARIES")</f>
        <v xml:space="preserve">          6001 - ADMINISTRATIVE SALARIES</v>
      </c>
      <c r="C45" s="11"/>
      <c r="D45" s="7">
        <v>16260.06</v>
      </c>
      <c r="E45" s="2"/>
      <c r="F45" s="6">
        <f t="shared" si="25"/>
        <v>-0.12167159088086014</v>
      </c>
      <c r="G45" s="2"/>
      <c r="H45" s="7">
        <v>24951.289999999997</v>
      </c>
      <c r="I45" s="2"/>
      <c r="J45" s="6">
        <f t="shared" si="26"/>
        <v>7.8537799358730315E-2</v>
      </c>
      <c r="K45" s="2"/>
      <c r="L45" s="7">
        <f t="shared" si="27"/>
        <v>-8691.2299999999977</v>
      </c>
      <c r="M45" s="2"/>
      <c r="N45" s="6">
        <f t="shared" si="28"/>
        <v>-0.34832788204537718</v>
      </c>
      <c r="O45" s="11"/>
      <c r="P45" s="7">
        <v>287329.50999999995</v>
      </c>
      <c r="Q45" s="2"/>
      <c r="R45" s="6">
        <f t="shared" si="29"/>
        <v>2.1039163958302003E-2</v>
      </c>
      <c r="S45" s="2"/>
      <c r="T45" s="7">
        <v>297948.13999999996</v>
      </c>
      <c r="U45" s="2"/>
      <c r="V45" s="6">
        <f t="shared" si="30"/>
        <v>1.6748498512468561E-2</v>
      </c>
      <c r="W45" s="2"/>
      <c r="X45" s="7">
        <f t="shared" si="31"/>
        <v>-10618.630000000005</v>
      </c>
      <c r="Y45" s="2"/>
      <c r="Z45" s="6">
        <f t="shared" si="32"/>
        <v>-3.5639188752780958E-2</v>
      </c>
    </row>
    <row r="46" spans="1:26" s="24" customFormat="1" hidden="1" outlineLevel="2" x14ac:dyDescent="0.35">
      <c r="A46" s="27"/>
      <c r="B46" s="11" t="str">
        <f>CONCATENATE("          ", "6002", " - ", "STAFF SALARIES")</f>
        <v xml:space="preserve">          6002 - STAFF SALARIES</v>
      </c>
      <c r="C46" s="11"/>
      <c r="D46" s="7">
        <v>45105.950000000004</v>
      </c>
      <c r="E46" s="2"/>
      <c r="F46" s="6">
        <f t="shared" si="25"/>
        <v>-0.3375210604814825</v>
      </c>
      <c r="G46" s="2"/>
      <c r="H46" s="7">
        <v>81610.439999999988</v>
      </c>
      <c r="I46" s="2"/>
      <c r="J46" s="6">
        <f t="shared" si="26"/>
        <v>0.25688068081039894</v>
      </c>
      <c r="K46" s="2"/>
      <c r="L46" s="7">
        <f t="shared" si="27"/>
        <v>-36504.489999999983</v>
      </c>
      <c r="M46" s="2"/>
      <c r="N46" s="6">
        <f t="shared" si="28"/>
        <v>-0.44730171777042238</v>
      </c>
      <c r="O46" s="11"/>
      <c r="P46" s="7">
        <v>1058878.48</v>
      </c>
      <c r="Q46" s="2"/>
      <c r="R46" s="6">
        <f t="shared" si="29"/>
        <v>7.7534388836836193E-2</v>
      </c>
      <c r="S46" s="2"/>
      <c r="T46" s="7">
        <v>1139721.0499999998</v>
      </c>
      <c r="U46" s="2"/>
      <c r="V46" s="6">
        <f t="shared" si="30"/>
        <v>6.4066908793436683E-2</v>
      </c>
      <c r="W46" s="2"/>
      <c r="X46" s="7">
        <f t="shared" si="31"/>
        <v>-80842.569999999832</v>
      </c>
      <c r="Y46" s="2"/>
      <c r="Z46" s="6">
        <f t="shared" si="32"/>
        <v>-7.0931891623831858E-2</v>
      </c>
    </row>
    <row r="47" spans="1:26" s="24" customFormat="1" hidden="1" outlineLevel="2" x14ac:dyDescent="0.35">
      <c r="A47" s="27"/>
      <c r="B47" s="11" t="str">
        <f>CONCATENATE("          ", "6004", " - ", "STAFF HOURLY")</f>
        <v xml:space="preserve">          6004 - STAFF HOURLY</v>
      </c>
      <c r="C47" s="11"/>
      <c r="D47" s="7">
        <v>30850.21</v>
      </c>
      <c r="E47" s="2"/>
      <c r="F47" s="6">
        <f t="shared" si="25"/>
        <v>-0.23084749562477755</v>
      </c>
      <c r="G47" s="2"/>
      <c r="H47" s="7">
        <v>57569.35</v>
      </c>
      <c r="I47" s="2"/>
      <c r="J47" s="6">
        <f t="shared" si="26"/>
        <v>0.18120786779010309</v>
      </c>
      <c r="K47" s="2"/>
      <c r="L47" s="7">
        <f t="shared" si="27"/>
        <v>-26719.14</v>
      </c>
      <c r="M47" s="2"/>
      <c r="N47" s="6">
        <f t="shared" si="28"/>
        <v>-0.46412092545773054</v>
      </c>
      <c r="O47" s="11"/>
      <c r="P47" s="7">
        <v>917166.33</v>
      </c>
      <c r="Q47" s="2"/>
      <c r="R47" s="6">
        <f t="shared" si="29"/>
        <v>6.7157782693132093E-2</v>
      </c>
      <c r="S47" s="2"/>
      <c r="T47" s="7">
        <v>837234.81</v>
      </c>
      <c r="U47" s="2"/>
      <c r="V47" s="6">
        <f t="shared" si="30"/>
        <v>4.7063310983823894E-2</v>
      </c>
      <c r="W47" s="2"/>
      <c r="X47" s="7">
        <f t="shared" si="31"/>
        <v>79931.519999999902</v>
      </c>
      <c r="Y47" s="2"/>
      <c r="Z47" s="6">
        <f t="shared" si="32"/>
        <v>9.5470851241839669E-2</v>
      </c>
    </row>
    <row r="48" spans="1:26" s="24" customFormat="1" hidden="1" outlineLevel="2" x14ac:dyDescent="0.35">
      <c r="A48" s="27"/>
      <c r="B48" s="11" t="str">
        <f>CONCATENATE("          ", "6005", " - ", "TEMPORARY WAGES-HOURLY")</f>
        <v xml:space="preserve">          6005 - TEMPORARY WAGES-HOURLY</v>
      </c>
      <c r="C48" s="11"/>
      <c r="D48" s="7"/>
      <c r="E48" s="2"/>
      <c r="F48" s="6">
        <f t="shared" si="25"/>
        <v>0</v>
      </c>
      <c r="G48" s="2"/>
      <c r="H48" s="7">
        <v>60341.890000000007</v>
      </c>
      <c r="I48" s="2"/>
      <c r="J48" s="6">
        <f t="shared" si="26"/>
        <v>0.18993483903022954</v>
      </c>
      <c r="K48" s="2"/>
      <c r="L48" s="7">
        <f t="shared" si="27"/>
        <v>-60341.890000000007</v>
      </c>
      <c r="M48" s="2"/>
      <c r="N48" s="6">
        <f t="shared" si="28"/>
        <v>-1</v>
      </c>
      <c r="O48" s="11"/>
      <c r="P48" s="7">
        <v>831285.8</v>
      </c>
      <c r="Q48" s="2"/>
      <c r="R48" s="6">
        <f t="shared" si="29"/>
        <v>6.0869342109720136E-2</v>
      </c>
      <c r="S48" s="2"/>
      <c r="T48" s="7">
        <v>956145.75</v>
      </c>
      <c r="U48" s="2"/>
      <c r="V48" s="6">
        <f t="shared" si="30"/>
        <v>5.3747627595789445E-2</v>
      </c>
      <c r="W48" s="2"/>
      <c r="X48" s="7">
        <f t="shared" si="31"/>
        <v>-124859.94999999995</v>
      </c>
      <c r="Y48" s="2"/>
      <c r="Z48" s="6">
        <f t="shared" si="32"/>
        <v>-0.13058673324647413</v>
      </c>
    </row>
    <row r="49" spans="1:26" s="24" customFormat="1" hidden="1" outlineLevel="2" x14ac:dyDescent="0.35">
      <c r="A49" s="27"/>
      <c r="B49" s="11" t="str">
        <f>CONCATENATE("          ", "6006", " - ", "TEMPORARY PART TIME")</f>
        <v xml:space="preserve">          6006 - TEMPORARY PART TIME</v>
      </c>
      <c r="C49" s="11"/>
      <c r="D49" s="7"/>
      <c r="E49" s="2"/>
      <c r="F49" s="6">
        <f t="shared" si="25"/>
        <v>0</v>
      </c>
      <c r="G49" s="2"/>
      <c r="H49" s="7">
        <v>7698.96</v>
      </c>
      <c r="I49" s="2"/>
      <c r="J49" s="6">
        <f t="shared" si="26"/>
        <v>2.4233591760221232E-2</v>
      </c>
      <c r="K49" s="2"/>
      <c r="L49" s="7">
        <f t="shared" si="27"/>
        <v>-7698.96</v>
      </c>
      <c r="M49" s="2"/>
      <c r="N49" s="6">
        <f t="shared" si="28"/>
        <v>-1</v>
      </c>
      <c r="O49" s="11"/>
      <c r="P49" s="7">
        <v>45957.26</v>
      </c>
      <c r="Q49" s="2"/>
      <c r="R49" s="6">
        <f t="shared" si="29"/>
        <v>3.3651340866948007E-3</v>
      </c>
      <c r="S49" s="2"/>
      <c r="T49" s="7">
        <v>57259.5</v>
      </c>
      <c r="U49" s="2"/>
      <c r="V49" s="6">
        <f t="shared" si="30"/>
        <v>3.2187166886649926E-3</v>
      </c>
      <c r="W49" s="2"/>
      <c r="X49" s="7">
        <f t="shared" si="31"/>
        <v>-11302.239999999998</v>
      </c>
      <c r="Y49" s="2"/>
      <c r="Z49" s="6">
        <f t="shared" si="32"/>
        <v>-0.1973862852452431</v>
      </c>
    </row>
    <row r="50" spans="1:26" s="24" customFormat="1" hidden="1" outlineLevel="2" x14ac:dyDescent="0.35">
      <c r="A50" s="27"/>
      <c r="B50" s="11" t="str">
        <f>CONCATENATE("          ", "6007", " - ", "STUDENT HOURLY")</f>
        <v xml:space="preserve">          6007 - STUDENT HOURLY</v>
      </c>
      <c r="C50" s="11"/>
      <c r="D50" s="7"/>
      <c r="E50" s="2"/>
      <c r="F50" s="6">
        <f t="shared" si="25"/>
        <v>0</v>
      </c>
      <c r="G50" s="2"/>
      <c r="H50" s="7">
        <v>39224.950000000004</v>
      </c>
      <c r="I50" s="2"/>
      <c r="J50" s="6">
        <f t="shared" si="26"/>
        <v>0.12346621168509642</v>
      </c>
      <c r="K50" s="2"/>
      <c r="L50" s="7">
        <f t="shared" si="27"/>
        <v>-39224.950000000004</v>
      </c>
      <c r="M50" s="2"/>
      <c r="N50" s="6">
        <f t="shared" si="28"/>
        <v>-1</v>
      </c>
      <c r="O50" s="11"/>
      <c r="P50" s="7">
        <v>1410448.02</v>
      </c>
      <c r="Q50" s="2"/>
      <c r="R50" s="6">
        <f t="shared" si="29"/>
        <v>0.10327740839234519</v>
      </c>
      <c r="S50" s="2"/>
      <c r="T50" s="7">
        <v>1576544.3099999998</v>
      </c>
      <c r="U50" s="2"/>
      <c r="V50" s="6">
        <f t="shared" si="30"/>
        <v>8.8621966329025484E-2</v>
      </c>
      <c r="W50" s="2"/>
      <c r="X50" s="7">
        <f t="shared" si="31"/>
        <v>-166096.2899999998</v>
      </c>
      <c r="Y50" s="2"/>
      <c r="Z50" s="6">
        <f t="shared" si="32"/>
        <v>-0.10535466015541284</v>
      </c>
    </row>
    <row r="51" spans="1:26" s="24" customFormat="1" hidden="1" outlineLevel="2" x14ac:dyDescent="0.35">
      <c r="A51" s="27"/>
      <c r="B51" s="11" t="str">
        <f>CONCATENATE("          ", "6008", " - ", "STUDENT HOURLY-FICA EXEMPT")</f>
        <v xml:space="preserve">          6008 - STUDENT HOURLY-FICA EXEMPT</v>
      </c>
      <c r="C51" s="11"/>
      <c r="D51" s="7"/>
      <c r="E51" s="2"/>
      <c r="F51" s="6">
        <f t="shared" si="25"/>
        <v>0</v>
      </c>
      <c r="G51" s="2"/>
      <c r="H51" s="7">
        <v>5002.12</v>
      </c>
      <c r="I51" s="2"/>
      <c r="J51" s="6">
        <f t="shared" si="26"/>
        <v>1.5744897234904173E-2</v>
      </c>
      <c r="K51" s="2"/>
      <c r="L51" s="7">
        <f t="shared" si="27"/>
        <v>-5002.12</v>
      </c>
      <c r="M51" s="2"/>
      <c r="N51" s="6">
        <f t="shared" si="28"/>
        <v>-1</v>
      </c>
      <c r="O51" s="11"/>
      <c r="P51" s="7">
        <v>208908.99000000002</v>
      </c>
      <c r="Q51" s="2"/>
      <c r="R51" s="6">
        <f t="shared" si="29"/>
        <v>1.5296968602261825E-2</v>
      </c>
      <c r="S51" s="2"/>
      <c r="T51" s="7">
        <v>288653.63</v>
      </c>
      <c r="U51" s="2"/>
      <c r="V51" s="6">
        <f t="shared" si="30"/>
        <v>1.6226028102318917E-2</v>
      </c>
      <c r="W51" s="2"/>
      <c r="X51" s="7">
        <f t="shared" si="31"/>
        <v>-79744.639999999985</v>
      </c>
      <c r="Y51" s="2"/>
      <c r="Z51" s="6">
        <f t="shared" si="32"/>
        <v>-0.27626411626973124</v>
      </c>
    </row>
    <row r="52" spans="1:26" s="25" customFormat="1" outlineLevel="1" collapsed="1" x14ac:dyDescent="0.35">
      <c r="A52" s="26"/>
      <c r="B52" s="12" t="str">
        <f>CONCATENATE("     ","Advertising/Promo                                 ")</f>
        <v xml:space="preserve">     Advertising/Promo                                 </v>
      </c>
      <c r="C52" s="12"/>
      <c r="D52" s="1">
        <f>SUM(OSRRefD22_2x_0)</f>
        <v>0</v>
      </c>
      <c r="E52" s="1"/>
      <c r="F52" s="5">
        <f t="shared" ref="F52:F61" si="33">IF(D$12=0,0,D52/D$12)</f>
        <v>0</v>
      </c>
      <c r="G52" s="1"/>
      <c r="H52" s="1">
        <f>SUM(OSRRefH22_2x_0)</f>
        <v>7283.82</v>
      </c>
      <c r="I52" s="1"/>
      <c r="J52" s="5">
        <f t="shared" ref="J52:J61" si="34">IF(H$12=0,0,H52/H$12)</f>
        <v>2.2926878479032829E-2</v>
      </c>
      <c r="K52" s="1"/>
      <c r="L52" s="1">
        <f t="shared" ref="L52:L61" si="35">+D52-H52</f>
        <v>-7283.82</v>
      </c>
      <c r="M52" s="1"/>
      <c r="N52" s="5">
        <f t="shared" ref="N52:N61" si="36">IF(H52=0,0,L52/H52)</f>
        <v>-1</v>
      </c>
      <c r="O52" s="12"/>
      <c r="P52" s="1">
        <f>SUM(OSRRefP22_2x_0)</f>
        <v>36981.440000000002</v>
      </c>
      <c r="Q52" s="1"/>
      <c r="R52" s="5">
        <f t="shared" ref="R52:R61" si="37">IF(P$12=0,0,P52/P$12)</f>
        <v>2.7078965177440642E-3</v>
      </c>
      <c r="S52" s="1"/>
      <c r="T52" s="1">
        <f>SUM(OSRRefT22_2x_0)</f>
        <v>55016.049999999996</v>
      </c>
      <c r="U52" s="1"/>
      <c r="V52" s="5">
        <f t="shared" ref="V52:V61" si="38">IF(T$12=0,0,T52/T$12)</f>
        <v>3.0926060877134389E-3</v>
      </c>
      <c r="W52" s="1"/>
      <c r="X52" s="1">
        <f t="shared" ref="X52:X61" si="39">+P52-T52</f>
        <v>-18034.609999999993</v>
      </c>
      <c r="Y52" s="1"/>
      <c r="Z52" s="5">
        <f t="shared" ref="Z52:Z61" si="40">IF(T52=0,0,X52/T52)</f>
        <v>-0.3278063401498289</v>
      </c>
    </row>
    <row r="53" spans="1:26" s="24" customFormat="1" hidden="1" outlineLevel="2" x14ac:dyDescent="0.35">
      <c r="A53" s="27"/>
      <c r="B53" s="11" t="str">
        <f>CONCATENATE("          ", "6362", " - ", "ADVERTISING EXPENSE")</f>
        <v xml:space="preserve">          6362 - ADVERTISING EXPENSE</v>
      </c>
      <c r="C53" s="11"/>
      <c r="D53" s="7"/>
      <c r="E53" s="2"/>
      <c r="F53" s="6">
        <f t="shared" si="33"/>
        <v>0</v>
      </c>
      <c r="G53" s="2"/>
      <c r="H53" s="7">
        <v>7283.82</v>
      </c>
      <c r="I53" s="2"/>
      <c r="J53" s="6">
        <f t="shared" si="34"/>
        <v>2.2926878479032829E-2</v>
      </c>
      <c r="K53" s="2"/>
      <c r="L53" s="7">
        <f t="shared" si="35"/>
        <v>-7283.82</v>
      </c>
      <c r="M53" s="2"/>
      <c r="N53" s="6">
        <f t="shared" si="36"/>
        <v>-1</v>
      </c>
      <c r="O53" s="11"/>
      <c r="P53" s="7">
        <v>36981.440000000002</v>
      </c>
      <c r="Q53" s="2"/>
      <c r="R53" s="6">
        <f t="shared" si="37"/>
        <v>2.7078965177440642E-3</v>
      </c>
      <c r="S53" s="2"/>
      <c r="T53" s="7">
        <v>55016.049999999996</v>
      </c>
      <c r="U53" s="2"/>
      <c r="V53" s="6">
        <f t="shared" si="38"/>
        <v>3.0926060877134389E-3</v>
      </c>
      <c r="W53" s="2"/>
      <c r="X53" s="7">
        <f t="shared" si="39"/>
        <v>-18034.609999999993</v>
      </c>
      <c r="Y53" s="2"/>
      <c r="Z53" s="6">
        <f t="shared" si="40"/>
        <v>-0.3278063401498289</v>
      </c>
    </row>
    <row r="54" spans="1:26" s="25" customFormat="1" outlineLevel="1" collapsed="1" x14ac:dyDescent="0.35">
      <c r="A54" s="26"/>
      <c r="B54" s="12" t="str">
        <f>CONCATENATE("     ","Bad Debts/Over/Short                              ")</f>
        <v xml:space="preserve">     Bad Debts/Over/Short                              </v>
      </c>
      <c r="C54" s="12"/>
      <c r="D54" s="1">
        <f>SUM(OSRRefD22_3x_0)</f>
        <v>0</v>
      </c>
      <c r="E54" s="1"/>
      <c r="F54" s="5">
        <f t="shared" si="33"/>
        <v>0</v>
      </c>
      <c r="G54" s="1"/>
      <c r="H54" s="1">
        <f>SUM(OSRRefH22_3x_0)</f>
        <v>7019.15</v>
      </c>
      <c r="I54" s="1"/>
      <c r="J54" s="5">
        <f t="shared" si="34"/>
        <v>2.2093791317756795E-2</v>
      </c>
      <c r="K54" s="1"/>
      <c r="L54" s="1">
        <f t="shared" si="35"/>
        <v>-7019.15</v>
      </c>
      <c r="M54" s="1"/>
      <c r="N54" s="5">
        <f t="shared" si="36"/>
        <v>-1</v>
      </c>
      <c r="O54" s="12"/>
      <c r="P54" s="1">
        <f>SUM(OSRRefP22_3x_0)</f>
        <v>-197.1</v>
      </c>
      <c r="Q54" s="1"/>
      <c r="R54" s="5">
        <f t="shared" si="37"/>
        <v>-1.4432277478847631E-5</v>
      </c>
      <c r="S54" s="1"/>
      <c r="T54" s="1">
        <f>SUM(OSRRefT22_3x_0)</f>
        <v>8371.15</v>
      </c>
      <c r="U54" s="1"/>
      <c r="V54" s="5">
        <f t="shared" si="38"/>
        <v>4.7056576128534048E-4</v>
      </c>
      <c r="W54" s="1"/>
      <c r="X54" s="1">
        <f t="shared" si="39"/>
        <v>-8568.25</v>
      </c>
      <c r="Y54" s="1"/>
      <c r="Z54" s="5">
        <f t="shared" si="40"/>
        <v>-1.0235451520997714</v>
      </c>
    </row>
    <row r="55" spans="1:26" s="24" customFormat="1" hidden="1" outlineLevel="2" x14ac:dyDescent="0.35">
      <c r="A55" s="27"/>
      <c r="B55" s="11" t="str">
        <f>CONCATENATE("          ", "6272", " - ", "CASH (OVER/SHORT)")</f>
        <v xml:space="preserve">          6272 - CASH (OVER/SHORT)</v>
      </c>
      <c r="C55" s="11"/>
      <c r="D55" s="7"/>
      <c r="E55" s="2"/>
      <c r="F55" s="6">
        <f t="shared" si="33"/>
        <v>0</v>
      </c>
      <c r="G55" s="2"/>
      <c r="H55" s="7">
        <v>7019.15</v>
      </c>
      <c r="I55" s="2"/>
      <c r="J55" s="6">
        <f t="shared" si="34"/>
        <v>2.2093791317756795E-2</v>
      </c>
      <c r="K55" s="2"/>
      <c r="L55" s="7">
        <f t="shared" si="35"/>
        <v>-7019.15</v>
      </c>
      <c r="M55" s="2"/>
      <c r="N55" s="6">
        <f t="shared" si="36"/>
        <v>-1</v>
      </c>
      <c r="O55" s="11"/>
      <c r="P55" s="7">
        <v>-197.1</v>
      </c>
      <c r="Q55" s="2"/>
      <c r="R55" s="6">
        <f t="shared" si="37"/>
        <v>-1.4432277478847631E-5</v>
      </c>
      <c r="S55" s="2"/>
      <c r="T55" s="7">
        <v>8371.15</v>
      </c>
      <c r="U55" s="2"/>
      <c r="V55" s="6">
        <f t="shared" si="38"/>
        <v>4.7056576128534048E-4</v>
      </c>
      <c r="W55" s="2"/>
      <c r="X55" s="7">
        <f t="shared" si="39"/>
        <v>-8568.25</v>
      </c>
      <c r="Y55" s="2"/>
      <c r="Z55" s="6">
        <f t="shared" si="40"/>
        <v>-1.0235451520997714</v>
      </c>
    </row>
    <row r="56" spans="1:26" s="25" customFormat="1" outlineLevel="1" collapsed="1" x14ac:dyDescent="0.35">
      <c r="A56" s="26"/>
      <c r="B56" s="12" t="str">
        <f>CONCATENATE("     ","Bank/card Fees                                    ")</f>
        <v xml:space="preserve">     Bank/card Fees                                    </v>
      </c>
      <c r="C56" s="12"/>
      <c r="D56" s="1">
        <f>SUM(OSRRefD22_4x_0)</f>
        <v>279.08999999999997</v>
      </c>
      <c r="E56" s="1"/>
      <c r="F56" s="5">
        <f t="shared" si="33"/>
        <v>-2.0883886221169695E-3</v>
      </c>
      <c r="G56" s="1"/>
      <c r="H56" s="1">
        <f>SUM(OSRRefH22_4x_0)</f>
        <v>8073.39</v>
      </c>
      <c r="I56" s="1"/>
      <c r="J56" s="5">
        <f t="shared" si="34"/>
        <v>2.5412164419746627E-2</v>
      </c>
      <c r="K56" s="1"/>
      <c r="L56" s="1">
        <f t="shared" si="35"/>
        <v>-7794.3</v>
      </c>
      <c r="M56" s="1"/>
      <c r="N56" s="5">
        <f t="shared" si="36"/>
        <v>-0.96543087847855735</v>
      </c>
      <c r="O56" s="12"/>
      <c r="P56" s="1">
        <f>SUM(OSRRefP22_4x_0)</f>
        <v>152805.46</v>
      </c>
      <c r="Q56" s="1"/>
      <c r="R56" s="5">
        <f t="shared" si="37"/>
        <v>1.1188892942683677E-2</v>
      </c>
      <c r="S56" s="1"/>
      <c r="T56" s="1">
        <f>SUM(OSRRefT22_4x_0)</f>
        <v>226279.27</v>
      </c>
      <c r="U56" s="1"/>
      <c r="V56" s="5">
        <f t="shared" si="38"/>
        <v>1.2719790823320703E-2</v>
      </c>
      <c r="W56" s="1"/>
      <c r="X56" s="1">
        <f t="shared" si="39"/>
        <v>-73473.81</v>
      </c>
      <c r="Y56" s="1"/>
      <c r="Z56" s="5">
        <f t="shared" si="40"/>
        <v>-0.32470411452184728</v>
      </c>
    </row>
    <row r="57" spans="1:26" s="24" customFormat="1" hidden="1" outlineLevel="2" x14ac:dyDescent="0.35">
      <c r="A57" s="27"/>
      <c r="B57" s="11" t="str">
        <f>CONCATENATE("          ", "6381", " - ", "BANK/CREDIT CARD FEES")</f>
        <v xml:space="preserve">          6381 - BANK/CREDIT CARD FEES</v>
      </c>
      <c r="C57" s="11"/>
      <c r="D57" s="7">
        <v>279.08999999999997</v>
      </c>
      <c r="E57" s="2"/>
      <c r="F57" s="6">
        <f t="shared" si="33"/>
        <v>-2.0883886221169695E-3</v>
      </c>
      <c r="G57" s="2"/>
      <c r="H57" s="7">
        <v>8073.39</v>
      </c>
      <c r="I57" s="2"/>
      <c r="J57" s="6">
        <f t="shared" si="34"/>
        <v>2.5412164419746627E-2</v>
      </c>
      <c r="K57" s="2"/>
      <c r="L57" s="7">
        <f t="shared" si="35"/>
        <v>-7794.3</v>
      </c>
      <c r="M57" s="2"/>
      <c r="N57" s="6">
        <f t="shared" si="36"/>
        <v>-0.96543087847855735</v>
      </c>
      <c r="O57" s="11"/>
      <c r="P57" s="7">
        <v>152805.46</v>
      </c>
      <c r="Q57" s="2"/>
      <c r="R57" s="6">
        <f t="shared" si="37"/>
        <v>1.1188892942683677E-2</v>
      </c>
      <c r="S57" s="2"/>
      <c r="T57" s="7">
        <v>226279.27</v>
      </c>
      <c r="U57" s="2"/>
      <c r="V57" s="6">
        <f t="shared" si="38"/>
        <v>1.2719790823320703E-2</v>
      </c>
      <c r="W57" s="2"/>
      <c r="X57" s="7">
        <f t="shared" si="39"/>
        <v>-73473.81</v>
      </c>
      <c r="Y57" s="2"/>
      <c r="Z57" s="6">
        <f t="shared" si="40"/>
        <v>-0.32470411452184728</v>
      </c>
    </row>
    <row r="58" spans="1:26" s="25" customFormat="1" outlineLevel="1" collapsed="1" x14ac:dyDescent="0.35">
      <c r="A58" s="26"/>
      <c r="B58" s="12" t="str">
        <f>CONCATENATE("     ","Depreciation                                      ")</f>
        <v xml:space="preserve">     Depreciation                                      </v>
      </c>
      <c r="C58" s="12"/>
      <c r="D58" s="1">
        <f>SUM(OSRRefD22_5x_0)</f>
        <v>37950.61</v>
      </c>
      <c r="E58" s="1"/>
      <c r="F58" s="5">
        <f t="shared" si="33"/>
        <v>-0.28397872416209285</v>
      </c>
      <c r="G58" s="1"/>
      <c r="H58" s="1">
        <f>SUM(OSRRefH22_5x_0)</f>
        <v>42180.59</v>
      </c>
      <c r="I58" s="1"/>
      <c r="J58" s="5">
        <f t="shared" si="34"/>
        <v>0.13276951669644602</v>
      </c>
      <c r="K58" s="1"/>
      <c r="L58" s="1">
        <f t="shared" si="35"/>
        <v>-4229.9799999999959</v>
      </c>
      <c r="M58" s="1"/>
      <c r="N58" s="5">
        <f t="shared" si="36"/>
        <v>-0.10028261814261005</v>
      </c>
      <c r="O58" s="12"/>
      <c r="P58" s="1">
        <f>SUM(OSRRefP22_5x_0)</f>
        <v>478199.97</v>
      </c>
      <c r="Q58" s="1"/>
      <c r="R58" s="5">
        <f t="shared" si="37"/>
        <v>3.5015295065533296E-2</v>
      </c>
      <c r="S58" s="1"/>
      <c r="T58" s="1">
        <f>SUM(OSRRefT22_5x_0)</f>
        <v>475304.2</v>
      </c>
      <c r="U58" s="1"/>
      <c r="V58" s="5">
        <f t="shared" si="38"/>
        <v>2.6718178830282546E-2</v>
      </c>
      <c r="W58" s="1"/>
      <c r="X58" s="1">
        <f t="shared" si="39"/>
        <v>2895.7699999999604</v>
      </c>
      <c r="Y58" s="1"/>
      <c r="Z58" s="5">
        <f t="shared" si="40"/>
        <v>6.0924561575512277E-3</v>
      </c>
    </row>
    <row r="59" spans="1:26" s="24" customFormat="1" hidden="1" outlineLevel="2" x14ac:dyDescent="0.35">
      <c r="A59" s="27"/>
      <c r="B59" s="11" t="str">
        <f>CONCATENATE("          ", "6321", " - ", "BUILDING DEPRECIATION")</f>
        <v xml:space="preserve">          6321 - BUILDING DEPRECIATION</v>
      </c>
      <c r="C59" s="11"/>
      <c r="D59" s="7">
        <v>24027.89</v>
      </c>
      <c r="E59" s="2"/>
      <c r="F59" s="6">
        <f t="shared" si="33"/>
        <v>-0.17979709803102267</v>
      </c>
      <c r="G59" s="2"/>
      <c r="H59" s="7">
        <v>26663.79</v>
      </c>
      <c r="I59" s="2"/>
      <c r="J59" s="6">
        <f t="shared" si="34"/>
        <v>8.3928141156762642E-2</v>
      </c>
      <c r="K59" s="2"/>
      <c r="L59" s="7">
        <f t="shared" si="35"/>
        <v>-2635.9000000000015</v>
      </c>
      <c r="M59" s="2"/>
      <c r="N59" s="6">
        <f t="shared" si="36"/>
        <v>-9.8856914189618256E-2</v>
      </c>
      <c r="O59" s="11"/>
      <c r="P59" s="7">
        <v>288500.45</v>
      </c>
      <c r="Q59" s="2"/>
      <c r="R59" s="6">
        <f t="shared" si="37"/>
        <v>2.1124903841564728E-2</v>
      </c>
      <c r="S59" s="2"/>
      <c r="T59" s="7">
        <v>303462.94</v>
      </c>
      <c r="U59" s="2"/>
      <c r="V59" s="6">
        <f t="shared" si="38"/>
        <v>1.7058500849105273E-2</v>
      </c>
      <c r="W59" s="2"/>
      <c r="X59" s="7">
        <f t="shared" si="39"/>
        <v>-14962.489999999991</v>
      </c>
      <c r="Y59" s="2"/>
      <c r="Z59" s="6">
        <f t="shared" si="40"/>
        <v>-4.9305822977922742E-2</v>
      </c>
    </row>
    <row r="60" spans="1:26" s="24" customFormat="1" hidden="1" outlineLevel="2" x14ac:dyDescent="0.35">
      <c r="A60" s="27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13922.72</v>
      </c>
      <c r="E60" s="2"/>
      <c r="F60" s="6">
        <f t="shared" si="33"/>
        <v>-0.10418162613107018</v>
      </c>
      <c r="G60" s="2"/>
      <c r="H60" s="7">
        <v>15092.56</v>
      </c>
      <c r="I60" s="2"/>
      <c r="J60" s="6">
        <f t="shared" si="34"/>
        <v>4.7506018690400331E-2</v>
      </c>
      <c r="K60" s="2"/>
      <c r="L60" s="7">
        <f t="shared" si="35"/>
        <v>-1169.8400000000001</v>
      </c>
      <c r="M60" s="2"/>
      <c r="N60" s="6">
        <f t="shared" si="36"/>
        <v>-7.7511038551445227E-2</v>
      </c>
      <c r="O60" s="11"/>
      <c r="P60" s="7">
        <v>185457.03999999998</v>
      </c>
      <c r="Q60" s="2"/>
      <c r="R60" s="6">
        <f t="shared" si="37"/>
        <v>1.3579743590490839E-2</v>
      </c>
      <c r="S60" s="2"/>
      <c r="T60" s="7">
        <v>166750.27000000002</v>
      </c>
      <c r="U60" s="2"/>
      <c r="V60" s="6">
        <f t="shared" si="38"/>
        <v>9.3734991903246367E-3</v>
      </c>
      <c r="W60" s="2"/>
      <c r="X60" s="7">
        <f t="shared" si="39"/>
        <v>18706.76999999996</v>
      </c>
      <c r="Y60" s="2"/>
      <c r="Z60" s="6">
        <f t="shared" si="40"/>
        <v>0.11218434608831493</v>
      </c>
    </row>
    <row r="61" spans="1:26" s="24" customFormat="1" hidden="1" outlineLevel="2" x14ac:dyDescent="0.35">
      <c r="A61" s="27"/>
      <c r="B61" s="11" t="str">
        <f>CONCATENATE("          ", "6326", " - ", "VEHICLES DEPRECIATION EXPENSE")</f>
        <v xml:space="preserve">          6326 - VEHICLES DEPRECIATION EXPENSE</v>
      </c>
      <c r="C61" s="11"/>
      <c r="D61" s="7"/>
      <c r="E61" s="2"/>
      <c r="F61" s="6">
        <f t="shared" si="33"/>
        <v>0</v>
      </c>
      <c r="G61" s="2"/>
      <c r="H61" s="7">
        <v>424.24</v>
      </c>
      <c r="I61" s="2"/>
      <c r="J61" s="6">
        <f t="shared" si="34"/>
        <v>1.3353568492830532E-3</v>
      </c>
      <c r="K61" s="2"/>
      <c r="L61" s="7">
        <f t="shared" si="35"/>
        <v>-424.24</v>
      </c>
      <c r="M61" s="2"/>
      <c r="N61" s="6">
        <f t="shared" si="36"/>
        <v>-1</v>
      </c>
      <c r="O61" s="11"/>
      <c r="P61" s="7">
        <v>4242.4799999999996</v>
      </c>
      <c r="Q61" s="2"/>
      <c r="R61" s="6">
        <f t="shared" si="37"/>
        <v>3.1064763347773462E-4</v>
      </c>
      <c r="S61" s="2"/>
      <c r="T61" s="7">
        <v>5090.99</v>
      </c>
      <c r="U61" s="2"/>
      <c r="V61" s="6">
        <f t="shared" si="38"/>
        <v>2.8617879085263739E-4</v>
      </c>
      <c r="W61" s="2"/>
      <c r="X61" s="7">
        <f t="shared" si="39"/>
        <v>-848.51000000000022</v>
      </c>
      <c r="Y61" s="2"/>
      <c r="Z61" s="6">
        <f t="shared" si="40"/>
        <v>-0.16666895829691283</v>
      </c>
    </row>
    <row r="62" spans="1:26" s="25" customFormat="1" outlineLevel="1" collapsed="1" x14ac:dyDescent="0.35">
      <c r="A62" s="26"/>
      <c r="B62" s="12" t="str">
        <f>CONCATENATE("     ","Discounts and Markdowns                           ")</f>
        <v xml:space="preserve">     Discounts and Markdowns                           </v>
      </c>
      <c r="C62" s="12"/>
      <c r="D62" s="1">
        <f>SUM(OSRRefD22_6x_0)</f>
        <v>0</v>
      </c>
      <c r="E62" s="1"/>
      <c r="F62" s="5">
        <f t="shared" ref="F62:F74" si="41">IF(D$12=0,0,D62/D$12)</f>
        <v>0</v>
      </c>
      <c r="G62" s="1"/>
      <c r="H62" s="1">
        <f>SUM(OSRRefH22_6x_0)</f>
        <v>0</v>
      </c>
      <c r="I62" s="1"/>
      <c r="J62" s="5">
        <f t="shared" ref="J62:J74" si="42">IF(H$12=0,0,H62/H$12)</f>
        <v>0</v>
      </c>
      <c r="K62" s="1"/>
      <c r="L62" s="1">
        <f t="shared" ref="L62:L74" si="43">+D62-H62</f>
        <v>0</v>
      </c>
      <c r="M62" s="1"/>
      <c r="N62" s="5">
        <f t="shared" ref="N62:N74" si="44">IF(H62=0,0,L62/H62)</f>
        <v>0</v>
      </c>
      <c r="O62" s="12"/>
      <c r="P62" s="1">
        <f>SUM(OSRRefP22_6x_0)</f>
        <v>0.09</v>
      </c>
      <c r="Q62" s="1"/>
      <c r="R62" s="5">
        <f t="shared" ref="R62:R74" si="45">IF(P$12=0,0,P62/P$12)</f>
        <v>6.5900810405696951E-9</v>
      </c>
      <c r="S62" s="1"/>
      <c r="T62" s="1">
        <f>SUM(OSRRefT22_6x_0)</f>
        <v>0</v>
      </c>
      <c r="U62" s="1"/>
      <c r="V62" s="5">
        <f t="shared" ref="V62:V74" si="46">IF(T$12=0,0,T62/T$12)</f>
        <v>0</v>
      </c>
      <c r="W62" s="1"/>
      <c r="X62" s="1">
        <f t="shared" ref="X62:X74" si="47">+P62-T62</f>
        <v>0.09</v>
      </c>
      <c r="Y62" s="1"/>
      <c r="Z62" s="5">
        <f t="shared" ref="Z62:Z74" si="48">IF(T62=0,0,X62/T62)</f>
        <v>0</v>
      </c>
    </row>
    <row r="63" spans="1:26" s="24" customFormat="1" hidden="1" outlineLevel="2" x14ac:dyDescent="0.35">
      <c r="A63" s="27"/>
      <c r="B63" s="11" t="str">
        <f>CONCATENATE("          ", "6382", " - ", "DISCOUNTS/MARK DOWNS")</f>
        <v xml:space="preserve">          6382 - DISCOUNTS/MARK DOWNS</v>
      </c>
      <c r="C63" s="11"/>
      <c r="D63" s="7"/>
      <c r="E63" s="2"/>
      <c r="F63" s="6">
        <f t="shared" si="41"/>
        <v>0</v>
      </c>
      <c r="G63" s="2"/>
      <c r="H63" s="7"/>
      <c r="I63" s="2"/>
      <c r="J63" s="6">
        <f t="shared" si="42"/>
        <v>0</v>
      </c>
      <c r="K63" s="2"/>
      <c r="L63" s="7">
        <f t="shared" si="43"/>
        <v>0</v>
      </c>
      <c r="M63" s="2"/>
      <c r="N63" s="6">
        <f t="shared" si="44"/>
        <v>0</v>
      </c>
      <c r="O63" s="11"/>
      <c r="P63" s="7">
        <v>0.09</v>
      </c>
      <c r="Q63" s="2"/>
      <c r="R63" s="6">
        <f t="shared" si="45"/>
        <v>6.5900810405696951E-9</v>
      </c>
      <c r="S63" s="2"/>
      <c r="T63" s="7"/>
      <c r="U63" s="2"/>
      <c r="V63" s="6">
        <f t="shared" si="46"/>
        <v>0</v>
      </c>
      <c r="W63" s="2"/>
      <c r="X63" s="7">
        <f t="shared" si="47"/>
        <v>0.09</v>
      </c>
      <c r="Y63" s="2"/>
      <c r="Z63" s="6">
        <f t="shared" si="48"/>
        <v>0</v>
      </c>
    </row>
    <row r="64" spans="1:26" s="25" customFormat="1" outlineLevel="1" collapsed="1" x14ac:dyDescent="0.35">
      <c r="A64" s="26"/>
      <c r="B64" s="12" t="str">
        <f>CONCATENATE("     ","Donations                                         ")</f>
        <v xml:space="preserve">     Donations                                         </v>
      </c>
      <c r="C64" s="12"/>
      <c r="D64" s="1">
        <f>SUM(OSRRefD22_7x_0)</f>
        <v>0</v>
      </c>
      <c r="E64" s="1"/>
      <c r="F64" s="5">
        <f t="shared" si="41"/>
        <v>0</v>
      </c>
      <c r="G64" s="1"/>
      <c r="H64" s="1">
        <f>SUM(OSRRefH22_7x_0)</f>
        <v>0</v>
      </c>
      <c r="I64" s="1"/>
      <c r="J64" s="5">
        <f t="shared" si="42"/>
        <v>0</v>
      </c>
      <c r="K64" s="1"/>
      <c r="L64" s="1">
        <f t="shared" si="43"/>
        <v>0</v>
      </c>
      <c r="M64" s="1"/>
      <c r="N64" s="5">
        <f t="shared" si="44"/>
        <v>0</v>
      </c>
      <c r="O64" s="12"/>
      <c r="P64" s="1">
        <f>SUM(OSRRefP22_7x_0)</f>
        <v>140336.19999999998</v>
      </c>
      <c r="Q64" s="1"/>
      <c r="R64" s="5">
        <f t="shared" si="45"/>
        <v>1.0275854788062186E-2</v>
      </c>
      <c r="S64" s="1"/>
      <c r="T64" s="1">
        <f>SUM(OSRRefT22_7x_0)</f>
        <v>135087.18</v>
      </c>
      <c r="U64" s="1"/>
      <c r="V64" s="5">
        <f t="shared" si="46"/>
        <v>7.5936283182824124E-3</v>
      </c>
      <c r="W64" s="1"/>
      <c r="X64" s="1">
        <f t="shared" si="47"/>
        <v>5249.0199999999895</v>
      </c>
      <c r="Y64" s="1"/>
      <c r="Z64" s="5">
        <f t="shared" si="48"/>
        <v>3.8856536941551299E-2</v>
      </c>
    </row>
    <row r="65" spans="1:26" s="24" customFormat="1" hidden="1" outlineLevel="2" x14ac:dyDescent="0.35">
      <c r="A65" s="27"/>
      <c r="B65" s="11" t="str">
        <f>CONCATENATE("          ", "6399", " - ", "DONATION-ON CAMPUS")</f>
        <v xml:space="preserve">          6399 - DONATION-ON CAMPUS</v>
      </c>
      <c r="C65" s="11"/>
      <c r="D65" s="7"/>
      <c r="E65" s="2"/>
      <c r="F65" s="6">
        <f t="shared" si="41"/>
        <v>0</v>
      </c>
      <c r="G65" s="2"/>
      <c r="H65" s="7"/>
      <c r="I65" s="2"/>
      <c r="J65" s="6">
        <f t="shared" si="42"/>
        <v>0</v>
      </c>
      <c r="K65" s="2"/>
      <c r="L65" s="7">
        <f t="shared" si="43"/>
        <v>0</v>
      </c>
      <c r="M65" s="2"/>
      <c r="N65" s="6">
        <f t="shared" si="44"/>
        <v>0</v>
      </c>
      <c r="O65" s="11"/>
      <c r="P65" s="7">
        <v>140336.19999999998</v>
      </c>
      <c r="Q65" s="2"/>
      <c r="R65" s="6">
        <f t="shared" si="45"/>
        <v>1.0275854788062186E-2</v>
      </c>
      <c r="S65" s="2"/>
      <c r="T65" s="7">
        <v>135087.18</v>
      </c>
      <c r="U65" s="2"/>
      <c r="V65" s="6">
        <f t="shared" si="46"/>
        <v>7.5936283182824124E-3</v>
      </c>
      <c r="W65" s="2"/>
      <c r="X65" s="7">
        <f t="shared" si="47"/>
        <v>5249.0199999999895</v>
      </c>
      <c r="Y65" s="2"/>
      <c r="Z65" s="6">
        <f t="shared" si="48"/>
        <v>3.8856536941551299E-2</v>
      </c>
    </row>
    <row r="66" spans="1:26" s="25" customFormat="1" outlineLevel="1" collapsed="1" x14ac:dyDescent="0.35">
      <c r="A66" s="26"/>
      <c r="B66" s="12" t="str">
        <f>CONCATENATE("     ","Employees' Appreciation                           ")</f>
        <v xml:space="preserve">     Employees' Appreciation                           </v>
      </c>
      <c r="C66" s="12"/>
      <c r="D66" s="1">
        <f>SUM(OSRRefD22_8x_0)</f>
        <v>0</v>
      </c>
      <c r="E66" s="1"/>
      <c r="F66" s="5">
        <f t="shared" si="41"/>
        <v>0</v>
      </c>
      <c r="G66" s="1"/>
      <c r="H66" s="1">
        <f>SUM(OSRRefH22_8x_0)</f>
        <v>1379.66</v>
      </c>
      <c r="I66" s="1"/>
      <c r="J66" s="5">
        <f t="shared" si="42"/>
        <v>4.3426796876340212E-3</v>
      </c>
      <c r="K66" s="1"/>
      <c r="L66" s="1">
        <f t="shared" si="43"/>
        <v>-1379.66</v>
      </c>
      <c r="M66" s="1"/>
      <c r="N66" s="5">
        <f t="shared" si="44"/>
        <v>-1</v>
      </c>
      <c r="O66" s="12"/>
      <c r="P66" s="1">
        <f>SUM(OSRRefP22_8x_0)</f>
        <v>3471.24</v>
      </c>
      <c r="Q66" s="1"/>
      <c r="R66" s="5">
        <f t="shared" si="45"/>
        <v>2.5417503234741276E-4</v>
      </c>
      <c r="S66" s="1"/>
      <c r="T66" s="1">
        <f>SUM(OSRRefT22_8x_0)</f>
        <v>7914.39</v>
      </c>
      <c r="U66" s="1"/>
      <c r="V66" s="5">
        <f t="shared" si="46"/>
        <v>4.4489000381776531E-4</v>
      </c>
      <c r="W66" s="1"/>
      <c r="X66" s="1">
        <f t="shared" si="47"/>
        <v>-4443.1500000000005</v>
      </c>
      <c r="Y66" s="1"/>
      <c r="Z66" s="5">
        <f t="shared" si="48"/>
        <v>-0.56140144723724761</v>
      </c>
    </row>
    <row r="67" spans="1:26" s="24" customFormat="1" hidden="1" outlineLevel="2" x14ac:dyDescent="0.35">
      <c r="A67" s="27"/>
      <c r="B67" s="11" t="str">
        <f>CONCATENATE("          ", "6277", " - ", "EMPLOYEE APPRECIATION")</f>
        <v xml:space="preserve">          6277 - EMPLOYEE APPRECIATION</v>
      </c>
      <c r="C67" s="11"/>
      <c r="D67" s="7"/>
      <c r="E67" s="2"/>
      <c r="F67" s="6">
        <f t="shared" si="41"/>
        <v>0</v>
      </c>
      <c r="G67" s="2"/>
      <c r="H67" s="7">
        <v>1379.66</v>
      </c>
      <c r="I67" s="2"/>
      <c r="J67" s="6">
        <f t="shared" si="42"/>
        <v>4.3426796876340212E-3</v>
      </c>
      <c r="K67" s="2"/>
      <c r="L67" s="7">
        <f t="shared" si="43"/>
        <v>-1379.66</v>
      </c>
      <c r="M67" s="2"/>
      <c r="N67" s="6">
        <f t="shared" si="44"/>
        <v>-1</v>
      </c>
      <c r="O67" s="11"/>
      <c r="P67" s="7">
        <v>3471.24</v>
      </c>
      <c r="Q67" s="2"/>
      <c r="R67" s="6">
        <f t="shared" si="45"/>
        <v>2.5417503234741276E-4</v>
      </c>
      <c r="S67" s="2"/>
      <c r="T67" s="7">
        <v>7914.39</v>
      </c>
      <c r="U67" s="2"/>
      <c r="V67" s="6">
        <f t="shared" si="46"/>
        <v>4.4489000381776531E-4</v>
      </c>
      <c r="W67" s="2"/>
      <c r="X67" s="7">
        <f t="shared" si="47"/>
        <v>-4443.1500000000005</v>
      </c>
      <c r="Y67" s="2"/>
      <c r="Z67" s="6">
        <f t="shared" si="48"/>
        <v>-0.56140144723724761</v>
      </c>
    </row>
    <row r="68" spans="1:26" s="25" customFormat="1" outlineLevel="1" collapsed="1" x14ac:dyDescent="0.35">
      <c r="A68" s="26"/>
      <c r="B68" s="12" t="str">
        <f>CONCATENATE("     ","Equipment Rental                                  ")</f>
        <v xml:space="preserve">     Equipment Rental                                  </v>
      </c>
      <c r="C68" s="12"/>
      <c r="D68" s="1">
        <f>SUM(OSRRefD22_9x_0)</f>
        <v>2754.41</v>
      </c>
      <c r="E68" s="1"/>
      <c r="F68" s="5">
        <f t="shared" si="41"/>
        <v>-2.0610837022627837E-2</v>
      </c>
      <c r="G68" s="1"/>
      <c r="H68" s="1">
        <f>SUM(OSRRefH22_9x_0)</f>
        <v>2944.8</v>
      </c>
      <c r="I68" s="1"/>
      <c r="J68" s="5">
        <f t="shared" si="42"/>
        <v>9.2691845412236819E-3</v>
      </c>
      <c r="K68" s="1"/>
      <c r="L68" s="1">
        <f t="shared" si="43"/>
        <v>-190.39000000000033</v>
      </c>
      <c r="M68" s="1"/>
      <c r="N68" s="5">
        <f t="shared" si="44"/>
        <v>-6.4652947568595603E-2</v>
      </c>
      <c r="O68" s="12"/>
      <c r="P68" s="1">
        <f>SUM(OSRRefP22_9x_0)</f>
        <v>34249.83</v>
      </c>
      <c r="Q68" s="1"/>
      <c r="R68" s="5">
        <f t="shared" si="45"/>
        <v>2.5078795036192797E-3</v>
      </c>
      <c r="S68" s="1"/>
      <c r="T68" s="1">
        <f>SUM(OSRRefT22_9x_0)</f>
        <v>28684.89</v>
      </c>
      <c r="U68" s="1"/>
      <c r="V68" s="5">
        <f t="shared" si="46"/>
        <v>1.6124579179964819E-3</v>
      </c>
      <c r="W68" s="1"/>
      <c r="X68" s="1">
        <f t="shared" si="47"/>
        <v>5564.9400000000023</v>
      </c>
      <c r="Y68" s="1"/>
      <c r="Z68" s="5">
        <f t="shared" si="48"/>
        <v>0.19400248702365611</v>
      </c>
    </row>
    <row r="69" spans="1:26" s="24" customFormat="1" hidden="1" outlineLevel="2" x14ac:dyDescent="0.35">
      <c r="A69" s="27"/>
      <c r="B69" s="11" t="str">
        <f>CONCATENATE("          ", "6351", " - ", "EQUIPMENT RENTAL")</f>
        <v xml:space="preserve">          6351 - EQUIPMENT RENTAL</v>
      </c>
      <c r="C69" s="11"/>
      <c r="D69" s="7">
        <v>2754.41</v>
      </c>
      <c r="E69" s="2"/>
      <c r="F69" s="6">
        <f t="shared" si="41"/>
        <v>-2.0610837022627837E-2</v>
      </c>
      <c r="G69" s="2"/>
      <c r="H69" s="7">
        <v>2944.8</v>
      </c>
      <c r="I69" s="2"/>
      <c r="J69" s="6">
        <f t="shared" si="42"/>
        <v>9.2691845412236819E-3</v>
      </c>
      <c r="K69" s="2"/>
      <c r="L69" s="7">
        <f t="shared" si="43"/>
        <v>-190.39000000000033</v>
      </c>
      <c r="M69" s="2"/>
      <c r="N69" s="6">
        <f t="shared" si="44"/>
        <v>-6.4652947568595603E-2</v>
      </c>
      <c r="O69" s="11"/>
      <c r="P69" s="7">
        <v>34249.83</v>
      </c>
      <c r="Q69" s="2"/>
      <c r="R69" s="6">
        <f t="shared" si="45"/>
        <v>2.5078795036192797E-3</v>
      </c>
      <c r="S69" s="2"/>
      <c r="T69" s="7">
        <v>28684.89</v>
      </c>
      <c r="U69" s="2"/>
      <c r="V69" s="6">
        <f t="shared" si="46"/>
        <v>1.6124579179964819E-3</v>
      </c>
      <c r="W69" s="2"/>
      <c r="X69" s="7">
        <f t="shared" si="47"/>
        <v>5564.9400000000023</v>
      </c>
      <c r="Y69" s="2"/>
      <c r="Z69" s="6">
        <f t="shared" si="48"/>
        <v>0.19400248702365611</v>
      </c>
    </row>
    <row r="70" spans="1:26" s="25" customFormat="1" outlineLevel="1" collapsed="1" x14ac:dyDescent="0.35">
      <c r="A70" s="26"/>
      <c r="B70" s="12" t="str">
        <f>CONCATENATE("     ","Freight out/Postage                               ")</f>
        <v xml:space="preserve">     Freight out/Postage                               </v>
      </c>
      <c r="C70" s="12"/>
      <c r="D70" s="1">
        <f>SUM(OSRRefD22_10x_0)</f>
        <v>0</v>
      </c>
      <c r="E70" s="1"/>
      <c r="F70" s="5">
        <f t="shared" si="41"/>
        <v>0</v>
      </c>
      <c r="G70" s="1"/>
      <c r="H70" s="1">
        <f>SUM(OSRRefH22_10x_0)</f>
        <v>35</v>
      </c>
      <c r="I70" s="1"/>
      <c r="J70" s="5">
        <f t="shared" si="42"/>
        <v>1.1016756959482099E-4</v>
      </c>
      <c r="K70" s="1"/>
      <c r="L70" s="1">
        <f t="shared" si="43"/>
        <v>-35</v>
      </c>
      <c r="M70" s="1"/>
      <c r="N70" s="5">
        <f t="shared" si="44"/>
        <v>-1</v>
      </c>
      <c r="O70" s="12"/>
      <c r="P70" s="1">
        <f>SUM(OSRRefP22_10x_0)</f>
        <v>0.57999999999999996</v>
      </c>
      <c r="Q70" s="1"/>
      <c r="R70" s="5">
        <f t="shared" si="45"/>
        <v>4.2469411150338035E-8</v>
      </c>
      <c r="S70" s="1"/>
      <c r="T70" s="1">
        <f>SUM(OSRRefT22_10x_0)</f>
        <v>51.41</v>
      </c>
      <c r="U70" s="1"/>
      <c r="V70" s="5">
        <f t="shared" si="46"/>
        <v>2.8898999286453296E-6</v>
      </c>
      <c r="W70" s="1"/>
      <c r="X70" s="1">
        <f t="shared" si="47"/>
        <v>-50.83</v>
      </c>
      <c r="Y70" s="1"/>
      <c r="Z70" s="5">
        <f t="shared" si="48"/>
        <v>-0.98871814822019066</v>
      </c>
    </row>
    <row r="71" spans="1:26" s="24" customFormat="1" hidden="1" outlineLevel="2" x14ac:dyDescent="0.35">
      <c r="A71" s="27"/>
      <c r="B71" s="11" t="str">
        <f>CONCATENATE("          ", "6307", " - ", "POSTAGE")</f>
        <v xml:space="preserve">          6307 - POSTAGE</v>
      </c>
      <c r="C71" s="11"/>
      <c r="D71" s="7"/>
      <c r="E71" s="2"/>
      <c r="F71" s="6">
        <f t="shared" si="41"/>
        <v>0</v>
      </c>
      <c r="G71" s="2"/>
      <c r="H71" s="7">
        <v>35</v>
      </c>
      <c r="I71" s="2"/>
      <c r="J71" s="6">
        <f t="shared" si="42"/>
        <v>1.1016756959482099E-4</v>
      </c>
      <c r="K71" s="2"/>
      <c r="L71" s="7">
        <f t="shared" si="43"/>
        <v>-35</v>
      </c>
      <c r="M71" s="2"/>
      <c r="N71" s="6">
        <f t="shared" si="44"/>
        <v>-1</v>
      </c>
      <c r="O71" s="11"/>
      <c r="P71" s="7">
        <v>0.57999999999999996</v>
      </c>
      <c r="Q71" s="2"/>
      <c r="R71" s="6">
        <f t="shared" si="45"/>
        <v>4.2469411150338035E-8</v>
      </c>
      <c r="S71" s="2"/>
      <c r="T71" s="7">
        <v>51.41</v>
      </c>
      <c r="U71" s="2"/>
      <c r="V71" s="6">
        <f t="shared" si="46"/>
        <v>2.8898999286453296E-6</v>
      </c>
      <c r="W71" s="2"/>
      <c r="X71" s="7">
        <f t="shared" si="47"/>
        <v>-50.83</v>
      </c>
      <c r="Y71" s="2"/>
      <c r="Z71" s="6">
        <f t="shared" si="48"/>
        <v>-0.98871814822019066</v>
      </c>
    </row>
    <row r="72" spans="1:26" s="25" customFormat="1" outlineLevel="1" collapsed="1" x14ac:dyDescent="0.35">
      <c r="A72" s="26"/>
      <c r="B72" s="12" t="str">
        <f>CONCATENATE("     ","General                                           ")</f>
        <v xml:space="preserve">     General                                           </v>
      </c>
      <c r="C72" s="12"/>
      <c r="D72" s="1">
        <f>SUM(OSRRefD22_11x_0)</f>
        <v>4574.0600000000004</v>
      </c>
      <c r="E72" s="1"/>
      <c r="F72" s="5">
        <f t="shared" si="41"/>
        <v>-3.4227005126949546E-2</v>
      </c>
      <c r="G72" s="1"/>
      <c r="H72" s="1">
        <f>SUM(OSRRefH22_11x_0)</f>
        <v>1175.44</v>
      </c>
      <c r="I72" s="1"/>
      <c r="J72" s="5">
        <f t="shared" si="42"/>
        <v>3.6998676572724686E-3</v>
      </c>
      <c r="K72" s="1"/>
      <c r="L72" s="1">
        <f t="shared" si="43"/>
        <v>3398.6200000000003</v>
      </c>
      <c r="M72" s="1"/>
      <c r="N72" s="5">
        <f t="shared" si="44"/>
        <v>2.8913598312121418</v>
      </c>
      <c r="O72" s="12"/>
      <c r="P72" s="1">
        <f>SUM(OSRRefP22_11x_0)</f>
        <v>97175.52</v>
      </c>
      <c r="Q72" s="1"/>
      <c r="R72" s="5">
        <f t="shared" si="45"/>
        <v>7.1154950217722363E-3</v>
      </c>
      <c r="S72" s="1"/>
      <c r="T72" s="1">
        <f>SUM(OSRRefT22_11x_0)</f>
        <v>71478</v>
      </c>
      <c r="U72" s="1"/>
      <c r="V72" s="5">
        <f t="shared" si="46"/>
        <v>4.0179783524549872E-3</v>
      </c>
      <c r="W72" s="1"/>
      <c r="X72" s="1">
        <f t="shared" si="47"/>
        <v>25697.520000000004</v>
      </c>
      <c r="Y72" s="1"/>
      <c r="Z72" s="5">
        <f t="shared" si="48"/>
        <v>0.35951649458574669</v>
      </c>
    </row>
    <row r="73" spans="1:26" s="24" customFormat="1" hidden="1" outlineLevel="2" x14ac:dyDescent="0.35">
      <c r="A73" s="27"/>
      <c r="B73" s="11" t="str">
        <f>CONCATENATE("          ", "6269", " - ", "ENTERTAINMENT")</f>
        <v xml:space="preserve">          6269 - ENTERTAINMENT</v>
      </c>
      <c r="C73" s="11"/>
      <c r="D73" s="7"/>
      <c r="E73" s="2"/>
      <c r="F73" s="6">
        <f t="shared" si="41"/>
        <v>0</v>
      </c>
      <c r="G73" s="2"/>
      <c r="H73" s="7"/>
      <c r="I73" s="2"/>
      <c r="J73" s="6">
        <f t="shared" si="42"/>
        <v>0</v>
      </c>
      <c r="K73" s="2"/>
      <c r="L73" s="7">
        <f t="shared" si="43"/>
        <v>0</v>
      </c>
      <c r="M73" s="2"/>
      <c r="N73" s="6">
        <f t="shared" si="44"/>
        <v>0</v>
      </c>
      <c r="O73" s="11"/>
      <c r="P73" s="7">
        <v>10050</v>
      </c>
      <c r="Q73" s="2"/>
      <c r="R73" s="6">
        <f t="shared" si="45"/>
        <v>7.3589238286361595E-4</v>
      </c>
      <c r="S73" s="2"/>
      <c r="T73" s="7">
        <v>10824.27</v>
      </c>
      <c r="U73" s="2"/>
      <c r="V73" s="6">
        <f t="shared" si="46"/>
        <v>6.0846249952611919E-4</v>
      </c>
      <c r="W73" s="2"/>
      <c r="X73" s="7">
        <f t="shared" si="47"/>
        <v>-774.27000000000044</v>
      </c>
      <c r="Y73" s="2"/>
      <c r="Z73" s="6">
        <f t="shared" si="48"/>
        <v>-7.1530920791887151E-2</v>
      </c>
    </row>
    <row r="74" spans="1:26" s="24" customFormat="1" hidden="1" outlineLevel="2" x14ac:dyDescent="0.35">
      <c r="A74" s="27"/>
      <c r="B74" s="11" t="str">
        <f>CONCATENATE("          ", "6279", " - ", "GENERAL EXPENSE")</f>
        <v xml:space="preserve">          6279 - GENERAL EXPENSE</v>
      </c>
      <c r="C74" s="11"/>
      <c r="D74" s="7">
        <v>4574.0600000000004</v>
      </c>
      <c r="E74" s="2"/>
      <c r="F74" s="6">
        <f t="shared" si="41"/>
        <v>-3.4227005126949546E-2</v>
      </c>
      <c r="G74" s="2"/>
      <c r="H74" s="7">
        <v>1175.44</v>
      </c>
      <c r="I74" s="2"/>
      <c r="J74" s="6">
        <f t="shared" si="42"/>
        <v>3.6998676572724686E-3</v>
      </c>
      <c r="K74" s="2"/>
      <c r="L74" s="7">
        <f t="shared" si="43"/>
        <v>3398.6200000000003</v>
      </c>
      <c r="M74" s="2"/>
      <c r="N74" s="6">
        <f t="shared" si="44"/>
        <v>2.8913598312121418</v>
      </c>
      <c r="O74" s="11"/>
      <c r="P74" s="7">
        <v>87125.52</v>
      </c>
      <c r="Q74" s="2"/>
      <c r="R74" s="6">
        <f t="shared" si="45"/>
        <v>6.3796026389086203E-3</v>
      </c>
      <c r="S74" s="2"/>
      <c r="T74" s="7">
        <v>60653.73</v>
      </c>
      <c r="U74" s="2"/>
      <c r="V74" s="6">
        <f t="shared" si="46"/>
        <v>3.4095158529288683E-3</v>
      </c>
      <c r="W74" s="2"/>
      <c r="X74" s="7">
        <f t="shared" si="47"/>
        <v>26471.79</v>
      </c>
      <c r="Y74" s="2"/>
      <c r="Z74" s="6">
        <f t="shared" si="48"/>
        <v>0.4364412543136259</v>
      </c>
    </row>
    <row r="75" spans="1:26" s="25" customFormat="1" outlineLevel="1" collapsed="1" x14ac:dyDescent="0.35">
      <c r="A75" s="26"/>
      <c r="B75" s="12" t="str">
        <f>CONCATENATE("     ","Insurance                                         ")</f>
        <v xml:space="preserve">     Insurance                                         </v>
      </c>
      <c r="C75" s="12"/>
      <c r="D75" s="1">
        <f>SUM(OSRRefD22_12x_0)</f>
        <v>4246.03</v>
      </c>
      <c r="E75" s="1"/>
      <c r="F75" s="5">
        <f t="shared" ref="F75:F89" si="49">IF(D$12=0,0,D75/D$12)</f>
        <v>-3.1772405823094048E-2</v>
      </c>
      <c r="G75" s="1"/>
      <c r="H75" s="1">
        <f>SUM(OSRRefH22_12x_0)</f>
        <v>3998.11</v>
      </c>
      <c r="I75" s="1"/>
      <c r="J75" s="5">
        <f t="shared" ref="J75:J89" si="50">IF(H$12=0,0,H75/H$12)</f>
        <v>1.2584630333507136E-2</v>
      </c>
      <c r="K75" s="1"/>
      <c r="L75" s="1">
        <f t="shared" ref="L75:L89" si="51">+D75-H75</f>
        <v>247.91999999999962</v>
      </c>
      <c r="M75" s="1"/>
      <c r="N75" s="5">
        <f t="shared" ref="N75:N89" si="52">IF(H75=0,0,L75/H75)</f>
        <v>6.2009299393963553E-2</v>
      </c>
      <c r="O75" s="12"/>
      <c r="P75" s="1">
        <f>SUM(OSRRefP22_12x_0)</f>
        <v>56713.36</v>
      </c>
      <c r="Q75" s="1"/>
      <c r="R75" s="5">
        <f t="shared" ref="R75:R89" si="53">IF(P$12=0,0,P75/P$12)</f>
        <v>4.1527293164778196E-3</v>
      </c>
      <c r="S75" s="1"/>
      <c r="T75" s="1">
        <f>SUM(OSRRefT22_12x_0)</f>
        <v>45462.009999999995</v>
      </c>
      <c r="U75" s="1"/>
      <c r="V75" s="5">
        <f t="shared" ref="V75:V89" si="54">IF(T$12=0,0,T75/T$12)</f>
        <v>2.5555467701823239E-3</v>
      </c>
      <c r="W75" s="1"/>
      <c r="X75" s="1">
        <f t="shared" ref="X75:X89" si="55">+P75-T75</f>
        <v>11251.350000000006</v>
      </c>
      <c r="Y75" s="1"/>
      <c r="Z75" s="5">
        <f t="shared" ref="Z75:Z89" si="56">IF(T75=0,0,X75/T75)</f>
        <v>0.24748905734700263</v>
      </c>
    </row>
    <row r="76" spans="1:26" s="24" customFormat="1" hidden="1" outlineLevel="2" x14ac:dyDescent="0.35">
      <c r="A76" s="27"/>
      <c r="B76" s="11" t="str">
        <f>CONCATENATE("          ", "6314", " - ", "LIABILITY INSURANCE")</f>
        <v xml:space="preserve">          6314 - LIABILITY INSURANCE</v>
      </c>
      <c r="C76" s="11"/>
      <c r="D76" s="7">
        <v>4246.03</v>
      </c>
      <c r="E76" s="2"/>
      <c r="F76" s="6">
        <f t="shared" si="49"/>
        <v>-3.1772405823094048E-2</v>
      </c>
      <c r="G76" s="2"/>
      <c r="H76" s="7">
        <v>3998.11</v>
      </c>
      <c r="I76" s="2"/>
      <c r="J76" s="6">
        <f t="shared" si="50"/>
        <v>1.2584630333507136E-2</v>
      </c>
      <c r="K76" s="2"/>
      <c r="L76" s="7">
        <f t="shared" si="51"/>
        <v>247.91999999999962</v>
      </c>
      <c r="M76" s="2"/>
      <c r="N76" s="6">
        <f t="shared" si="52"/>
        <v>6.2009299393963553E-2</v>
      </c>
      <c r="O76" s="11"/>
      <c r="P76" s="7">
        <v>56713.36</v>
      </c>
      <c r="Q76" s="2"/>
      <c r="R76" s="6">
        <f t="shared" si="53"/>
        <v>4.1527293164778196E-3</v>
      </c>
      <c r="S76" s="2"/>
      <c r="T76" s="7">
        <v>45462.009999999995</v>
      </c>
      <c r="U76" s="2"/>
      <c r="V76" s="6">
        <f t="shared" si="54"/>
        <v>2.5555467701823239E-3</v>
      </c>
      <c r="W76" s="2"/>
      <c r="X76" s="7">
        <f t="shared" si="55"/>
        <v>11251.350000000006</v>
      </c>
      <c r="Y76" s="2"/>
      <c r="Z76" s="6">
        <f t="shared" si="56"/>
        <v>0.24748905734700263</v>
      </c>
    </row>
    <row r="77" spans="1:26" s="25" customFormat="1" outlineLevel="1" collapsed="1" x14ac:dyDescent="0.35">
      <c r="A77" s="26"/>
      <c r="B77" s="12" t="str">
        <f>CONCATENATE("     ","Interest                                          ")</f>
        <v xml:space="preserve">     Interest                                          </v>
      </c>
      <c r="C77" s="12"/>
      <c r="D77" s="1">
        <f>SUM(OSRRefD22_13x_0)</f>
        <v>7754</v>
      </c>
      <c r="E77" s="1"/>
      <c r="F77" s="5">
        <f t="shared" si="49"/>
        <v>-5.8022019333888654E-2</v>
      </c>
      <c r="G77" s="1"/>
      <c r="H77" s="1">
        <f>SUM(OSRRefH22_13x_0)</f>
        <v>-376.7</v>
      </c>
      <c r="I77" s="1"/>
      <c r="J77" s="5">
        <f t="shared" si="50"/>
        <v>-1.1857178133248306E-3</v>
      </c>
      <c r="K77" s="1"/>
      <c r="L77" s="1">
        <f t="shared" si="51"/>
        <v>8130.7</v>
      </c>
      <c r="M77" s="1"/>
      <c r="N77" s="5">
        <f t="shared" si="52"/>
        <v>-21.584019113352802</v>
      </c>
      <c r="O77" s="12"/>
      <c r="P77" s="1">
        <f>SUM(OSRRefP22_13x_0)</f>
        <v>90704.280000000013</v>
      </c>
      <c r="Q77" s="1"/>
      <c r="R77" s="5">
        <f t="shared" si="53"/>
        <v>6.6416506214058346E-3</v>
      </c>
      <c r="S77" s="1"/>
      <c r="T77" s="1">
        <f>SUM(OSRRefT22_13x_0)</f>
        <v>85492.9</v>
      </c>
      <c r="U77" s="1"/>
      <c r="V77" s="5">
        <f t="shared" si="54"/>
        <v>4.8057950906376639E-3</v>
      </c>
      <c r="W77" s="1"/>
      <c r="X77" s="1">
        <f t="shared" si="55"/>
        <v>5211.3800000000192</v>
      </c>
      <c r="Y77" s="1"/>
      <c r="Z77" s="5">
        <f t="shared" si="56"/>
        <v>6.0956874781414823E-2</v>
      </c>
    </row>
    <row r="78" spans="1:26" s="24" customFormat="1" hidden="1" outlineLevel="2" x14ac:dyDescent="0.35">
      <c r="A78" s="27"/>
      <c r="B78" s="11" t="str">
        <f>CONCATENATE("          ", "6401", " - ", "INTEREST EXPENSE")</f>
        <v xml:space="preserve">          6401 - INTEREST EXPENSE</v>
      </c>
      <c r="C78" s="11"/>
      <c r="D78" s="7">
        <v>7754</v>
      </c>
      <c r="E78" s="2"/>
      <c r="F78" s="6">
        <f t="shared" si="49"/>
        <v>-5.8022019333888654E-2</v>
      </c>
      <c r="G78" s="2"/>
      <c r="H78" s="7">
        <v>-376.7</v>
      </c>
      <c r="I78" s="2"/>
      <c r="J78" s="6">
        <f t="shared" si="50"/>
        <v>-1.1857178133248306E-3</v>
      </c>
      <c r="K78" s="2"/>
      <c r="L78" s="7">
        <f t="shared" si="51"/>
        <v>8130.7</v>
      </c>
      <c r="M78" s="2"/>
      <c r="N78" s="6">
        <f t="shared" si="52"/>
        <v>-21.584019113352802</v>
      </c>
      <c r="O78" s="11"/>
      <c r="P78" s="7">
        <v>90704.280000000013</v>
      </c>
      <c r="Q78" s="2"/>
      <c r="R78" s="6">
        <f t="shared" si="53"/>
        <v>6.6416506214058346E-3</v>
      </c>
      <c r="S78" s="2"/>
      <c r="T78" s="7">
        <v>85492.9</v>
      </c>
      <c r="U78" s="2"/>
      <c r="V78" s="6">
        <f t="shared" si="54"/>
        <v>4.8057950906376639E-3</v>
      </c>
      <c r="W78" s="2"/>
      <c r="X78" s="7">
        <f t="shared" si="55"/>
        <v>5211.3800000000192</v>
      </c>
      <c r="Y78" s="2"/>
      <c r="Z78" s="6">
        <f t="shared" si="56"/>
        <v>6.0956874781414823E-2</v>
      </c>
    </row>
    <row r="79" spans="1:26" s="25" customFormat="1" outlineLevel="1" collapsed="1" x14ac:dyDescent="0.35">
      <c r="A79" s="26"/>
      <c r="B79" s="12" t="str">
        <f>CONCATENATE("     ","Professional Services                             ")</f>
        <v xml:space="preserve">     Professional Services                             </v>
      </c>
      <c r="C79" s="12"/>
      <c r="D79" s="1">
        <f>SUM(OSRRefD22_14x_0)</f>
        <v>0</v>
      </c>
      <c r="E79" s="1"/>
      <c r="F79" s="5">
        <f t="shared" si="49"/>
        <v>0</v>
      </c>
      <c r="G79" s="1"/>
      <c r="H79" s="1">
        <f>SUM(OSRRefH22_14x_0)</f>
        <v>0</v>
      </c>
      <c r="I79" s="1"/>
      <c r="J79" s="5">
        <f t="shared" si="50"/>
        <v>0</v>
      </c>
      <c r="K79" s="1"/>
      <c r="L79" s="1">
        <f t="shared" si="51"/>
        <v>0</v>
      </c>
      <c r="M79" s="1"/>
      <c r="N79" s="5">
        <f t="shared" si="52"/>
        <v>0</v>
      </c>
      <c r="O79" s="12"/>
      <c r="P79" s="1">
        <f>SUM(OSRRefP22_14x_0)</f>
        <v>125</v>
      </c>
      <c r="Q79" s="1"/>
      <c r="R79" s="5">
        <f t="shared" si="53"/>
        <v>9.1528903341245765E-6</v>
      </c>
      <c r="S79" s="1"/>
      <c r="T79" s="1">
        <f>SUM(OSRRefT22_14x_0)</f>
        <v>0</v>
      </c>
      <c r="U79" s="1"/>
      <c r="V79" s="5">
        <f t="shared" si="54"/>
        <v>0</v>
      </c>
      <c r="W79" s="1"/>
      <c r="X79" s="1">
        <f t="shared" si="55"/>
        <v>125</v>
      </c>
      <c r="Y79" s="1"/>
      <c r="Z79" s="5">
        <f t="shared" si="56"/>
        <v>0</v>
      </c>
    </row>
    <row r="80" spans="1:26" s="24" customFormat="1" hidden="1" outlineLevel="2" x14ac:dyDescent="0.35">
      <c r="A80" s="27"/>
      <c r="B80" s="11" t="str">
        <f>CONCATENATE("          ", "6336", " - ", "PROFESSIONAL SERVICES")</f>
        <v xml:space="preserve">          6336 - PROFESSIONAL SERVICES</v>
      </c>
      <c r="C80" s="11"/>
      <c r="D80" s="7"/>
      <c r="E80" s="2"/>
      <c r="F80" s="6">
        <f t="shared" si="49"/>
        <v>0</v>
      </c>
      <c r="G80" s="2"/>
      <c r="H80" s="7"/>
      <c r="I80" s="2"/>
      <c r="J80" s="6">
        <f t="shared" si="50"/>
        <v>0</v>
      </c>
      <c r="K80" s="2"/>
      <c r="L80" s="7">
        <f t="shared" si="51"/>
        <v>0</v>
      </c>
      <c r="M80" s="2"/>
      <c r="N80" s="6">
        <f t="shared" si="52"/>
        <v>0</v>
      </c>
      <c r="O80" s="11"/>
      <c r="P80" s="7">
        <v>125</v>
      </c>
      <c r="Q80" s="2"/>
      <c r="R80" s="6">
        <f t="shared" si="53"/>
        <v>9.1528903341245765E-6</v>
      </c>
      <c r="S80" s="2"/>
      <c r="T80" s="7"/>
      <c r="U80" s="2"/>
      <c r="V80" s="6">
        <f t="shared" si="54"/>
        <v>0</v>
      </c>
      <c r="W80" s="2"/>
      <c r="X80" s="7">
        <f t="shared" si="55"/>
        <v>125</v>
      </c>
      <c r="Y80" s="2"/>
      <c r="Z80" s="6">
        <f t="shared" si="56"/>
        <v>0</v>
      </c>
    </row>
    <row r="81" spans="1:26" s="25" customFormat="1" outlineLevel="1" collapsed="1" x14ac:dyDescent="0.35">
      <c r="A81" s="26"/>
      <c r="B81" s="12" t="str">
        <f>CONCATENATE("     ","R/H Commissions                                   ")</f>
        <v xml:space="preserve">     R/H Commissions                                   </v>
      </c>
      <c r="C81" s="12"/>
      <c r="D81" s="1">
        <f>SUM(OSRRefD22_15x_0)</f>
        <v>-11146.03</v>
      </c>
      <c r="E81" s="1"/>
      <c r="F81" s="5">
        <f t="shared" si="49"/>
        <v>8.3404071209195643E-2</v>
      </c>
      <c r="G81" s="1"/>
      <c r="H81" s="1">
        <f>SUM(OSRRefH22_15x_0)</f>
        <v>12590.86</v>
      </c>
      <c r="I81" s="1"/>
      <c r="J81" s="5">
        <f t="shared" si="50"/>
        <v>3.9631555580247085E-2</v>
      </c>
      <c r="K81" s="1"/>
      <c r="L81" s="1">
        <f t="shared" si="51"/>
        <v>-23736.89</v>
      </c>
      <c r="M81" s="1"/>
      <c r="N81" s="5">
        <f t="shared" si="52"/>
        <v>-1.8852477114351203</v>
      </c>
      <c r="O81" s="12"/>
      <c r="P81" s="1">
        <f>SUM(OSRRefP22_15x_0)</f>
        <v>703130.05</v>
      </c>
      <c r="Q81" s="1"/>
      <c r="R81" s="5">
        <f t="shared" si="53"/>
        <v>5.1485377906220244E-2</v>
      </c>
      <c r="S81" s="1"/>
      <c r="T81" s="1">
        <f>SUM(OSRRefT22_15x_0)</f>
        <v>853864.66</v>
      </c>
      <c r="U81" s="1"/>
      <c r="V81" s="5">
        <f t="shared" si="54"/>
        <v>4.7998121377295644E-2</v>
      </c>
      <c r="W81" s="1"/>
      <c r="X81" s="1">
        <f t="shared" si="55"/>
        <v>-150734.60999999999</v>
      </c>
      <c r="Y81" s="1"/>
      <c r="Z81" s="5">
        <f t="shared" si="56"/>
        <v>-0.17653220359301436</v>
      </c>
    </row>
    <row r="82" spans="1:26" s="24" customFormat="1" hidden="1" outlineLevel="2" x14ac:dyDescent="0.35">
      <c r="A82" s="27"/>
      <c r="B82" s="11" t="str">
        <f>CONCATENATE("          ", "6387", " - ", "COMMISSION DUE HOUSING")</f>
        <v xml:space="preserve">          6387 - COMMISSION DUE HOUSING</v>
      </c>
      <c r="C82" s="11"/>
      <c r="D82" s="7">
        <v>-11146.03</v>
      </c>
      <c r="E82" s="2"/>
      <c r="F82" s="6">
        <f t="shared" si="49"/>
        <v>8.3404071209195643E-2</v>
      </c>
      <c r="G82" s="2"/>
      <c r="H82" s="7">
        <v>12590.86</v>
      </c>
      <c r="I82" s="2"/>
      <c r="J82" s="6">
        <f t="shared" si="50"/>
        <v>3.9631555580247085E-2</v>
      </c>
      <c r="K82" s="2"/>
      <c r="L82" s="7">
        <f t="shared" si="51"/>
        <v>-23736.89</v>
      </c>
      <c r="M82" s="2"/>
      <c r="N82" s="6">
        <f t="shared" si="52"/>
        <v>-1.8852477114351203</v>
      </c>
      <c r="O82" s="11"/>
      <c r="P82" s="7">
        <v>703130.05</v>
      </c>
      <c r="Q82" s="2"/>
      <c r="R82" s="6">
        <f t="shared" si="53"/>
        <v>5.1485377906220244E-2</v>
      </c>
      <c r="S82" s="2"/>
      <c r="T82" s="7">
        <v>853864.66</v>
      </c>
      <c r="U82" s="2"/>
      <c r="V82" s="6">
        <f t="shared" si="54"/>
        <v>4.7998121377295644E-2</v>
      </c>
      <c r="W82" s="2"/>
      <c r="X82" s="7">
        <f t="shared" si="55"/>
        <v>-150734.60999999999</v>
      </c>
      <c r="Y82" s="2"/>
      <c r="Z82" s="6">
        <f t="shared" si="56"/>
        <v>-0.17653220359301436</v>
      </c>
    </row>
    <row r="83" spans="1:26" s="25" customFormat="1" outlineLevel="1" collapsed="1" x14ac:dyDescent="0.35">
      <c r="A83" s="26"/>
      <c r="B83" s="12" t="str">
        <f>CONCATENATE("     ","Rent                                              ")</f>
        <v xml:space="preserve">     Rent                                              </v>
      </c>
      <c r="C83" s="12"/>
      <c r="D83" s="1">
        <f>SUM(OSRRefD22_16x_0)</f>
        <v>1850</v>
      </c>
      <c r="E83" s="1"/>
      <c r="F83" s="5">
        <f t="shared" si="49"/>
        <v>-1.3843272603519991E-2</v>
      </c>
      <c r="G83" s="1"/>
      <c r="H83" s="1">
        <f>SUM(OSRRefH22_16x_0)</f>
        <v>1850</v>
      </c>
      <c r="I83" s="1"/>
      <c r="J83" s="5">
        <f t="shared" si="50"/>
        <v>5.8231429642976815E-3</v>
      </c>
      <c r="K83" s="1"/>
      <c r="L83" s="1">
        <f t="shared" si="51"/>
        <v>0</v>
      </c>
      <c r="M83" s="1"/>
      <c r="N83" s="5">
        <f t="shared" si="52"/>
        <v>0</v>
      </c>
      <c r="O83" s="12"/>
      <c r="P83" s="1">
        <f>SUM(OSRRefP22_16x_0)</f>
        <v>22200</v>
      </c>
      <c r="Q83" s="1"/>
      <c r="R83" s="5">
        <f t="shared" si="53"/>
        <v>1.6255533233405248E-3</v>
      </c>
      <c r="S83" s="1"/>
      <c r="T83" s="1">
        <f>SUM(OSRRefT22_16x_0)</f>
        <v>22200</v>
      </c>
      <c r="U83" s="1"/>
      <c r="V83" s="5">
        <f t="shared" si="54"/>
        <v>1.2479241084599557E-3</v>
      </c>
      <c r="W83" s="1"/>
      <c r="X83" s="1">
        <f t="shared" si="55"/>
        <v>0</v>
      </c>
      <c r="Y83" s="1"/>
      <c r="Z83" s="5">
        <f t="shared" si="56"/>
        <v>0</v>
      </c>
    </row>
    <row r="84" spans="1:26" s="24" customFormat="1" hidden="1" outlineLevel="2" x14ac:dyDescent="0.35">
      <c r="A84" s="27"/>
      <c r="B84" s="11" t="str">
        <f>CONCATENATE("          ", "6273", " - ", "RENT")</f>
        <v xml:space="preserve">          6273 - RENT</v>
      </c>
      <c r="C84" s="11"/>
      <c r="D84" s="7">
        <v>1850</v>
      </c>
      <c r="E84" s="2"/>
      <c r="F84" s="6">
        <f t="shared" si="49"/>
        <v>-1.3843272603519991E-2</v>
      </c>
      <c r="G84" s="2"/>
      <c r="H84" s="7">
        <v>1850</v>
      </c>
      <c r="I84" s="2"/>
      <c r="J84" s="6">
        <f t="shared" si="50"/>
        <v>5.8231429642976815E-3</v>
      </c>
      <c r="K84" s="2"/>
      <c r="L84" s="7">
        <f t="shared" si="51"/>
        <v>0</v>
      </c>
      <c r="M84" s="2"/>
      <c r="N84" s="6">
        <f t="shared" si="52"/>
        <v>0</v>
      </c>
      <c r="O84" s="11"/>
      <c r="P84" s="7">
        <v>22200</v>
      </c>
      <c r="Q84" s="2"/>
      <c r="R84" s="6">
        <f t="shared" si="53"/>
        <v>1.6255533233405248E-3</v>
      </c>
      <c r="S84" s="2"/>
      <c r="T84" s="7">
        <v>22200</v>
      </c>
      <c r="U84" s="2"/>
      <c r="V84" s="6">
        <f t="shared" si="54"/>
        <v>1.2479241084599557E-3</v>
      </c>
      <c r="W84" s="2"/>
      <c r="X84" s="7">
        <f t="shared" si="55"/>
        <v>0</v>
      </c>
      <c r="Y84" s="2"/>
      <c r="Z84" s="6">
        <f t="shared" si="56"/>
        <v>0</v>
      </c>
    </row>
    <row r="85" spans="1:26" s="25" customFormat="1" outlineLevel="1" collapsed="1" x14ac:dyDescent="0.35">
      <c r="A85" s="26"/>
      <c r="B85" s="12" t="str">
        <f>CONCATENATE("     ","Repair and Maintenance                            ")</f>
        <v xml:space="preserve">     Repair and Maintenance                            </v>
      </c>
      <c r="C85" s="12"/>
      <c r="D85" s="1">
        <f>SUM(OSRRefD22_17x_0)</f>
        <v>7909.78</v>
      </c>
      <c r="E85" s="1"/>
      <c r="F85" s="5">
        <f t="shared" si="49"/>
        <v>-5.9187697715605593E-2</v>
      </c>
      <c r="G85" s="1"/>
      <c r="H85" s="1">
        <f>SUM(OSRRefH22_17x_0)</f>
        <v>22923.5</v>
      </c>
      <c r="I85" s="1"/>
      <c r="J85" s="5">
        <f t="shared" si="50"/>
        <v>7.2155036617339408E-2</v>
      </c>
      <c r="K85" s="1"/>
      <c r="L85" s="1">
        <f t="shared" si="51"/>
        <v>-15013.720000000001</v>
      </c>
      <c r="M85" s="1"/>
      <c r="N85" s="5">
        <f t="shared" si="52"/>
        <v>-0.65494885161515481</v>
      </c>
      <c r="O85" s="12"/>
      <c r="P85" s="1">
        <f>SUM(OSRRefP22_17x_0)</f>
        <v>299126.58999999997</v>
      </c>
      <c r="Q85" s="1"/>
      <c r="R85" s="5">
        <f t="shared" si="53"/>
        <v>2.1902982994325158E-2</v>
      </c>
      <c r="S85" s="1"/>
      <c r="T85" s="1">
        <f>SUM(OSRRefT22_17x_0)</f>
        <v>364370.06000000006</v>
      </c>
      <c r="U85" s="1"/>
      <c r="V85" s="5">
        <f t="shared" si="54"/>
        <v>2.0482260462837867E-2</v>
      </c>
      <c r="W85" s="1"/>
      <c r="X85" s="1">
        <f t="shared" si="55"/>
        <v>-65243.470000000088</v>
      </c>
      <c r="Y85" s="1"/>
      <c r="Z85" s="5">
        <f t="shared" si="56"/>
        <v>-0.17905826290996599</v>
      </c>
    </row>
    <row r="86" spans="1:26" s="24" customFormat="1" hidden="1" outlineLevel="2" x14ac:dyDescent="0.35">
      <c r="A86" s="27"/>
      <c r="B86" s="11" t="str">
        <f>CONCATENATE("          ", "6371", " - ", "COMPUTER SOFTWARE MAINTENANCE")</f>
        <v xml:space="preserve">          6371 - COMPUTER SOFTWARE MAINTENANCE</v>
      </c>
      <c r="C86" s="11"/>
      <c r="D86" s="7"/>
      <c r="E86" s="2"/>
      <c r="F86" s="6">
        <f t="shared" si="49"/>
        <v>0</v>
      </c>
      <c r="G86" s="2"/>
      <c r="H86" s="7">
        <v>2430</v>
      </c>
      <c r="I86" s="2"/>
      <c r="J86" s="6">
        <f t="shared" si="50"/>
        <v>7.6487769747261439E-3</v>
      </c>
      <c r="K86" s="2"/>
      <c r="L86" s="7">
        <f t="shared" si="51"/>
        <v>-2430</v>
      </c>
      <c r="M86" s="2"/>
      <c r="N86" s="6">
        <f t="shared" si="52"/>
        <v>-1</v>
      </c>
      <c r="O86" s="11"/>
      <c r="P86" s="7">
        <v>73995.62</v>
      </c>
      <c r="Q86" s="2"/>
      <c r="R86" s="6">
        <f t="shared" si="53"/>
        <v>5.4181903605244417E-3</v>
      </c>
      <c r="S86" s="2"/>
      <c r="T86" s="7">
        <v>71970.210000000006</v>
      </c>
      <c r="U86" s="2"/>
      <c r="V86" s="6">
        <f t="shared" si="54"/>
        <v>4.0456468536002616E-3</v>
      </c>
      <c r="W86" s="2"/>
      <c r="X86" s="7">
        <f t="shared" si="55"/>
        <v>2025.4099999999889</v>
      </c>
      <c r="Y86" s="2"/>
      <c r="Z86" s="6">
        <f t="shared" si="56"/>
        <v>2.8142338336931194E-2</v>
      </c>
    </row>
    <row r="87" spans="1:26" s="24" customFormat="1" hidden="1" outlineLevel="2" x14ac:dyDescent="0.35">
      <c r="A87" s="27"/>
      <c r="B87" s="11" t="str">
        <f>CONCATENATE("          ", "6372", " - ", "COMPUTER HARDWARE MAINTENANCE")</f>
        <v xml:space="preserve">          6372 - COMPUTER HARDWARE MAINTENANCE</v>
      </c>
      <c r="C87" s="11"/>
      <c r="D87" s="7"/>
      <c r="E87" s="2"/>
      <c r="F87" s="6">
        <f t="shared" si="49"/>
        <v>0</v>
      </c>
      <c r="G87" s="2"/>
      <c r="H87" s="7"/>
      <c r="I87" s="2"/>
      <c r="J87" s="6">
        <f t="shared" si="50"/>
        <v>0</v>
      </c>
      <c r="K87" s="2"/>
      <c r="L87" s="7">
        <f t="shared" si="51"/>
        <v>0</v>
      </c>
      <c r="M87" s="2"/>
      <c r="N87" s="6">
        <f t="shared" si="52"/>
        <v>0</v>
      </c>
      <c r="O87" s="11"/>
      <c r="P87" s="7">
        <v>8142.87</v>
      </c>
      <c r="Q87" s="2"/>
      <c r="R87" s="6">
        <f t="shared" si="53"/>
        <v>5.9624636892026395E-4</v>
      </c>
      <c r="S87" s="2"/>
      <c r="T87" s="7">
        <v>880.96</v>
      </c>
      <c r="U87" s="2"/>
      <c r="V87" s="6">
        <f t="shared" si="54"/>
        <v>4.9521226242742459E-5</v>
      </c>
      <c r="W87" s="2"/>
      <c r="X87" s="7">
        <f t="shared" si="55"/>
        <v>7261.91</v>
      </c>
      <c r="Y87" s="2"/>
      <c r="Z87" s="6">
        <f t="shared" si="56"/>
        <v>8.2431778968398106</v>
      </c>
    </row>
    <row r="88" spans="1:26" s="24" customFormat="1" hidden="1" outlineLevel="2" x14ac:dyDescent="0.35">
      <c r="A88" s="27"/>
      <c r="B88" s="11" t="str">
        <f>CONCATENATE("          ", "6373", " - ", "MAINTENANCE CONTRACTS")</f>
        <v xml:space="preserve">          6373 - MAINTENANCE CONTRACTS</v>
      </c>
      <c r="C88" s="11"/>
      <c r="D88" s="7">
        <v>7909.78</v>
      </c>
      <c r="E88" s="2"/>
      <c r="F88" s="6">
        <f t="shared" si="49"/>
        <v>-5.9187697715605593E-2</v>
      </c>
      <c r="G88" s="2"/>
      <c r="H88" s="7">
        <v>7836.83</v>
      </c>
      <c r="I88" s="2"/>
      <c r="J88" s="6">
        <f t="shared" si="50"/>
        <v>2.4667557555079458E-2</v>
      </c>
      <c r="K88" s="2"/>
      <c r="L88" s="7">
        <f t="shared" si="51"/>
        <v>72.949999999999818</v>
      </c>
      <c r="M88" s="2"/>
      <c r="N88" s="6">
        <f t="shared" si="52"/>
        <v>9.308610752051508E-3</v>
      </c>
      <c r="O88" s="11"/>
      <c r="P88" s="7">
        <v>101890.43999999999</v>
      </c>
      <c r="Q88" s="2"/>
      <c r="R88" s="6">
        <f t="shared" si="53"/>
        <v>7.4607361873256003E-3</v>
      </c>
      <c r="S88" s="2"/>
      <c r="T88" s="7">
        <v>127657.54000000001</v>
      </c>
      <c r="U88" s="2"/>
      <c r="V88" s="6">
        <f t="shared" si="54"/>
        <v>7.1759874681392409E-3</v>
      </c>
      <c r="W88" s="2"/>
      <c r="X88" s="7">
        <f t="shared" si="55"/>
        <v>-25767.10000000002</v>
      </c>
      <c r="Y88" s="2"/>
      <c r="Z88" s="6">
        <f t="shared" si="56"/>
        <v>-0.2018455000777864</v>
      </c>
    </row>
    <row r="89" spans="1:26" s="24" customFormat="1" hidden="1" outlineLevel="2" x14ac:dyDescent="0.35">
      <c r="A89" s="27"/>
      <c r="B89" s="11" t="str">
        <f>CONCATENATE("          ", "6375", " - ", "OUTSIDE REPAIRS &amp; MAINTENANCE")</f>
        <v xml:space="preserve">          6375 - OUTSIDE REPAIRS &amp; MAINTENANCE</v>
      </c>
      <c r="C89" s="11"/>
      <c r="D89" s="7"/>
      <c r="E89" s="2"/>
      <c r="F89" s="6">
        <f t="shared" si="49"/>
        <v>0</v>
      </c>
      <c r="G89" s="2"/>
      <c r="H89" s="7">
        <v>12656.67</v>
      </c>
      <c r="I89" s="2"/>
      <c r="J89" s="6">
        <f t="shared" si="50"/>
        <v>3.9838702087533803E-2</v>
      </c>
      <c r="K89" s="2"/>
      <c r="L89" s="7">
        <f t="shared" si="51"/>
        <v>-12656.67</v>
      </c>
      <c r="M89" s="2"/>
      <c r="N89" s="6">
        <f t="shared" si="52"/>
        <v>-1</v>
      </c>
      <c r="O89" s="11"/>
      <c r="P89" s="7">
        <v>115097.66</v>
      </c>
      <c r="Q89" s="2"/>
      <c r="R89" s="6">
        <f t="shared" si="53"/>
        <v>8.4278100775548558E-3</v>
      </c>
      <c r="S89" s="2"/>
      <c r="T89" s="7">
        <v>163861.35</v>
      </c>
      <c r="U89" s="2"/>
      <c r="V89" s="6">
        <f t="shared" si="54"/>
        <v>9.2111049148556213E-3</v>
      </c>
      <c r="W89" s="2"/>
      <c r="X89" s="7">
        <f t="shared" si="55"/>
        <v>-48763.69</v>
      </c>
      <c r="Y89" s="2"/>
      <c r="Z89" s="6">
        <f t="shared" si="56"/>
        <v>-0.29759116472554387</v>
      </c>
    </row>
    <row r="90" spans="1:26" s="25" customFormat="1" outlineLevel="1" collapsed="1" x14ac:dyDescent="0.35">
      <c r="A90" s="26"/>
      <c r="B90" s="12" t="str">
        <f>CONCATENATE("     ","Royalty &amp; Commissions                             ")</f>
        <v xml:space="preserve">     Royalty &amp; Commissions                             </v>
      </c>
      <c r="C90" s="12"/>
      <c r="D90" s="1">
        <f>SUM(OSRRefD22_18x_0)</f>
        <v>0</v>
      </c>
      <c r="E90" s="1"/>
      <c r="F90" s="5">
        <f t="shared" ref="F90:F92" si="57">IF(D$12=0,0,D90/D$12)</f>
        <v>0</v>
      </c>
      <c r="G90" s="1"/>
      <c r="H90" s="1">
        <f>SUM(OSRRefH22_18x_0)</f>
        <v>10256.039999999999</v>
      </c>
      <c r="I90" s="1"/>
      <c r="J90" s="5">
        <f t="shared" ref="J90:J92" si="58">IF(H$12=0,0,H90/H$12)</f>
        <v>3.2282371441921941E-2</v>
      </c>
      <c r="K90" s="1"/>
      <c r="L90" s="1">
        <f t="shared" ref="L90:L92" si="59">+D90-H90</f>
        <v>-10256.039999999999</v>
      </c>
      <c r="M90" s="1"/>
      <c r="N90" s="5">
        <f t="shared" ref="N90:N92" si="60">IF(H90=0,0,L90/H90)</f>
        <v>-1</v>
      </c>
      <c r="O90" s="12"/>
      <c r="P90" s="1">
        <f>SUM(OSRRefP22_18x_0)</f>
        <v>233763.46999999997</v>
      </c>
      <c r="Q90" s="1"/>
      <c r="R90" s="5">
        <f t="shared" ref="R90:R92" si="61">IF(P$12=0,0,P90/P$12)</f>
        <v>1.7116891240275361E-2</v>
      </c>
      <c r="S90" s="1"/>
      <c r="T90" s="1">
        <f>SUM(OSRRefT22_18x_0)</f>
        <v>446474.05</v>
      </c>
      <c r="U90" s="1"/>
      <c r="V90" s="5">
        <f t="shared" ref="V90:V92" si="62">IF(T$12=0,0,T90/T$12)</f>
        <v>2.5097555441295303E-2</v>
      </c>
      <c r="W90" s="1"/>
      <c r="X90" s="1">
        <f t="shared" ref="X90:X92" si="63">+P90-T90</f>
        <v>-212710.58000000002</v>
      </c>
      <c r="Y90" s="1"/>
      <c r="Z90" s="5">
        <f t="shared" ref="Z90:Z92" si="64">IF(T90=0,0,X90/T90)</f>
        <v>-0.47642316501933318</v>
      </c>
    </row>
    <row r="91" spans="1:26" s="24" customFormat="1" hidden="1" outlineLevel="2" x14ac:dyDescent="0.35">
      <c r="A91" s="27"/>
      <c r="B91" s="11" t="str">
        <f>CONCATENATE("          ", "6254", " - ", "ROYALTY &amp; COMMISSIONS")</f>
        <v xml:space="preserve">          6254 - ROYALTY &amp; COMMISSIONS</v>
      </c>
      <c r="C91" s="11"/>
      <c r="D91" s="7"/>
      <c r="E91" s="2"/>
      <c r="F91" s="6">
        <f t="shared" si="57"/>
        <v>0</v>
      </c>
      <c r="G91" s="2"/>
      <c r="H91" s="7">
        <v>9001.56</v>
      </c>
      <c r="I91" s="2"/>
      <c r="J91" s="6">
        <f t="shared" si="58"/>
        <v>2.833371393605591E-2</v>
      </c>
      <c r="K91" s="2"/>
      <c r="L91" s="7">
        <f t="shared" si="59"/>
        <v>-9001.56</v>
      </c>
      <c r="M91" s="2"/>
      <c r="N91" s="6">
        <f t="shared" si="60"/>
        <v>-1</v>
      </c>
      <c r="O91" s="11"/>
      <c r="P91" s="7">
        <v>129093.51</v>
      </c>
      <c r="Q91" s="2"/>
      <c r="R91" s="6">
        <f t="shared" si="61"/>
        <v>9.4526299190177149E-3</v>
      </c>
      <c r="S91" s="2"/>
      <c r="T91" s="7">
        <v>305470.61</v>
      </c>
      <c r="U91" s="2"/>
      <c r="V91" s="6">
        <f t="shared" si="62"/>
        <v>1.7171357596620217E-2</v>
      </c>
      <c r="W91" s="2"/>
      <c r="X91" s="7">
        <f t="shared" si="63"/>
        <v>-176377.09999999998</v>
      </c>
      <c r="Y91" s="2"/>
      <c r="Z91" s="6">
        <f t="shared" si="64"/>
        <v>-0.57739466327055156</v>
      </c>
    </row>
    <row r="92" spans="1:26" s="24" customFormat="1" hidden="1" outlineLevel="2" x14ac:dyDescent="0.35">
      <c r="A92" s="27"/>
      <c r="B92" s="11" t="str">
        <f>CONCATENATE("          ", "6259", " - ", "ROYALTY &amp; COMMISSIONS")</f>
        <v xml:space="preserve">          6259 - ROYALTY &amp; COMMISSIONS</v>
      </c>
      <c r="C92" s="11"/>
      <c r="D92" s="7"/>
      <c r="E92" s="2"/>
      <c r="F92" s="6">
        <f t="shared" si="57"/>
        <v>0</v>
      </c>
      <c r="G92" s="2"/>
      <c r="H92" s="7">
        <v>1254.48</v>
      </c>
      <c r="I92" s="2"/>
      <c r="J92" s="6">
        <f t="shared" si="58"/>
        <v>3.94865750586603E-3</v>
      </c>
      <c r="K92" s="2"/>
      <c r="L92" s="7">
        <f t="shared" si="59"/>
        <v>-1254.48</v>
      </c>
      <c r="M92" s="2"/>
      <c r="N92" s="6">
        <f t="shared" si="60"/>
        <v>-1</v>
      </c>
      <c r="O92" s="11"/>
      <c r="P92" s="7">
        <v>104669.95999999999</v>
      </c>
      <c r="Q92" s="2"/>
      <c r="R92" s="6">
        <f t="shared" si="61"/>
        <v>7.6642613212576484E-3</v>
      </c>
      <c r="S92" s="2"/>
      <c r="T92" s="7">
        <v>141003.44</v>
      </c>
      <c r="U92" s="2"/>
      <c r="V92" s="6">
        <f t="shared" si="62"/>
        <v>7.9261978446750845E-3</v>
      </c>
      <c r="W92" s="2"/>
      <c r="X92" s="7">
        <f t="shared" si="63"/>
        <v>-36333.48000000001</v>
      </c>
      <c r="Y92" s="2"/>
      <c r="Z92" s="6">
        <f t="shared" si="64"/>
        <v>-0.25767796870771387</v>
      </c>
    </row>
    <row r="93" spans="1:26" s="25" customFormat="1" outlineLevel="1" collapsed="1" x14ac:dyDescent="0.35">
      <c r="A93" s="26"/>
      <c r="B93" s="12" t="str">
        <f>CONCATENATE("     ","Services                                          ")</f>
        <v xml:space="preserve">     Services                                          </v>
      </c>
      <c r="C93" s="12"/>
      <c r="D93" s="1">
        <f>SUM(OSRRefD22_19x_0)</f>
        <v>19673.629999999997</v>
      </c>
      <c r="E93" s="1"/>
      <c r="F93" s="5">
        <f t="shared" ref="F93:F98" si="65">IF(D$12=0,0,D93/D$12)</f>
        <v>-0.14721482334637243</v>
      </c>
      <c r="G93" s="1"/>
      <c r="H93" s="1">
        <f>SUM(OSRRefH22_19x_0)</f>
        <v>35758.36</v>
      </c>
      <c r="I93" s="1"/>
      <c r="J93" s="5">
        <f t="shared" ref="J93:J98" si="66">IF(H$12=0,0,H93/H$12)</f>
        <v>0.11255461753990467</v>
      </c>
      <c r="K93" s="1"/>
      <c r="L93" s="1">
        <f t="shared" ref="L93:L98" si="67">+D93-H93</f>
        <v>-16084.730000000003</v>
      </c>
      <c r="M93" s="1"/>
      <c r="N93" s="5">
        <f t="shared" ref="N93:N98" si="68">IF(H93=0,0,L93/H93)</f>
        <v>-0.449817329430097</v>
      </c>
      <c r="O93" s="12"/>
      <c r="P93" s="1">
        <f>SUM(OSRRefP22_19x_0)</f>
        <v>420622.05999999994</v>
      </c>
      <c r="Q93" s="1"/>
      <c r="R93" s="5">
        <f t="shared" ref="R93:R98" si="69">IF(P$12=0,0,P93/P$12)</f>
        <v>3.0799260698348537E-2</v>
      </c>
      <c r="S93" s="1"/>
      <c r="T93" s="1">
        <f>SUM(OSRRefT22_19x_0)</f>
        <v>472584.26</v>
      </c>
      <c r="U93" s="1"/>
      <c r="V93" s="5">
        <f t="shared" ref="V93:V98" si="70">IF(T$12=0,0,T93/T$12)</f>
        <v>2.6565283393365221E-2</v>
      </c>
      <c r="W93" s="1"/>
      <c r="X93" s="1">
        <f t="shared" ref="X93:X98" si="71">+P93-T93</f>
        <v>-51962.20000000007</v>
      </c>
      <c r="Y93" s="1"/>
      <c r="Z93" s="5">
        <f t="shared" ref="Z93:Z98" si="72">IF(T93=0,0,X93/T93)</f>
        <v>-0.10995330229576429</v>
      </c>
    </row>
    <row r="94" spans="1:26" s="24" customFormat="1" hidden="1" outlineLevel="2" x14ac:dyDescent="0.35">
      <c r="A94" s="27"/>
      <c r="B94" s="11" t="str">
        <f>CONCATENATE("          ", "6282", " - ", "JANITORIAL/EXTERMINATOR EXPENS")</f>
        <v xml:space="preserve">          6282 - JANITORIAL/EXTERMINATOR EXPENS</v>
      </c>
      <c r="C94" s="11"/>
      <c r="D94" s="7">
        <v>3489.67</v>
      </c>
      <c r="E94" s="2"/>
      <c r="F94" s="6">
        <f t="shared" si="65"/>
        <v>-2.6112677354770599E-2</v>
      </c>
      <c r="G94" s="2"/>
      <c r="H94" s="7"/>
      <c r="I94" s="2"/>
      <c r="J94" s="6">
        <f t="shared" si="66"/>
        <v>0</v>
      </c>
      <c r="K94" s="2"/>
      <c r="L94" s="7">
        <f t="shared" si="67"/>
        <v>3489.67</v>
      </c>
      <c r="M94" s="2"/>
      <c r="N94" s="6">
        <f t="shared" si="68"/>
        <v>0</v>
      </c>
      <c r="O94" s="11"/>
      <c r="P94" s="7">
        <v>34466.239999999998</v>
      </c>
      <c r="Q94" s="2"/>
      <c r="R94" s="6">
        <f t="shared" si="69"/>
        <v>2.5237257195969425E-3</v>
      </c>
      <c r="S94" s="2"/>
      <c r="T94" s="7">
        <v>30764.769999999997</v>
      </c>
      <c r="U94" s="2"/>
      <c r="V94" s="6">
        <f t="shared" si="70"/>
        <v>1.7293737916317833E-3</v>
      </c>
      <c r="W94" s="2"/>
      <c r="X94" s="7">
        <f t="shared" si="71"/>
        <v>3701.4700000000012</v>
      </c>
      <c r="Y94" s="2"/>
      <c r="Z94" s="6">
        <f t="shared" si="72"/>
        <v>0.12031521769868592</v>
      </c>
    </row>
    <row r="95" spans="1:26" s="24" customFormat="1" hidden="1" outlineLevel="2" x14ac:dyDescent="0.35">
      <c r="A95" s="27"/>
      <c r="B95" s="11" t="str">
        <f>CONCATENATE("          ", "6283", " - ", "PLANT SERVICE")</f>
        <v xml:space="preserve">          6283 - PLANT SERVICE</v>
      </c>
      <c r="C95" s="11"/>
      <c r="D95" s="7"/>
      <c r="E95" s="2"/>
      <c r="F95" s="6">
        <f t="shared" si="65"/>
        <v>0</v>
      </c>
      <c r="G95" s="2"/>
      <c r="H95" s="7">
        <v>199.78</v>
      </c>
      <c r="I95" s="2"/>
      <c r="J95" s="6">
        <f t="shared" si="66"/>
        <v>6.2883648724723824E-4</v>
      </c>
      <c r="K95" s="2"/>
      <c r="L95" s="7">
        <f t="shared" si="67"/>
        <v>-199.78</v>
      </c>
      <c r="M95" s="2"/>
      <c r="N95" s="6">
        <f t="shared" si="68"/>
        <v>-1</v>
      </c>
      <c r="O95" s="11"/>
      <c r="P95" s="7">
        <v>1798.02</v>
      </c>
      <c r="Q95" s="2"/>
      <c r="R95" s="6">
        <f t="shared" si="69"/>
        <v>1.3165663902850138E-4</v>
      </c>
      <c r="S95" s="2"/>
      <c r="T95" s="7">
        <v>2135.7800000000002</v>
      </c>
      <c r="U95" s="2"/>
      <c r="V95" s="6">
        <f t="shared" si="70"/>
        <v>1.2005816902552273E-4</v>
      </c>
      <c r="W95" s="2"/>
      <c r="X95" s="7">
        <f t="shared" si="71"/>
        <v>-337.76000000000022</v>
      </c>
      <c r="Y95" s="2"/>
      <c r="Z95" s="6">
        <f t="shared" si="72"/>
        <v>-0.1581436290254615</v>
      </c>
    </row>
    <row r="96" spans="1:26" s="24" customFormat="1" hidden="1" outlineLevel="2" x14ac:dyDescent="0.35">
      <c r="A96" s="27"/>
      <c r="B96" s="11" t="str">
        <f>CONCATENATE("          ", "6284", " - ", "TRASH REMOVAL EXPENSE")</f>
        <v xml:space="preserve">          6284 - TRASH REMOVAL EXPENSE</v>
      </c>
      <c r="C96" s="11"/>
      <c r="D96" s="7">
        <v>5128</v>
      </c>
      <c r="E96" s="2"/>
      <c r="F96" s="6">
        <f t="shared" si="65"/>
        <v>-3.8372055086946223E-2</v>
      </c>
      <c r="G96" s="2"/>
      <c r="H96" s="7">
        <v>4199</v>
      </c>
      <c r="I96" s="2"/>
      <c r="J96" s="6">
        <f t="shared" si="66"/>
        <v>1.3216960706532953E-2</v>
      </c>
      <c r="K96" s="2"/>
      <c r="L96" s="7">
        <f t="shared" si="67"/>
        <v>929</v>
      </c>
      <c r="M96" s="2"/>
      <c r="N96" s="6">
        <f t="shared" si="68"/>
        <v>0.22124315313169801</v>
      </c>
      <c r="O96" s="11"/>
      <c r="P96" s="7">
        <v>53669</v>
      </c>
      <c r="Q96" s="2"/>
      <c r="R96" s="6">
        <f t="shared" si="69"/>
        <v>3.929811770737055E-3</v>
      </c>
      <c r="S96" s="2"/>
      <c r="T96" s="7">
        <v>59177.270000000004</v>
      </c>
      <c r="U96" s="2"/>
      <c r="V96" s="6">
        <f t="shared" si="70"/>
        <v>3.3265199056686529E-3</v>
      </c>
      <c r="W96" s="2"/>
      <c r="X96" s="7">
        <f t="shared" si="71"/>
        <v>-5508.2700000000041</v>
      </c>
      <c r="Y96" s="2"/>
      <c r="Z96" s="6">
        <f t="shared" si="72"/>
        <v>-9.308083999143596E-2</v>
      </c>
    </row>
    <row r="97" spans="1:26" s="24" customFormat="1" hidden="1" outlineLevel="2" x14ac:dyDescent="0.35">
      <c r="A97" s="27"/>
      <c r="B97" s="11" t="str">
        <f>CONCATENATE("          ", "6285", " - ", "JANITORIAL SERVICES")</f>
        <v xml:space="preserve">          6285 - JANITORIAL SERVICES</v>
      </c>
      <c r="C97" s="11"/>
      <c r="D97" s="7">
        <v>10384.39</v>
      </c>
      <c r="E97" s="2"/>
      <c r="F97" s="6">
        <f t="shared" si="65"/>
        <v>-7.7704833292576728E-2</v>
      </c>
      <c r="G97" s="2"/>
      <c r="H97" s="7">
        <v>26132.47</v>
      </c>
      <c r="I97" s="2"/>
      <c r="J97" s="6">
        <f t="shared" si="66"/>
        <v>8.2255734497416341E-2</v>
      </c>
      <c r="K97" s="2"/>
      <c r="L97" s="7">
        <f t="shared" si="67"/>
        <v>-15748.080000000002</v>
      </c>
      <c r="M97" s="2"/>
      <c r="N97" s="6">
        <f t="shared" si="68"/>
        <v>-0.60262501018847436</v>
      </c>
      <c r="O97" s="11"/>
      <c r="P97" s="7">
        <v>261468.62999999998</v>
      </c>
      <c r="Q97" s="2"/>
      <c r="R97" s="6">
        <f t="shared" si="69"/>
        <v>1.9145549569630362E-2</v>
      </c>
      <c r="S97" s="2"/>
      <c r="T97" s="7">
        <v>291189.24</v>
      </c>
      <c r="U97" s="2"/>
      <c r="V97" s="6">
        <f t="shared" si="70"/>
        <v>1.6368561834240184E-2</v>
      </c>
      <c r="W97" s="2"/>
      <c r="X97" s="7">
        <f t="shared" si="71"/>
        <v>-29720.610000000015</v>
      </c>
      <c r="Y97" s="2"/>
      <c r="Z97" s="6">
        <f t="shared" si="72"/>
        <v>-0.10206630574673713</v>
      </c>
    </row>
    <row r="98" spans="1:26" s="24" customFormat="1" hidden="1" outlineLevel="2" x14ac:dyDescent="0.35">
      <c r="A98" s="27"/>
      <c r="B98" s="11" t="str">
        <f>CONCATENATE("          ", "6286", " - ", "LAUNDRY EXPENSE")</f>
        <v xml:space="preserve">          6286 - LAUNDRY EXPENSE</v>
      </c>
      <c r="C98" s="11"/>
      <c r="D98" s="7">
        <v>671.57</v>
      </c>
      <c r="E98" s="2"/>
      <c r="F98" s="6">
        <f t="shared" si="65"/>
        <v>-5.0252576120788763E-3</v>
      </c>
      <c r="G98" s="2"/>
      <c r="H98" s="7">
        <v>5227.1099999999997</v>
      </c>
      <c r="I98" s="2"/>
      <c r="J98" s="6">
        <f t="shared" si="66"/>
        <v>1.6453085848708134E-2</v>
      </c>
      <c r="K98" s="2"/>
      <c r="L98" s="7">
        <f t="shared" si="67"/>
        <v>-4555.54</v>
      </c>
      <c r="M98" s="2"/>
      <c r="N98" s="6">
        <f t="shared" si="68"/>
        <v>-0.87152173954632683</v>
      </c>
      <c r="O98" s="11"/>
      <c r="P98" s="7">
        <v>69220.17</v>
      </c>
      <c r="Q98" s="2"/>
      <c r="R98" s="6">
        <f t="shared" si="69"/>
        <v>5.0685169993556801E-3</v>
      </c>
      <c r="S98" s="2"/>
      <c r="T98" s="7">
        <v>89317.2</v>
      </c>
      <c r="U98" s="2"/>
      <c r="V98" s="6">
        <f t="shared" si="70"/>
        <v>5.020769692799079E-3</v>
      </c>
      <c r="W98" s="2"/>
      <c r="X98" s="7">
        <f t="shared" si="71"/>
        <v>-20097.03</v>
      </c>
      <c r="Y98" s="2"/>
      <c r="Z98" s="6">
        <f t="shared" si="72"/>
        <v>-0.22500738939420403</v>
      </c>
    </row>
    <row r="99" spans="1:26" s="25" customFormat="1" outlineLevel="1" collapsed="1" x14ac:dyDescent="0.35">
      <c r="A99" s="26"/>
      <c r="B99" s="12" t="str">
        <f>CONCATENATE("     ","Subscriptions &amp; Dues                              ")</f>
        <v xml:space="preserve">     Subscriptions &amp; Dues                              </v>
      </c>
      <c r="C99" s="12"/>
      <c r="D99" s="1">
        <f>SUM(OSRRefD22_20x_0)</f>
        <v>0</v>
      </c>
      <c r="E99" s="1"/>
      <c r="F99" s="5">
        <f t="shared" ref="F99:F101" si="73">IF(D$12=0,0,D99/D$12)</f>
        <v>0</v>
      </c>
      <c r="G99" s="1"/>
      <c r="H99" s="1">
        <f>SUM(OSRRefH22_20x_0)</f>
        <v>2465.4899999999998</v>
      </c>
      <c r="I99" s="1"/>
      <c r="J99" s="5">
        <f t="shared" ref="J99:J101" si="74">IF(H$12=0,0,H99/H$12)</f>
        <v>7.7604868902952911E-3</v>
      </c>
      <c r="K99" s="1"/>
      <c r="L99" s="1">
        <f t="shared" ref="L99:L101" si="75">+D99-H99</f>
        <v>-2465.4899999999998</v>
      </c>
      <c r="M99" s="1"/>
      <c r="N99" s="5">
        <f t="shared" ref="N99:N101" si="76">IF(H99=0,0,L99/H99)</f>
        <v>-1</v>
      </c>
      <c r="O99" s="12"/>
      <c r="P99" s="1">
        <f>SUM(OSRRefP22_20x_0)</f>
        <v>7300.55</v>
      </c>
      <c r="Q99" s="1"/>
      <c r="R99" s="5">
        <f t="shared" ref="R99:R101" si="77">IF(P$12=0,0,P99/P$12)</f>
        <v>5.3456906823034546E-4</v>
      </c>
      <c r="S99" s="1"/>
      <c r="T99" s="1">
        <f>SUM(OSRRefT22_20x_0)</f>
        <v>7666.05</v>
      </c>
      <c r="U99" s="1"/>
      <c r="V99" s="5">
        <f t="shared" ref="V99:V101" si="78">IF(T$12=0,0,T99/T$12)</f>
        <v>4.3093011764231727E-4</v>
      </c>
      <c r="W99" s="1"/>
      <c r="X99" s="1">
        <f t="shared" ref="X99:X101" si="79">+P99-T99</f>
        <v>-365.5</v>
      </c>
      <c r="Y99" s="1"/>
      <c r="Z99" s="5">
        <f t="shared" ref="Z99:Z101" si="80">IF(T99=0,0,X99/T99)</f>
        <v>-4.7677747992773328E-2</v>
      </c>
    </row>
    <row r="100" spans="1:26" s="24" customFormat="1" hidden="1" outlineLevel="2" x14ac:dyDescent="0.35">
      <c r="A100" s="27"/>
      <c r="B100" s="11" t="str">
        <f>CONCATENATE("          ", "6258", " - ", "MEMBERSHIP DUES")</f>
        <v xml:space="preserve">          6258 - MEMBERSHIP DUES</v>
      </c>
      <c r="C100" s="11"/>
      <c r="D100" s="7"/>
      <c r="E100" s="2"/>
      <c r="F100" s="6">
        <f t="shared" si="73"/>
        <v>0</v>
      </c>
      <c r="G100" s="2"/>
      <c r="H100" s="7"/>
      <c r="I100" s="2"/>
      <c r="J100" s="6">
        <f t="shared" si="74"/>
        <v>0</v>
      </c>
      <c r="K100" s="2"/>
      <c r="L100" s="7">
        <f t="shared" si="75"/>
        <v>0</v>
      </c>
      <c r="M100" s="2"/>
      <c r="N100" s="6">
        <f t="shared" si="76"/>
        <v>0</v>
      </c>
      <c r="O100" s="11"/>
      <c r="P100" s="7">
        <v>3730</v>
      </c>
      <c r="Q100" s="2"/>
      <c r="R100" s="6">
        <f t="shared" si="77"/>
        <v>2.7312224757027737E-4</v>
      </c>
      <c r="S100" s="2"/>
      <c r="T100" s="7"/>
      <c r="U100" s="2"/>
      <c r="V100" s="6">
        <f t="shared" si="78"/>
        <v>0</v>
      </c>
      <c r="W100" s="2"/>
      <c r="X100" s="7">
        <f t="shared" si="79"/>
        <v>3730</v>
      </c>
      <c r="Y100" s="2"/>
      <c r="Z100" s="6">
        <f t="shared" si="80"/>
        <v>0</v>
      </c>
    </row>
    <row r="101" spans="1:26" s="24" customFormat="1" hidden="1" outlineLevel="2" x14ac:dyDescent="0.35">
      <c r="A101" s="27"/>
      <c r="B101" s="11" t="str">
        <f>CONCATENATE("          ", "6275", " - ", "SUBSCRIPTIONS")</f>
        <v xml:space="preserve">          6275 - SUBSCRIPTIONS</v>
      </c>
      <c r="C101" s="11"/>
      <c r="D101" s="7"/>
      <c r="E101" s="2"/>
      <c r="F101" s="6">
        <f t="shared" si="73"/>
        <v>0</v>
      </c>
      <c r="G101" s="2"/>
      <c r="H101" s="7">
        <v>2465.4899999999998</v>
      </c>
      <c r="I101" s="2"/>
      <c r="J101" s="6">
        <f t="shared" si="74"/>
        <v>7.7604868902952911E-3</v>
      </c>
      <c r="K101" s="2"/>
      <c r="L101" s="7">
        <f t="shared" si="75"/>
        <v>-2465.4899999999998</v>
      </c>
      <c r="M101" s="2"/>
      <c r="N101" s="6">
        <f t="shared" si="76"/>
        <v>-1</v>
      </c>
      <c r="O101" s="11"/>
      <c r="P101" s="7">
        <v>3570.55</v>
      </c>
      <c r="Q101" s="2"/>
      <c r="R101" s="6">
        <f t="shared" si="77"/>
        <v>2.6144682066006809E-4</v>
      </c>
      <c r="S101" s="2"/>
      <c r="T101" s="7">
        <v>7666.05</v>
      </c>
      <c r="U101" s="2"/>
      <c r="V101" s="6">
        <f t="shared" si="78"/>
        <v>4.3093011764231727E-4</v>
      </c>
      <c r="W101" s="2"/>
      <c r="X101" s="7">
        <f t="shared" si="79"/>
        <v>-4095.5</v>
      </c>
      <c r="Y101" s="2"/>
      <c r="Z101" s="6">
        <f t="shared" si="80"/>
        <v>-0.53423862354145879</v>
      </c>
    </row>
    <row r="102" spans="1:26" s="25" customFormat="1" outlineLevel="1" collapsed="1" x14ac:dyDescent="0.35">
      <c r="A102" s="26"/>
      <c r="B102" s="12" t="str">
        <f>CONCATENATE("     ","Supplies                                          ")</f>
        <v xml:space="preserve">     Supplies                                          </v>
      </c>
      <c r="C102" s="12"/>
      <c r="D102" s="1">
        <f>SUM(OSRRefD22_21x_0)</f>
        <v>4729.87</v>
      </c>
      <c r="E102" s="1"/>
      <c r="F102" s="5">
        <f t="shared" ref="F102:F112" si="81">IF(D$12=0,0,D102/D$12)</f>
        <v>-3.5392907994168159E-2</v>
      </c>
      <c r="G102" s="1"/>
      <c r="H102" s="1">
        <f>SUM(OSRRefH22_21x_0)</f>
        <v>33657.700000000012</v>
      </c>
      <c r="I102" s="1"/>
      <c r="J102" s="5">
        <f t="shared" ref="J102:J112" si="82">IF(H$12=0,0,H102/H$12)</f>
        <v>0.10594248591861737</v>
      </c>
      <c r="K102" s="1"/>
      <c r="L102" s="1">
        <f t="shared" ref="L102:L112" si="83">+D102-H102</f>
        <v>-28927.830000000013</v>
      </c>
      <c r="M102" s="1"/>
      <c r="N102" s="5">
        <f t="shared" ref="N102:N112" si="84">IF(H102=0,0,L102/H102)</f>
        <v>-0.85947138396265943</v>
      </c>
      <c r="O102" s="12"/>
      <c r="P102" s="1">
        <f>SUM(OSRRefP22_21x_0)</f>
        <v>366108.98000000004</v>
      </c>
      <c r="Q102" s="1"/>
      <c r="R102" s="5">
        <f t="shared" ref="R102:R112" si="85">IF(P$12=0,0,P102/P$12)</f>
        <v>2.6807642754225668E-2</v>
      </c>
      <c r="S102" s="1"/>
      <c r="T102" s="1">
        <f>SUM(OSRRefT22_21x_0)</f>
        <v>469501.19</v>
      </c>
      <c r="U102" s="1"/>
      <c r="V102" s="5">
        <f t="shared" ref="V102:V112" si="86">IF(T$12=0,0,T102/T$12)</f>
        <v>2.639197540322695E-2</v>
      </c>
      <c r="W102" s="1"/>
      <c r="X102" s="1">
        <f t="shared" ref="X102:X112" si="87">+P102-T102</f>
        <v>-103392.20999999996</v>
      </c>
      <c r="Y102" s="1"/>
      <c r="Z102" s="5">
        <f t="shared" ref="Z102:Z112" si="88">IF(T102=0,0,X102/T102)</f>
        <v>-0.22021714151565827</v>
      </c>
    </row>
    <row r="103" spans="1:26" s="24" customFormat="1" hidden="1" outlineLevel="2" x14ac:dyDescent="0.35">
      <c r="A103" s="27"/>
      <c r="B103" s="11" t="str">
        <f>CONCATENATE("          ", "6234", " - ", "EXPENDABLE SUPPLIES &amp; EQUIPMEN")</f>
        <v xml:space="preserve">          6234 - EXPENDABLE SUPPLIES &amp; EQUIPMEN</v>
      </c>
      <c r="C103" s="11"/>
      <c r="D103" s="7">
        <v>1048.8</v>
      </c>
      <c r="E103" s="2"/>
      <c r="F103" s="6">
        <f t="shared" si="81"/>
        <v>-7.8480131386874409E-3</v>
      </c>
      <c r="G103" s="2"/>
      <c r="H103" s="7">
        <v>523.54</v>
      </c>
      <c r="I103" s="2"/>
      <c r="J103" s="6">
        <f t="shared" si="82"/>
        <v>1.6479179824477881E-3</v>
      </c>
      <c r="K103" s="2"/>
      <c r="L103" s="7">
        <f t="shared" si="83"/>
        <v>525.26</v>
      </c>
      <c r="M103" s="2"/>
      <c r="N103" s="6">
        <f t="shared" si="84"/>
        <v>1.003285326813615</v>
      </c>
      <c r="O103" s="11"/>
      <c r="P103" s="7">
        <v>15853.630000000001</v>
      </c>
      <c r="Q103" s="2"/>
      <c r="R103" s="6">
        <f t="shared" si="85"/>
        <v>1.1608522943022993E-3</v>
      </c>
      <c r="S103" s="2"/>
      <c r="T103" s="7">
        <v>8497.73</v>
      </c>
      <c r="U103" s="2"/>
      <c r="V103" s="6">
        <f t="shared" si="86"/>
        <v>4.7768117721546933E-4</v>
      </c>
      <c r="W103" s="2"/>
      <c r="X103" s="7">
        <f t="shared" si="87"/>
        <v>7355.9000000000015</v>
      </c>
      <c r="Y103" s="2"/>
      <c r="Z103" s="6">
        <f t="shared" si="88"/>
        <v>0.86563117444305737</v>
      </c>
    </row>
    <row r="104" spans="1:26" s="24" customFormat="1" hidden="1" outlineLevel="2" x14ac:dyDescent="0.35">
      <c r="A104" s="27"/>
      <c r="B104" s="11" t="str">
        <f>CONCATENATE("          ", "6235", " - ", "COVID-19 EXPENSES")</f>
        <v xml:space="preserve">          6235 - COVID-19 EXPENSES</v>
      </c>
      <c r="C104" s="11"/>
      <c r="D104" s="7">
        <v>29.77</v>
      </c>
      <c r="E104" s="2"/>
      <c r="F104" s="6">
        <f t="shared" si="81"/>
        <v>-2.2276444616583249E-4</v>
      </c>
      <c r="G104" s="2"/>
      <c r="H104" s="7"/>
      <c r="I104" s="2"/>
      <c r="J104" s="6">
        <f t="shared" si="82"/>
        <v>0</v>
      </c>
      <c r="K104" s="2"/>
      <c r="L104" s="7">
        <f t="shared" si="83"/>
        <v>29.77</v>
      </c>
      <c r="M104" s="2"/>
      <c r="N104" s="6">
        <f t="shared" si="84"/>
        <v>0</v>
      </c>
      <c r="O104" s="11"/>
      <c r="P104" s="7">
        <v>1980.88</v>
      </c>
      <c r="Q104" s="2"/>
      <c r="R104" s="6">
        <f t="shared" si="85"/>
        <v>1.4504621924048554E-4</v>
      </c>
      <c r="S104" s="2"/>
      <c r="T104" s="7"/>
      <c r="U104" s="2"/>
      <c r="V104" s="6">
        <f t="shared" si="86"/>
        <v>0</v>
      </c>
      <c r="W104" s="2"/>
      <c r="X104" s="7">
        <f t="shared" si="87"/>
        <v>1980.88</v>
      </c>
      <c r="Y104" s="2"/>
      <c r="Z104" s="6">
        <f t="shared" si="88"/>
        <v>0</v>
      </c>
    </row>
    <row r="105" spans="1:26" s="24" customFormat="1" hidden="1" outlineLevel="2" x14ac:dyDescent="0.35">
      <c r="A105" s="27"/>
      <c r="B105" s="11" t="str">
        <f>CONCATENATE("          ", "6237", " - ", "JANITORIAL SUPPLIES")</f>
        <v xml:space="preserve">          6237 - JANITORIAL SUPPLIES</v>
      </c>
      <c r="C105" s="11"/>
      <c r="D105" s="7">
        <v>2339.62</v>
      </c>
      <c r="E105" s="2"/>
      <c r="F105" s="6">
        <f t="shared" si="81"/>
        <v>-1.7507025647917535E-2</v>
      </c>
      <c r="G105" s="2"/>
      <c r="H105" s="7">
        <v>9553.16</v>
      </c>
      <c r="I105" s="2"/>
      <c r="J105" s="6">
        <f t="shared" si="82"/>
        <v>3.006995483287029E-2</v>
      </c>
      <c r="K105" s="2"/>
      <c r="L105" s="7">
        <f t="shared" si="83"/>
        <v>-7213.54</v>
      </c>
      <c r="M105" s="2"/>
      <c r="N105" s="6">
        <f t="shared" si="84"/>
        <v>-0.75509464930975723</v>
      </c>
      <c r="O105" s="11"/>
      <c r="P105" s="7">
        <v>125027.55</v>
      </c>
      <c r="Q105" s="2"/>
      <c r="R105" s="6">
        <f t="shared" si="85"/>
        <v>9.1549076311542178E-3</v>
      </c>
      <c r="S105" s="2"/>
      <c r="T105" s="7">
        <v>159217.12</v>
      </c>
      <c r="U105" s="2"/>
      <c r="V105" s="6">
        <f t="shared" si="86"/>
        <v>8.9500397534937742E-3</v>
      </c>
      <c r="W105" s="2"/>
      <c r="X105" s="7">
        <f t="shared" si="87"/>
        <v>-34189.569999999992</v>
      </c>
      <c r="Y105" s="2"/>
      <c r="Z105" s="6">
        <f t="shared" si="88"/>
        <v>-0.21473551336690422</v>
      </c>
    </row>
    <row r="106" spans="1:26" s="24" customFormat="1" hidden="1" outlineLevel="2" x14ac:dyDescent="0.35">
      <c r="A106" s="27"/>
      <c r="B106" s="11" t="str">
        <f>CONCATENATE("          ", "6239", " - ", "KITCHEN SUPPLIES")</f>
        <v xml:space="preserve">          6239 - KITCHEN SUPPLIES</v>
      </c>
      <c r="C106" s="11"/>
      <c r="D106" s="7">
        <v>349.26</v>
      </c>
      <c r="E106" s="2"/>
      <c r="F106" s="6">
        <f t="shared" si="81"/>
        <v>-2.6134602105434552E-3</v>
      </c>
      <c r="G106" s="2"/>
      <c r="H106" s="7">
        <v>13751.03</v>
      </c>
      <c r="I106" s="2"/>
      <c r="J106" s="6">
        <f t="shared" si="82"/>
        <v>4.3283358700727755E-2</v>
      </c>
      <c r="K106" s="2"/>
      <c r="L106" s="7">
        <f t="shared" si="83"/>
        <v>-13401.77</v>
      </c>
      <c r="M106" s="2"/>
      <c r="N106" s="6">
        <f t="shared" si="84"/>
        <v>-0.9746011753301389</v>
      </c>
      <c r="O106" s="11"/>
      <c r="P106" s="7">
        <v>72723.39</v>
      </c>
      <c r="Q106" s="2"/>
      <c r="R106" s="6">
        <f t="shared" si="85"/>
        <v>5.3250337071661753E-3</v>
      </c>
      <c r="S106" s="2"/>
      <c r="T106" s="7">
        <v>99819.8</v>
      </c>
      <c r="U106" s="2"/>
      <c r="V106" s="6">
        <f t="shared" si="86"/>
        <v>5.6111502216959954E-3</v>
      </c>
      <c r="W106" s="2"/>
      <c r="X106" s="7">
        <f t="shared" si="87"/>
        <v>-27096.410000000003</v>
      </c>
      <c r="Y106" s="2"/>
      <c r="Z106" s="6">
        <f t="shared" si="88"/>
        <v>-0.27145325877230775</v>
      </c>
    </row>
    <row r="107" spans="1:26" s="24" customFormat="1" hidden="1" outlineLevel="2" x14ac:dyDescent="0.35">
      <c r="A107" s="27"/>
      <c r="B107" s="11" t="str">
        <f>CONCATENATE("          ", "6241", " - ", "OFFICE EXPENSE")</f>
        <v xml:space="preserve">          6241 - OFFICE EXPENSE</v>
      </c>
      <c r="C107" s="11"/>
      <c r="D107" s="7">
        <v>102.56</v>
      </c>
      <c r="E107" s="2"/>
      <c r="F107" s="6">
        <f t="shared" si="81"/>
        <v>-7.6744110173892447E-4</v>
      </c>
      <c r="G107" s="2"/>
      <c r="H107" s="7">
        <v>4744.96</v>
      </c>
      <c r="I107" s="2"/>
      <c r="J107" s="6">
        <f t="shared" si="82"/>
        <v>1.4935448886418339E-2</v>
      </c>
      <c r="K107" s="2"/>
      <c r="L107" s="7">
        <f t="shared" si="83"/>
        <v>-4642.3999999999996</v>
      </c>
      <c r="M107" s="2"/>
      <c r="N107" s="6">
        <f t="shared" si="84"/>
        <v>-0.97838548691664406</v>
      </c>
      <c r="O107" s="11"/>
      <c r="P107" s="7">
        <v>46419.689999999995</v>
      </c>
      <c r="Q107" s="2"/>
      <c r="R107" s="6">
        <f t="shared" si="85"/>
        <v>3.3989946553124738E-3</v>
      </c>
      <c r="S107" s="2"/>
      <c r="T107" s="7">
        <v>45111.39</v>
      </c>
      <c r="U107" s="2"/>
      <c r="V107" s="6">
        <f t="shared" si="86"/>
        <v>2.5358374390603315E-3</v>
      </c>
      <c r="W107" s="2"/>
      <c r="X107" s="7">
        <f t="shared" si="87"/>
        <v>1308.2999999999956</v>
      </c>
      <c r="Y107" s="2"/>
      <c r="Z107" s="6">
        <f t="shared" si="88"/>
        <v>2.9001544842666024E-2</v>
      </c>
    </row>
    <row r="108" spans="1:26" s="24" customFormat="1" hidden="1" outlineLevel="2" x14ac:dyDescent="0.35">
      <c r="A108" s="27"/>
      <c r="B108" s="11" t="str">
        <f>CONCATENATE("          ", "6243", " - ", "PAPER SUPPLIES")</f>
        <v xml:space="preserve">          6243 - PAPER SUPPLIES</v>
      </c>
      <c r="C108" s="11"/>
      <c r="D108" s="7">
        <v>859.86</v>
      </c>
      <c r="E108" s="2"/>
      <c r="F108" s="6">
        <f t="shared" si="81"/>
        <v>-6.434203449114973E-3</v>
      </c>
      <c r="G108" s="2"/>
      <c r="H108" s="7">
        <v>4427.0200000000004</v>
      </c>
      <c r="I108" s="2"/>
      <c r="J108" s="6">
        <f t="shared" si="82"/>
        <v>1.3934686684218985E-2</v>
      </c>
      <c r="K108" s="2"/>
      <c r="L108" s="7">
        <f t="shared" si="83"/>
        <v>-3567.1600000000003</v>
      </c>
      <c r="M108" s="2"/>
      <c r="N108" s="6">
        <f t="shared" si="84"/>
        <v>-0.80577002136877629</v>
      </c>
      <c r="O108" s="11"/>
      <c r="P108" s="7">
        <v>89968.26</v>
      </c>
      <c r="Q108" s="2"/>
      <c r="R108" s="6">
        <f t="shared" si="85"/>
        <v>6.5877569386560541E-3</v>
      </c>
      <c r="S108" s="2"/>
      <c r="T108" s="7">
        <v>125204.93</v>
      </c>
      <c r="U108" s="2"/>
      <c r="V108" s="6">
        <f t="shared" si="86"/>
        <v>7.0381193984252769E-3</v>
      </c>
      <c r="W108" s="2"/>
      <c r="X108" s="7">
        <f t="shared" si="87"/>
        <v>-35236.67</v>
      </c>
      <c r="Y108" s="2"/>
      <c r="Z108" s="6">
        <f t="shared" si="88"/>
        <v>-0.28143196917245988</v>
      </c>
    </row>
    <row r="109" spans="1:26" s="24" customFormat="1" hidden="1" outlineLevel="2" x14ac:dyDescent="0.35">
      <c r="A109" s="27"/>
      <c r="B109" s="11" t="str">
        <f>CONCATENATE("          ", "6245", " - ", "PRINTING")</f>
        <v xml:space="preserve">          6245 - PRINTING</v>
      </c>
      <c r="C109" s="11"/>
      <c r="D109" s="7"/>
      <c r="E109" s="2"/>
      <c r="F109" s="6">
        <f t="shared" si="81"/>
        <v>0</v>
      </c>
      <c r="G109" s="2"/>
      <c r="H109" s="7">
        <v>470.12</v>
      </c>
      <c r="I109" s="2"/>
      <c r="J109" s="6">
        <f t="shared" si="82"/>
        <v>1.4797707947976357E-3</v>
      </c>
      <c r="K109" s="2"/>
      <c r="L109" s="7">
        <f t="shared" si="83"/>
        <v>-470.12</v>
      </c>
      <c r="M109" s="2"/>
      <c r="N109" s="6">
        <f t="shared" si="84"/>
        <v>-1</v>
      </c>
      <c r="O109" s="11"/>
      <c r="P109" s="7">
        <v>1882.72</v>
      </c>
      <c r="Q109" s="2"/>
      <c r="R109" s="6">
        <f t="shared" si="85"/>
        <v>1.3785863751890418E-4</v>
      </c>
      <c r="S109" s="2"/>
      <c r="T109" s="7">
        <v>2769.79</v>
      </c>
      <c r="U109" s="2"/>
      <c r="V109" s="6">
        <f t="shared" si="86"/>
        <v>1.5569764488159013E-4</v>
      </c>
      <c r="W109" s="2"/>
      <c r="X109" s="7">
        <f t="shared" si="87"/>
        <v>-887.06999999999994</v>
      </c>
      <c r="Y109" s="2"/>
      <c r="Z109" s="6">
        <f t="shared" si="88"/>
        <v>-0.32026615736211045</v>
      </c>
    </row>
    <row r="110" spans="1:26" s="24" customFormat="1" hidden="1" outlineLevel="2" x14ac:dyDescent="0.35">
      <c r="A110" s="27"/>
      <c r="B110" s="11" t="str">
        <f>CONCATENATE("          ", "6246", " - ", "REPLACEMENTS")</f>
        <v xml:space="preserve">          6246 - REPLACEMENTS</v>
      </c>
      <c r="C110" s="11"/>
      <c r="D110" s="7"/>
      <c r="E110" s="2"/>
      <c r="F110" s="6">
        <f t="shared" si="81"/>
        <v>0</v>
      </c>
      <c r="G110" s="2"/>
      <c r="H110" s="7"/>
      <c r="I110" s="2"/>
      <c r="J110" s="6">
        <f t="shared" si="82"/>
        <v>0</v>
      </c>
      <c r="K110" s="2"/>
      <c r="L110" s="7">
        <f t="shared" si="83"/>
        <v>0</v>
      </c>
      <c r="M110" s="2"/>
      <c r="N110" s="6">
        <f t="shared" si="84"/>
        <v>0</v>
      </c>
      <c r="O110" s="11"/>
      <c r="P110" s="7">
        <v>25.87</v>
      </c>
      <c r="Q110" s="2"/>
      <c r="R110" s="6">
        <f t="shared" si="85"/>
        <v>1.8942821835504224E-6</v>
      </c>
      <c r="S110" s="2"/>
      <c r="T110" s="7"/>
      <c r="U110" s="2"/>
      <c r="V110" s="6">
        <f t="shared" si="86"/>
        <v>0</v>
      </c>
      <c r="W110" s="2"/>
      <c r="X110" s="7">
        <f t="shared" si="87"/>
        <v>25.87</v>
      </c>
      <c r="Y110" s="2"/>
      <c r="Z110" s="6">
        <f t="shared" si="88"/>
        <v>0</v>
      </c>
    </row>
    <row r="111" spans="1:26" s="24" customFormat="1" hidden="1" outlineLevel="2" x14ac:dyDescent="0.35">
      <c r="A111" s="27"/>
      <c r="B111" s="11" t="str">
        <f>CONCATENATE("          ", "6247", " - ", "STORE SUPPLIES")</f>
        <v xml:space="preserve">          6247 - STORE SUPPLIES</v>
      </c>
      <c r="C111" s="11"/>
      <c r="D111" s="7"/>
      <c r="E111" s="2"/>
      <c r="F111" s="6">
        <f t="shared" si="81"/>
        <v>0</v>
      </c>
      <c r="G111" s="2"/>
      <c r="H111" s="7">
        <v>187.87</v>
      </c>
      <c r="I111" s="2"/>
      <c r="J111" s="6">
        <f t="shared" si="82"/>
        <v>5.9134803713654352E-4</v>
      </c>
      <c r="K111" s="2"/>
      <c r="L111" s="7">
        <f t="shared" si="83"/>
        <v>-187.87</v>
      </c>
      <c r="M111" s="2"/>
      <c r="N111" s="6">
        <f t="shared" si="84"/>
        <v>-1</v>
      </c>
      <c r="O111" s="11"/>
      <c r="P111" s="7">
        <v>7629.9</v>
      </c>
      <c r="Q111" s="2"/>
      <c r="R111" s="6">
        <f t="shared" si="85"/>
        <v>5.5868510368269682E-4</v>
      </c>
      <c r="S111" s="2"/>
      <c r="T111" s="7">
        <v>8612.26</v>
      </c>
      <c r="U111" s="2"/>
      <c r="V111" s="6">
        <f t="shared" si="86"/>
        <v>4.8411922893357379E-4</v>
      </c>
      <c r="W111" s="2"/>
      <c r="X111" s="7">
        <f t="shared" si="87"/>
        <v>-982.36000000000058</v>
      </c>
      <c r="Y111" s="2"/>
      <c r="Z111" s="6">
        <f t="shared" si="88"/>
        <v>-0.11406529761061562</v>
      </c>
    </row>
    <row r="112" spans="1:26" s="24" customFormat="1" hidden="1" outlineLevel="2" x14ac:dyDescent="0.35">
      <c r="A112" s="27"/>
      <c r="B112" s="11" t="str">
        <f>CONCATENATE("          ", "6248", " - ", "UNIFORMS")</f>
        <v xml:space="preserve">          6248 - UNIFORMS</v>
      </c>
      <c r="C112" s="11"/>
      <c r="D112" s="7"/>
      <c r="E112" s="2"/>
      <c r="F112" s="6">
        <f t="shared" si="81"/>
        <v>0</v>
      </c>
      <c r="G112" s="2"/>
      <c r="H112" s="7"/>
      <c r="I112" s="2"/>
      <c r="J112" s="6">
        <f t="shared" si="82"/>
        <v>0</v>
      </c>
      <c r="K112" s="2"/>
      <c r="L112" s="7">
        <f t="shared" si="83"/>
        <v>0</v>
      </c>
      <c r="M112" s="2"/>
      <c r="N112" s="6">
        <f t="shared" si="84"/>
        <v>0</v>
      </c>
      <c r="O112" s="11"/>
      <c r="P112" s="7">
        <v>4597.09</v>
      </c>
      <c r="Q112" s="2"/>
      <c r="R112" s="6">
        <f t="shared" si="85"/>
        <v>3.3661328500880604E-4</v>
      </c>
      <c r="S112" s="2"/>
      <c r="T112" s="7">
        <v>20268.169999999998</v>
      </c>
      <c r="U112" s="2"/>
      <c r="V112" s="6">
        <f t="shared" si="86"/>
        <v>1.1393305395209377E-3</v>
      </c>
      <c r="W112" s="2"/>
      <c r="X112" s="7">
        <f t="shared" si="87"/>
        <v>-15671.079999999998</v>
      </c>
      <c r="Y112" s="2"/>
      <c r="Z112" s="6">
        <f t="shared" si="88"/>
        <v>-0.7731867257872812</v>
      </c>
    </row>
    <row r="113" spans="1:26" s="25" customFormat="1" outlineLevel="1" collapsed="1" x14ac:dyDescent="0.35">
      <c r="A113" s="26"/>
      <c r="B113" s="12" t="str">
        <f>CONCATENATE("     ","Telephone/Data Lines                              ")</f>
        <v xml:space="preserve">     Telephone/Data Lines                              </v>
      </c>
      <c r="C113" s="12"/>
      <c r="D113" s="1">
        <f>SUM(OSRRefD22_22x_0)</f>
        <v>690.62</v>
      </c>
      <c r="E113" s="1"/>
      <c r="F113" s="5">
        <f t="shared" ref="F113:F120" si="89">IF(D$12=0,0,D113/D$12)</f>
        <v>-5.1678059056448518E-3</v>
      </c>
      <c r="G113" s="1"/>
      <c r="H113" s="1">
        <f>SUM(OSRRefH22_22x_0)</f>
        <v>3647.84</v>
      </c>
      <c r="I113" s="1"/>
      <c r="J113" s="5">
        <f t="shared" ref="J113:J120" si="90">IF(H$12=0,0,H113/H$12)</f>
        <v>1.1482104773450625E-2</v>
      </c>
      <c r="K113" s="1"/>
      <c r="L113" s="1">
        <f t="shared" ref="L113:L120" si="91">+D113-H113</f>
        <v>-2957.2200000000003</v>
      </c>
      <c r="M113" s="1"/>
      <c r="N113" s="5">
        <f t="shared" ref="N113:N120" si="92">IF(H113=0,0,L113/H113)</f>
        <v>-0.81067700337734117</v>
      </c>
      <c r="O113" s="12"/>
      <c r="P113" s="1">
        <f>SUM(OSRRefP22_22x_0)</f>
        <v>28396.59</v>
      </c>
      <c r="Q113" s="1"/>
      <c r="R113" s="5">
        <f t="shared" ref="R113:R120" si="93">IF(P$12=0,0,P113/P$12)</f>
        <v>2.0792869930647889E-3</v>
      </c>
      <c r="S113" s="1"/>
      <c r="T113" s="1">
        <f>SUM(OSRRefT22_22x_0)</f>
        <v>32688.48</v>
      </c>
      <c r="U113" s="1"/>
      <c r="V113" s="5">
        <f t="shared" ref="V113:V120" si="94">IF(T$12=0,0,T113/T$12)</f>
        <v>1.8375109126536528E-3</v>
      </c>
      <c r="W113" s="1"/>
      <c r="X113" s="1">
        <f t="shared" ref="X113:X120" si="95">+P113-T113</f>
        <v>-4291.8899999999994</v>
      </c>
      <c r="Y113" s="1"/>
      <c r="Z113" s="5">
        <f t="shared" ref="Z113:Z120" si="96">IF(T113=0,0,X113/T113)</f>
        <v>-0.13129671370464455</v>
      </c>
    </row>
    <row r="114" spans="1:26" s="24" customFormat="1" hidden="1" outlineLevel="2" x14ac:dyDescent="0.35">
      <c r="A114" s="27"/>
      <c r="B114" s="11" t="str">
        <f>CONCATENATE("          ", "6309", " - ", "TELEPHONE")</f>
        <v xml:space="preserve">          6309 - TELEPHONE</v>
      </c>
      <c r="C114" s="11"/>
      <c r="D114" s="7">
        <v>690.62</v>
      </c>
      <c r="E114" s="2"/>
      <c r="F114" s="6">
        <f t="shared" si="89"/>
        <v>-5.1678059056448518E-3</v>
      </c>
      <c r="G114" s="2"/>
      <c r="H114" s="7">
        <v>3647.84</v>
      </c>
      <c r="I114" s="2"/>
      <c r="J114" s="6">
        <f t="shared" si="90"/>
        <v>1.1482104773450625E-2</v>
      </c>
      <c r="K114" s="2"/>
      <c r="L114" s="7">
        <f t="shared" si="91"/>
        <v>-2957.2200000000003</v>
      </c>
      <c r="M114" s="2"/>
      <c r="N114" s="6">
        <f t="shared" si="92"/>
        <v>-0.81067700337734117</v>
      </c>
      <c r="O114" s="11"/>
      <c r="P114" s="7">
        <v>28396.59</v>
      </c>
      <c r="Q114" s="2"/>
      <c r="R114" s="6">
        <f t="shared" si="93"/>
        <v>2.0792869930647889E-3</v>
      </c>
      <c r="S114" s="2"/>
      <c r="T114" s="7">
        <v>32688.48</v>
      </c>
      <c r="U114" s="2"/>
      <c r="V114" s="6">
        <f t="shared" si="94"/>
        <v>1.8375109126536528E-3</v>
      </c>
      <c r="W114" s="2"/>
      <c r="X114" s="7">
        <f t="shared" si="95"/>
        <v>-4291.8899999999994</v>
      </c>
      <c r="Y114" s="2"/>
      <c r="Z114" s="6">
        <f t="shared" si="96"/>
        <v>-0.13129671370464455</v>
      </c>
    </row>
    <row r="115" spans="1:26" s="25" customFormat="1" outlineLevel="1" collapsed="1" x14ac:dyDescent="0.35">
      <c r="A115" s="26"/>
      <c r="B115" s="12" t="str">
        <f>CONCATENATE("     ","Training                                          ")</f>
        <v xml:space="preserve">     Training                                          </v>
      </c>
      <c r="C115" s="12"/>
      <c r="D115" s="1">
        <f>SUM(OSRRefD22_23x_0)</f>
        <v>494</v>
      </c>
      <c r="E115" s="1"/>
      <c r="F115" s="5">
        <f t="shared" si="89"/>
        <v>-3.6965279276426357E-3</v>
      </c>
      <c r="G115" s="1"/>
      <c r="H115" s="1">
        <f>SUM(OSRRefH22_23x_0)</f>
        <v>4979.37</v>
      </c>
      <c r="I115" s="1"/>
      <c r="J115" s="5">
        <f t="shared" si="90"/>
        <v>1.5673288314667539E-2</v>
      </c>
      <c r="K115" s="1"/>
      <c r="L115" s="1">
        <f t="shared" si="91"/>
        <v>-4485.37</v>
      </c>
      <c r="M115" s="1"/>
      <c r="N115" s="5">
        <f t="shared" si="92"/>
        <v>-0.90079066227253646</v>
      </c>
      <c r="O115" s="12"/>
      <c r="P115" s="1">
        <f>SUM(OSRRefP22_23x_0)</f>
        <v>9015.24</v>
      </c>
      <c r="Q115" s="1"/>
      <c r="R115" s="5">
        <f t="shared" si="93"/>
        <v>6.6012402444650601E-4</v>
      </c>
      <c r="S115" s="1"/>
      <c r="T115" s="1">
        <f>SUM(OSRRefT22_23x_0)</f>
        <v>16873.43</v>
      </c>
      <c r="U115" s="1"/>
      <c r="V115" s="5">
        <f t="shared" si="94"/>
        <v>9.4850270673024642E-4</v>
      </c>
      <c r="W115" s="1"/>
      <c r="X115" s="1">
        <f t="shared" si="95"/>
        <v>-7858.1900000000005</v>
      </c>
      <c r="Y115" s="1"/>
      <c r="Z115" s="5">
        <f t="shared" si="96"/>
        <v>-0.46571384715496494</v>
      </c>
    </row>
    <row r="116" spans="1:26" s="24" customFormat="1" hidden="1" outlineLevel="2" x14ac:dyDescent="0.35">
      <c r="A116" s="27"/>
      <c r="B116" s="11" t="str">
        <f>CONCATENATE("          ", "6376", " - ", "TRAINING")</f>
        <v xml:space="preserve">          6376 - TRAINING</v>
      </c>
      <c r="C116" s="11"/>
      <c r="D116" s="7">
        <v>494</v>
      </c>
      <c r="E116" s="2"/>
      <c r="F116" s="6">
        <f t="shared" si="89"/>
        <v>-3.6965279276426357E-3</v>
      </c>
      <c r="G116" s="2"/>
      <c r="H116" s="7">
        <v>4979.37</v>
      </c>
      <c r="I116" s="2"/>
      <c r="J116" s="6">
        <f t="shared" si="90"/>
        <v>1.5673288314667539E-2</v>
      </c>
      <c r="K116" s="2"/>
      <c r="L116" s="7">
        <f t="shared" si="91"/>
        <v>-4485.37</v>
      </c>
      <c r="M116" s="2"/>
      <c r="N116" s="6">
        <f t="shared" si="92"/>
        <v>-0.90079066227253646</v>
      </c>
      <c r="O116" s="11"/>
      <c r="P116" s="7">
        <v>9015.24</v>
      </c>
      <c r="Q116" s="2"/>
      <c r="R116" s="6">
        <f t="shared" si="93"/>
        <v>6.6012402444650601E-4</v>
      </c>
      <c r="S116" s="2"/>
      <c r="T116" s="7">
        <v>16873.43</v>
      </c>
      <c r="U116" s="2"/>
      <c r="V116" s="6">
        <f t="shared" si="94"/>
        <v>9.4850270673024642E-4</v>
      </c>
      <c r="W116" s="2"/>
      <c r="X116" s="7">
        <f t="shared" si="95"/>
        <v>-7858.1900000000005</v>
      </c>
      <c r="Y116" s="2"/>
      <c r="Z116" s="6">
        <f t="shared" si="96"/>
        <v>-0.46571384715496494</v>
      </c>
    </row>
    <row r="117" spans="1:26" s="25" customFormat="1" outlineLevel="1" collapsed="1" x14ac:dyDescent="0.35">
      <c r="A117" s="26"/>
      <c r="B117" s="12" t="str">
        <f>CONCATENATE("     ","Travel                                            ")</f>
        <v xml:space="preserve">     Travel                                            </v>
      </c>
      <c r="C117" s="12"/>
      <c r="D117" s="1">
        <f>SUM(OSRRefD22_24x_0)</f>
        <v>0</v>
      </c>
      <c r="E117" s="1"/>
      <c r="F117" s="5">
        <f t="shared" si="89"/>
        <v>0</v>
      </c>
      <c r="G117" s="1"/>
      <c r="H117" s="1">
        <f>SUM(OSRRefH22_24x_0)</f>
        <v>155.88999999999999</v>
      </c>
      <c r="I117" s="1"/>
      <c r="J117" s="5">
        <f t="shared" si="90"/>
        <v>4.9068635497533271E-4</v>
      </c>
      <c r="K117" s="1"/>
      <c r="L117" s="1">
        <f t="shared" si="91"/>
        <v>-155.88999999999999</v>
      </c>
      <c r="M117" s="1"/>
      <c r="N117" s="5">
        <f t="shared" si="92"/>
        <v>-1</v>
      </c>
      <c r="O117" s="12"/>
      <c r="P117" s="1">
        <f>SUM(OSRRefP22_24x_0)</f>
        <v>8235.58</v>
      </c>
      <c r="Q117" s="1"/>
      <c r="R117" s="5">
        <f t="shared" si="93"/>
        <v>6.0303488462327742E-4</v>
      </c>
      <c r="S117" s="1"/>
      <c r="T117" s="1">
        <f>SUM(OSRRefT22_24x_0)</f>
        <v>6757.41</v>
      </c>
      <c r="U117" s="1"/>
      <c r="V117" s="5">
        <f t="shared" si="94"/>
        <v>3.7985292115983734E-4</v>
      </c>
      <c r="W117" s="1"/>
      <c r="X117" s="1">
        <f t="shared" si="95"/>
        <v>1478.17</v>
      </c>
      <c r="Y117" s="1"/>
      <c r="Z117" s="5">
        <f t="shared" si="96"/>
        <v>0.21874801144225378</v>
      </c>
    </row>
    <row r="118" spans="1:26" s="24" customFormat="1" hidden="1" outlineLevel="2" x14ac:dyDescent="0.35">
      <c r="A118" s="27"/>
      <c r="B118" s="11" t="str">
        <f>CONCATENATE("          ", "6292", " - ", "TRAVEL/CONFERENCE")</f>
        <v xml:space="preserve">          6292 - TRAVEL/CONFERENCE</v>
      </c>
      <c r="C118" s="11"/>
      <c r="D118" s="7"/>
      <c r="E118" s="2"/>
      <c r="F118" s="6">
        <f t="shared" si="89"/>
        <v>0</v>
      </c>
      <c r="G118" s="2"/>
      <c r="H118" s="7"/>
      <c r="I118" s="2"/>
      <c r="J118" s="6">
        <f t="shared" si="90"/>
        <v>0</v>
      </c>
      <c r="K118" s="2"/>
      <c r="L118" s="7">
        <f t="shared" si="91"/>
        <v>0</v>
      </c>
      <c r="M118" s="2"/>
      <c r="N118" s="6">
        <f t="shared" si="92"/>
        <v>0</v>
      </c>
      <c r="O118" s="11"/>
      <c r="P118" s="7">
        <v>6889.94</v>
      </c>
      <c r="Q118" s="2"/>
      <c r="R118" s="6">
        <f t="shared" si="93"/>
        <v>5.0450292182958629E-4</v>
      </c>
      <c r="S118" s="2"/>
      <c r="T118" s="7">
        <v>3383.41</v>
      </c>
      <c r="U118" s="2"/>
      <c r="V118" s="6">
        <f t="shared" si="94"/>
        <v>1.9019094179299544E-4</v>
      </c>
      <c r="W118" s="2"/>
      <c r="X118" s="7">
        <f t="shared" si="95"/>
        <v>3506.5299999999997</v>
      </c>
      <c r="Y118" s="2"/>
      <c r="Z118" s="6">
        <f t="shared" si="96"/>
        <v>1.0363893231976025</v>
      </c>
    </row>
    <row r="119" spans="1:26" s="24" customFormat="1" hidden="1" outlineLevel="2" x14ac:dyDescent="0.35">
      <c r="A119" s="27"/>
      <c r="B119" s="11" t="str">
        <f>CONCATENATE("          ", "6294", " - ", "TRAVEL OPERATIONAL")</f>
        <v xml:space="preserve">          6294 - TRAVEL OPERATIONAL</v>
      </c>
      <c r="C119" s="11"/>
      <c r="D119" s="7"/>
      <c r="E119" s="2"/>
      <c r="F119" s="6">
        <f t="shared" si="89"/>
        <v>0</v>
      </c>
      <c r="G119" s="2"/>
      <c r="H119" s="7"/>
      <c r="I119" s="2"/>
      <c r="J119" s="6">
        <f t="shared" si="90"/>
        <v>0</v>
      </c>
      <c r="K119" s="2"/>
      <c r="L119" s="7">
        <f t="shared" si="91"/>
        <v>0</v>
      </c>
      <c r="M119" s="2"/>
      <c r="N119" s="6">
        <f t="shared" si="92"/>
        <v>0</v>
      </c>
      <c r="O119" s="11"/>
      <c r="P119" s="7">
        <v>56.99</v>
      </c>
      <c r="Q119" s="2"/>
      <c r="R119" s="6">
        <f t="shared" si="93"/>
        <v>4.1729857611340769E-6</v>
      </c>
      <c r="S119" s="2"/>
      <c r="T119" s="7">
        <v>1927.4</v>
      </c>
      <c r="U119" s="2"/>
      <c r="V119" s="6">
        <f t="shared" si="94"/>
        <v>1.0834454624530264E-4</v>
      </c>
      <c r="W119" s="2"/>
      <c r="X119" s="7">
        <f t="shared" si="95"/>
        <v>-1870.41</v>
      </c>
      <c r="Y119" s="2"/>
      <c r="Z119" s="6">
        <f t="shared" si="96"/>
        <v>-0.97043166960672411</v>
      </c>
    </row>
    <row r="120" spans="1:26" s="24" customFormat="1" hidden="1" outlineLevel="2" x14ac:dyDescent="0.35">
      <c r="A120" s="27"/>
      <c r="B120" s="11" t="str">
        <f>CONCATENATE("          ", "6298", " - ", "VEHICLE MILEAGE")</f>
        <v xml:space="preserve">          6298 - VEHICLE MILEAGE</v>
      </c>
      <c r="C120" s="11"/>
      <c r="D120" s="7"/>
      <c r="E120" s="2"/>
      <c r="F120" s="6">
        <f t="shared" si="89"/>
        <v>0</v>
      </c>
      <c r="G120" s="2"/>
      <c r="H120" s="7">
        <v>155.88999999999999</v>
      </c>
      <c r="I120" s="2"/>
      <c r="J120" s="6">
        <f t="shared" si="90"/>
        <v>4.9068635497533271E-4</v>
      </c>
      <c r="K120" s="2"/>
      <c r="L120" s="7">
        <f t="shared" si="91"/>
        <v>-155.88999999999999</v>
      </c>
      <c r="M120" s="2"/>
      <c r="N120" s="6">
        <f t="shared" si="92"/>
        <v>-1</v>
      </c>
      <c r="O120" s="11"/>
      <c r="P120" s="7">
        <v>1288.6500000000001</v>
      </c>
      <c r="Q120" s="2"/>
      <c r="R120" s="6">
        <f t="shared" si="93"/>
        <v>9.4358977032557093E-5</v>
      </c>
      <c r="S120" s="2"/>
      <c r="T120" s="7">
        <v>1446.6</v>
      </c>
      <c r="U120" s="2"/>
      <c r="V120" s="6">
        <f t="shared" si="94"/>
        <v>8.1317433121539279E-5</v>
      </c>
      <c r="W120" s="2"/>
      <c r="X120" s="7">
        <f t="shared" si="95"/>
        <v>-157.94999999999982</v>
      </c>
      <c r="Y120" s="2"/>
      <c r="Z120" s="6">
        <f t="shared" si="96"/>
        <v>-0.10918705931148889</v>
      </c>
    </row>
    <row r="121" spans="1:26" s="25" customFormat="1" outlineLevel="1" collapsed="1" x14ac:dyDescent="0.35">
      <c r="A121" s="26"/>
      <c r="B121" s="12" t="str">
        <f>CONCATENATE("     ","Utilities                                         ")</f>
        <v xml:space="preserve">     Utilities                                         </v>
      </c>
      <c r="C121" s="12"/>
      <c r="D121" s="1">
        <f>SUM(OSRRefD22_25x_0)</f>
        <v>15583</v>
      </c>
      <c r="E121" s="1"/>
      <c r="F121" s="5">
        <f t="shared" ref="F121:F122" si="97">IF(D$12=0,0,D121/D$12)</f>
        <v>-0.11660525242197407</v>
      </c>
      <c r="G121" s="1"/>
      <c r="H121" s="1">
        <f>SUM(OSRRefH22_25x_0)</f>
        <v>13693</v>
      </c>
      <c r="I121" s="1"/>
      <c r="J121" s="5">
        <f t="shared" ref="J121:J122" si="98">IF(H$12=0,0,H121/H$12)</f>
        <v>4.3100700870339542E-2</v>
      </c>
      <c r="K121" s="1"/>
      <c r="L121" s="1">
        <f t="shared" ref="L121:L122" si="99">+D121-H121</f>
        <v>1890</v>
      </c>
      <c r="M121" s="1"/>
      <c r="N121" s="5">
        <f t="shared" ref="N121:N122" si="100">IF(H121=0,0,L121/H121)</f>
        <v>0.13802672898561308</v>
      </c>
      <c r="O121" s="12"/>
      <c r="P121" s="1">
        <f>SUM(OSRRefP22_25x_0)</f>
        <v>190385</v>
      </c>
      <c r="Q121" s="1"/>
      <c r="R121" s="5">
        <f t="shared" ref="R121:R122" si="101">IF(P$12=0,0,P121/P$12)</f>
        <v>1.394058421009846E-2</v>
      </c>
      <c r="S121" s="1"/>
      <c r="T121" s="1">
        <f>SUM(OSRRefT22_25x_0)</f>
        <v>141213.62</v>
      </c>
      <c r="U121" s="1"/>
      <c r="V121" s="5">
        <f t="shared" ref="V121:V122" si="102">IF(T$12=0,0,T121/T$12)</f>
        <v>7.938012650491124E-3</v>
      </c>
      <c r="W121" s="1"/>
      <c r="X121" s="1">
        <f t="shared" ref="X121:X122" si="103">+P121-T121</f>
        <v>49171.380000000005</v>
      </c>
      <c r="Y121" s="1"/>
      <c r="Z121" s="5">
        <f t="shared" ref="Z121:Z122" si="104">IF(T121=0,0,X121/T121)</f>
        <v>0.34820564758555161</v>
      </c>
    </row>
    <row r="122" spans="1:26" s="24" customFormat="1" hidden="1" outlineLevel="2" x14ac:dyDescent="0.35">
      <c r="A122" s="27"/>
      <c r="B122" s="11" t="str">
        <f>CONCATENATE("          ", "6274", " - ", "UTILITIES")</f>
        <v xml:space="preserve">          6274 - UTILITIES</v>
      </c>
      <c r="C122" s="11"/>
      <c r="D122" s="7">
        <v>15583</v>
      </c>
      <c r="E122" s="2"/>
      <c r="F122" s="6">
        <f t="shared" si="97"/>
        <v>-0.11660525242197407</v>
      </c>
      <c r="G122" s="2"/>
      <c r="H122" s="7">
        <v>13693</v>
      </c>
      <c r="I122" s="2"/>
      <c r="J122" s="6">
        <f t="shared" si="98"/>
        <v>4.3100700870339542E-2</v>
      </c>
      <c r="K122" s="2"/>
      <c r="L122" s="7">
        <f t="shared" si="99"/>
        <v>1890</v>
      </c>
      <c r="M122" s="2"/>
      <c r="N122" s="6">
        <f t="shared" si="100"/>
        <v>0.13802672898561308</v>
      </c>
      <c r="O122" s="11"/>
      <c r="P122" s="7">
        <v>190385</v>
      </c>
      <c r="Q122" s="2"/>
      <c r="R122" s="6">
        <f t="shared" si="101"/>
        <v>1.394058421009846E-2</v>
      </c>
      <c r="S122" s="2"/>
      <c r="T122" s="7">
        <v>141213.62</v>
      </c>
      <c r="U122" s="2"/>
      <c r="V122" s="6">
        <f t="shared" si="102"/>
        <v>7.938012650491124E-3</v>
      </c>
      <c r="W122" s="2"/>
      <c r="X122" s="7">
        <f t="shared" si="103"/>
        <v>49171.380000000005</v>
      </c>
      <c r="Y122" s="2"/>
      <c r="Z122" s="6">
        <f t="shared" si="104"/>
        <v>0.34820564758555161</v>
      </c>
    </row>
    <row r="123" spans="1:26" s="56" customFormat="1" x14ac:dyDescent="0.35">
      <c r="A123" s="37"/>
      <c r="B123" s="37"/>
      <c r="C123" s="37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7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collapsed="1" x14ac:dyDescent="0.35">
      <c r="A124" s="10"/>
      <c r="B124" s="29" t="s">
        <v>0</v>
      </c>
      <c r="C124" s="10"/>
      <c r="D124" s="4">
        <f>SUM(OSRRefD25x_0)</f>
        <v>43261.639999999992</v>
      </c>
      <c r="E124" s="4"/>
      <c r="F124" s="13">
        <f t="shared" ref="F124:F127" si="105">IF(D$12=0,0,D124/D$12)</f>
        <v>-0.32372036529478082</v>
      </c>
      <c r="G124" s="4"/>
      <c r="H124" s="4">
        <f>SUM(OSRRefH25x_0)</f>
        <v>52294.259999999995</v>
      </c>
      <c r="I124" s="4"/>
      <c r="J124" s="13">
        <f t="shared" ref="J124:J127" si="106">IF(H$12=0,0,H124/H$12)</f>
        <v>0.16460375794170468</v>
      </c>
      <c r="K124" s="4"/>
      <c r="L124" s="4">
        <f t="shared" ref="L124:L127" si="107">+D124-H124</f>
        <v>-9032.6200000000026</v>
      </c>
      <c r="M124" s="4"/>
      <c r="N124" s="13">
        <f t="shared" ref="N124:N127" si="108">IF(H124=0,0,L124/H124)</f>
        <v>-0.17272679640174665</v>
      </c>
      <c r="O124" s="10"/>
      <c r="P124" s="4">
        <f>SUM(OSRRefP25x_0)</f>
        <v>730460.52</v>
      </c>
      <c r="Q124" s="4"/>
      <c r="R124" s="13">
        <f t="shared" ref="R124:R127" si="109">IF(P$12=0,0,P124/P$12)</f>
        <v>5.3486600263740899E-2</v>
      </c>
      <c r="S124" s="4"/>
      <c r="T124" s="4">
        <f>SUM(OSRRefT25x_0)</f>
        <v>731041.09</v>
      </c>
      <c r="U124" s="4"/>
      <c r="V124" s="13">
        <f t="shared" ref="V124:V127" si="110">IF(T$12=0,0,T124/T$12)</f>
        <v>4.1093864886749737E-2</v>
      </c>
      <c r="W124" s="4"/>
      <c r="X124" s="4">
        <f t="shared" ref="X124:X127" si="111">+P124-T124</f>
        <v>-580.56999999994878</v>
      </c>
      <c r="Y124" s="4"/>
      <c r="Z124" s="13">
        <f t="shared" ref="Z124:Z127" si="112">IF(T124=0,0,X124/T124)</f>
        <v>-7.9416876553402597E-4</v>
      </c>
    </row>
    <row r="125" spans="1:26" s="24" customFormat="1" hidden="1" outlineLevel="1" x14ac:dyDescent="0.35">
      <c r="A125" s="44"/>
      <c r="B125" s="11" t="str">
        <f>CONCATENATE("          ", "9150", " - ", "MISC. INCOME")</f>
        <v xml:space="preserve">          9150 - MISC. INCOME</v>
      </c>
      <c r="C125" s="11"/>
      <c r="D125" s="2">
        <f>--16951.85</f>
        <v>16951.849999999999</v>
      </c>
      <c r="E125" s="2"/>
      <c r="F125" s="19">
        <f t="shared" si="105"/>
        <v>-0.12684815172107045</v>
      </c>
      <c r="G125" s="2"/>
      <c r="H125" s="2">
        <f>--42291.96</f>
        <v>42291.96</v>
      </c>
      <c r="I125" s="2"/>
      <c r="J125" s="19">
        <f t="shared" si="106"/>
        <v>0.13312006990289674</v>
      </c>
      <c r="K125" s="2"/>
      <c r="L125" s="2">
        <f t="shared" si="107"/>
        <v>-25340.11</v>
      </c>
      <c r="M125" s="2"/>
      <c r="N125" s="19">
        <f t="shared" si="108"/>
        <v>-0.59917085895286004</v>
      </c>
      <c r="O125" s="11"/>
      <c r="P125" s="2">
        <f>--330936.39</f>
        <v>330936.39</v>
      </c>
      <c r="Q125" s="2"/>
      <c r="R125" s="19">
        <f t="shared" si="109"/>
        <v>2.423219588192865E-2</v>
      </c>
      <c r="S125" s="2"/>
      <c r="T125" s="2">
        <f>--389464.12</f>
        <v>389464.12</v>
      </c>
      <c r="U125" s="2"/>
      <c r="V125" s="19">
        <f t="shared" si="110"/>
        <v>2.1892867780546901E-2</v>
      </c>
      <c r="W125" s="2"/>
      <c r="X125" s="2">
        <f t="shared" si="111"/>
        <v>-58527.729999999981</v>
      </c>
      <c r="Y125" s="2"/>
      <c r="Z125" s="19">
        <f t="shared" si="112"/>
        <v>-0.15027759168161622</v>
      </c>
    </row>
    <row r="126" spans="1:26" s="24" customFormat="1" hidden="1" outlineLevel="1" x14ac:dyDescent="0.35">
      <c r="A126" s="44"/>
      <c r="B126" s="11" t="str">
        <f>CONCATENATE("          ", "9160", " - ", "MISC. INCOME")</f>
        <v xml:space="preserve">          9160 - MISC. INCOME</v>
      </c>
      <c r="C126" s="11"/>
      <c r="D126" s="2">
        <f>--25000.02</f>
        <v>25000.02</v>
      </c>
      <c r="E126" s="2"/>
      <c r="F126" s="19">
        <f t="shared" si="105"/>
        <v>-0.18707140105591993</v>
      </c>
      <c r="G126" s="2"/>
      <c r="H126" s="2">
        <f>--4981.17</f>
        <v>4981.17</v>
      </c>
      <c r="I126" s="2"/>
      <c r="J126" s="19">
        <f t="shared" si="106"/>
        <v>1.5678954075389558E-2</v>
      </c>
      <c r="K126" s="2"/>
      <c r="L126" s="2">
        <f t="shared" si="107"/>
        <v>20018.849999999999</v>
      </c>
      <c r="M126" s="2"/>
      <c r="N126" s="19">
        <f t="shared" si="108"/>
        <v>4.0189051969717955</v>
      </c>
      <c r="O126" s="11"/>
      <c r="P126" s="2">
        <f>--155089.34</f>
        <v>155089.34</v>
      </c>
      <c r="Q126" s="2"/>
      <c r="R126" s="19">
        <f t="shared" si="109"/>
        <v>1.1356125768094081E-2</v>
      </c>
      <c r="S126" s="2"/>
      <c r="T126" s="2">
        <f>--91560.73</f>
        <v>91560.73</v>
      </c>
      <c r="U126" s="2"/>
      <c r="V126" s="19">
        <f t="shared" si="110"/>
        <v>5.1468847907744468E-3</v>
      </c>
      <c r="W126" s="2"/>
      <c r="X126" s="2">
        <f t="shared" si="111"/>
        <v>63528.61</v>
      </c>
      <c r="Y126" s="2"/>
      <c r="Z126" s="19">
        <f t="shared" si="112"/>
        <v>0.69384123521077212</v>
      </c>
    </row>
    <row r="127" spans="1:26" s="24" customFormat="1" hidden="1" outlineLevel="1" x14ac:dyDescent="0.35">
      <c r="A127" s="44"/>
      <c r="B127" s="11" t="str">
        <f>CONCATENATE("          ", "9165", " - ", "OTHER INCOME")</f>
        <v xml:space="preserve">          9165 - OTHER INCOME</v>
      </c>
      <c r="C127" s="11"/>
      <c r="D127" s="2">
        <f>--1309.77</f>
        <v>1309.77</v>
      </c>
      <c r="E127" s="2"/>
      <c r="F127" s="19">
        <f t="shared" si="105"/>
        <v>-9.8008125177904745E-3</v>
      </c>
      <c r="G127" s="2"/>
      <c r="H127" s="2">
        <f>--5021.13</f>
        <v>5021.13</v>
      </c>
      <c r="I127" s="2"/>
      <c r="J127" s="19">
        <f t="shared" si="106"/>
        <v>1.5804733963418388E-2</v>
      </c>
      <c r="K127" s="2"/>
      <c r="L127" s="2">
        <f t="shared" si="107"/>
        <v>-3711.36</v>
      </c>
      <c r="M127" s="2"/>
      <c r="N127" s="19">
        <f t="shared" si="108"/>
        <v>-0.73914835903471932</v>
      </c>
      <c r="O127" s="11"/>
      <c r="P127" s="2">
        <f>--244434.79</f>
        <v>244434.79</v>
      </c>
      <c r="Q127" s="2"/>
      <c r="R127" s="19">
        <f t="shared" si="109"/>
        <v>1.7898278613718167E-2</v>
      </c>
      <c r="S127" s="2"/>
      <c r="T127" s="2">
        <f>--250016.24</f>
        <v>250016.24</v>
      </c>
      <c r="U127" s="2"/>
      <c r="V127" s="19">
        <f t="shared" si="110"/>
        <v>1.4054112315428392E-2</v>
      </c>
      <c r="W127" s="2"/>
      <c r="X127" s="2">
        <f t="shared" si="111"/>
        <v>-5581.4499999999825</v>
      </c>
      <c r="Y127" s="2"/>
      <c r="Z127" s="19">
        <f t="shared" si="112"/>
        <v>-2.2324349810236257E-2</v>
      </c>
    </row>
    <row r="128" spans="1:26" x14ac:dyDescent="0.3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35">
      <c r="A129" s="10"/>
      <c r="B129" s="28" t="s">
        <v>3</v>
      </c>
      <c r="C129" s="28"/>
      <c r="D129" s="22">
        <f>+D31-D33+D124</f>
        <v>-412895.31999999995</v>
      </c>
      <c r="E129" s="14"/>
      <c r="F129" s="21">
        <f>IF(D$12=0,0,D129/D$12)</f>
        <v>3.0896337683662805</v>
      </c>
      <c r="G129" s="14"/>
      <c r="H129" s="22">
        <f>+H31-H33+H124</f>
        <v>-391543.20999999996</v>
      </c>
      <c r="I129" s="14"/>
      <c r="J129" s="21">
        <f>IF(H$12=0,0,H129/H$12)</f>
        <v>-1.2324389667729889</v>
      </c>
      <c r="K129" s="15"/>
      <c r="L129" s="22">
        <f>+D129-H129</f>
        <v>-21352.109999999986</v>
      </c>
      <c r="M129" s="15"/>
      <c r="N129" s="21">
        <f>IF(H129=0,0,L129/H129)</f>
        <v>5.453321486535289E-2</v>
      </c>
      <c r="O129" s="29"/>
      <c r="P129" s="22">
        <f>+P31-P33+P124</f>
        <v>714015.04999999562</v>
      </c>
      <c r="Q129" s="14"/>
      <c r="R129" s="21">
        <f>IF(P$12=0,0,P129/P$12)</f>
        <v>5.2282411596515491E-2</v>
      </c>
      <c r="S129" s="14"/>
      <c r="T129" s="22">
        <f>+T31-T33+T124</f>
        <v>2732584.910000002</v>
      </c>
      <c r="U129" s="14"/>
      <c r="V129" s="21">
        <f>IF(T$12=0,0,T129/T$12)</f>
        <v>0.15360624268481446</v>
      </c>
      <c r="W129" s="15"/>
      <c r="X129" s="22">
        <f>+P129-T129</f>
        <v>-2018569.8600000064</v>
      </c>
      <c r="Y129" s="15"/>
      <c r="Z129" s="21">
        <f>IF(T129=0,0,X129/T129)</f>
        <v>-0.73870343520267956</v>
      </c>
    </row>
    <row r="130" spans="1:26" x14ac:dyDescent="0.3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35">
      <c r="A131" s="51"/>
      <c r="B131" s="10" t="s">
        <v>13</v>
      </c>
      <c r="C131" s="10"/>
      <c r="D131" s="4">
        <v>435099.94</v>
      </c>
      <c r="E131" s="4"/>
      <c r="F131" s="13">
        <f>IF(D$12=0,0,D131/D$12)</f>
        <v>-3.2557876103757795</v>
      </c>
      <c r="G131" s="4"/>
      <c r="H131" s="4">
        <v>-549339.67000000004</v>
      </c>
      <c r="I131" s="4"/>
      <c r="J131" s="13">
        <f>IF(H$12=0,0,H131/H$12)</f>
        <v>-1.7291261807406002</v>
      </c>
      <c r="K131" s="4"/>
      <c r="L131" s="4">
        <f>+D131-H131</f>
        <v>984439.6100000001</v>
      </c>
      <c r="M131" s="4"/>
      <c r="N131" s="13">
        <f>IF(H131=0,0,L131/H131)</f>
        <v>-1.7920417252953897</v>
      </c>
      <c r="O131" s="10"/>
      <c r="P131" s="4">
        <v>2068182.09</v>
      </c>
      <c r="Q131" s="4"/>
      <c r="R131" s="13">
        <f>IF(P$12=0,0,P131/P$12)</f>
        <v>0.15143875088616454</v>
      </c>
      <c r="S131" s="4"/>
      <c r="T131" s="4">
        <v>1267986.92</v>
      </c>
      <c r="U131" s="4"/>
      <c r="V131" s="13">
        <f>IF(T$12=0,0,T131/T$12)</f>
        <v>7.1277092192787619E-2</v>
      </c>
      <c r="W131" s="4"/>
      <c r="X131" s="4">
        <f>+P131-T131</f>
        <v>800195.17000000016</v>
      </c>
      <c r="Y131" s="4"/>
      <c r="Z131" s="13">
        <f>IF(T131=0,0,X131/T131)</f>
        <v>0.6310752558867091</v>
      </c>
    </row>
    <row r="132" spans="1:26" x14ac:dyDescent="0.3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" thickBot="1" x14ac:dyDescent="0.4">
      <c r="A133" s="10"/>
      <c r="B133" s="28" t="s">
        <v>4</v>
      </c>
      <c r="C133" s="28"/>
      <c r="D133" s="34">
        <f>+D129-D131</f>
        <v>-847995.26</v>
      </c>
      <c r="E133" s="14"/>
      <c r="F133" s="32">
        <f>IF(D$12=0,0,D133/D$12)</f>
        <v>6.3454213787420608</v>
      </c>
      <c r="G133" s="14"/>
      <c r="H133" s="34">
        <f>+H129-H131</f>
        <v>157796.46000000008</v>
      </c>
      <c r="I133" s="14"/>
      <c r="J133" s="32">
        <f>IF(H$12=0,0,H133/H$12)</f>
        <v>0.49668721396761134</v>
      </c>
      <c r="K133" s="15"/>
      <c r="L133" s="34">
        <f>D133-H133</f>
        <v>-1005791.7200000001</v>
      </c>
      <c r="M133" s="15"/>
      <c r="N133" s="32">
        <f>IF(H133=0,0,L133/H133)</f>
        <v>-6.3739815202444943</v>
      </c>
      <c r="O133" s="29"/>
      <c r="P133" s="34">
        <f>+P129-P131</f>
        <v>-1354167.0400000045</v>
      </c>
      <c r="Q133" s="14"/>
      <c r="R133" s="32">
        <f>IF(P$12=0,0,P133/P$12)</f>
        <v>-9.9156339289649037E-2</v>
      </c>
      <c r="S133" s="14"/>
      <c r="T133" s="34">
        <f>+T129-T131</f>
        <v>1464597.9900000021</v>
      </c>
      <c r="U133" s="14"/>
      <c r="V133" s="32">
        <f>IF(T$12=0,0,T133/T$12)</f>
        <v>8.232915049202684E-2</v>
      </c>
      <c r="W133" s="15"/>
      <c r="X133" s="34">
        <f>P133-T133</f>
        <v>-2818765.0300000068</v>
      </c>
      <c r="Y133" s="15"/>
      <c r="Z133" s="32">
        <f>IF(T133=0,0,X133/T133)</f>
        <v>-1.9245998214158431</v>
      </c>
    </row>
    <row r="134" spans="1:26" ht="15" thickTop="1" x14ac:dyDescent="0.3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3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" thickBot="1" x14ac:dyDescent="0.4">
      <c r="A136" s="10"/>
      <c r="B136" s="28" t="s">
        <v>5</v>
      </c>
      <c r="C136" s="28"/>
      <c r="D136" s="35">
        <f>SUM(D133:D135)</f>
        <v>-847995.26</v>
      </c>
      <c r="E136" s="14"/>
      <c r="F136" s="33">
        <f>IF(D$12=0,0,D136/D$12)</f>
        <v>6.3454213787420608</v>
      </c>
      <c r="G136" s="14"/>
      <c r="H136" s="35">
        <f>SUM(H133:H135)</f>
        <v>157796.46000000008</v>
      </c>
      <c r="I136" s="14"/>
      <c r="J136" s="33">
        <f>IF(H$12=0,0,H136/H$12)</f>
        <v>0.49668721396761134</v>
      </c>
      <c r="K136" s="15"/>
      <c r="L136" s="35">
        <f>+D136-H136</f>
        <v>-1005791.7200000001</v>
      </c>
      <c r="M136" s="15"/>
      <c r="N136" s="33">
        <f>IF(H136=0,0,L136/H136)</f>
        <v>-6.3739815202444943</v>
      </c>
      <c r="O136" s="29"/>
      <c r="P136" s="35">
        <f>SUM(P133:P135)</f>
        <v>-1354167.0400000045</v>
      </c>
      <c r="Q136" s="14"/>
      <c r="R136" s="33">
        <f>IF(P$12=0,0,P136/P$12)</f>
        <v>-9.9156339289649037E-2</v>
      </c>
      <c r="S136" s="14"/>
      <c r="T136" s="35">
        <f>SUM(T133:T135)</f>
        <v>1464597.9900000021</v>
      </c>
      <c r="U136" s="14"/>
      <c r="V136" s="33">
        <f>IF(T$12=0,0,T136/T$12)</f>
        <v>8.232915049202684E-2</v>
      </c>
      <c r="W136" s="15"/>
      <c r="X136" s="35">
        <f>+P136-T136</f>
        <v>-2818765.0300000068</v>
      </c>
      <c r="Y136" s="15"/>
      <c r="Z136" s="33">
        <f>IF(T136=0,0,X136/T136)</f>
        <v>-1.9245998214158431</v>
      </c>
    </row>
    <row r="137" spans="1:26" ht="15" thickTop="1" x14ac:dyDescent="0.35">
      <c r="A137" s="9"/>
      <c r="C137" s="9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35">
      <c r="A138" s="9"/>
      <c r="B138" s="52">
        <v>44043.522421412039</v>
      </c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35">
      <c r="A139" s="9"/>
      <c r="B139" s="61" t="s">
        <v>313</v>
      </c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35">
      <c r="A140" s="9"/>
      <c r="B140" s="54"/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35"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312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119.47</v>
      </c>
      <c r="E12" s="4"/>
      <c r="F12" s="13"/>
      <c r="G12" s="4"/>
      <c r="H12" s="4">
        <f>SUM(OSRRefH13x_0)</f>
        <v>206009.39999999997</v>
      </c>
      <c r="I12" s="4"/>
      <c r="J12" s="13"/>
      <c r="K12" s="4"/>
      <c r="L12" s="4">
        <f t="shared" ref="L12:L33" si="0">+D12-H12</f>
        <v>-205889.92999999996</v>
      </c>
      <c r="M12" s="4"/>
      <c r="N12" s="13">
        <f t="shared" ref="N12:N33" si="1">IF(H12=0,0,L12/H12)</f>
        <v>-0.99942007500628616</v>
      </c>
      <c r="O12" s="10"/>
      <c r="P12" s="4">
        <f>SUM(OSRRefP13x_0)</f>
        <v>6984271.0700000003</v>
      </c>
      <c r="Q12" s="4"/>
      <c r="R12" s="13"/>
      <c r="S12" s="4"/>
      <c r="T12" s="4">
        <f>SUM(OSRRefT13x_0)</f>
        <v>9877510.1600000001</v>
      </c>
      <c r="U12" s="4"/>
      <c r="V12" s="13"/>
      <c r="W12" s="4"/>
      <c r="X12" s="4">
        <f t="shared" ref="X12:X33" si="2">+P12-T12</f>
        <v>-2893239.09</v>
      </c>
      <c r="Y12" s="4"/>
      <c r="Z12" s="13">
        <f t="shared" ref="Z12:Z33" si="3">IF(T12=0,0,X12/T12)</f>
        <v>-0.29291178071539437</v>
      </c>
    </row>
    <row r="13" spans="1:26" s="24" customFormat="1" hidden="1" outlineLevel="1" x14ac:dyDescent="0.3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22" si="4">0</f>
        <v>0</v>
      </c>
      <c r="E13" s="2"/>
      <c r="F13" s="19"/>
      <c r="G13" s="2"/>
      <c r="H13" s="2">
        <f>--4700.12</f>
        <v>4700.12</v>
      </c>
      <c r="I13" s="2"/>
      <c r="J13" s="19"/>
      <c r="K13" s="2"/>
      <c r="L13" s="2">
        <f t="shared" si="0"/>
        <v>-4700.12</v>
      </c>
      <c r="M13" s="2"/>
      <c r="N13" s="19">
        <f t="shared" si="1"/>
        <v>-1</v>
      </c>
      <c r="O13" s="11"/>
      <c r="P13" s="2">
        <f>--275749.46</f>
        <v>275749.46000000002</v>
      </c>
      <c r="Q13" s="2"/>
      <c r="R13" s="19"/>
      <c r="S13" s="2"/>
      <c r="T13" s="2">
        <f>--370158.89</f>
        <v>370158.89</v>
      </c>
      <c r="U13" s="2"/>
      <c r="V13" s="19"/>
      <c r="W13" s="2"/>
      <c r="X13" s="2">
        <f t="shared" si="2"/>
        <v>-94409.43</v>
      </c>
      <c r="Y13" s="2"/>
      <c r="Z13" s="19">
        <f t="shared" si="3"/>
        <v>-0.25505109440975465</v>
      </c>
    </row>
    <row r="14" spans="1:26" s="24" customFormat="1" hidden="1" outlineLevel="1" x14ac:dyDescent="0.3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3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>
        <f>--133.64</f>
        <v>133.63999999999999</v>
      </c>
      <c r="I15" s="2"/>
      <c r="J15" s="19"/>
      <c r="K15" s="2"/>
      <c r="L15" s="2">
        <f t="shared" si="0"/>
        <v>-133.63999999999999</v>
      </c>
      <c r="M15" s="2"/>
      <c r="N15" s="19">
        <f t="shared" si="1"/>
        <v>-1</v>
      </c>
      <c r="O15" s="11"/>
      <c r="P15" s="2">
        <f>--3121.95</f>
        <v>3121.95</v>
      </c>
      <c r="Q15" s="2"/>
      <c r="R15" s="19"/>
      <c r="S15" s="2"/>
      <c r="T15" s="2">
        <f>--2843.76</f>
        <v>2843.76</v>
      </c>
      <c r="U15" s="2"/>
      <c r="V15" s="19"/>
      <c r="W15" s="2"/>
      <c r="X15" s="2">
        <f t="shared" si="2"/>
        <v>278.1899999999996</v>
      </c>
      <c r="Y15" s="2"/>
      <c r="Z15" s="19">
        <f t="shared" si="3"/>
        <v>9.7824710946071244E-2</v>
      </c>
    </row>
    <row r="16" spans="1:26" s="24" customFormat="1" hidden="1" outlineLevel="1" x14ac:dyDescent="0.3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si="4"/>
        <v>0</v>
      </c>
      <c r="E16" s="2"/>
      <c r="F16" s="19"/>
      <c r="G16" s="2"/>
      <c r="H16" s="2">
        <f>--15649.8</f>
        <v>15649.8</v>
      </c>
      <c r="I16" s="2"/>
      <c r="J16" s="19"/>
      <c r="K16" s="2"/>
      <c r="L16" s="2">
        <f t="shared" si="0"/>
        <v>-15649.8</v>
      </c>
      <c r="M16" s="2"/>
      <c r="N16" s="19">
        <f t="shared" si="1"/>
        <v>-1</v>
      </c>
      <c r="O16" s="11"/>
      <c r="P16" s="2">
        <f>--604143.21</f>
        <v>604143.21</v>
      </c>
      <c r="Q16" s="2"/>
      <c r="R16" s="19"/>
      <c r="S16" s="2"/>
      <c r="T16" s="2">
        <f>--920830.24</f>
        <v>920830.24</v>
      </c>
      <c r="U16" s="2"/>
      <c r="V16" s="19"/>
      <c r="W16" s="2"/>
      <c r="X16" s="2">
        <f t="shared" si="2"/>
        <v>-316687.03000000003</v>
      </c>
      <c r="Y16" s="2"/>
      <c r="Z16" s="19">
        <f t="shared" si="3"/>
        <v>-0.34391467204639153</v>
      </c>
    </row>
    <row r="17" spans="1:26" s="24" customFormat="1" hidden="1" outlineLevel="1" x14ac:dyDescent="0.3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 t="shared" si="4"/>
        <v>0</v>
      </c>
      <c r="E17" s="2"/>
      <c r="F17" s="19"/>
      <c r="G17" s="2"/>
      <c r="H17" s="2">
        <f>--69227.44</f>
        <v>69227.44</v>
      </c>
      <c r="I17" s="2"/>
      <c r="J17" s="19"/>
      <c r="K17" s="2"/>
      <c r="L17" s="2">
        <f t="shared" si="0"/>
        <v>-69227.44</v>
      </c>
      <c r="M17" s="2"/>
      <c r="N17" s="19">
        <f t="shared" si="1"/>
        <v>-1</v>
      </c>
      <c r="O17" s="11"/>
      <c r="P17" s="2">
        <f>--836487.29</f>
        <v>836487.29</v>
      </c>
      <c r="Q17" s="2"/>
      <c r="R17" s="19"/>
      <c r="S17" s="2"/>
      <c r="T17" s="2">
        <f>--1589998.48</f>
        <v>1589998.48</v>
      </c>
      <c r="U17" s="2"/>
      <c r="V17" s="19"/>
      <c r="W17" s="2"/>
      <c r="X17" s="2">
        <f t="shared" si="2"/>
        <v>-753511.19</v>
      </c>
      <c r="Y17" s="2"/>
      <c r="Z17" s="19">
        <f t="shared" si="3"/>
        <v>-0.47390686184806918</v>
      </c>
    </row>
    <row r="18" spans="1:26" s="24" customFormat="1" hidden="1" outlineLevel="1" x14ac:dyDescent="0.3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 t="shared" si="4"/>
        <v>0</v>
      </c>
      <c r="E18" s="2"/>
      <c r="F18" s="19"/>
      <c r="G18" s="2"/>
      <c r="H18" s="2">
        <f>--11538.31</f>
        <v>11538.31</v>
      </c>
      <c r="I18" s="2"/>
      <c r="J18" s="19"/>
      <c r="K18" s="2"/>
      <c r="L18" s="2">
        <f t="shared" si="0"/>
        <v>-11538.31</v>
      </c>
      <c r="M18" s="2"/>
      <c r="N18" s="19">
        <f t="shared" si="1"/>
        <v>-1</v>
      </c>
      <c r="O18" s="11"/>
      <c r="P18" s="2">
        <f>--253270.4</f>
        <v>253270.39999999999</v>
      </c>
      <c r="Q18" s="2"/>
      <c r="R18" s="19"/>
      <c r="S18" s="2"/>
      <c r="T18" s="2">
        <f>--325290.63</f>
        <v>325290.63</v>
      </c>
      <c r="U18" s="2"/>
      <c r="V18" s="19"/>
      <c r="W18" s="2"/>
      <c r="X18" s="2">
        <f t="shared" si="2"/>
        <v>-72020.23000000001</v>
      </c>
      <c r="Y18" s="2"/>
      <c r="Z18" s="19">
        <f t="shared" si="3"/>
        <v>-0.2214027191622458</v>
      </c>
    </row>
    <row r="19" spans="1:26" s="24" customFormat="1" hidden="1" outlineLevel="1" x14ac:dyDescent="0.3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 t="shared" si="4"/>
        <v>0</v>
      </c>
      <c r="E19" s="2"/>
      <c r="F19" s="19"/>
      <c r="G19" s="2"/>
      <c r="H19" s="2">
        <f>--16246.93</f>
        <v>16246.93</v>
      </c>
      <c r="I19" s="2"/>
      <c r="J19" s="19"/>
      <c r="K19" s="2"/>
      <c r="L19" s="2">
        <f t="shared" si="0"/>
        <v>-16246.93</v>
      </c>
      <c r="M19" s="2"/>
      <c r="N19" s="19">
        <f t="shared" si="1"/>
        <v>-1</v>
      </c>
      <c r="O19" s="11"/>
      <c r="P19" s="2">
        <f>--381406.04</f>
        <v>381406.04</v>
      </c>
      <c r="Q19" s="2"/>
      <c r="R19" s="19"/>
      <c r="S19" s="2"/>
      <c r="T19" s="2">
        <f>--625909.88</f>
        <v>625909.88</v>
      </c>
      <c r="U19" s="2"/>
      <c r="V19" s="19"/>
      <c r="W19" s="2"/>
      <c r="X19" s="2">
        <f t="shared" si="2"/>
        <v>-244503.84000000003</v>
      </c>
      <c r="Y19" s="2"/>
      <c r="Z19" s="19">
        <f t="shared" si="3"/>
        <v>-0.39063745087391816</v>
      </c>
    </row>
    <row r="20" spans="1:26" s="24" customFormat="1" hidden="1" outlineLevel="1" x14ac:dyDescent="0.35">
      <c r="A20" s="44"/>
      <c r="B20" s="11" t="str">
        <f>CONCATENATE("          ", "4057", " - ", "TAXABLE SALES-FOOD")</f>
        <v xml:space="preserve">          4057 - TAXABLE SALES-FOOD</v>
      </c>
      <c r="C20" s="11"/>
      <c r="D20" s="2">
        <f t="shared" si="4"/>
        <v>0</v>
      </c>
      <c r="E20" s="2"/>
      <c r="F20" s="19"/>
      <c r="G20" s="2"/>
      <c r="H20" s="2">
        <f t="shared" ref="H20:H22" si="5"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--11506.08</f>
        <v>11506.08</v>
      </c>
      <c r="U20" s="2"/>
      <c r="V20" s="19"/>
      <c r="W20" s="2"/>
      <c r="X20" s="2">
        <f t="shared" si="2"/>
        <v>-11506.08</v>
      </c>
      <c r="Y20" s="2"/>
      <c r="Z20" s="19">
        <f t="shared" si="3"/>
        <v>-1</v>
      </c>
    </row>
    <row r="21" spans="1:26" s="24" customFormat="1" hidden="1" outlineLevel="1" x14ac:dyDescent="0.35">
      <c r="A21" s="44"/>
      <c r="B21" s="11" t="str">
        <f>CONCATENATE("          ", "4058", " - ", "TAXABLE SALES-FOOD")</f>
        <v xml:space="preserve">          4058 - TAXABLE SALES-FOOD</v>
      </c>
      <c r="C21" s="11"/>
      <c r="D21" s="2">
        <f t="shared" si="4"/>
        <v>0</v>
      </c>
      <c r="E21" s="2"/>
      <c r="F21" s="19"/>
      <c r="G21" s="2"/>
      <c r="H21" s="2">
        <f t="shared" si="5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--117077.57</f>
        <v>117077.57</v>
      </c>
      <c r="Q21" s="2"/>
      <c r="R21" s="19"/>
      <c r="S21" s="2"/>
      <c r="T21" s="2">
        <f>--200045.36</f>
        <v>200045.36</v>
      </c>
      <c r="U21" s="2"/>
      <c r="V21" s="19"/>
      <c r="W21" s="2"/>
      <c r="X21" s="2">
        <f t="shared" si="2"/>
        <v>-82967.789999999979</v>
      </c>
      <c r="Y21" s="2"/>
      <c r="Z21" s="19">
        <f t="shared" si="3"/>
        <v>-0.41474488585988689</v>
      </c>
    </row>
    <row r="22" spans="1:26" s="24" customFormat="1" hidden="1" outlineLevel="1" x14ac:dyDescent="0.35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si="4"/>
        <v>0</v>
      </c>
      <c r="E22" s="2"/>
      <c r="F22" s="19"/>
      <c r="G22" s="2"/>
      <c r="H22" s="2">
        <f t="shared" si="5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--2.48</f>
        <v>2.48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2.48</v>
      </c>
      <c r="Y22" s="2"/>
      <c r="Z22" s="19">
        <f t="shared" si="3"/>
        <v>0</v>
      </c>
    </row>
    <row r="23" spans="1:26" s="24" customFormat="1" hidden="1" outlineLevel="1" x14ac:dyDescent="0.35">
      <c r="A23" s="44"/>
      <c r="B23" s="11" t="str">
        <f>CONCATENATE("          ", "4132", " - ", "NON-TAXABLE SALES-JUICE")</f>
        <v xml:space="preserve">          4132 - NON-TAXABLE SALES-JUICE</v>
      </c>
      <c r="C23" s="11"/>
      <c r="D23" s="2">
        <f>--114.48</f>
        <v>114.48</v>
      </c>
      <c r="E23" s="2"/>
      <c r="F23" s="19"/>
      <c r="G23" s="2"/>
      <c r="H23" s="2">
        <f>--19854.42</f>
        <v>19854.419999999998</v>
      </c>
      <c r="I23" s="2"/>
      <c r="J23" s="19"/>
      <c r="K23" s="2"/>
      <c r="L23" s="2">
        <f t="shared" si="0"/>
        <v>-19739.939999999999</v>
      </c>
      <c r="M23" s="2"/>
      <c r="N23" s="19">
        <f t="shared" si="1"/>
        <v>-0.99423402950073592</v>
      </c>
      <c r="O23" s="11"/>
      <c r="P23" s="2">
        <f>--1093892.63</f>
        <v>1093892.6299999999</v>
      </c>
      <c r="Q23" s="2"/>
      <c r="R23" s="19"/>
      <c r="S23" s="2"/>
      <c r="T23" s="2">
        <f>--1305186.95</f>
        <v>1305186.95</v>
      </c>
      <c r="U23" s="2"/>
      <c r="V23" s="19"/>
      <c r="W23" s="2"/>
      <c r="X23" s="2">
        <f t="shared" si="2"/>
        <v>-211294.32000000007</v>
      </c>
      <c r="Y23" s="2"/>
      <c r="Z23" s="19">
        <f t="shared" si="3"/>
        <v>-0.16188816475678069</v>
      </c>
    </row>
    <row r="24" spans="1:26" s="24" customFormat="1" hidden="1" outlineLevel="1" x14ac:dyDescent="0.35">
      <c r="A24" s="44"/>
      <c r="B24" s="11" t="str">
        <f>CONCATENATE("          ", "4133", " - ", "NON-TAXABLE SALES-CANDY")</f>
        <v xml:space="preserve">          4133 - NON-TAXABLE SALES-CANDY</v>
      </c>
      <c r="C24" s="11"/>
      <c r="D24" s="2">
        <f>0</f>
        <v>0</v>
      </c>
      <c r="E24" s="2"/>
      <c r="F24" s="19"/>
      <c r="G24" s="2"/>
      <c r="H24" s="2">
        <f t="shared" ref="H24:H25" si="6"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--1.59</f>
        <v>1.59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1.59</v>
      </c>
      <c r="Y24" s="2"/>
      <c r="Z24" s="19">
        <f t="shared" si="3"/>
        <v>0</v>
      </c>
    </row>
    <row r="25" spans="1:26" s="24" customFormat="1" hidden="1" outlineLevel="1" x14ac:dyDescent="0.35">
      <c r="A25" s="44"/>
      <c r="B25" s="11" t="str">
        <f>CONCATENATE("          ", "4134", " - ", "NON-TAXABLE SALES-SODA")</f>
        <v xml:space="preserve">          4134 - NON-TAXABLE SALES-SODA</v>
      </c>
      <c r="C25" s="11"/>
      <c r="D25" s="2">
        <f>--4.99</f>
        <v>4.99</v>
      </c>
      <c r="E25" s="2"/>
      <c r="F25" s="19"/>
      <c r="G25" s="2"/>
      <c r="H25" s="2">
        <f t="shared" si="6"/>
        <v>0</v>
      </c>
      <c r="I25" s="2"/>
      <c r="J25" s="19"/>
      <c r="K25" s="2"/>
      <c r="L25" s="2">
        <f t="shared" si="0"/>
        <v>4.99</v>
      </c>
      <c r="M25" s="2"/>
      <c r="N25" s="19">
        <f t="shared" si="1"/>
        <v>0</v>
      </c>
      <c r="O25" s="11"/>
      <c r="P25" s="2">
        <f>--99.83</f>
        <v>99.83</v>
      </c>
      <c r="Q25" s="2"/>
      <c r="R25" s="19"/>
      <c r="S25" s="2"/>
      <c r="T25" s="2">
        <f>--55.83</f>
        <v>55.83</v>
      </c>
      <c r="U25" s="2"/>
      <c r="V25" s="19"/>
      <c r="W25" s="2"/>
      <c r="X25" s="2">
        <f t="shared" si="2"/>
        <v>44</v>
      </c>
      <c r="Y25" s="2"/>
      <c r="Z25" s="19">
        <f t="shared" si="3"/>
        <v>0.78810675264194885</v>
      </c>
    </row>
    <row r="26" spans="1:26" s="24" customFormat="1" hidden="1" outlineLevel="1" x14ac:dyDescent="0.3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 t="shared" ref="D26:D33" si="7">0</f>
        <v>0</v>
      </c>
      <c r="E26" s="2"/>
      <c r="F26" s="19"/>
      <c r="G26" s="2"/>
      <c r="H26" s="2">
        <f>--78.5</f>
        <v>78.5</v>
      </c>
      <c r="I26" s="2"/>
      <c r="J26" s="19"/>
      <c r="K26" s="2"/>
      <c r="L26" s="2">
        <f t="shared" si="0"/>
        <v>-78.5</v>
      </c>
      <c r="M26" s="2"/>
      <c r="N26" s="19">
        <f t="shared" si="1"/>
        <v>-1</v>
      </c>
      <c r="O26" s="11"/>
      <c r="P26" s="2">
        <f>--1575.68</f>
        <v>1575.68</v>
      </c>
      <c r="Q26" s="2"/>
      <c r="R26" s="19"/>
      <c r="S26" s="2"/>
      <c r="T26" s="2">
        <f>--2318.79</f>
        <v>2318.79</v>
      </c>
      <c r="U26" s="2"/>
      <c r="V26" s="19"/>
      <c r="W26" s="2"/>
      <c r="X26" s="2">
        <f t="shared" si="2"/>
        <v>-743.1099999999999</v>
      </c>
      <c r="Y26" s="2"/>
      <c r="Z26" s="19">
        <f t="shared" si="3"/>
        <v>-0.32047317782119117</v>
      </c>
    </row>
    <row r="27" spans="1:26" s="24" customFormat="1" hidden="1" outlineLevel="1" x14ac:dyDescent="0.35">
      <c r="A27" s="44"/>
      <c r="B27" s="11" t="str">
        <f>CONCATENATE("          ", "4151", " - ", "NON-TAXABLE SALES-FOOD")</f>
        <v xml:space="preserve">          4151 - NON-TAXABLE SALES-FOOD</v>
      </c>
      <c r="C27" s="11"/>
      <c r="D27" s="2">
        <f t="shared" si="7"/>
        <v>0</v>
      </c>
      <c r="E27" s="2"/>
      <c r="F27" s="19"/>
      <c r="G27" s="2"/>
      <c r="H27" s="2">
        <f>--41791.3</f>
        <v>41791.300000000003</v>
      </c>
      <c r="I27" s="2"/>
      <c r="J27" s="19"/>
      <c r="K27" s="2"/>
      <c r="L27" s="2">
        <f t="shared" si="0"/>
        <v>-41791.300000000003</v>
      </c>
      <c r="M27" s="2"/>
      <c r="N27" s="19">
        <f t="shared" si="1"/>
        <v>-1</v>
      </c>
      <c r="O27" s="11"/>
      <c r="P27" s="2">
        <f>--2191470.18</f>
        <v>2191470.1800000002</v>
      </c>
      <c r="Q27" s="2"/>
      <c r="R27" s="19"/>
      <c r="S27" s="2"/>
      <c r="T27" s="2">
        <f>--2916990.85</f>
        <v>2916990.85</v>
      </c>
      <c r="U27" s="2"/>
      <c r="V27" s="19"/>
      <c r="W27" s="2"/>
      <c r="X27" s="2">
        <f t="shared" si="2"/>
        <v>-725520.66999999993</v>
      </c>
      <c r="Y27" s="2"/>
      <c r="Z27" s="19">
        <f t="shared" si="3"/>
        <v>-0.24872229887179795</v>
      </c>
    </row>
    <row r="28" spans="1:26" s="24" customFormat="1" hidden="1" outlineLevel="1" x14ac:dyDescent="0.35">
      <c r="A28" s="44"/>
      <c r="B28" s="11" t="str">
        <f>CONCATENATE("          ", "4152", " - ", "NON-TAXABLE SALES-FOOD")</f>
        <v xml:space="preserve">          4152 - NON-TAXABLE SALES-FOOD</v>
      </c>
      <c r="C28" s="11"/>
      <c r="D28" s="2">
        <f t="shared" si="7"/>
        <v>0</v>
      </c>
      <c r="E28" s="2"/>
      <c r="F28" s="19"/>
      <c r="G28" s="2"/>
      <c r="H28" s="2">
        <f>--3022.91</f>
        <v>3022.91</v>
      </c>
      <c r="I28" s="2"/>
      <c r="J28" s="19"/>
      <c r="K28" s="2"/>
      <c r="L28" s="2">
        <f t="shared" si="0"/>
        <v>-3022.91</v>
      </c>
      <c r="M28" s="2"/>
      <c r="N28" s="19">
        <f t="shared" si="1"/>
        <v>-1</v>
      </c>
      <c r="O28" s="11"/>
      <c r="P28" s="2">
        <f>--51415.27</f>
        <v>51415.27</v>
      </c>
      <c r="Q28" s="2"/>
      <c r="R28" s="19"/>
      <c r="S28" s="2"/>
      <c r="T28" s="2">
        <f>--79299.25</f>
        <v>79299.25</v>
      </c>
      <c r="U28" s="2"/>
      <c r="V28" s="19"/>
      <c r="W28" s="2"/>
      <c r="X28" s="2">
        <f t="shared" si="2"/>
        <v>-27883.980000000003</v>
      </c>
      <c r="Y28" s="2"/>
      <c r="Z28" s="19">
        <f t="shared" si="3"/>
        <v>-0.35162980734370125</v>
      </c>
    </row>
    <row r="29" spans="1:26" s="24" customFormat="1" hidden="1" outlineLevel="1" x14ac:dyDescent="0.35">
      <c r="A29" s="44"/>
      <c r="B29" s="11" t="str">
        <f>CONCATENATE("          ", "4153", " - ", "NON-TAXABLE SALES-FOOD")</f>
        <v xml:space="preserve">          4153 - NON-TAXABLE SALES-FOOD</v>
      </c>
      <c r="C29" s="11"/>
      <c r="D29" s="2">
        <f t="shared" si="7"/>
        <v>0</v>
      </c>
      <c r="E29" s="2"/>
      <c r="F29" s="19"/>
      <c r="G29" s="2"/>
      <c r="H29" s="2">
        <f>--302.25</f>
        <v>302.25</v>
      </c>
      <c r="I29" s="2"/>
      <c r="J29" s="19"/>
      <c r="K29" s="2"/>
      <c r="L29" s="2">
        <f t="shared" si="0"/>
        <v>-302.25</v>
      </c>
      <c r="M29" s="2"/>
      <c r="N29" s="19">
        <f t="shared" si="1"/>
        <v>-1</v>
      </c>
      <c r="O29" s="11"/>
      <c r="P29" s="2">
        <f>--12314.09</f>
        <v>12314.09</v>
      </c>
      <c r="Q29" s="2"/>
      <c r="R29" s="19"/>
      <c r="S29" s="2"/>
      <c r="T29" s="2">
        <f>--15057.8</f>
        <v>15057.8</v>
      </c>
      <c r="U29" s="2"/>
      <c r="V29" s="19"/>
      <c r="W29" s="2"/>
      <c r="X29" s="2">
        <f t="shared" si="2"/>
        <v>-2743.7099999999991</v>
      </c>
      <c r="Y29" s="2"/>
      <c r="Z29" s="19">
        <f t="shared" si="3"/>
        <v>-0.18221187690100807</v>
      </c>
    </row>
    <row r="30" spans="1:26" s="24" customFormat="1" hidden="1" outlineLevel="1" x14ac:dyDescent="0.35">
      <c r="A30" s="44"/>
      <c r="B30" s="11" t="str">
        <f>CONCATENATE("          ", "4155", " - ", "NON-TAXABLE SALES-FOOD")</f>
        <v xml:space="preserve">          4155 - NON-TAXABLE SALES-FOOD</v>
      </c>
      <c r="C30" s="11"/>
      <c r="D30" s="2">
        <f t="shared" si="7"/>
        <v>0</v>
      </c>
      <c r="E30" s="2"/>
      <c r="F30" s="19"/>
      <c r="G30" s="2"/>
      <c r="H30" s="2">
        <f>--23463.78</f>
        <v>23463.78</v>
      </c>
      <c r="I30" s="2"/>
      <c r="J30" s="19"/>
      <c r="K30" s="2"/>
      <c r="L30" s="2">
        <f t="shared" si="0"/>
        <v>-23463.78</v>
      </c>
      <c r="M30" s="2"/>
      <c r="N30" s="19">
        <f t="shared" si="1"/>
        <v>-1</v>
      </c>
      <c r="O30" s="11"/>
      <c r="P30" s="2">
        <f>--687389.73</f>
        <v>687389.73</v>
      </c>
      <c r="Q30" s="2"/>
      <c r="R30" s="19"/>
      <c r="S30" s="2"/>
      <c r="T30" s="2">
        <f>--913989.89</f>
        <v>913989.89</v>
      </c>
      <c r="U30" s="2"/>
      <c r="V30" s="19"/>
      <c r="W30" s="2"/>
      <c r="X30" s="2">
        <f t="shared" si="2"/>
        <v>-226600.16000000003</v>
      </c>
      <c r="Y30" s="2"/>
      <c r="Z30" s="19">
        <f t="shared" si="3"/>
        <v>-0.24792414279330818</v>
      </c>
    </row>
    <row r="31" spans="1:26" s="24" customFormat="1" hidden="1" outlineLevel="1" x14ac:dyDescent="0.35">
      <c r="A31" s="44"/>
      <c r="B31" s="11" t="str">
        <f>CONCATENATE("          ", "4157", " - ", "NON-TAXABLE SALES-FOOD")</f>
        <v xml:space="preserve">          4157 - NON-TAXABLE SALES-FOOD</v>
      </c>
      <c r="C31" s="11"/>
      <c r="D31" s="2">
        <f t="shared" si="7"/>
        <v>0</v>
      </c>
      <c r="E31" s="2"/>
      <c r="F31" s="19"/>
      <c r="G31" s="2"/>
      <c r="H31" s="2">
        <f t="shared" ref="H31:H33" si="8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--208</f>
        <v>208</v>
      </c>
      <c r="U31" s="2"/>
      <c r="V31" s="19"/>
      <c r="W31" s="2"/>
      <c r="X31" s="2">
        <f t="shared" si="2"/>
        <v>-208</v>
      </c>
      <c r="Y31" s="2"/>
      <c r="Z31" s="19">
        <f t="shared" si="3"/>
        <v>-1</v>
      </c>
    </row>
    <row r="32" spans="1:26" s="24" customFormat="1" hidden="1" outlineLevel="1" x14ac:dyDescent="0.35">
      <c r="A32" s="44"/>
      <c r="B32" s="11" t="str">
        <f>CONCATENATE("          ", "4158", " - ", "NON-TAXABLE SALES-FOOD")</f>
        <v xml:space="preserve">          4158 - NON-TAXABLE SALES-FOOD</v>
      </c>
      <c r="C32" s="11"/>
      <c r="D32" s="2">
        <f t="shared" si="7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--474853.67</f>
        <v>474853.67</v>
      </c>
      <c r="Q32" s="2"/>
      <c r="R32" s="19"/>
      <c r="S32" s="2"/>
      <c r="T32" s="2">
        <f>--597801.18</f>
        <v>597801.18000000005</v>
      </c>
      <c r="U32" s="2"/>
      <c r="V32" s="19"/>
      <c r="W32" s="2"/>
      <c r="X32" s="2">
        <f t="shared" si="2"/>
        <v>-122947.51000000007</v>
      </c>
      <c r="Y32" s="2"/>
      <c r="Z32" s="19">
        <f t="shared" si="3"/>
        <v>-0.20566622166921794</v>
      </c>
    </row>
    <row r="33" spans="1:26" s="24" customFormat="1" hidden="1" outlineLevel="1" x14ac:dyDescent="0.35">
      <c r="A33" s="44"/>
      <c r="B33" s="11" t="str">
        <f>CONCATENATE("          ", "4233", " - ", "SALES RETURN TAXABLE-CANDY")</f>
        <v xml:space="preserve">          4233 - SALES RETURN TAXABLE-CANDY</v>
      </c>
      <c r="C33" s="11"/>
      <c r="D33" s="2">
        <f t="shared" si="7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0</f>
        <v>0</v>
      </c>
      <c r="Q33" s="2"/>
      <c r="R33" s="19"/>
      <c r="S33" s="2"/>
      <c r="T33" s="2">
        <f>-1.69</f>
        <v>-1.69</v>
      </c>
      <c r="U33" s="2"/>
      <c r="V33" s="19"/>
      <c r="W33" s="2"/>
      <c r="X33" s="2">
        <f t="shared" si="2"/>
        <v>1.69</v>
      </c>
      <c r="Y33" s="2"/>
      <c r="Z33" s="19">
        <f t="shared" si="3"/>
        <v>-1</v>
      </c>
    </row>
    <row r="34" spans="1:26" x14ac:dyDescent="0.3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5">
      <c r="A35" s="10"/>
      <c r="B35" s="29" t="s">
        <v>8</v>
      </c>
      <c r="C35" s="10"/>
      <c r="D35" s="4">
        <f>SUM(OSRRefD16x_0)</f>
        <v>37553.06</v>
      </c>
      <c r="E35" s="4"/>
      <c r="F35" s="13">
        <f t="shared" ref="F35:F37" si="9">IF(D$12=0,0,D35/D$12)</f>
        <v>314.33045952958901</v>
      </c>
      <c r="G35" s="4"/>
      <c r="H35" s="4">
        <f>SUM(OSRRefH16x_0)</f>
        <v>120814.19999999998</v>
      </c>
      <c r="I35" s="4"/>
      <c r="J35" s="13">
        <f t="shared" ref="J35:J37" si="10">IF(H$12=0,0,H35/H$12)</f>
        <v>0.58644993869211792</v>
      </c>
      <c r="K35" s="4"/>
      <c r="L35" s="4">
        <f t="shared" ref="L35:L37" si="11">+D35-H35</f>
        <v>-83261.139999999985</v>
      </c>
      <c r="M35" s="4"/>
      <c r="N35" s="13">
        <f t="shared" ref="N35:N37" si="12">IF(H35=0,0,L35/H35)</f>
        <v>-0.68916683634870735</v>
      </c>
      <c r="O35" s="10"/>
      <c r="P35" s="4">
        <f>SUM(OSRRefP16x_0)</f>
        <v>2914716.1599999997</v>
      </c>
      <c r="Q35" s="4"/>
      <c r="R35" s="13">
        <f t="shared" ref="R35:R37" si="13">IF(P$12=0,0,P35/P$12)</f>
        <v>0.41732574964333385</v>
      </c>
      <c r="S35" s="4"/>
      <c r="T35" s="4">
        <f>SUM(OSRRefT16x_0)</f>
        <v>3639492.13</v>
      </c>
      <c r="U35" s="4"/>
      <c r="V35" s="13">
        <f t="shared" ref="V35:V37" si="14">IF(T$12=0,0,T35/T$12)</f>
        <v>0.36846250432001576</v>
      </c>
      <c r="W35" s="4"/>
      <c r="X35" s="4">
        <f t="shared" ref="X35:X37" si="15">+P35-T35</f>
        <v>-724775.9700000002</v>
      </c>
      <c r="Y35" s="4"/>
      <c r="Z35" s="13">
        <f t="shared" ref="Z35:Z37" si="16">IF(T35=0,0,X35/T35)</f>
        <v>-0.19914206271411836</v>
      </c>
    </row>
    <row r="36" spans="1:26" s="24" customFormat="1" hidden="1" outlineLevel="1" x14ac:dyDescent="0.35">
      <c r="A36" s="44"/>
      <c r="B36" s="11" t="str">
        <f>CONCATENATE("          ", "5053", " - ", "PURCHASES @ COST-FOOD")</f>
        <v xml:space="preserve">          5053 - PURCHASES @ COST-FOOD</v>
      </c>
      <c r="C36" s="11"/>
      <c r="D36" s="2">
        <v>-1135.94</v>
      </c>
      <c r="E36" s="2"/>
      <c r="F36" s="19">
        <f t="shared" si="9"/>
        <v>-9.5081610446137113</v>
      </c>
      <c r="G36" s="2"/>
      <c r="H36" s="2">
        <v>59720.509999999995</v>
      </c>
      <c r="I36" s="2"/>
      <c r="J36" s="19">
        <f t="shared" si="10"/>
        <v>0.28989216026064835</v>
      </c>
      <c r="K36" s="2"/>
      <c r="L36" s="2">
        <f t="shared" si="11"/>
        <v>-60856.45</v>
      </c>
      <c r="M36" s="2"/>
      <c r="N36" s="19">
        <f t="shared" si="12"/>
        <v>-1.0190209360234868</v>
      </c>
      <c r="O36" s="11"/>
      <c r="P36" s="2">
        <v>2758827.3699999996</v>
      </c>
      <c r="Q36" s="2"/>
      <c r="R36" s="19">
        <f t="shared" si="13"/>
        <v>0.39500576972880858</v>
      </c>
      <c r="S36" s="2"/>
      <c r="T36" s="2">
        <v>3554764.88</v>
      </c>
      <c r="U36" s="2"/>
      <c r="V36" s="19">
        <f t="shared" si="14"/>
        <v>0.35988471005531214</v>
      </c>
      <c r="W36" s="2"/>
      <c r="X36" s="2">
        <f t="shared" si="15"/>
        <v>-795937.51000000024</v>
      </c>
      <c r="Y36" s="2"/>
      <c r="Z36" s="19">
        <f t="shared" si="16"/>
        <v>-0.22390721661456278</v>
      </c>
    </row>
    <row r="37" spans="1:26" s="24" customFormat="1" hidden="1" outlineLevel="1" x14ac:dyDescent="0.35">
      <c r="A37" s="44"/>
      <c r="B37" s="11" t="str">
        <f>CONCATENATE("          ", "5059", " - ", "PURCHASES @ COST-FOOD")</f>
        <v xml:space="preserve">          5059 - PURCHASES @ COST-FOOD</v>
      </c>
      <c r="C37" s="11"/>
      <c r="D37" s="2">
        <v>38689</v>
      </c>
      <c r="E37" s="2"/>
      <c r="F37" s="19">
        <f t="shared" si="9"/>
        <v>323.83862057420271</v>
      </c>
      <c r="G37" s="2"/>
      <c r="H37" s="2">
        <v>61093.689999999995</v>
      </c>
      <c r="I37" s="2"/>
      <c r="J37" s="19">
        <f t="shared" si="10"/>
        <v>0.29655777843146963</v>
      </c>
      <c r="K37" s="2"/>
      <c r="L37" s="2">
        <f t="shared" si="11"/>
        <v>-22404.689999999995</v>
      </c>
      <c r="M37" s="2"/>
      <c r="N37" s="19">
        <f t="shared" si="12"/>
        <v>-0.3667267437930169</v>
      </c>
      <c r="O37" s="11"/>
      <c r="P37" s="2">
        <v>155888.78999999998</v>
      </c>
      <c r="Q37" s="2"/>
      <c r="R37" s="19">
        <f t="shared" si="13"/>
        <v>2.2319979914525279E-2</v>
      </c>
      <c r="S37" s="2"/>
      <c r="T37" s="2">
        <v>84727.25</v>
      </c>
      <c r="U37" s="2"/>
      <c r="V37" s="19">
        <f t="shared" si="14"/>
        <v>8.5777942647036459E-3</v>
      </c>
      <c r="W37" s="2"/>
      <c r="X37" s="2">
        <f t="shared" si="15"/>
        <v>71161.539999999979</v>
      </c>
      <c r="Y37" s="2"/>
      <c r="Z37" s="19">
        <f t="shared" si="16"/>
        <v>0.83988964589314508</v>
      </c>
    </row>
    <row r="38" spans="1:26" x14ac:dyDescent="0.3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35">
      <c r="A39" s="10"/>
      <c r="B39" s="28" t="s">
        <v>6</v>
      </c>
      <c r="C39" s="28"/>
      <c r="D39" s="22">
        <f>D12-D35</f>
        <v>-37433.589999999997</v>
      </c>
      <c r="E39" s="14"/>
      <c r="F39" s="21">
        <f>IF(D$12=0,0,D39/D$12)</f>
        <v>-313.33045952958901</v>
      </c>
      <c r="G39" s="14"/>
      <c r="H39" s="22">
        <f>H12-H35</f>
        <v>85195.199999999983</v>
      </c>
      <c r="I39" s="14"/>
      <c r="J39" s="21">
        <f>IF(H$12=0,0,H39/H$12)</f>
        <v>0.41355006130788208</v>
      </c>
      <c r="K39" s="15"/>
      <c r="L39" s="22">
        <f>+D39-H39</f>
        <v>-122628.78999999998</v>
      </c>
      <c r="M39" s="15"/>
      <c r="N39" s="21">
        <f>IF(H39=0,0,L39/H39)</f>
        <v>-1.439386139125209</v>
      </c>
      <c r="O39" s="29"/>
      <c r="P39" s="22">
        <f>P12-P35</f>
        <v>4069554.9100000006</v>
      </c>
      <c r="Q39" s="14"/>
      <c r="R39" s="21">
        <f>IF(P$12=0,0,P39/P$12)</f>
        <v>0.58267425035666609</v>
      </c>
      <c r="S39" s="14"/>
      <c r="T39" s="22">
        <f>T12-T35</f>
        <v>6238018.0300000003</v>
      </c>
      <c r="U39" s="14"/>
      <c r="V39" s="21">
        <f>IF(T$12=0,0,T39/T$12)</f>
        <v>0.63153749567998418</v>
      </c>
      <c r="W39" s="15"/>
      <c r="X39" s="22">
        <f>+P39-T39</f>
        <v>-2168463.1199999996</v>
      </c>
      <c r="Y39" s="15"/>
      <c r="Z39" s="21">
        <f>IF(T39=0,0,X39/T39)</f>
        <v>-0.34762052779767288</v>
      </c>
    </row>
    <row r="40" spans="1:26" x14ac:dyDescent="0.35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35">
      <c r="A41" s="10"/>
      <c r="B41" s="29" t="s">
        <v>9</v>
      </c>
      <c r="C41" s="10"/>
      <c r="D41" s="20">
        <f>SUM(OSRRefD22x_0)</f>
        <v>187952.15999999995</v>
      </c>
      <c r="E41" s="20"/>
      <c r="F41" s="36">
        <f t="shared" ref="F41:F51" si="17">IF(D$12=0,0,D41/D$12)</f>
        <v>1573.21637231104</v>
      </c>
      <c r="G41" s="20"/>
      <c r="H41" s="20">
        <f>SUM(OSRRefH22x_0)</f>
        <v>425981.10000000003</v>
      </c>
      <c r="I41" s="20"/>
      <c r="J41" s="36">
        <f t="shared" ref="J41:J51" si="18">IF(H$12=0,0,H41/H$12)</f>
        <v>2.0677750626913145</v>
      </c>
      <c r="K41" s="4"/>
      <c r="L41" s="20">
        <f t="shared" ref="L41:L51" si="19">+D41-H41</f>
        <v>-238028.94000000009</v>
      </c>
      <c r="M41" s="4"/>
      <c r="N41" s="36">
        <f t="shared" ref="N41:N51" si="20">IF(H41=0,0,L41/H41)</f>
        <v>-0.55877817114421291</v>
      </c>
      <c r="O41" s="10"/>
      <c r="P41" s="20">
        <f>SUM(OSRRefP22x_0)</f>
        <v>5914692.8799999999</v>
      </c>
      <c r="Q41" s="20"/>
      <c r="R41" s="36">
        <f t="shared" ref="R41:R51" si="21">IF(P$12=0,0,P41/P$12)</f>
        <v>0.846859009439907</v>
      </c>
      <c r="S41" s="20"/>
      <c r="T41" s="20">
        <f>SUM(OSRRefT22x_0)</f>
        <v>6876589.1500000004</v>
      </c>
      <c r="U41" s="20"/>
      <c r="V41" s="36">
        <f t="shared" ref="V41:V51" si="22">IF(T$12=0,0,T41/T$12)</f>
        <v>0.69618649220402318</v>
      </c>
      <c r="W41" s="4"/>
      <c r="X41" s="20">
        <f t="shared" ref="X41:X51" si="23">+P41-T41</f>
        <v>-961896.27000000048</v>
      </c>
      <c r="Y41" s="4"/>
      <c r="Z41" s="36">
        <f t="shared" ref="Z41:Z51" si="24">IF(T41=0,0,X41/T41)</f>
        <v>-0.13987985162673278</v>
      </c>
    </row>
    <row r="42" spans="1:26" s="25" customFormat="1" outlineLevel="1" collapsed="1" x14ac:dyDescent="0.35">
      <c r="A42" s="26"/>
      <c r="B42" s="12" t="str">
        <f>CONCATENATE("     ","*Benefits                                         ")</f>
        <v xml:space="preserve">     *Benefits                                         </v>
      </c>
      <c r="C42" s="12"/>
      <c r="D42" s="1">
        <f>SUM(OSRRefD22_0x_0)</f>
        <v>26320.14</v>
      </c>
      <c r="E42" s="1"/>
      <c r="F42" s="5">
        <f t="shared" si="17"/>
        <v>220.30752490164895</v>
      </c>
      <c r="G42" s="1"/>
      <c r="H42" s="1">
        <f>SUM(OSRRefH22_0x_0)</f>
        <v>63269.57</v>
      </c>
      <c r="I42" s="1"/>
      <c r="J42" s="5">
        <f t="shared" si="18"/>
        <v>0.30711982074604366</v>
      </c>
      <c r="K42" s="1"/>
      <c r="L42" s="1">
        <f t="shared" si="19"/>
        <v>-36949.43</v>
      </c>
      <c r="M42" s="1"/>
      <c r="N42" s="5">
        <f t="shared" si="20"/>
        <v>-0.5840000177020328</v>
      </c>
      <c r="O42" s="12"/>
      <c r="P42" s="1">
        <f>SUM(OSRRefP22_0x_0)</f>
        <v>781747.87</v>
      </c>
      <c r="Q42" s="1"/>
      <c r="R42" s="5">
        <f t="shared" si="21"/>
        <v>0.11192977222174166</v>
      </c>
      <c r="S42" s="1"/>
      <c r="T42" s="1">
        <f>SUM(OSRRefT22_0x_0)</f>
        <v>882321.0199999999</v>
      </c>
      <c r="U42" s="1"/>
      <c r="V42" s="5">
        <f t="shared" si="22"/>
        <v>8.9326257903844047E-2</v>
      </c>
      <c r="W42" s="1"/>
      <c r="X42" s="1">
        <f t="shared" si="23"/>
        <v>-100573.14999999991</v>
      </c>
      <c r="Y42" s="1"/>
      <c r="Z42" s="5">
        <f t="shared" si="24"/>
        <v>-0.11398702708000759</v>
      </c>
    </row>
    <row r="43" spans="1:26" s="24" customFormat="1" hidden="1" outlineLevel="2" x14ac:dyDescent="0.35">
      <c r="A43" s="27"/>
      <c r="B43" s="11" t="str">
        <f>CONCATENATE("          ", "6111", " - ", "F.I.C.A.")</f>
        <v xml:space="preserve">          6111 - F.I.C.A.</v>
      </c>
      <c r="C43" s="11"/>
      <c r="D43" s="7">
        <v>3740.32</v>
      </c>
      <c r="E43" s="2"/>
      <c r="F43" s="6">
        <f t="shared" si="17"/>
        <v>31.30760860467063</v>
      </c>
      <c r="G43" s="2"/>
      <c r="H43" s="7">
        <v>13267.18</v>
      </c>
      <c r="I43" s="2"/>
      <c r="J43" s="6">
        <f t="shared" si="18"/>
        <v>6.440084772830755E-2</v>
      </c>
      <c r="K43" s="2"/>
      <c r="L43" s="7">
        <f t="shared" si="19"/>
        <v>-9526.86</v>
      </c>
      <c r="M43" s="2"/>
      <c r="N43" s="6">
        <f t="shared" si="20"/>
        <v>-0.71807724022738817</v>
      </c>
      <c r="O43" s="11"/>
      <c r="P43" s="7">
        <v>161110.72</v>
      </c>
      <c r="Q43" s="2"/>
      <c r="R43" s="6">
        <f t="shared" si="21"/>
        <v>2.3067649921554377E-2</v>
      </c>
      <c r="S43" s="2"/>
      <c r="T43" s="7">
        <v>168771.27</v>
      </c>
      <c r="U43" s="2"/>
      <c r="V43" s="6">
        <f t="shared" si="22"/>
        <v>1.7086418263932212E-2</v>
      </c>
      <c r="W43" s="2"/>
      <c r="X43" s="7">
        <f t="shared" si="23"/>
        <v>-7660.5499999999884</v>
      </c>
      <c r="Y43" s="2"/>
      <c r="Z43" s="6">
        <f t="shared" si="24"/>
        <v>-4.5390130678047209E-2</v>
      </c>
    </row>
    <row r="44" spans="1:26" s="24" customFormat="1" hidden="1" outlineLevel="2" x14ac:dyDescent="0.35">
      <c r="A44" s="27"/>
      <c r="B44" s="11" t="str">
        <f>CONCATENATE("          ", "6112", " - ", "COMPENSATION INSURANCE")</f>
        <v xml:space="preserve">          6112 - COMPENSATION INSURANCE</v>
      </c>
      <c r="C44" s="11"/>
      <c r="D44" s="7">
        <v>1030.26</v>
      </c>
      <c r="E44" s="2"/>
      <c r="F44" s="6">
        <f t="shared" si="17"/>
        <v>8.6235875115091662</v>
      </c>
      <c r="G44" s="2"/>
      <c r="H44" s="7">
        <v>8363.0300000000007</v>
      </c>
      <c r="I44" s="2"/>
      <c r="J44" s="6">
        <f t="shared" si="18"/>
        <v>4.0595380599137719E-2</v>
      </c>
      <c r="K44" s="2"/>
      <c r="L44" s="7">
        <f t="shared" si="19"/>
        <v>-7332.77</v>
      </c>
      <c r="M44" s="2"/>
      <c r="N44" s="6">
        <f t="shared" si="20"/>
        <v>-0.8768078076964928</v>
      </c>
      <c r="O44" s="11"/>
      <c r="P44" s="7">
        <v>81411.14</v>
      </c>
      <c r="Q44" s="2"/>
      <c r="R44" s="6">
        <f t="shared" si="21"/>
        <v>1.165635456929652E-2</v>
      </c>
      <c r="S44" s="2"/>
      <c r="T44" s="7">
        <v>91223.44</v>
      </c>
      <c r="U44" s="2"/>
      <c r="V44" s="6">
        <f t="shared" si="22"/>
        <v>9.235469113402563E-3</v>
      </c>
      <c r="W44" s="2"/>
      <c r="X44" s="7">
        <f t="shared" si="23"/>
        <v>-9812.3000000000029</v>
      </c>
      <c r="Y44" s="2"/>
      <c r="Z44" s="6">
        <f t="shared" si="24"/>
        <v>-0.10756336310053648</v>
      </c>
    </row>
    <row r="45" spans="1:26" s="24" customFormat="1" hidden="1" outlineLevel="2" x14ac:dyDescent="0.35">
      <c r="A45" s="27"/>
      <c r="B45" s="11" t="str">
        <f>CONCATENATE("          ", "6113", " - ", "GROUP INSURANCE")</f>
        <v xml:space="preserve">          6113 - GROUP INSURANCE</v>
      </c>
      <c r="C45" s="11"/>
      <c r="D45" s="7">
        <v>18239.099999999999</v>
      </c>
      <c r="E45" s="2"/>
      <c r="F45" s="6">
        <f t="shared" si="17"/>
        <v>152.66677827069557</v>
      </c>
      <c r="G45" s="2"/>
      <c r="H45" s="7">
        <v>27634.16</v>
      </c>
      <c r="I45" s="2"/>
      <c r="J45" s="6">
        <f t="shared" si="18"/>
        <v>0.13414028680244691</v>
      </c>
      <c r="K45" s="2"/>
      <c r="L45" s="7">
        <f t="shared" si="19"/>
        <v>-9395.0600000000013</v>
      </c>
      <c r="M45" s="2"/>
      <c r="N45" s="6">
        <f t="shared" si="20"/>
        <v>-0.33997993787399367</v>
      </c>
      <c r="O45" s="11"/>
      <c r="P45" s="7">
        <v>313890.68</v>
      </c>
      <c r="Q45" s="2"/>
      <c r="R45" s="6">
        <f t="shared" si="21"/>
        <v>4.4942511087273707E-2</v>
      </c>
      <c r="S45" s="2"/>
      <c r="T45" s="7">
        <v>329637.94999999995</v>
      </c>
      <c r="U45" s="2"/>
      <c r="V45" s="6">
        <f t="shared" si="22"/>
        <v>3.3372575138915367E-2</v>
      </c>
      <c r="W45" s="2"/>
      <c r="X45" s="7">
        <f t="shared" si="23"/>
        <v>-15747.26999999996</v>
      </c>
      <c r="Y45" s="2"/>
      <c r="Z45" s="6">
        <f t="shared" si="24"/>
        <v>-4.7771411028372075E-2</v>
      </c>
    </row>
    <row r="46" spans="1:26" s="24" customFormat="1" hidden="1" outlineLevel="2" x14ac:dyDescent="0.35">
      <c r="A46" s="27"/>
      <c r="B46" s="11" t="str">
        <f>CONCATENATE("          ", "6114", " - ", "STATE UNEMPLOYMENT INSURANCE")</f>
        <v xml:space="preserve">          6114 - STATE UNEMPLOYMENT INSURANCE</v>
      </c>
      <c r="C46" s="11"/>
      <c r="D46" s="7">
        <v>-7547.47</v>
      </c>
      <c r="E46" s="2"/>
      <c r="F46" s="6">
        <f t="shared" si="17"/>
        <v>-63.174604503222568</v>
      </c>
      <c r="G46" s="2"/>
      <c r="H46" s="7">
        <v>722.22</v>
      </c>
      <c r="I46" s="2"/>
      <c r="J46" s="6">
        <f t="shared" si="18"/>
        <v>3.5057623584166557E-3</v>
      </c>
      <c r="K46" s="2"/>
      <c r="L46" s="7">
        <f t="shared" si="19"/>
        <v>-8269.69</v>
      </c>
      <c r="M46" s="2"/>
      <c r="N46" s="6">
        <f t="shared" si="20"/>
        <v>-11.450375231923791</v>
      </c>
      <c r="O46" s="11"/>
      <c r="P46" s="7">
        <v>0</v>
      </c>
      <c r="Q46" s="2"/>
      <c r="R46" s="6">
        <f t="shared" si="21"/>
        <v>0</v>
      </c>
      <c r="S46" s="2"/>
      <c r="T46" s="7">
        <v>8759.25</v>
      </c>
      <c r="U46" s="2"/>
      <c r="V46" s="6">
        <f t="shared" si="22"/>
        <v>8.8678724274782216E-4</v>
      </c>
      <c r="W46" s="2"/>
      <c r="X46" s="7">
        <f t="shared" si="23"/>
        <v>-8759.25</v>
      </c>
      <c r="Y46" s="2"/>
      <c r="Z46" s="6">
        <f t="shared" si="24"/>
        <v>-1</v>
      </c>
    </row>
    <row r="47" spans="1:26" s="24" customFormat="1" hidden="1" outlineLevel="2" x14ac:dyDescent="0.35">
      <c r="A47" s="27"/>
      <c r="B47" s="11" t="str">
        <f>CONCATENATE("          ", "6115", " - ", "P.E.R.S.")</f>
        <v xml:space="preserve">          6115 - P.E.R.S.</v>
      </c>
      <c r="C47" s="11"/>
      <c r="D47" s="7">
        <v>4349.3900000000003</v>
      </c>
      <c r="E47" s="2"/>
      <c r="F47" s="6">
        <f t="shared" si="17"/>
        <v>36.405708546078515</v>
      </c>
      <c r="G47" s="2"/>
      <c r="H47" s="7"/>
      <c r="I47" s="2"/>
      <c r="J47" s="6">
        <f t="shared" si="18"/>
        <v>0</v>
      </c>
      <c r="K47" s="2"/>
      <c r="L47" s="7">
        <f t="shared" si="19"/>
        <v>4349.3900000000003</v>
      </c>
      <c r="M47" s="2"/>
      <c r="N47" s="6">
        <f t="shared" si="20"/>
        <v>0</v>
      </c>
      <c r="O47" s="11"/>
      <c r="P47" s="7">
        <v>96972.78</v>
      </c>
      <c r="Q47" s="2"/>
      <c r="R47" s="6">
        <f t="shared" si="21"/>
        <v>1.3884452511663467E-2</v>
      </c>
      <c r="S47" s="2"/>
      <c r="T47" s="7">
        <v>93392.71</v>
      </c>
      <c r="U47" s="2"/>
      <c r="V47" s="6">
        <f t="shared" si="22"/>
        <v>9.4550861995772433E-3</v>
      </c>
      <c r="W47" s="2"/>
      <c r="X47" s="7">
        <f t="shared" si="23"/>
        <v>3580.0699999999924</v>
      </c>
      <c r="Y47" s="2"/>
      <c r="Z47" s="6">
        <f t="shared" si="24"/>
        <v>3.8333505902120112E-2</v>
      </c>
    </row>
    <row r="48" spans="1:26" s="24" customFormat="1" hidden="1" outlineLevel="2" x14ac:dyDescent="0.35">
      <c r="A48" s="27"/>
      <c r="B48" s="11" t="str">
        <f>CONCATENATE("          ", "6117", " - ", "RETIREMENT STAFF HOURLY")</f>
        <v xml:space="preserve">          6117 - RETIREMENT STAFF HOURLY</v>
      </c>
      <c r="C48" s="11"/>
      <c r="D48" s="7"/>
      <c r="E48" s="2"/>
      <c r="F48" s="6">
        <f t="shared" si="17"/>
        <v>0</v>
      </c>
      <c r="G48" s="2"/>
      <c r="H48" s="7">
        <v>56</v>
      </c>
      <c r="I48" s="2"/>
      <c r="J48" s="6">
        <f t="shared" si="18"/>
        <v>2.7183225619801821E-4</v>
      </c>
      <c r="K48" s="2"/>
      <c r="L48" s="7">
        <f t="shared" si="19"/>
        <v>-56</v>
      </c>
      <c r="M48" s="2"/>
      <c r="N48" s="6">
        <f t="shared" si="20"/>
        <v>-1</v>
      </c>
      <c r="O48" s="11"/>
      <c r="P48" s="7">
        <v>1352.45</v>
      </c>
      <c r="Q48" s="2"/>
      <c r="R48" s="6">
        <f t="shared" si="21"/>
        <v>1.9364225506785779E-4</v>
      </c>
      <c r="S48" s="2"/>
      <c r="T48" s="7">
        <v>728</v>
      </c>
      <c r="U48" s="2"/>
      <c r="V48" s="6">
        <f t="shared" si="22"/>
        <v>7.3702784224724093E-5</v>
      </c>
      <c r="W48" s="2"/>
      <c r="X48" s="7">
        <f t="shared" si="23"/>
        <v>624.45000000000005</v>
      </c>
      <c r="Y48" s="2"/>
      <c r="Z48" s="6">
        <f t="shared" si="24"/>
        <v>0.85776098901098907</v>
      </c>
    </row>
    <row r="49" spans="1:26" s="24" customFormat="1" hidden="1" outlineLevel="2" x14ac:dyDescent="0.35">
      <c r="A49" s="27"/>
      <c r="B49" s="11" t="str">
        <f>CONCATENATE("          ", "6118", " - ", "VACATION")</f>
        <v xml:space="preserve">          6118 - VACATION</v>
      </c>
      <c r="C49" s="11"/>
      <c r="D49" s="7">
        <v>3509.82</v>
      </c>
      <c r="E49" s="2"/>
      <c r="F49" s="6">
        <f t="shared" si="17"/>
        <v>29.378253954967775</v>
      </c>
      <c r="G49" s="2"/>
      <c r="H49" s="7">
        <v>5630.86</v>
      </c>
      <c r="I49" s="2"/>
      <c r="J49" s="6">
        <f t="shared" si="18"/>
        <v>2.7333024609556656E-2</v>
      </c>
      <c r="K49" s="2"/>
      <c r="L49" s="7">
        <f t="shared" si="19"/>
        <v>-2121.0399999999995</v>
      </c>
      <c r="M49" s="2"/>
      <c r="N49" s="6">
        <f t="shared" si="20"/>
        <v>-0.37668135950813902</v>
      </c>
      <c r="O49" s="11"/>
      <c r="P49" s="7">
        <v>91985.75</v>
      </c>
      <c r="Q49" s="2"/>
      <c r="R49" s="6">
        <f t="shared" si="21"/>
        <v>1.3170415219866316E-2</v>
      </c>
      <c r="S49" s="2"/>
      <c r="T49" s="7">
        <v>84971.56</v>
      </c>
      <c r="U49" s="2"/>
      <c r="V49" s="6">
        <f t="shared" si="22"/>
        <v>8.6025282306568633E-3</v>
      </c>
      <c r="W49" s="2"/>
      <c r="X49" s="7">
        <f t="shared" si="23"/>
        <v>7014.1900000000023</v>
      </c>
      <c r="Y49" s="2"/>
      <c r="Z49" s="6">
        <f t="shared" si="24"/>
        <v>8.2547501775888335E-2</v>
      </c>
    </row>
    <row r="50" spans="1:26" s="24" customFormat="1" hidden="1" outlineLevel="2" x14ac:dyDescent="0.35">
      <c r="A50" s="27"/>
      <c r="B50" s="11" t="str">
        <f>CONCATENATE("          ", "6119", " - ", "SICK LEAVE")</f>
        <v xml:space="preserve">          6119 - SICK LEAVE</v>
      </c>
      <c r="C50" s="11"/>
      <c r="D50" s="7">
        <v>2296.34</v>
      </c>
      <c r="E50" s="2"/>
      <c r="F50" s="6">
        <f t="shared" si="17"/>
        <v>19.221059680254459</v>
      </c>
      <c r="G50" s="2"/>
      <c r="H50" s="7">
        <v>4709.3</v>
      </c>
      <c r="I50" s="2"/>
      <c r="J50" s="6">
        <f t="shared" si="18"/>
        <v>2.28596365020237E-2</v>
      </c>
      <c r="K50" s="2"/>
      <c r="L50" s="7">
        <f t="shared" si="19"/>
        <v>-2412.96</v>
      </c>
      <c r="M50" s="2"/>
      <c r="N50" s="6">
        <f t="shared" si="20"/>
        <v>-0.51238188265771978</v>
      </c>
      <c r="O50" s="11"/>
      <c r="P50" s="7">
        <v>3228.11</v>
      </c>
      <c r="Q50" s="2"/>
      <c r="R50" s="6">
        <f t="shared" si="21"/>
        <v>4.6219712374365217E-4</v>
      </c>
      <c r="S50" s="2"/>
      <c r="T50" s="7">
        <v>66488.600000000006</v>
      </c>
      <c r="U50" s="2"/>
      <c r="V50" s="6">
        <f t="shared" si="22"/>
        <v>6.7313117296758122E-3</v>
      </c>
      <c r="W50" s="2"/>
      <c r="X50" s="7">
        <f t="shared" si="23"/>
        <v>-63260.490000000005</v>
      </c>
      <c r="Y50" s="2"/>
      <c r="Z50" s="6">
        <f t="shared" si="24"/>
        <v>-0.95144866939595663</v>
      </c>
    </row>
    <row r="51" spans="1:26" s="24" customFormat="1" hidden="1" outlineLevel="2" x14ac:dyDescent="0.35">
      <c r="A51" s="27"/>
      <c r="B51" s="11" t="str">
        <f>CONCATENATE("          ", "6156", " - ", "EMPLOYEE MEALS")</f>
        <v xml:space="preserve">          6156 - EMPLOYEE MEALS</v>
      </c>
      <c r="C51" s="11"/>
      <c r="D51" s="7">
        <v>702.38</v>
      </c>
      <c r="E51" s="2"/>
      <c r="F51" s="6">
        <f t="shared" si="17"/>
        <v>5.8791328366954048</v>
      </c>
      <c r="G51" s="2"/>
      <c r="H51" s="7">
        <v>2886.82</v>
      </c>
      <c r="I51" s="2"/>
      <c r="J51" s="6">
        <f t="shared" si="18"/>
        <v>1.4013049889956481E-2</v>
      </c>
      <c r="K51" s="2"/>
      <c r="L51" s="7">
        <f t="shared" si="19"/>
        <v>-2184.44</v>
      </c>
      <c r="M51" s="2"/>
      <c r="N51" s="6">
        <f t="shared" si="20"/>
        <v>-0.7566942171662937</v>
      </c>
      <c r="O51" s="11"/>
      <c r="P51" s="7">
        <v>31796.240000000002</v>
      </c>
      <c r="Q51" s="2"/>
      <c r="R51" s="6">
        <f t="shared" si="21"/>
        <v>4.5525495332757755E-3</v>
      </c>
      <c r="S51" s="2"/>
      <c r="T51" s="7">
        <v>38348.239999999998</v>
      </c>
      <c r="U51" s="2"/>
      <c r="V51" s="6">
        <f t="shared" si="22"/>
        <v>3.8823792007114471E-3</v>
      </c>
      <c r="W51" s="2"/>
      <c r="X51" s="7">
        <f t="shared" si="23"/>
        <v>-6551.9999999999964</v>
      </c>
      <c r="Y51" s="2"/>
      <c r="Z51" s="6">
        <f t="shared" si="24"/>
        <v>-0.17085529870471231</v>
      </c>
    </row>
    <row r="52" spans="1:26" s="25" customFormat="1" outlineLevel="1" collapsed="1" x14ac:dyDescent="0.35">
      <c r="A52" s="26"/>
      <c r="B52" s="12" t="str">
        <f>CONCATENATE("     ","*Payroll                                          ")</f>
        <v xml:space="preserve">     *Payroll                                          </v>
      </c>
      <c r="C52" s="12"/>
      <c r="D52" s="1">
        <f>SUM(OSRRefD22_1x_0)</f>
        <v>40354.03</v>
      </c>
      <c r="E52" s="1"/>
      <c r="F52" s="5">
        <f t="shared" ref="F52:F59" si="25">IF(D$12=0,0,D52/D$12)</f>
        <v>337.775424792835</v>
      </c>
      <c r="G52" s="1"/>
      <c r="H52" s="1">
        <f>SUM(OSRRefH22_1x_0)</f>
        <v>167555.22999999998</v>
      </c>
      <c r="I52" s="1"/>
      <c r="J52" s="5">
        <f t="shared" ref="J52:J59" si="26">IF(H$12=0,0,H52/H$12)</f>
        <v>0.81333778944067603</v>
      </c>
      <c r="K52" s="1"/>
      <c r="L52" s="1">
        <f t="shared" ref="L52:L59" si="27">+D52-H52</f>
        <v>-127201.19999999998</v>
      </c>
      <c r="M52" s="1"/>
      <c r="N52" s="5">
        <f t="shared" ref="N52:N59" si="28">IF(H52=0,0,L52/H52)</f>
        <v>-0.75915983046306579</v>
      </c>
      <c r="O52" s="12"/>
      <c r="P52" s="1">
        <f>SUM(OSRRefP22_1x_0)</f>
        <v>2681909.44</v>
      </c>
      <c r="Q52" s="1"/>
      <c r="R52" s="5">
        <f t="shared" ref="R52:R59" si="29">IF(P$12=0,0,P52/P$12)</f>
        <v>0.38399274786452409</v>
      </c>
      <c r="S52" s="1"/>
      <c r="T52" s="1">
        <f>SUM(OSRRefT22_1x_0)</f>
        <v>3136079.9699999997</v>
      </c>
      <c r="U52" s="1"/>
      <c r="V52" s="5">
        <f t="shared" ref="V52:V59" si="30">IF(T$12=0,0,T52/T$12)</f>
        <v>0.31749701283020493</v>
      </c>
      <c r="W52" s="1"/>
      <c r="X52" s="1">
        <f t="shared" ref="X52:X59" si="31">+P52-T52</f>
        <v>-454170.5299999998</v>
      </c>
      <c r="Y52" s="1"/>
      <c r="Z52" s="5">
        <f t="shared" ref="Z52:Z59" si="32">IF(T52=0,0,X52/T52)</f>
        <v>-0.14482109332180065</v>
      </c>
    </row>
    <row r="53" spans="1:26" s="24" customFormat="1" hidden="1" outlineLevel="2" x14ac:dyDescent="0.35">
      <c r="A53" s="27"/>
      <c r="B53" s="11" t="str">
        <f>CONCATENATE("          ", "6001", " - ", "ADMINISTRATIVE SALARIES")</f>
        <v xml:space="preserve">          6001 - ADMINISTRATIVE SALARIES</v>
      </c>
      <c r="C53" s="11"/>
      <c r="D53" s="7">
        <v>7748.5</v>
      </c>
      <c r="E53" s="2"/>
      <c r="F53" s="6">
        <f t="shared" si="25"/>
        <v>64.857286348037164</v>
      </c>
      <c r="G53" s="2"/>
      <c r="H53" s="7">
        <v>17438.88</v>
      </c>
      <c r="I53" s="2"/>
      <c r="J53" s="6">
        <f t="shared" si="26"/>
        <v>8.4650894570830276E-2</v>
      </c>
      <c r="K53" s="2"/>
      <c r="L53" s="7">
        <f t="shared" si="27"/>
        <v>-9690.380000000001</v>
      </c>
      <c r="M53" s="2"/>
      <c r="N53" s="6">
        <f t="shared" si="28"/>
        <v>-0.5556767407081189</v>
      </c>
      <c r="O53" s="11"/>
      <c r="P53" s="7">
        <v>187186.24</v>
      </c>
      <c r="Q53" s="2"/>
      <c r="R53" s="6">
        <f t="shared" si="29"/>
        <v>2.6801113262060142E-2</v>
      </c>
      <c r="S53" s="2"/>
      <c r="T53" s="7">
        <v>204636.1</v>
      </c>
      <c r="U53" s="2"/>
      <c r="V53" s="6">
        <f t="shared" si="30"/>
        <v>2.0717376817155308E-2</v>
      </c>
      <c r="W53" s="2"/>
      <c r="X53" s="7">
        <f t="shared" si="31"/>
        <v>-17449.860000000015</v>
      </c>
      <c r="Y53" s="2"/>
      <c r="Z53" s="6">
        <f t="shared" si="32"/>
        <v>-8.5272637623566974E-2</v>
      </c>
    </row>
    <row r="54" spans="1:26" s="24" customFormat="1" hidden="1" outlineLevel="2" x14ac:dyDescent="0.35">
      <c r="A54" s="27"/>
      <c r="B54" s="11" t="str">
        <f>CONCATENATE("          ", "6002", " - ", "STAFF SALARIES")</f>
        <v xml:space="preserve">          6002 - STAFF SALARIES</v>
      </c>
      <c r="C54" s="11"/>
      <c r="D54" s="7">
        <v>32605.53</v>
      </c>
      <c r="E54" s="2"/>
      <c r="F54" s="6">
        <f t="shared" si="25"/>
        <v>272.91813844479788</v>
      </c>
      <c r="G54" s="2"/>
      <c r="H54" s="7">
        <v>61128.579999999994</v>
      </c>
      <c r="I54" s="2"/>
      <c r="J54" s="6">
        <f t="shared" si="26"/>
        <v>0.29672713963537589</v>
      </c>
      <c r="K54" s="2"/>
      <c r="L54" s="7">
        <f t="shared" si="27"/>
        <v>-28523.049999999996</v>
      </c>
      <c r="M54" s="2"/>
      <c r="N54" s="6">
        <f t="shared" si="28"/>
        <v>-0.46660743632520169</v>
      </c>
      <c r="O54" s="11"/>
      <c r="P54" s="7">
        <v>797718.80999999994</v>
      </c>
      <c r="Q54" s="2"/>
      <c r="R54" s="6">
        <f t="shared" si="29"/>
        <v>0.11421647327328031</v>
      </c>
      <c r="S54" s="2"/>
      <c r="T54" s="7">
        <v>896382.49</v>
      </c>
      <c r="U54" s="2"/>
      <c r="V54" s="6">
        <f t="shared" si="30"/>
        <v>9.0749842367157843E-2</v>
      </c>
      <c r="W54" s="2"/>
      <c r="X54" s="7">
        <f t="shared" si="31"/>
        <v>-98663.680000000051</v>
      </c>
      <c r="Y54" s="2"/>
      <c r="Z54" s="6">
        <f t="shared" si="32"/>
        <v>-0.1100687274692303</v>
      </c>
    </row>
    <row r="55" spans="1:26" s="24" customFormat="1" hidden="1" outlineLevel="2" x14ac:dyDescent="0.35">
      <c r="A55" s="27"/>
      <c r="B55" s="11" t="str">
        <f>CONCATENATE("          ", "6004", " - ", "STAFF HOURLY")</f>
        <v xml:space="preserve">          6004 - STAFF HOURLY</v>
      </c>
      <c r="C55" s="11"/>
      <c r="D55" s="7"/>
      <c r="E55" s="2"/>
      <c r="F55" s="6">
        <f t="shared" si="25"/>
        <v>0</v>
      </c>
      <c r="G55" s="2"/>
      <c r="H55" s="7">
        <v>14664.86</v>
      </c>
      <c r="I55" s="2"/>
      <c r="J55" s="6">
        <f t="shared" si="26"/>
        <v>7.1185392511215528E-2</v>
      </c>
      <c r="K55" s="2"/>
      <c r="L55" s="7">
        <f t="shared" si="27"/>
        <v>-14664.86</v>
      </c>
      <c r="M55" s="2"/>
      <c r="N55" s="6">
        <f t="shared" si="28"/>
        <v>-1</v>
      </c>
      <c r="O55" s="11"/>
      <c r="P55" s="7">
        <v>217791.13</v>
      </c>
      <c r="Q55" s="2"/>
      <c r="R55" s="6">
        <f t="shared" si="29"/>
        <v>3.1183086655312192E-2</v>
      </c>
      <c r="S55" s="2"/>
      <c r="T55" s="7">
        <v>171890.18000000002</v>
      </c>
      <c r="U55" s="2"/>
      <c r="V55" s="6">
        <f t="shared" si="30"/>
        <v>1.7402176987484873E-2</v>
      </c>
      <c r="W55" s="2"/>
      <c r="X55" s="7">
        <f t="shared" si="31"/>
        <v>45900.949999999983</v>
      </c>
      <c r="Y55" s="2"/>
      <c r="Z55" s="6">
        <f t="shared" si="32"/>
        <v>0.26703648806464675</v>
      </c>
    </row>
    <row r="56" spans="1:26" s="24" customFormat="1" hidden="1" outlineLevel="2" x14ac:dyDescent="0.35">
      <c r="A56" s="27"/>
      <c r="B56" s="11" t="str">
        <f>CONCATENATE("          ", "6005", " - ", "TEMPORARY WAGES-HOURLY")</f>
        <v xml:space="preserve">          6005 - TEMPORARY WAGES-HOURLY</v>
      </c>
      <c r="C56" s="11"/>
      <c r="D56" s="7"/>
      <c r="E56" s="2"/>
      <c r="F56" s="6">
        <f t="shared" si="25"/>
        <v>0</v>
      </c>
      <c r="G56" s="2"/>
      <c r="H56" s="7">
        <v>35281.379999999997</v>
      </c>
      <c r="I56" s="2"/>
      <c r="J56" s="6">
        <f t="shared" si="26"/>
        <v>0.17126102012820776</v>
      </c>
      <c r="K56" s="2"/>
      <c r="L56" s="7">
        <f t="shared" si="27"/>
        <v>-35281.379999999997</v>
      </c>
      <c r="M56" s="2"/>
      <c r="N56" s="6">
        <f t="shared" si="28"/>
        <v>-1</v>
      </c>
      <c r="O56" s="11"/>
      <c r="P56" s="7">
        <v>505027.62</v>
      </c>
      <c r="Q56" s="2"/>
      <c r="R56" s="6">
        <f t="shared" si="29"/>
        <v>7.2309281088656252E-2</v>
      </c>
      <c r="S56" s="2"/>
      <c r="T56" s="7">
        <v>568973.71</v>
      </c>
      <c r="U56" s="2"/>
      <c r="V56" s="6">
        <f t="shared" si="30"/>
        <v>5.7602948595701566E-2</v>
      </c>
      <c r="W56" s="2"/>
      <c r="X56" s="7">
        <f t="shared" si="31"/>
        <v>-63946.089999999967</v>
      </c>
      <c r="Y56" s="2"/>
      <c r="Z56" s="6">
        <f t="shared" si="32"/>
        <v>-0.11238847924977056</v>
      </c>
    </row>
    <row r="57" spans="1:26" s="24" customFormat="1" hidden="1" outlineLevel="2" x14ac:dyDescent="0.35">
      <c r="A57" s="27"/>
      <c r="B57" s="11" t="str">
        <f>CONCATENATE("          ", "6006", " - ", "TEMPORARY PART TIME")</f>
        <v xml:space="preserve">          6006 - TEMPORARY PART TIME</v>
      </c>
      <c r="C57" s="11"/>
      <c r="D57" s="7"/>
      <c r="E57" s="2"/>
      <c r="F57" s="6">
        <f t="shared" si="25"/>
        <v>0</v>
      </c>
      <c r="G57" s="2"/>
      <c r="H57" s="7">
        <v>5686.25</v>
      </c>
      <c r="I57" s="2"/>
      <c r="J57" s="6">
        <f t="shared" si="26"/>
        <v>2.7601895835821087E-2</v>
      </c>
      <c r="K57" s="2"/>
      <c r="L57" s="7">
        <f t="shared" si="27"/>
        <v>-5686.25</v>
      </c>
      <c r="M57" s="2"/>
      <c r="N57" s="6">
        <f t="shared" si="28"/>
        <v>-1</v>
      </c>
      <c r="O57" s="11"/>
      <c r="P57" s="7">
        <v>33612.15</v>
      </c>
      <c r="Q57" s="2"/>
      <c r="R57" s="6">
        <f t="shared" si="29"/>
        <v>4.8125494648076422E-3</v>
      </c>
      <c r="S57" s="2"/>
      <c r="T57" s="7">
        <v>55767.98</v>
      </c>
      <c r="U57" s="2"/>
      <c r="V57" s="6">
        <f t="shared" si="30"/>
        <v>5.6459552150944078E-3</v>
      </c>
      <c r="W57" s="2"/>
      <c r="X57" s="7">
        <f t="shared" si="31"/>
        <v>-22155.83</v>
      </c>
      <c r="Y57" s="2"/>
      <c r="Z57" s="6">
        <f t="shared" si="32"/>
        <v>-0.39728586188705417</v>
      </c>
    </row>
    <row r="58" spans="1:26" s="24" customFormat="1" hidden="1" outlineLevel="2" x14ac:dyDescent="0.35">
      <c r="A58" s="27"/>
      <c r="B58" s="11" t="str">
        <f>CONCATENATE("          ", "6007", " - ", "STUDENT HOURLY")</f>
        <v xml:space="preserve">          6007 - STUDENT HOURLY</v>
      </c>
      <c r="C58" s="11"/>
      <c r="D58" s="7"/>
      <c r="E58" s="2"/>
      <c r="F58" s="6">
        <f t="shared" si="25"/>
        <v>0</v>
      </c>
      <c r="G58" s="2"/>
      <c r="H58" s="7">
        <v>29872.09</v>
      </c>
      <c r="I58" s="2"/>
      <c r="J58" s="6">
        <f t="shared" si="26"/>
        <v>0.14500352896518318</v>
      </c>
      <c r="K58" s="2"/>
      <c r="L58" s="7">
        <f t="shared" si="27"/>
        <v>-29872.09</v>
      </c>
      <c r="M58" s="2"/>
      <c r="N58" s="6">
        <f t="shared" si="28"/>
        <v>-1</v>
      </c>
      <c r="O58" s="11"/>
      <c r="P58" s="7">
        <v>893279.31</v>
      </c>
      <c r="Q58" s="2"/>
      <c r="R58" s="6">
        <f t="shared" si="29"/>
        <v>0.12789871713842288</v>
      </c>
      <c r="S58" s="2"/>
      <c r="T58" s="7">
        <v>1141045.71</v>
      </c>
      <c r="U58" s="2"/>
      <c r="V58" s="6">
        <f t="shared" si="30"/>
        <v>0.11551956834433669</v>
      </c>
      <c r="W58" s="2"/>
      <c r="X58" s="7">
        <f t="shared" si="31"/>
        <v>-247766.39999999991</v>
      </c>
      <c r="Y58" s="2"/>
      <c r="Z58" s="6">
        <f t="shared" si="32"/>
        <v>-0.21713976734551671</v>
      </c>
    </row>
    <row r="59" spans="1:26" s="24" customFormat="1" hidden="1" outlineLevel="2" x14ac:dyDescent="0.35">
      <c r="A59" s="27"/>
      <c r="B59" s="11" t="str">
        <f>CONCATENATE("          ", "6008", " - ", "STUDENT HOURLY-FICA EXEMPT")</f>
        <v xml:space="preserve">          6008 - STUDENT HOURLY-FICA EXEMPT</v>
      </c>
      <c r="C59" s="11"/>
      <c r="D59" s="7"/>
      <c r="E59" s="2"/>
      <c r="F59" s="6">
        <f t="shared" si="25"/>
        <v>0</v>
      </c>
      <c r="G59" s="2"/>
      <c r="H59" s="7">
        <v>3483.19</v>
      </c>
      <c r="I59" s="2"/>
      <c r="J59" s="6">
        <f t="shared" si="26"/>
        <v>1.690791779404241E-2</v>
      </c>
      <c r="K59" s="2"/>
      <c r="L59" s="7">
        <f t="shared" si="27"/>
        <v>-3483.19</v>
      </c>
      <c r="M59" s="2"/>
      <c r="N59" s="6">
        <f t="shared" si="28"/>
        <v>-1</v>
      </c>
      <c r="O59" s="11"/>
      <c r="P59" s="7">
        <v>47294.18</v>
      </c>
      <c r="Q59" s="2"/>
      <c r="R59" s="6">
        <f t="shared" si="29"/>
        <v>6.7715269819846784E-3</v>
      </c>
      <c r="S59" s="2"/>
      <c r="T59" s="7">
        <v>97383.8</v>
      </c>
      <c r="U59" s="2"/>
      <c r="V59" s="6">
        <f t="shared" si="30"/>
        <v>9.8591445032742957E-3</v>
      </c>
      <c r="W59" s="2"/>
      <c r="X59" s="7">
        <f t="shared" si="31"/>
        <v>-50089.62</v>
      </c>
      <c r="Y59" s="2"/>
      <c r="Z59" s="6">
        <f t="shared" si="32"/>
        <v>-0.51435269521214</v>
      </c>
    </row>
    <row r="60" spans="1:26" s="25" customFormat="1" outlineLevel="1" collapsed="1" x14ac:dyDescent="0.35">
      <c r="A60" s="26"/>
      <c r="B60" s="12" t="str">
        <f>CONCATENATE("     ","Advertising/Promo                                 ")</f>
        <v xml:space="preserve">     Advertising/Promo                                 </v>
      </c>
      <c r="C60" s="12"/>
      <c r="D60" s="1">
        <f>SUM(OSRRefD22_2x_0)</f>
        <v>0</v>
      </c>
      <c r="E60" s="1"/>
      <c r="F60" s="5">
        <f t="shared" ref="F60:F69" si="33">IF(D$12=0,0,D60/D$12)</f>
        <v>0</v>
      </c>
      <c r="G60" s="1"/>
      <c r="H60" s="1">
        <f>SUM(OSRRefH22_2x_0)</f>
        <v>7120.83</v>
      </c>
      <c r="I60" s="1"/>
      <c r="J60" s="5">
        <f t="shared" ref="J60:J69" si="34">IF(H$12=0,0,H60/H$12)</f>
        <v>3.4565558658973816E-2</v>
      </c>
      <c r="K60" s="1"/>
      <c r="L60" s="1">
        <f t="shared" ref="L60:L69" si="35">+D60-H60</f>
        <v>-7120.83</v>
      </c>
      <c r="M60" s="1"/>
      <c r="N60" s="5">
        <f t="shared" ref="N60:N69" si="36">IF(H60=0,0,L60/H60)</f>
        <v>-1</v>
      </c>
      <c r="O60" s="12"/>
      <c r="P60" s="1">
        <f>SUM(OSRRefP22_2x_0)</f>
        <v>32110.92</v>
      </c>
      <c r="Q60" s="1"/>
      <c r="R60" s="5">
        <f t="shared" ref="R60:R69" si="37">IF(P$12=0,0,P60/P$12)</f>
        <v>4.5976050583042445E-3</v>
      </c>
      <c r="S60" s="1"/>
      <c r="T60" s="1">
        <f>SUM(OSRRefT22_2x_0)</f>
        <v>47089.61</v>
      </c>
      <c r="U60" s="1"/>
      <c r="V60" s="5">
        <f t="shared" ref="V60:V69" si="38">IF(T$12=0,0,T60/T$12)</f>
        <v>4.7673562706818818E-3</v>
      </c>
      <c r="W60" s="1"/>
      <c r="X60" s="1">
        <f t="shared" ref="X60:X69" si="39">+P60-T60</f>
        <v>-14978.690000000002</v>
      </c>
      <c r="Y60" s="1"/>
      <c r="Z60" s="5">
        <f t="shared" ref="Z60:Z69" si="40">IF(T60=0,0,X60/T60)</f>
        <v>-0.31808906465778763</v>
      </c>
    </row>
    <row r="61" spans="1:26" s="24" customFormat="1" hidden="1" outlineLevel="2" x14ac:dyDescent="0.35">
      <c r="A61" s="27"/>
      <c r="B61" s="11" t="str">
        <f>CONCATENATE("          ", "6362", " - ", "ADVERTISING EXPENSE")</f>
        <v xml:space="preserve">          6362 - ADVERTISING EXPENSE</v>
      </c>
      <c r="C61" s="11"/>
      <c r="D61" s="7"/>
      <c r="E61" s="2"/>
      <c r="F61" s="6">
        <f t="shared" si="33"/>
        <v>0</v>
      </c>
      <c r="G61" s="2"/>
      <c r="H61" s="7">
        <v>7120.83</v>
      </c>
      <c r="I61" s="2"/>
      <c r="J61" s="6">
        <f t="shared" si="34"/>
        <v>3.4565558658973816E-2</v>
      </c>
      <c r="K61" s="2"/>
      <c r="L61" s="7">
        <f t="shared" si="35"/>
        <v>-7120.83</v>
      </c>
      <c r="M61" s="2"/>
      <c r="N61" s="6">
        <f t="shared" si="36"/>
        <v>-1</v>
      </c>
      <c r="O61" s="11"/>
      <c r="P61" s="7">
        <v>32110.92</v>
      </c>
      <c r="Q61" s="2"/>
      <c r="R61" s="6">
        <f t="shared" si="37"/>
        <v>4.5976050583042445E-3</v>
      </c>
      <c r="S61" s="2"/>
      <c r="T61" s="7">
        <v>47089.61</v>
      </c>
      <c r="U61" s="2"/>
      <c r="V61" s="6">
        <f t="shared" si="38"/>
        <v>4.7673562706818818E-3</v>
      </c>
      <c r="W61" s="2"/>
      <c r="X61" s="7">
        <f t="shared" si="39"/>
        <v>-14978.690000000002</v>
      </c>
      <c r="Y61" s="2"/>
      <c r="Z61" s="6">
        <f t="shared" si="40"/>
        <v>-0.31808906465778763</v>
      </c>
    </row>
    <row r="62" spans="1:26" s="25" customFormat="1" outlineLevel="1" collapsed="1" x14ac:dyDescent="0.35">
      <c r="A62" s="26"/>
      <c r="B62" s="12" t="str">
        <f>CONCATENATE("     ","Bad Debts/Over/Short                              ")</f>
        <v xml:space="preserve">     Bad Debts/Over/Short                              </v>
      </c>
      <c r="C62" s="12"/>
      <c r="D62" s="1">
        <f>SUM(OSRRefD22_3x_0)</f>
        <v>0</v>
      </c>
      <c r="E62" s="1"/>
      <c r="F62" s="5">
        <f t="shared" si="33"/>
        <v>0</v>
      </c>
      <c r="G62" s="1"/>
      <c r="H62" s="1">
        <f>SUM(OSRRefH22_3x_0)</f>
        <v>12036.93</v>
      </c>
      <c r="I62" s="1"/>
      <c r="J62" s="5">
        <f t="shared" si="34"/>
        <v>5.8429032849957346E-2</v>
      </c>
      <c r="K62" s="1"/>
      <c r="L62" s="1">
        <f t="shared" si="35"/>
        <v>-12036.93</v>
      </c>
      <c r="M62" s="1"/>
      <c r="N62" s="5">
        <f t="shared" si="36"/>
        <v>-1</v>
      </c>
      <c r="O62" s="12"/>
      <c r="P62" s="1">
        <f>SUM(OSRRefP22_3x_0)</f>
        <v>-689.57</v>
      </c>
      <c r="Q62" s="1"/>
      <c r="R62" s="5">
        <f t="shared" si="37"/>
        <v>-9.8731849478459608E-5</v>
      </c>
      <c r="S62" s="1"/>
      <c r="T62" s="1">
        <f>SUM(OSRRefT22_3x_0)</f>
        <v>12193.26</v>
      </c>
      <c r="U62" s="1"/>
      <c r="V62" s="5">
        <f t="shared" si="38"/>
        <v>1.2344467180988453E-3</v>
      </c>
      <c r="W62" s="1"/>
      <c r="X62" s="1">
        <f t="shared" si="39"/>
        <v>-12882.83</v>
      </c>
      <c r="Y62" s="1"/>
      <c r="Z62" s="5">
        <f t="shared" si="40"/>
        <v>-1.0565533745692293</v>
      </c>
    </row>
    <row r="63" spans="1:26" s="24" customFormat="1" hidden="1" outlineLevel="2" x14ac:dyDescent="0.35">
      <c r="A63" s="27"/>
      <c r="B63" s="11" t="str">
        <f>CONCATENATE("          ", "6272", " - ", "CASH (OVER/SHORT)")</f>
        <v xml:space="preserve">          6272 - CASH (OVER/SHORT)</v>
      </c>
      <c r="C63" s="11"/>
      <c r="D63" s="7"/>
      <c r="E63" s="2"/>
      <c r="F63" s="6">
        <f t="shared" si="33"/>
        <v>0</v>
      </c>
      <c r="G63" s="2"/>
      <c r="H63" s="7">
        <v>12036.93</v>
      </c>
      <c r="I63" s="2"/>
      <c r="J63" s="6">
        <f t="shared" si="34"/>
        <v>5.8429032849957346E-2</v>
      </c>
      <c r="K63" s="2"/>
      <c r="L63" s="7">
        <f t="shared" si="35"/>
        <v>-12036.93</v>
      </c>
      <c r="M63" s="2"/>
      <c r="N63" s="6">
        <f t="shared" si="36"/>
        <v>-1</v>
      </c>
      <c r="O63" s="11"/>
      <c r="P63" s="7">
        <v>-689.57</v>
      </c>
      <c r="Q63" s="2"/>
      <c r="R63" s="6">
        <f t="shared" si="37"/>
        <v>-9.8731849478459608E-5</v>
      </c>
      <c r="S63" s="2"/>
      <c r="T63" s="7">
        <v>12193.26</v>
      </c>
      <c r="U63" s="2"/>
      <c r="V63" s="6">
        <f t="shared" si="38"/>
        <v>1.2344467180988453E-3</v>
      </c>
      <c r="W63" s="2"/>
      <c r="X63" s="7">
        <f t="shared" si="39"/>
        <v>-12882.83</v>
      </c>
      <c r="Y63" s="2"/>
      <c r="Z63" s="6">
        <f t="shared" si="40"/>
        <v>-1.0565533745692293</v>
      </c>
    </row>
    <row r="64" spans="1:26" s="25" customFormat="1" outlineLevel="1" collapsed="1" x14ac:dyDescent="0.35">
      <c r="A64" s="26"/>
      <c r="B64" s="12" t="str">
        <f>CONCATENATE("     ","Bank/card Fees                                    ")</f>
        <v xml:space="preserve">     Bank/card Fees                                    </v>
      </c>
      <c r="C64" s="12"/>
      <c r="D64" s="1">
        <f>SUM(OSRRefD22_4x_0)</f>
        <v>339.09</v>
      </c>
      <c r="E64" s="1"/>
      <c r="F64" s="5">
        <f t="shared" si="33"/>
        <v>2.838285762116012</v>
      </c>
      <c r="G64" s="1"/>
      <c r="H64" s="1">
        <f>SUM(OSRRefH22_4x_0)</f>
        <v>9395.1200000000008</v>
      </c>
      <c r="I64" s="1"/>
      <c r="J64" s="5">
        <f t="shared" si="34"/>
        <v>4.5605297622341515E-2</v>
      </c>
      <c r="K64" s="1"/>
      <c r="L64" s="1">
        <f t="shared" si="35"/>
        <v>-9056.0300000000007</v>
      </c>
      <c r="M64" s="1"/>
      <c r="N64" s="5">
        <f t="shared" si="36"/>
        <v>-0.96390785854784189</v>
      </c>
      <c r="O64" s="12"/>
      <c r="P64" s="1">
        <f>SUM(OSRRefP22_4x_0)</f>
        <v>238904.25</v>
      </c>
      <c r="Q64" s="1"/>
      <c r="R64" s="5">
        <f t="shared" si="37"/>
        <v>3.420603919944934E-2</v>
      </c>
      <c r="S64" s="1"/>
      <c r="T64" s="1">
        <f>SUM(OSRRefT22_4x_0)</f>
        <v>321653.83</v>
      </c>
      <c r="U64" s="1"/>
      <c r="V64" s="5">
        <f t="shared" si="38"/>
        <v>3.2564262125750122E-2</v>
      </c>
      <c r="W64" s="1"/>
      <c r="X64" s="1">
        <f t="shared" si="39"/>
        <v>-82749.580000000016</v>
      </c>
      <c r="Y64" s="1"/>
      <c r="Z64" s="5">
        <f t="shared" si="40"/>
        <v>-0.257262846831328</v>
      </c>
    </row>
    <row r="65" spans="1:26" s="24" customFormat="1" hidden="1" outlineLevel="2" x14ac:dyDescent="0.35">
      <c r="A65" s="27"/>
      <c r="B65" s="11" t="str">
        <f>CONCATENATE("          ", "6381", " - ", "BANK/CREDIT CARD FEES")</f>
        <v xml:space="preserve">          6381 - BANK/CREDIT CARD FEES</v>
      </c>
      <c r="C65" s="11"/>
      <c r="D65" s="7">
        <v>339.09</v>
      </c>
      <c r="E65" s="2"/>
      <c r="F65" s="6">
        <f t="shared" si="33"/>
        <v>2.838285762116012</v>
      </c>
      <c r="G65" s="2"/>
      <c r="H65" s="7">
        <v>9395.1200000000008</v>
      </c>
      <c r="I65" s="2"/>
      <c r="J65" s="6">
        <f t="shared" si="34"/>
        <v>4.5605297622341515E-2</v>
      </c>
      <c r="K65" s="2"/>
      <c r="L65" s="7">
        <f t="shared" si="35"/>
        <v>-9056.0300000000007</v>
      </c>
      <c r="M65" s="2"/>
      <c r="N65" s="6">
        <f t="shared" si="36"/>
        <v>-0.96390785854784189</v>
      </c>
      <c r="O65" s="11"/>
      <c r="P65" s="7">
        <v>238904.25</v>
      </c>
      <c r="Q65" s="2"/>
      <c r="R65" s="6">
        <f t="shared" si="37"/>
        <v>3.420603919944934E-2</v>
      </c>
      <c r="S65" s="2"/>
      <c r="T65" s="7">
        <v>321653.83</v>
      </c>
      <c r="U65" s="2"/>
      <c r="V65" s="6">
        <f t="shared" si="38"/>
        <v>3.2564262125750122E-2</v>
      </c>
      <c r="W65" s="2"/>
      <c r="X65" s="7">
        <f t="shared" si="39"/>
        <v>-82749.580000000016</v>
      </c>
      <c r="Y65" s="2"/>
      <c r="Z65" s="6">
        <f t="shared" si="40"/>
        <v>-0.257262846831328</v>
      </c>
    </row>
    <row r="66" spans="1:26" s="25" customFormat="1" outlineLevel="1" collapsed="1" x14ac:dyDescent="0.35">
      <c r="A66" s="26"/>
      <c r="B66" s="12" t="str">
        <f>CONCATENATE("     ","Depreciation                                      ")</f>
        <v xml:space="preserve">     Depreciation                                      </v>
      </c>
      <c r="C66" s="12"/>
      <c r="D66" s="1">
        <f>SUM(OSRRefD22_5x_0)</f>
        <v>46728.299999999996</v>
      </c>
      <c r="E66" s="1"/>
      <c r="F66" s="5">
        <f t="shared" si="33"/>
        <v>391.12999079266757</v>
      </c>
      <c r="G66" s="1"/>
      <c r="H66" s="1">
        <f>SUM(OSRRefH22_5x_0)</f>
        <v>50578.81</v>
      </c>
      <c r="I66" s="1"/>
      <c r="J66" s="5">
        <f t="shared" si="34"/>
        <v>0.24551700068055149</v>
      </c>
      <c r="K66" s="1"/>
      <c r="L66" s="1">
        <f t="shared" si="35"/>
        <v>-3850.510000000002</v>
      </c>
      <c r="M66" s="1"/>
      <c r="N66" s="5">
        <f t="shared" si="36"/>
        <v>-7.6128916437535846E-2</v>
      </c>
      <c r="O66" s="12"/>
      <c r="P66" s="1">
        <f>SUM(OSRRefP22_5x_0)</f>
        <v>581057.55999999994</v>
      </c>
      <c r="Q66" s="1"/>
      <c r="R66" s="5">
        <f t="shared" si="37"/>
        <v>8.3195161553201266E-2</v>
      </c>
      <c r="S66" s="1"/>
      <c r="T66" s="1">
        <f>SUM(OSRRefT22_5x_0)</f>
        <v>576601.77</v>
      </c>
      <c r="U66" s="1"/>
      <c r="V66" s="5">
        <f t="shared" si="38"/>
        <v>5.8375214063054938E-2</v>
      </c>
      <c r="W66" s="1"/>
      <c r="X66" s="1">
        <f t="shared" si="39"/>
        <v>4455.7899999999208</v>
      </c>
      <c r="Y66" s="1"/>
      <c r="Z66" s="5">
        <f t="shared" si="40"/>
        <v>7.7276731217802552E-3</v>
      </c>
    </row>
    <row r="67" spans="1:26" s="24" customFormat="1" hidden="1" outlineLevel="2" x14ac:dyDescent="0.35">
      <c r="A67" s="27"/>
      <c r="B67" s="11" t="str">
        <f>CONCATENATE("          ", "6321", " - ", "BUILDING DEPRECIATION")</f>
        <v xml:space="preserve">          6321 - BUILDING DEPRECIATION</v>
      </c>
      <c r="C67" s="11"/>
      <c r="D67" s="7">
        <v>29108.37</v>
      </c>
      <c r="E67" s="2"/>
      <c r="F67" s="6">
        <f t="shared" si="33"/>
        <v>243.64585251527581</v>
      </c>
      <c r="G67" s="2"/>
      <c r="H67" s="7">
        <v>31744.27</v>
      </c>
      <c r="I67" s="2"/>
      <c r="J67" s="6">
        <f t="shared" si="34"/>
        <v>0.15409136670462611</v>
      </c>
      <c r="K67" s="2"/>
      <c r="L67" s="7">
        <f t="shared" si="35"/>
        <v>-2635.9000000000015</v>
      </c>
      <c r="M67" s="2"/>
      <c r="N67" s="6">
        <f t="shared" si="36"/>
        <v>-8.3035458052744676E-2</v>
      </c>
      <c r="O67" s="11"/>
      <c r="P67" s="7">
        <v>349466.54</v>
      </c>
      <c r="Q67" s="2"/>
      <c r="R67" s="6">
        <f t="shared" si="37"/>
        <v>5.0036222319761701E-2</v>
      </c>
      <c r="S67" s="2"/>
      <c r="T67" s="7">
        <v>364429.02999999997</v>
      </c>
      <c r="U67" s="2"/>
      <c r="V67" s="6">
        <f t="shared" si="38"/>
        <v>3.6894827147411408E-2</v>
      </c>
      <c r="W67" s="2"/>
      <c r="X67" s="7">
        <f t="shared" si="39"/>
        <v>-14962.489999999991</v>
      </c>
      <c r="Y67" s="2"/>
      <c r="Z67" s="6">
        <f t="shared" si="40"/>
        <v>-4.1057349355510982E-2</v>
      </c>
    </row>
    <row r="68" spans="1:26" s="24" customFormat="1" hidden="1" outlineLevel="2" x14ac:dyDescent="0.35">
      <c r="A68" s="27"/>
      <c r="B68" s="11" t="str">
        <f>CONCATENATE("          ", "6322", " - ", "EQUIPMENT DEPRECIATION EXPENSE")</f>
        <v xml:space="preserve">          6322 - EQUIPMENT DEPRECIATION EXPENSE</v>
      </c>
      <c r="C68" s="11"/>
      <c r="D68" s="7">
        <v>17619.929999999997</v>
      </c>
      <c r="E68" s="2"/>
      <c r="F68" s="6">
        <f t="shared" si="33"/>
        <v>147.48413827739179</v>
      </c>
      <c r="G68" s="2"/>
      <c r="H68" s="7">
        <v>18410.3</v>
      </c>
      <c r="I68" s="2"/>
      <c r="J68" s="6">
        <f t="shared" si="34"/>
        <v>8.9366310469328109E-2</v>
      </c>
      <c r="K68" s="2"/>
      <c r="L68" s="7">
        <f t="shared" si="35"/>
        <v>-790.37000000000262</v>
      </c>
      <c r="M68" s="2"/>
      <c r="N68" s="6">
        <f t="shared" si="36"/>
        <v>-4.2930859355904176E-2</v>
      </c>
      <c r="O68" s="11"/>
      <c r="P68" s="7">
        <v>227348.53999999998</v>
      </c>
      <c r="Q68" s="2"/>
      <c r="R68" s="6">
        <f t="shared" si="37"/>
        <v>3.2551505765081937E-2</v>
      </c>
      <c r="S68" s="2"/>
      <c r="T68" s="7">
        <v>207081.75</v>
      </c>
      <c r="U68" s="2"/>
      <c r="V68" s="6">
        <f t="shared" si="38"/>
        <v>2.0964974638912445E-2</v>
      </c>
      <c r="W68" s="2"/>
      <c r="X68" s="7">
        <f t="shared" si="39"/>
        <v>20266.789999999979</v>
      </c>
      <c r="Y68" s="2"/>
      <c r="Z68" s="6">
        <f t="shared" si="40"/>
        <v>9.786854708345849E-2</v>
      </c>
    </row>
    <row r="69" spans="1:26" s="24" customFormat="1" hidden="1" outlineLevel="2" x14ac:dyDescent="0.35">
      <c r="A69" s="27"/>
      <c r="B69" s="11" t="str">
        <f>CONCATENATE("          ", "6326", " - ", "VEHICLES DEPRECIATION EXPENSE")</f>
        <v xml:space="preserve">          6326 - VEHICLES DEPRECIATION EXPENSE</v>
      </c>
      <c r="C69" s="11"/>
      <c r="D69" s="7"/>
      <c r="E69" s="2"/>
      <c r="F69" s="6">
        <f t="shared" si="33"/>
        <v>0</v>
      </c>
      <c r="G69" s="2"/>
      <c r="H69" s="7">
        <v>424.24</v>
      </c>
      <c r="I69" s="2"/>
      <c r="J69" s="6">
        <f t="shared" si="34"/>
        <v>2.059323506597272E-3</v>
      </c>
      <c r="K69" s="2"/>
      <c r="L69" s="7">
        <f t="shared" si="35"/>
        <v>-424.24</v>
      </c>
      <c r="M69" s="2"/>
      <c r="N69" s="6">
        <f t="shared" si="36"/>
        <v>-1</v>
      </c>
      <c r="O69" s="11"/>
      <c r="P69" s="7">
        <v>4242.4799999999996</v>
      </c>
      <c r="Q69" s="2"/>
      <c r="R69" s="6">
        <f t="shared" si="37"/>
        <v>6.0743346835763631E-4</v>
      </c>
      <c r="S69" s="2"/>
      <c r="T69" s="7">
        <v>5090.99</v>
      </c>
      <c r="U69" s="2"/>
      <c r="V69" s="6">
        <f t="shared" si="38"/>
        <v>5.1541227673108253E-4</v>
      </c>
      <c r="W69" s="2"/>
      <c r="X69" s="7">
        <f t="shared" si="39"/>
        <v>-848.51000000000022</v>
      </c>
      <c r="Y69" s="2"/>
      <c r="Z69" s="6">
        <f t="shared" si="40"/>
        <v>-0.16666895829691283</v>
      </c>
    </row>
    <row r="70" spans="1:26" s="25" customFormat="1" outlineLevel="1" collapsed="1" x14ac:dyDescent="0.35">
      <c r="A70" s="26"/>
      <c r="B70" s="12" t="str">
        <f>CONCATENATE("     ","Discounts and Markdowns                           ")</f>
        <v xml:space="preserve">     Discounts and Markdowns                           </v>
      </c>
      <c r="C70" s="12"/>
      <c r="D70" s="1">
        <f>SUM(OSRRefD22_6x_0)</f>
        <v>0</v>
      </c>
      <c r="E70" s="1"/>
      <c r="F70" s="5">
        <f t="shared" ref="F70:F80" si="41">IF(D$12=0,0,D70/D$12)</f>
        <v>0</v>
      </c>
      <c r="G70" s="1"/>
      <c r="H70" s="1">
        <f>SUM(OSRRefH22_6x_0)</f>
        <v>7.82</v>
      </c>
      <c r="I70" s="1"/>
      <c r="J70" s="5">
        <f t="shared" ref="J70:J80" si="42">IF(H$12=0,0,H70/H$12)</f>
        <v>3.7959432919080399E-5</v>
      </c>
      <c r="K70" s="1"/>
      <c r="L70" s="1">
        <f t="shared" ref="L70:L80" si="43">+D70-H70</f>
        <v>-7.82</v>
      </c>
      <c r="M70" s="1"/>
      <c r="N70" s="5">
        <f t="shared" ref="N70:N80" si="44">IF(H70=0,0,L70/H70)</f>
        <v>-1</v>
      </c>
      <c r="O70" s="12"/>
      <c r="P70" s="1">
        <f>SUM(OSRRefP22_6x_0)</f>
        <v>125.96</v>
      </c>
      <c r="Q70" s="1"/>
      <c r="R70" s="5">
        <f t="shared" ref="R70:R80" si="45">IF(P$12=0,0,P70/P$12)</f>
        <v>1.8034809751449121E-5</v>
      </c>
      <c r="S70" s="1"/>
      <c r="T70" s="1">
        <f>SUM(OSRRefT22_6x_0)</f>
        <v>142.36000000000001</v>
      </c>
      <c r="U70" s="1"/>
      <c r="V70" s="5">
        <f t="shared" ref="V70:V80" si="46">IF(T$12=0,0,T70/T$12)</f>
        <v>1.441253895910951E-5</v>
      </c>
      <c r="W70" s="1"/>
      <c r="X70" s="1">
        <f t="shared" ref="X70:X80" si="47">+P70-T70</f>
        <v>-16.40000000000002</v>
      </c>
      <c r="Y70" s="1"/>
      <c r="Z70" s="5">
        <f t="shared" ref="Z70:Z80" si="48">IF(T70=0,0,X70/T70)</f>
        <v>-0.11520089912896894</v>
      </c>
    </row>
    <row r="71" spans="1:26" s="24" customFormat="1" hidden="1" outlineLevel="2" x14ac:dyDescent="0.35">
      <c r="A71" s="27"/>
      <c r="B71" s="11" t="str">
        <f>CONCATENATE("          ", "6382", " - ", "DISCOUNTS/MARK DOWNS")</f>
        <v xml:space="preserve">          6382 - DISCOUNTS/MARK DOWNS</v>
      </c>
      <c r="C71" s="11"/>
      <c r="D71" s="7"/>
      <c r="E71" s="2"/>
      <c r="F71" s="6">
        <f t="shared" si="41"/>
        <v>0</v>
      </c>
      <c r="G71" s="2"/>
      <c r="H71" s="7">
        <v>7.82</v>
      </c>
      <c r="I71" s="2"/>
      <c r="J71" s="6">
        <f t="shared" si="42"/>
        <v>3.7959432919080399E-5</v>
      </c>
      <c r="K71" s="2"/>
      <c r="L71" s="7">
        <f t="shared" si="43"/>
        <v>-7.82</v>
      </c>
      <c r="M71" s="2"/>
      <c r="N71" s="6">
        <f t="shared" si="44"/>
        <v>-1</v>
      </c>
      <c r="O71" s="11"/>
      <c r="P71" s="7">
        <v>125.96</v>
      </c>
      <c r="Q71" s="2"/>
      <c r="R71" s="6">
        <f t="shared" si="45"/>
        <v>1.8034809751449121E-5</v>
      </c>
      <c r="S71" s="2"/>
      <c r="T71" s="7">
        <v>142.36000000000001</v>
      </c>
      <c r="U71" s="2"/>
      <c r="V71" s="6">
        <f t="shared" si="46"/>
        <v>1.441253895910951E-5</v>
      </c>
      <c r="W71" s="2"/>
      <c r="X71" s="7">
        <f t="shared" si="47"/>
        <v>-16.40000000000002</v>
      </c>
      <c r="Y71" s="2"/>
      <c r="Z71" s="6">
        <f t="shared" si="48"/>
        <v>-0.11520089912896894</v>
      </c>
    </row>
    <row r="72" spans="1:26" s="25" customFormat="1" outlineLevel="1" collapsed="1" x14ac:dyDescent="0.35">
      <c r="A72" s="26"/>
      <c r="B72" s="12" t="str">
        <f>CONCATENATE("     ","Donations                                         ")</f>
        <v xml:space="preserve">     Donations                                         </v>
      </c>
      <c r="C72" s="12"/>
      <c r="D72" s="1">
        <f>SUM(OSRRefD22_7x_0)</f>
        <v>0</v>
      </c>
      <c r="E72" s="1"/>
      <c r="F72" s="5">
        <f t="shared" si="41"/>
        <v>0</v>
      </c>
      <c r="G72" s="1"/>
      <c r="H72" s="1">
        <f>SUM(OSRRefH22_7x_0)</f>
        <v>0</v>
      </c>
      <c r="I72" s="1"/>
      <c r="J72" s="5">
        <f t="shared" si="42"/>
        <v>0</v>
      </c>
      <c r="K72" s="1"/>
      <c r="L72" s="1">
        <f t="shared" si="43"/>
        <v>0</v>
      </c>
      <c r="M72" s="1"/>
      <c r="N72" s="5">
        <f t="shared" si="44"/>
        <v>0</v>
      </c>
      <c r="O72" s="12"/>
      <c r="P72" s="1">
        <f>SUM(OSRRefP22_7x_0)</f>
        <v>236.68</v>
      </c>
      <c r="Q72" s="1"/>
      <c r="R72" s="5">
        <f t="shared" si="45"/>
        <v>3.388757361045553E-5</v>
      </c>
      <c r="S72" s="1"/>
      <c r="T72" s="1">
        <f>SUM(OSRRefT22_7x_0)</f>
        <v>1038.48</v>
      </c>
      <c r="U72" s="1"/>
      <c r="V72" s="5">
        <f t="shared" si="46"/>
        <v>1.0513580681551028E-4</v>
      </c>
      <c r="W72" s="1"/>
      <c r="X72" s="1">
        <f t="shared" si="47"/>
        <v>-801.8</v>
      </c>
      <c r="Y72" s="1"/>
      <c r="Z72" s="5">
        <f t="shared" si="48"/>
        <v>-0.77208997765965637</v>
      </c>
    </row>
    <row r="73" spans="1:26" s="24" customFormat="1" hidden="1" outlineLevel="2" x14ac:dyDescent="0.35">
      <c r="A73" s="27"/>
      <c r="B73" s="11" t="str">
        <f>CONCATENATE("          ", "6399", " - ", "DONATION-ON CAMPUS")</f>
        <v xml:space="preserve">          6399 - DONATION-ON CAMPUS</v>
      </c>
      <c r="C73" s="11"/>
      <c r="D73" s="7"/>
      <c r="E73" s="2"/>
      <c r="F73" s="6">
        <f t="shared" si="41"/>
        <v>0</v>
      </c>
      <c r="G73" s="2"/>
      <c r="H73" s="7"/>
      <c r="I73" s="2"/>
      <c r="J73" s="6">
        <f t="shared" si="42"/>
        <v>0</v>
      </c>
      <c r="K73" s="2"/>
      <c r="L73" s="7">
        <f t="shared" si="43"/>
        <v>0</v>
      </c>
      <c r="M73" s="2"/>
      <c r="N73" s="6">
        <f t="shared" si="44"/>
        <v>0</v>
      </c>
      <c r="O73" s="11"/>
      <c r="P73" s="7">
        <v>236.68</v>
      </c>
      <c r="Q73" s="2"/>
      <c r="R73" s="6">
        <f t="shared" si="45"/>
        <v>3.388757361045553E-5</v>
      </c>
      <c r="S73" s="2"/>
      <c r="T73" s="7">
        <v>1038.48</v>
      </c>
      <c r="U73" s="2"/>
      <c r="V73" s="6">
        <f t="shared" si="46"/>
        <v>1.0513580681551028E-4</v>
      </c>
      <c r="W73" s="2"/>
      <c r="X73" s="7">
        <f t="shared" si="47"/>
        <v>-801.8</v>
      </c>
      <c r="Y73" s="2"/>
      <c r="Z73" s="6">
        <f t="shared" si="48"/>
        <v>-0.77208997765965637</v>
      </c>
    </row>
    <row r="74" spans="1:26" s="25" customFormat="1" outlineLevel="1" collapsed="1" x14ac:dyDescent="0.35">
      <c r="A74" s="26"/>
      <c r="B74" s="12" t="str">
        <f>CONCATENATE("     ","Employees' Appreciation                           ")</f>
        <v xml:space="preserve">     Employees' Appreciation                           </v>
      </c>
      <c r="C74" s="12"/>
      <c r="D74" s="1">
        <f>SUM(OSRRefD22_8x_0)</f>
        <v>0</v>
      </c>
      <c r="E74" s="1"/>
      <c r="F74" s="5">
        <f t="shared" si="41"/>
        <v>0</v>
      </c>
      <c r="G74" s="1"/>
      <c r="H74" s="1">
        <f>SUM(OSRRefH22_8x_0)</f>
        <v>748.15</v>
      </c>
      <c r="I74" s="1"/>
      <c r="J74" s="5">
        <f t="shared" si="42"/>
        <v>3.6316304013312021E-3</v>
      </c>
      <c r="K74" s="1"/>
      <c r="L74" s="1">
        <f t="shared" si="43"/>
        <v>-748.15</v>
      </c>
      <c r="M74" s="1"/>
      <c r="N74" s="5">
        <f t="shared" si="44"/>
        <v>-1</v>
      </c>
      <c r="O74" s="12"/>
      <c r="P74" s="1">
        <f>SUM(OSRRefP22_8x_0)</f>
        <v>1836.65</v>
      </c>
      <c r="Q74" s="1"/>
      <c r="R74" s="5">
        <f t="shared" si="45"/>
        <v>2.6296946117814412E-4</v>
      </c>
      <c r="S74" s="1"/>
      <c r="T74" s="1">
        <f>SUM(OSRRefT22_8x_0)</f>
        <v>5070.8599999999997</v>
      </c>
      <c r="U74" s="1"/>
      <c r="V74" s="5">
        <f t="shared" si="46"/>
        <v>5.133743137551984E-4</v>
      </c>
      <c r="W74" s="1"/>
      <c r="X74" s="1">
        <f t="shared" si="47"/>
        <v>-3234.2099999999996</v>
      </c>
      <c r="Y74" s="1"/>
      <c r="Z74" s="5">
        <f t="shared" si="48"/>
        <v>-0.63780305510307911</v>
      </c>
    </row>
    <row r="75" spans="1:26" s="24" customFormat="1" hidden="1" outlineLevel="2" x14ac:dyDescent="0.35">
      <c r="A75" s="27"/>
      <c r="B75" s="11" t="str">
        <f>CONCATENATE("          ", "6277", " - ", "EMPLOYEE APPRECIATION")</f>
        <v xml:space="preserve">          6277 - EMPLOYEE APPRECIATION</v>
      </c>
      <c r="C75" s="11"/>
      <c r="D75" s="7"/>
      <c r="E75" s="2"/>
      <c r="F75" s="6">
        <f t="shared" si="41"/>
        <v>0</v>
      </c>
      <c r="G75" s="2"/>
      <c r="H75" s="7">
        <v>748.15</v>
      </c>
      <c r="I75" s="2"/>
      <c r="J75" s="6">
        <f t="shared" si="42"/>
        <v>3.6316304013312021E-3</v>
      </c>
      <c r="K75" s="2"/>
      <c r="L75" s="7">
        <f t="shared" si="43"/>
        <v>-748.15</v>
      </c>
      <c r="M75" s="2"/>
      <c r="N75" s="6">
        <f t="shared" si="44"/>
        <v>-1</v>
      </c>
      <c r="O75" s="11"/>
      <c r="P75" s="7">
        <v>1836.65</v>
      </c>
      <c r="Q75" s="2"/>
      <c r="R75" s="6">
        <f t="shared" si="45"/>
        <v>2.6296946117814412E-4</v>
      </c>
      <c r="S75" s="2"/>
      <c r="T75" s="7">
        <v>5070.8599999999997</v>
      </c>
      <c r="U75" s="2"/>
      <c r="V75" s="6">
        <f t="shared" si="46"/>
        <v>5.133743137551984E-4</v>
      </c>
      <c r="W75" s="2"/>
      <c r="X75" s="7">
        <f t="shared" si="47"/>
        <v>-3234.2099999999996</v>
      </c>
      <c r="Y75" s="2"/>
      <c r="Z75" s="6">
        <f t="shared" si="48"/>
        <v>-0.63780305510307911</v>
      </c>
    </row>
    <row r="76" spans="1:26" s="25" customFormat="1" outlineLevel="1" collapsed="1" x14ac:dyDescent="0.35">
      <c r="A76" s="26"/>
      <c r="B76" s="12" t="str">
        <f>CONCATENATE("     ","Equipment Rental                                  ")</f>
        <v xml:space="preserve">     Equipment Rental                                  </v>
      </c>
      <c r="C76" s="12"/>
      <c r="D76" s="1">
        <f>SUM(OSRRefD22_9x_0)</f>
        <v>1829.26</v>
      </c>
      <c r="E76" s="1"/>
      <c r="F76" s="5">
        <f t="shared" si="41"/>
        <v>15.311458943667866</v>
      </c>
      <c r="G76" s="1"/>
      <c r="H76" s="1">
        <f>SUM(OSRRefH22_9x_0)</f>
        <v>2453.7199999999998</v>
      </c>
      <c r="I76" s="1"/>
      <c r="J76" s="5">
        <f t="shared" si="42"/>
        <v>1.1910718637110735E-2</v>
      </c>
      <c r="K76" s="1"/>
      <c r="L76" s="1">
        <f t="shared" si="43"/>
        <v>-624.45999999999981</v>
      </c>
      <c r="M76" s="1"/>
      <c r="N76" s="5">
        <f t="shared" si="44"/>
        <v>-0.25449521542800313</v>
      </c>
      <c r="O76" s="12"/>
      <c r="P76" s="1">
        <f>SUM(OSRRefP22_9x_0)</f>
        <v>29359.94</v>
      </c>
      <c r="Q76" s="1"/>
      <c r="R76" s="5">
        <f t="shared" si="45"/>
        <v>4.2037228661000407E-3</v>
      </c>
      <c r="S76" s="1"/>
      <c r="T76" s="1">
        <f>SUM(OSRRefT22_9x_0)</f>
        <v>22897.969999999998</v>
      </c>
      <c r="U76" s="1"/>
      <c r="V76" s="5">
        <f t="shared" si="46"/>
        <v>2.3181925028766559E-3</v>
      </c>
      <c r="W76" s="1"/>
      <c r="X76" s="1">
        <f t="shared" si="47"/>
        <v>6461.9700000000012</v>
      </c>
      <c r="Y76" s="1"/>
      <c r="Z76" s="5">
        <f t="shared" si="48"/>
        <v>0.28220711268291476</v>
      </c>
    </row>
    <row r="77" spans="1:26" s="24" customFormat="1" hidden="1" outlineLevel="2" x14ac:dyDescent="0.35">
      <c r="A77" s="27"/>
      <c r="B77" s="11" t="str">
        <f>CONCATENATE("          ", "6351", " - ", "EQUIPMENT RENTAL")</f>
        <v xml:space="preserve">          6351 - EQUIPMENT RENTAL</v>
      </c>
      <c r="C77" s="11"/>
      <c r="D77" s="7">
        <v>1829.26</v>
      </c>
      <c r="E77" s="2"/>
      <c r="F77" s="6">
        <f t="shared" si="41"/>
        <v>15.311458943667866</v>
      </c>
      <c r="G77" s="2"/>
      <c r="H77" s="7">
        <v>2453.7199999999998</v>
      </c>
      <c r="I77" s="2"/>
      <c r="J77" s="6">
        <f t="shared" si="42"/>
        <v>1.1910718637110735E-2</v>
      </c>
      <c r="K77" s="2"/>
      <c r="L77" s="7">
        <f t="shared" si="43"/>
        <v>-624.45999999999981</v>
      </c>
      <c r="M77" s="2"/>
      <c r="N77" s="6">
        <f t="shared" si="44"/>
        <v>-0.25449521542800313</v>
      </c>
      <c r="O77" s="11"/>
      <c r="P77" s="7">
        <v>29359.94</v>
      </c>
      <c r="Q77" s="2"/>
      <c r="R77" s="6">
        <f t="shared" si="45"/>
        <v>4.2037228661000407E-3</v>
      </c>
      <c r="S77" s="2"/>
      <c r="T77" s="7">
        <v>22897.969999999998</v>
      </c>
      <c r="U77" s="2"/>
      <c r="V77" s="6">
        <f t="shared" si="46"/>
        <v>2.3181925028766559E-3</v>
      </c>
      <c r="W77" s="2"/>
      <c r="X77" s="7">
        <f t="shared" si="47"/>
        <v>6461.9700000000012</v>
      </c>
      <c r="Y77" s="2"/>
      <c r="Z77" s="6">
        <f t="shared" si="48"/>
        <v>0.28220711268291476</v>
      </c>
    </row>
    <row r="78" spans="1:26" s="25" customFormat="1" outlineLevel="1" collapsed="1" x14ac:dyDescent="0.35">
      <c r="A78" s="26"/>
      <c r="B78" s="12" t="str">
        <f>CONCATENATE("     ","Freight out/Postage                               ")</f>
        <v xml:space="preserve">     Freight out/Postage                               </v>
      </c>
      <c r="C78" s="12"/>
      <c r="D78" s="1">
        <f>SUM(OSRRefD22_10x_0)</f>
        <v>0</v>
      </c>
      <c r="E78" s="1"/>
      <c r="F78" s="5">
        <f t="shared" si="41"/>
        <v>0</v>
      </c>
      <c r="G78" s="1"/>
      <c r="H78" s="1">
        <f>SUM(OSRRefH22_10x_0)</f>
        <v>174.62</v>
      </c>
      <c r="I78" s="1"/>
      <c r="J78" s="5">
        <f t="shared" si="42"/>
        <v>8.4763122459460599E-4</v>
      </c>
      <c r="K78" s="1"/>
      <c r="L78" s="1">
        <f t="shared" si="43"/>
        <v>-174.62</v>
      </c>
      <c r="M78" s="1"/>
      <c r="N78" s="5">
        <f t="shared" si="44"/>
        <v>-1</v>
      </c>
      <c r="O78" s="12"/>
      <c r="P78" s="1">
        <f>SUM(OSRRefP22_10x_0)</f>
        <v>331.76</v>
      </c>
      <c r="Q78" s="1"/>
      <c r="R78" s="5">
        <f t="shared" si="45"/>
        <v>4.7501020031285812E-5</v>
      </c>
      <c r="S78" s="1"/>
      <c r="T78" s="1">
        <f>SUM(OSRRefT22_10x_0)</f>
        <v>764.44</v>
      </c>
      <c r="U78" s="1"/>
      <c r="V78" s="5">
        <f t="shared" si="46"/>
        <v>7.7391973039489143E-5</v>
      </c>
      <c r="W78" s="1"/>
      <c r="X78" s="1">
        <f t="shared" si="47"/>
        <v>-432.68000000000006</v>
      </c>
      <c r="Y78" s="1"/>
      <c r="Z78" s="5">
        <f t="shared" si="48"/>
        <v>-0.56600910470409715</v>
      </c>
    </row>
    <row r="79" spans="1:26" s="24" customFormat="1" hidden="1" outlineLevel="2" x14ac:dyDescent="0.35">
      <c r="A79" s="27"/>
      <c r="B79" s="11" t="str">
        <f>CONCATENATE("          ", "6305", " - ", "FREIGHT OUT")</f>
        <v xml:space="preserve">          6305 - FREIGHT OUT</v>
      </c>
      <c r="C79" s="11"/>
      <c r="D79" s="7"/>
      <c r="E79" s="2"/>
      <c r="F79" s="6">
        <f t="shared" si="41"/>
        <v>0</v>
      </c>
      <c r="G79" s="2"/>
      <c r="H79" s="7">
        <v>139.62</v>
      </c>
      <c r="I79" s="2"/>
      <c r="J79" s="6">
        <f t="shared" si="42"/>
        <v>6.7773606447084464E-4</v>
      </c>
      <c r="K79" s="2"/>
      <c r="L79" s="7">
        <f t="shared" si="43"/>
        <v>-139.62</v>
      </c>
      <c r="M79" s="2"/>
      <c r="N79" s="6">
        <f t="shared" si="44"/>
        <v>-1</v>
      </c>
      <c r="O79" s="11"/>
      <c r="P79" s="7">
        <v>331.18</v>
      </c>
      <c r="Q79" s="2"/>
      <c r="R79" s="6">
        <f t="shared" si="45"/>
        <v>4.7417976289972378E-5</v>
      </c>
      <c r="S79" s="2"/>
      <c r="T79" s="7">
        <v>728.36</v>
      </c>
      <c r="U79" s="2"/>
      <c r="V79" s="6">
        <f t="shared" si="46"/>
        <v>7.3739230656483571E-5</v>
      </c>
      <c r="W79" s="2"/>
      <c r="X79" s="7">
        <f t="shared" si="47"/>
        <v>-397.18</v>
      </c>
      <c r="Y79" s="2"/>
      <c r="Z79" s="6">
        <f t="shared" si="48"/>
        <v>-0.54530726563787135</v>
      </c>
    </row>
    <row r="80" spans="1:26" s="24" customFormat="1" hidden="1" outlineLevel="2" x14ac:dyDescent="0.35">
      <c r="A80" s="27"/>
      <c r="B80" s="11" t="str">
        <f>CONCATENATE("          ", "6307", " - ", "POSTAGE")</f>
        <v xml:space="preserve">          6307 - POSTAGE</v>
      </c>
      <c r="C80" s="11"/>
      <c r="D80" s="7"/>
      <c r="E80" s="2"/>
      <c r="F80" s="6">
        <f t="shared" si="41"/>
        <v>0</v>
      </c>
      <c r="G80" s="2"/>
      <c r="H80" s="7">
        <v>35</v>
      </c>
      <c r="I80" s="2"/>
      <c r="J80" s="6">
        <f t="shared" si="42"/>
        <v>1.6989516012376138E-4</v>
      </c>
      <c r="K80" s="2"/>
      <c r="L80" s="7">
        <f t="shared" si="43"/>
        <v>-35</v>
      </c>
      <c r="M80" s="2"/>
      <c r="N80" s="6">
        <f t="shared" si="44"/>
        <v>-1</v>
      </c>
      <c r="O80" s="11"/>
      <c r="P80" s="7">
        <v>0.57999999999999996</v>
      </c>
      <c r="Q80" s="2"/>
      <c r="R80" s="6">
        <f t="shared" si="45"/>
        <v>8.3043741313436733E-8</v>
      </c>
      <c r="S80" s="2"/>
      <c r="T80" s="7">
        <v>36.08</v>
      </c>
      <c r="U80" s="2"/>
      <c r="V80" s="6">
        <f t="shared" si="46"/>
        <v>3.6527423830055568E-6</v>
      </c>
      <c r="W80" s="2"/>
      <c r="X80" s="7">
        <f t="shared" si="47"/>
        <v>-35.5</v>
      </c>
      <c r="Y80" s="2"/>
      <c r="Z80" s="6">
        <f t="shared" si="48"/>
        <v>-0.98392461197339254</v>
      </c>
    </row>
    <row r="81" spans="1:26" s="25" customFormat="1" outlineLevel="1" collapsed="1" x14ac:dyDescent="0.35">
      <c r="A81" s="26"/>
      <c r="B81" s="12" t="str">
        <f>CONCATENATE("     ","General                                           ")</f>
        <v xml:space="preserve">     General                                           </v>
      </c>
      <c r="C81" s="12"/>
      <c r="D81" s="1">
        <f>SUM(OSRRefD22_11x_0)</f>
        <v>4574.0600000000004</v>
      </c>
      <c r="E81" s="1"/>
      <c r="F81" s="5">
        <f t="shared" ref="F81:F83" si="49">IF(D$12=0,0,D81/D$12)</f>
        <v>38.286264334142466</v>
      </c>
      <c r="G81" s="1"/>
      <c r="H81" s="1">
        <f>SUM(OSRRefH22_11x_0)</f>
        <v>1182.8399999999999</v>
      </c>
      <c r="I81" s="1"/>
      <c r="J81" s="5">
        <f t="shared" ref="J81:J83" si="50">IF(H$12=0,0,H81/H$12)</f>
        <v>5.7416797485939971E-3</v>
      </c>
      <c r="K81" s="1"/>
      <c r="L81" s="1">
        <f t="shared" ref="L81:L83" si="51">+D81-H81</f>
        <v>3391.2200000000003</v>
      </c>
      <c r="M81" s="1"/>
      <c r="N81" s="5">
        <f t="shared" ref="N81:N83" si="52">IF(H81=0,0,L81/H81)</f>
        <v>2.8670149808934435</v>
      </c>
      <c r="O81" s="12"/>
      <c r="P81" s="1">
        <f>SUM(OSRRefP22_11x_0)</f>
        <v>98942.55</v>
      </c>
      <c r="Q81" s="1"/>
      <c r="R81" s="5">
        <f t="shared" ref="R81:R83" si="53">IF(P$12=0,0,P81/P$12)</f>
        <v>1.4166481943261689E-2</v>
      </c>
      <c r="S81" s="1"/>
      <c r="T81" s="1">
        <f>SUM(OSRRefT22_11x_0)</f>
        <v>69725.98</v>
      </c>
      <c r="U81" s="1"/>
      <c r="V81" s="5">
        <f t="shared" ref="V81:V83" si="54">IF(T$12=0,0,T81/T$12)</f>
        <v>7.059064366479983E-3</v>
      </c>
      <c r="W81" s="1"/>
      <c r="X81" s="1">
        <f t="shared" ref="X81:X83" si="55">+P81-T81</f>
        <v>29216.570000000007</v>
      </c>
      <c r="Y81" s="1"/>
      <c r="Z81" s="5">
        <f t="shared" ref="Z81:Z83" si="56">IF(T81=0,0,X81/T81)</f>
        <v>0.4190198545793119</v>
      </c>
    </row>
    <row r="82" spans="1:26" s="24" customFormat="1" hidden="1" outlineLevel="2" x14ac:dyDescent="0.35">
      <c r="A82" s="27"/>
      <c r="B82" s="11" t="str">
        <f>CONCATENATE("          ", "6269", " - ", "ENTERTAINMENT")</f>
        <v xml:space="preserve">          6269 - ENTERTAINMENT</v>
      </c>
      <c r="C82" s="11"/>
      <c r="D82" s="7"/>
      <c r="E82" s="2"/>
      <c r="F82" s="6">
        <f t="shared" si="49"/>
        <v>0</v>
      </c>
      <c r="G82" s="2"/>
      <c r="H82" s="7"/>
      <c r="I82" s="2"/>
      <c r="J82" s="6">
        <f t="shared" si="50"/>
        <v>0</v>
      </c>
      <c r="K82" s="2"/>
      <c r="L82" s="7">
        <f t="shared" si="51"/>
        <v>0</v>
      </c>
      <c r="M82" s="2"/>
      <c r="N82" s="6">
        <f t="shared" si="52"/>
        <v>0</v>
      </c>
      <c r="O82" s="11"/>
      <c r="P82" s="7">
        <v>10050</v>
      </c>
      <c r="Q82" s="2"/>
      <c r="R82" s="6">
        <f t="shared" si="53"/>
        <v>1.4389475865517916E-3</v>
      </c>
      <c r="S82" s="2"/>
      <c r="T82" s="7">
        <v>10824.27</v>
      </c>
      <c r="U82" s="2"/>
      <c r="V82" s="6">
        <f t="shared" si="54"/>
        <v>1.0958500497254867E-3</v>
      </c>
      <c r="W82" s="2"/>
      <c r="X82" s="7">
        <f t="shared" si="55"/>
        <v>-774.27000000000044</v>
      </c>
      <c r="Y82" s="2"/>
      <c r="Z82" s="6">
        <f t="shared" si="56"/>
        <v>-7.1530920791887151E-2</v>
      </c>
    </row>
    <row r="83" spans="1:26" s="24" customFormat="1" hidden="1" outlineLevel="2" x14ac:dyDescent="0.35">
      <c r="A83" s="27"/>
      <c r="B83" s="11" t="str">
        <f>CONCATENATE("          ", "6279", " - ", "GENERAL EXPENSE")</f>
        <v xml:space="preserve">          6279 - GENERAL EXPENSE</v>
      </c>
      <c r="C83" s="11"/>
      <c r="D83" s="7">
        <v>4574.0600000000004</v>
      </c>
      <c r="E83" s="2"/>
      <c r="F83" s="6">
        <f t="shared" si="49"/>
        <v>38.286264334142466</v>
      </c>
      <c r="G83" s="2"/>
      <c r="H83" s="7">
        <v>1182.8399999999999</v>
      </c>
      <c r="I83" s="2"/>
      <c r="J83" s="6">
        <f t="shared" si="50"/>
        <v>5.7416797485939971E-3</v>
      </c>
      <c r="K83" s="2"/>
      <c r="L83" s="7">
        <f t="shared" si="51"/>
        <v>3391.2200000000003</v>
      </c>
      <c r="M83" s="2"/>
      <c r="N83" s="6">
        <f t="shared" si="52"/>
        <v>2.8670149808934435</v>
      </c>
      <c r="O83" s="11"/>
      <c r="P83" s="7">
        <v>88892.55</v>
      </c>
      <c r="Q83" s="2"/>
      <c r="R83" s="6">
        <f t="shared" si="53"/>
        <v>1.2727534356709898E-2</v>
      </c>
      <c r="S83" s="2"/>
      <c r="T83" s="7">
        <v>58901.71</v>
      </c>
      <c r="U83" s="2"/>
      <c r="V83" s="6">
        <f t="shared" si="54"/>
        <v>5.9632143167544964E-3</v>
      </c>
      <c r="W83" s="2"/>
      <c r="X83" s="7">
        <f t="shared" si="55"/>
        <v>29990.840000000004</v>
      </c>
      <c r="Y83" s="2"/>
      <c r="Z83" s="6">
        <f t="shared" si="56"/>
        <v>0.50916756067014024</v>
      </c>
    </row>
    <row r="84" spans="1:26" s="25" customFormat="1" outlineLevel="1" collapsed="1" x14ac:dyDescent="0.35">
      <c r="A84" s="26"/>
      <c r="B84" s="12" t="str">
        <f>CONCATENATE("     ","Insurance                                         ")</f>
        <v xml:space="preserve">     Insurance                                         </v>
      </c>
      <c r="C84" s="12"/>
      <c r="D84" s="1">
        <f>SUM(OSRRefD22_12x_0)</f>
        <v>4483.67</v>
      </c>
      <c r="E84" s="1"/>
      <c r="F84" s="5">
        <f t="shared" ref="F84:F96" si="57">IF(D$12=0,0,D84/D$12)</f>
        <v>37.529672721185236</v>
      </c>
      <c r="G84" s="1"/>
      <c r="H84" s="1">
        <f>SUM(OSRRefH22_12x_0)</f>
        <v>4222.62</v>
      </c>
      <c r="I84" s="1"/>
      <c r="J84" s="5">
        <f t="shared" ref="J84:J96" si="58">IF(H$12=0,0,H84/H$12)</f>
        <v>2.0497220029765634E-2</v>
      </c>
      <c r="K84" s="1"/>
      <c r="L84" s="1">
        <f t="shared" ref="L84:L96" si="59">+D84-H84</f>
        <v>261.05000000000018</v>
      </c>
      <c r="M84" s="1"/>
      <c r="N84" s="5">
        <f t="shared" ref="N84:N96" si="60">IF(H84=0,0,L84/H84)</f>
        <v>6.1821807313942573E-2</v>
      </c>
      <c r="O84" s="12"/>
      <c r="P84" s="1">
        <f>SUM(OSRRefP22_12x_0)</f>
        <v>59565.04</v>
      </c>
      <c r="Q84" s="1"/>
      <c r="R84" s="5">
        <f t="shared" ref="R84:R96" si="61">IF(P$12=0,0,P84/P$12)</f>
        <v>8.528454781180193E-3</v>
      </c>
      <c r="S84" s="1"/>
      <c r="T84" s="1">
        <f>SUM(OSRRefT22_12x_0)</f>
        <v>47746.74</v>
      </c>
      <c r="U84" s="1"/>
      <c r="V84" s="5">
        <f t="shared" ref="V84:V96" si="62">IF(T$12=0,0,T84/T$12)</f>
        <v>4.8338841698543997E-3</v>
      </c>
      <c r="W84" s="1"/>
      <c r="X84" s="1">
        <f t="shared" ref="X84:X96" si="63">+P84-T84</f>
        <v>11818.300000000003</v>
      </c>
      <c r="Y84" s="1"/>
      <c r="Z84" s="5">
        <f t="shared" ref="Z84:Z96" si="64">IF(T84=0,0,X84/T84)</f>
        <v>0.24752056370759559</v>
      </c>
    </row>
    <row r="85" spans="1:26" s="24" customFormat="1" hidden="1" outlineLevel="2" x14ac:dyDescent="0.35">
      <c r="A85" s="27"/>
      <c r="B85" s="11" t="str">
        <f>CONCATENATE("          ", "6314", " - ", "LIABILITY INSURANCE")</f>
        <v xml:space="preserve">          6314 - LIABILITY INSURANCE</v>
      </c>
      <c r="C85" s="11"/>
      <c r="D85" s="7">
        <v>4483.67</v>
      </c>
      <c r="E85" s="2"/>
      <c r="F85" s="6">
        <f t="shared" si="57"/>
        <v>37.529672721185236</v>
      </c>
      <c r="G85" s="2"/>
      <c r="H85" s="7">
        <v>4222.62</v>
      </c>
      <c r="I85" s="2"/>
      <c r="J85" s="6">
        <f t="shared" si="58"/>
        <v>2.0497220029765634E-2</v>
      </c>
      <c r="K85" s="2"/>
      <c r="L85" s="7">
        <f t="shared" si="59"/>
        <v>261.05000000000018</v>
      </c>
      <c r="M85" s="2"/>
      <c r="N85" s="6">
        <f t="shared" si="60"/>
        <v>6.1821807313942573E-2</v>
      </c>
      <c r="O85" s="11"/>
      <c r="P85" s="7">
        <v>59565.04</v>
      </c>
      <c r="Q85" s="2"/>
      <c r="R85" s="6">
        <f t="shared" si="61"/>
        <v>8.528454781180193E-3</v>
      </c>
      <c r="S85" s="2"/>
      <c r="T85" s="7">
        <v>47746.74</v>
      </c>
      <c r="U85" s="2"/>
      <c r="V85" s="6">
        <f t="shared" si="62"/>
        <v>4.8338841698543997E-3</v>
      </c>
      <c r="W85" s="2"/>
      <c r="X85" s="7">
        <f t="shared" si="63"/>
        <v>11818.300000000003</v>
      </c>
      <c r="Y85" s="2"/>
      <c r="Z85" s="6">
        <f t="shared" si="64"/>
        <v>0.24752056370759559</v>
      </c>
    </row>
    <row r="86" spans="1:26" s="25" customFormat="1" outlineLevel="1" collapsed="1" x14ac:dyDescent="0.35">
      <c r="A86" s="26"/>
      <c r="B86" s="12" t="str">
        <f>CONCATENATE("     ","Interest                                          ")</f>
        <v xml:space="preserve">     Interest                                          </v>
      </c>
      <c r="C86" s="12"/>
      <c r="D86" s="1">
        <f>SUM(OSRRefD22_13x_0)</f>
        <v>11929</v>
      </c>
      <c r="E86" s="1"/>
      <c r="F86" s="5">
        <f t="shared" si="57"/>
        <v>99.849334560977653</v>
      </c>
      <c r="G86" s="1"/>
      <c r="H86" s="1">
        <f>SUM(OSRRefH22_13x_0)</f>
        <v>-579.77</v>
      </c>
      <c r="I86" s="1"/>
      <c r="J86" s="5">
        <f t="shared" si="58"/>
        <v>-2.8142890567129466E-3</v>
      </c>
      <c r="K86" s="1"/>
      <c r="L86" s="1">
        <f t="shared" si="59"/>
        <v>12508.77</v>
      </c>
      <c r="M86" s="1"/>
      <c r="N86" s="5">
        <f t="shared" si="60"/>
        <v>-21.575400589889096</v>
      </c>
      <c r="O86" s="12"/>
      <c r="P86" s="1">
        <f>SUM(OSRRefP22_13x_0)</f>
        <v>139548.05000000002</v>
      </c>
      <c r="Q86" s="1"/>
      <c r="R86" s="5">
        <f t="shared" si="61"/>
        <v>1.9980331318956098E-2</v>
      </c>
      <c r="S86" s="1"/>
      <c r="T86" s="1">
        <f>SUM(OSRRefT22_13x_0)</f>
        <v>131525.22999999998</v>
      </c>
      <c r="U86" s="1"/>
      <c r="V86" s="5">
        <f t="shared" si="62"/>
        <v>1.3315625888457703E-2</v>
      </c>
      <c r="W86" s="1"/>
      <c r="X86" s="1">
        <f t="shared" si="63"/>
        <v>8022.8200000000361</v>
      </c>
      <c r="Y86" s="1"/>
      <c r="Z86" s="5">
        <f t="shared" si="64"/>
        <v>6.0998334692135017E-2</v>
      </c>
    </row>
    <row r="87" spans="1:26" s="24" customFormat="1" hidden="1" outlineLevel="2" x14ac:dyDescent="0.35">
      <c r="A87" s="27"/>
      <c r="B87" s="11" t="str">
        <f>CONCATENATE("          ", "6401", " - ", "INTEREST EXPENSE")</f>
        <v xml:space="preserve">          6401 - INTEREST EXPENSE</v>
      </c>
      <c r="C87" s="11"/>
      <c r="D87" s="7">
        <v>11929</v>
      </c>
      <c r="E87" s="2"/>
      <c r="F87" s="6">
        <f t="shared" si="57"/>
        <v>99.849334560977653</v>
      </c>
      <c r="G87" s="2"/>
      <c r="H87" s="7">
        <v>-579.77</v>
      </c>
      <c r="I87" s="2"/>
      <c r="J87" s="6">
        <f t="shared" si="58"/>
        <v>-2.8142890567129466E-3</v>
      </c>
      <c r="K87" s="2"/>
      <c r="L87" s="7">
        <f t="shared" si="59"/>
        <v>12508.77</v>
      </c>
      <c r="M87" s="2"/>
      <c r="N87" s="6">
        <f t="shared" si="60"/>
        <v>-21.575400589889096</v>
      </c>
      <c r="O87" s="11"/>
      <c r="P87" s="7">
        <v>139548.05000000002</v>
      </c>
      <c r="Q87" s="2"/>
      <c r="R87" s="6">
        <f t="shared" si="61"/>
        <v>1.9980331318956098E-2</v>
      </c>
      <c r="S87" s="2"/>
      <c r="T87" s="7">
        <v>131525.22999999998</v>
      </c>
      <c r="U87" s="2"/>
      <c r="V87" s="6">
        <f t="shared" si="62"/>
        <v>1.3315625888457703E-2</v>
      </c>
      <c r="W87" s="2"/>
      <c r="X87" s="7">
        <f t="shared" si="63"/>
        <v>8022.8200000000361</v>
      </c>
      <c r="Y87" s="2"/>
      <c r="Z87" s="6">
        <f t="shared" si="64"/>
        <v>6.0998334692135017E-2</v>
      </c>
    </row>
    <row r="88" spans="1:26" s="25" customFormat="1" outlineLevel="1" collapsed="1" x14ac:dyDescent="0.35">
      <c r="A88" s="26"/>
      <c r="B88" s="12" t="str">
        <f>CONCATENATE("     ","Professional Services                             ")</f>
        <v xml:space="preserve">     Professional Services                             </v>
      </c>
      <c r="C88" s="12"/>
      <c r="D88" s="1">
        <f>SUM(OSRRefD22_14x_0)</f>
        <v>0</v>
      </c>
      <c r="E88" s="1"/>
      <c r="F88" s="5">
        <f t="shared" si="57"/>
        <v>0</v>
      </c>
      <c r="G88" s="1"/>
      <c r="H88" s="1">
        <f>SUM(OSRRefH22_14x_0)</f>
        <v>0</v>
      </c>
      <c r="I88" s="1"/>
      <c r="J88" s="5">
        <f t="shared" si="58"/>
        <v>0</v>
      </c>
      <c r="K88" s="1"/>
      <c r="L88" s="1">
        <f t="shared" si="59"/>
        <v>0</v>
      </c>
      <c r="M88" s="1"/>
      <c r="N88" s="5">
        <f t="shared" si="60"/>
        <v>0</v>
      </c>
      <c r="O88" s="12"/>
      <c r="P88" s="1">
        <f>SUM(OSRRefP22_14x_0)</f>
        <v>125</v>
      </c>
      <c r="Q88" s="1"/>
      <c r="R88" s="5">
        <f t="shared" si="61"/>
        <v>1.789735804168895E-5</v>
      </c>
      <c r="S88" s="1"/>
      <c r="T88" s="1">
        <f>SUM(OSRRefT22_14x_0)</f>
        <v>0</v>
      </c>
      <c r="U88" s="1"/>
      <c r="V88" s="5">
        <f t="shared" si="62"/>
        <v>0</v>
      </c>
      <c r="W88" s="1"/>
      <c r="X88" s="1">
        <f t="shared" si="63"/>
        <v>125</v>
      </c>
      <c r="Y88" s="1"/>
      <c r="Z88" s="5">
        <f t="shared" si="64"/>
        <v>0</v>
      </c>
    </row>
    <row r="89" spans="1:26" s="24" customFormat="1" hidden="1" outlineLevel="2" x14ac:dyDescent="0.35">
      <c r="A89" s="27"/>
      <c r="B89" s="11" t="str">
        <f>CONCATENATE("          ", "6336", " - ", "PROFESSIONAL SERVICES")</f>
        <v xml:space="preserve">          6336 - PROFESSIONAL SERVICES</v>
      </c>
      <c r="C89" s="11"/>
      <c r="D89" s="7"/>
      <c r="E89" s="2"/>
      <c r="F89" s="6">
        <f t="shared" si="57"/>
        <v>0</v>
      </c>
      <c r="G89" s="2"/>
      <c r="H89" s="7"/>
      <c r="I89" s="2"/>
      <c r="J89" s="6">
        <f t="shared" si="58"/>
        <v>0</v>
      </c>
      <c r="K89" s="2"/>
      <c r="L89" s="7">
        <f t="shared" si="59"/>
        <v>0</v>
      </c>
      <c r="M89" s="2"/>
      <c r="N89" s="6">
        <f t="shared" si="60"/>
        <v>0</v>
      </c>
      <c r="O89" s="11"/>
      <c r="P89" s="7">
        <v>125</v>
      </c>
      <c r="Q89" s="2"/>
      <c r="R89" s="6">
        <f t="shared" si="61"/>
        <v>1.789735804168895E-5</v>
      </c>
      <c r="S89" s="2"/>
      <c r="T89" s="7"/>
      <c r="U89" s="2"/>
      <c r="V89" s="6">
        <f t="shared" si="62"/>
        <v>0</v>
      </c>
      <c r="W89" s="2"/>
      <c r="X89" s="7">
        <f t="shared" si="63"/>
        <v>125</v>
      </c>
      <c r="Y89" s="2"/>
      <c r="Z89" s="6">
        <f t="shared" si="64"/>
        <v>0</v>
      </c>
    </row>
    <row r="90" spans="1:26" s="25" customFormat="1" outlineLevel="1" collapsed="1" x14ac:dyDescent="0.35">
      <c r="A90" s="26"/>
      <c r="B90" s="12" t="str">
        <f>CONCATENATE("     ","Rent                                              ")</f>
        <v xml:space="preserve">     Rent                                              </v>
      </c>
      <c r="C90" s="12"/>
      <c r="D90" s="1">
        <f>SUM(OSRRefD22_15x_0)</f>
        <v>3000</v>
      </c>
      <c r="E90" s="1"/>
      <c r="F90" s="5">
        <f t="shared" si="57"/>
        <v>25.110906503724784</v>
      </c>
      <c r="G90" s="1"/>
      <c r="H90" s="1">
        <f>SUM(OSRRefH22_15x_0)</f>
        <v>3000</v>
      </c>
      <c r="I90" s="1"/>
      <c r="J90" s="5">
        <f t="shared" si="58"/>
        <v>1.4562442296322402E-2</v>
      </c>
      <c r="K90" s="1"/>
      <c r="L90" s="1">
        <f t="shared" si="59"/>
        <v>0</v>
      </c>
      <c r="M90" s="1"/>
      <c r="N90" s="5">
        <f t="shared" si="60"/>
        <v>0</v>
      </c>
      <c r="O90" s="12"/>
      <c r="P90" s="1">
        <f>SUM(OSRRefP22_15x_0)</f>
        <v>36000</v>
      </c>
      <c r="Q90" s="1"/>
      <c r="R90" s="5">
        <f t="shared" si="61"/>
        <v>5.1544391160064183E-3</v>
      </c>
      <c r="S90" s="1"/>
      <c r="T90" s="1">
        <f>SUM(OSRRefT22_15x_0)</f>
        <v>36000</v>
      </c>
      <c r="U90" s="1"/>
      <c r="V90" s="5">
        <f t="shared" si="62"/>
        <v>3.6446431759478951E-3</v>
      </c>
      <c r="W90" s="1"/>
      <c r="X90" s="1">
        <f t="shared" si="63"/>
        <v>0</v>
      </c>
      <c r="Y90" s="1"/>
      <c r="Z90" s="5">
        <f t="shared" si="64"/>
        <v>0</v>
      </c>
    </row>
    <row r="91" spans="1:26" s="24" customFormat="1" hidden="1" outlineLevel="2" x14ac:dyDescent="0.35">
      <c r="A91" s="27"/>
      <c r="B91" s="11" t="str">
        <f>CONCATENATE("          ", "6273", " - ", "RENT")</f>
        <v xml:space="preserve">          6273 - RENT</v>
      </c>
      <c r="C91" s="11"/>
      <c r="D91" s="7">
        <v>3000</v>
      </c>
      <c r="E91" s="2"/>
      <c r="F91" s="6">
        <f t="shared" si="57"/>
        <v>25.110906503724784</v>
      </c>
      <c r="G91" s="2"/>
      <c r="H91" s="7">
        <v>3000</v>
      </c>
      <c r="I91" s="2"/>
      <c r="J91" s="6">
        <f t="shared" si="58"/>
        <v>1.4562442296322402E-2</v>
      </c>
      <c r="K91" s="2"/>
      <c r="L91" s="7">
        <f t="shared" si="59"/>
        <v>0</v>
      </c>
      <c r="M91" s="2"/>
      <c r="N91" s="6">
        <f t="shared" si="60"/>
        <v>0</v>
      </c>
      <c r="O91" s="11"/>
      <c r="P91" s="7">
        <v>36000</v>
      </c>
      <c r="Q91" s="2"/>
      <c r="R91" s="6">
        <f t="shared" si="61"/>
        <v>5.1544391160064183E-3</v>
      </c>
      <c r="S91" s="2"/>
      <c r="T91" s="7">
        <v>36000</v>
      </c>
      <c r="U91" s="2"/>
      <c r="V91" s="6">
        <f t="shared" si="62"/>
        <v>3.6446431759478951E-3</v>
      </c>
      <c r="W91" s="2"/>
      <c r="X91" s="7">
        <f t="shared" si="63"/>
        <v>0</v>
      </c>
      <c r="Y91" s="2"/>
      <c r="Z91" s="6">
        <f t="shared" si="64"/>
        <v>0</v>
      </c>
    </row>
    <row r="92" spans="1:26" s="25" customFormat="1" outlineLevel="1" collapsed="1" x14ac:dyDescent="0.35">
      <c r="A92" s="26"/>
      <c r="B92" s="12" t="str">
        <f>CONCATENATE("     ","Repair and Maintenance                            ")</f>
        <v xml:space="preserve">     Repair and Maintenance                            </v>
      </c>
      <c r="C92" s="12"/>
      <c r="D92" s="1">
        <f>SUM(OSRRefD22_16x_0)</f>
        <v>7992.74</v>
      </c>
      <c r="E92" s="1"/>
      <c r="F92" s="5">
        <f t="shared" si="57"/>
        <v>66.901648949527072</v>
      </c>
      <c r="G92" s="1"/>
      <c r="H92" s="1">
        <f>SUM(OSRRefH22_16x_0)</f>
        <v>23464.53</v>
      </c>
      <c r="I92" s="1"/>
      <c r="J92" s="5">
        <f t="shared" si="58"/>
        <v>0.11390028804510864</v>
      </c>
      <c r="K92" s="1"/>
      <c r="L92" s="1">
        <f t="shared" si="59"/>
        <v>-15471.789999999999</v>
      </c>
      <c r="M92" s="1"/>
      <c r="N92" s="5">
        <f t="shared" si="60"/>
        <v>-0.65936926927579631</v>
      </c>
      <c r="O92" s="12"/>
      <c r="P92" s="1">
        <f>SUM(OSRRefP22_16x_0)</f>
        <v>251979.42</v>
      </c>
      <c r="Q92" s="1"/>
      <c r="R92" s="5">
        <f t="shared" si="61"/>
        <v>3.6078127191016947E-2</v>
      </c>
      <c r="S92" s="1"/>
      <c r="T92" s="1">
        <f>SUM(OSRRefT22_16x_0)</f>
        <v>334966.52999999997</v>
      </c>
      <c r="U92" s="1"/>
      <c r="V92" s="5">
        <f t="shared" si="62"/>
        <v>3.3912041048206824E-2</v>
      </c>
      <c r="W92" s="1"/>
      <c r="X92" s="1">
        <f t="shared" si="63"/>
        <v>-82987.109999999957</v>
      </c>
      <c r="Y92" s="1"/>
      <c r="Z92" s="5">
        <f t="shared" si="64"/>
        <v>-0.24774746897846769</v>
      </c>
    </row>
    <row r="93" spans="1:26" s="24" customFormat="1" hidden="1" outlineLevel="2" x14ac:dyDescent="0.35">
      <c r="A93" s="27"/>
      <c r="B93" s="11" t="str">
        <f>CONCATENATE("          ", "6371", " - ", "COMPUTER SOFTWARE MAINTENANCE")</f>
        <v xml:space="preserve">          6371 - COMPUTER SOFTWARE MAINTENANCE</v>
      </c>
      <c r="C93" s="11"/>
      <c r="D93" s="7"/>
      <c r="E93" s="2"/>
      <c r="F93" s="6">
        <f t="shared" si="57"/>
        <v>0</v>
      </c>
      <c r="G93" s="2"/>
      <c r="H93" s="7">
        <v>2430</v>
      </c>
      <c r="I93" s="2"/>
      <c r="J93" s="6">
        <f t="shared" si="58"/>
        <v>1.1795578260021146E-2</v>
      </c>
      <c r="K93" s="2"/>
      <c r="L93" s="7">
        <f t="shared" si="59"/>
        <v>-2430</v>
      </c>
      <c r="M93" s="2"/>
      <c r="N93" s="6">
        <f t="shared" si="60"/>
        <v>-1</v>
      </c>
      <c r="O93" s="11"/>
      <c r="P93" s="7">
        <v>12244.62</v>
      </c>
      <c r="Q93" s="2"/>
      <c r="R93" s="6">
        <f t="shared" si="61"/>
        <v>1.753170785795403E-3</v>
      </c>
      <c r="S93" s="2"/>
      <c r="T93" s="7">
        <v>30582.339999999997</v>
      </c>
      <c r="U93" s="2"/>
      <c r="V93" s="6">
        <f t="shared" si="62"/>
        <v>3.0961587995977312E-3</v>
      </c>
      <c r="W93" s="2"/>
      <c r="X93" s="7">
        <f t="shared" si="63"/>
        <v>-18337.719999999994</v>
      </c>
      <c r="Y93" s="2"/>
      <c r="Z93" s="6">
        <f t="shared" si="64"/>
        <v>-0.59961794944402536</v>
      </c>
    </row>
    <row r="94" spans="1:26" s="24" customFormat="1" hidden="1" outlineLevel="2" x14ac:dyDescent="0.35">
      <c r="A94" s="27"/>
      <c r="B94" s="11" t="str">
        <f>CONCATENATE("          ", "6372", " - ", "COMPUTER HARDWARE MAINTENANCE")</f>
        <v xml:space="preserve">          6372 - COMPUTER HARDWARE MAINTENANCE</v>
      </c>
      <c r="C94" s="11"/>
      <c r="D94" s="7"/>
      <c r="E94" s="2"/>
      <c r="F94" s="6">
        <f t="shared" si="57"/>
        <v>0</v>
      </c>
      <c r="G94" s="2"/>
      <c r="H94" s="7"/>
      <c r="I94" s="2"/>
      <c r="J94" s="6">
        <f t="shared" si="58"/>
        <v>0</v>
      </c>
      <c r="K94" s="2"/>
      <c r="L94" s="7">
        <f t="shared" si="59"/>
        <v>0</v>
      </c>
      <c r="M94" s="2"/>
      <c r="N94" s="6">
        <f t="shared" si="60"/>
        <v>0</v>
      </c>
      <c r="O94" s="11"/>
      <c r="P94" s="7">
        <v>8142.87</v>
      </c>
      <c r="Q94" s="2"/>
      <c r="R94" s="6">
        <f t="shared" si="61"/>
        <v>1.1658868790154217E-3</v>
      </c>
      <c r="S94" s="2"/>
      <c r="T94" s="7">
        <v>880.96</v>
      </c>
      <c r="U94" s="2"/>
      <c r="V94" s="6">
        <f t="shared" si="62"/>
        <v>8.9188468118973828E-5</v>
      </c>
      <c r="W94" s="2"/>
      <c r="X94" s="7">
        <f t="shared" si="63"/>
        <v>7261.91</v>
      </c>
      <c r="Y94" s="2"/>
      <c r="Z94" s="6">
        <f t="shared" si="64"/>
        <v>8.2431778968398106</v>
      </c>
    </row>
    <row r="95" spans="1:26" s="24" customFormat="1" hidden="1" outlineLevel="2" x14ac:dyDescent="0.35">
      <c r="A95" s="27"/>
      <c r="B95" s="11" t="str">
        <f>CONCATENATE("          ", "6373", " - ", "MAINTENANCE CONTRACTS")</f>
        <v xml:space="preserve">          6373 - MAINTENANCE CONTRACTS</v>
      </c>
      <c r="C95" s="11"/>
      <c r="D95" s="7">
        <v>7992.74</v>
      </c>
      <c r="E95" s="2"/>
      <c r="F95" s="6">
        <f t="shared" si="57"/>
        <v>66.901648949527072</v>
      </c>
      <c r="G95" s="2"/>
      <c r="H95" s="7">
        <v>7910.67</v>
      </c>
      <c r="I95" s="2"/>
      <c r="J95" s="6">
        <f t="shared" si="58"/>
        <v>3.8399558466749584E-2</v>
      </c>
      <c r="K95" s="2"/>
      <c r="L95" s="7">
        <f t="shared" si="59"/>
        <v>82.069999999999709</v>
      </c>
      <c r="M95" s="2"/>
      <c r="N95" s="6">
        <f t="shared" si="60"/>
        <v>1.0374595325048284E-2</v>
      </c>
      <c r="O95" s="11"/>
      <c r="P95" s="7">
        <v>102134.05</v>
      </c>
      <c r="Q95" s="2"/>
      <c r="R95" s="6">
        <f t="shared" si="61"/>
        <v>1.4623437288782092E-2</v>
      </c>
      <c r="S95" s="2"/>
      <c r="T95" s="7">
        <v>128104.46999999999</v>
      </c>
      <c r="U95" s="2"/>
      <c r="V95" s="6">
        <f t="shared" si="62"/>
        <v>1.2969307844275605E-2</v>
      </c>
      <c r="W95" s="2"/>
      <c r="X95" s="7">
        <f t="shared" si="63"/>
        <v>-25970.419999999984</v>
      </c>
      <c r="Y95" s="2"/>
      <c r="Z95" s="6">
        <f t="shared" si="64"/>
        <v>-0.20272844499493253</v>
      </c>
    </row>
    <row r="96" spans="1:26" s="24" customFormat="1" hidden="1" outlineLevel="2" x14ac:dyDescent="0.35">
      <c r="A96" s="27"/>
      <c r="B96" s="11" t="str">
        <f>CONCATENATE("          ", "6375", " - ", "OUTSIDE REPAIRS &amp; MAINTENANCE")</f>
        <v xml:space="preserve">          6375 - OUTSIDE REPAIRS &amp; MAINTENANCE</v>
      </c>
      <c r="C96" s="11"/>
      <c r="D96" s="7"/>
      <c r="E96" s="2"/>
      <c r="F96" s="6">
        <f t="shared" si="57"/>
        <v>0</v>
      </c>
      <c r="G96" s="2"/>
      <c r="H96" s="7">
        <v>13123.86</v>
      </c>
      <c r="I96" s="2"/>
      <c r="J96" s="6">
        <f t="shared" si="58"/>
        <v>6.3705151318337913E-2</v>
      </c>
      <c r="K96" s="2"/>
      <c r="L96" s="7">
        <f t="shared" si="59"/>
        <v>-13123.86</v>
      </c>
      <c r="M96" s="2"/>
      <c r="N96" s="6">
        <f t="shared" si="60"/>
        <v>-1</v>
      </c>
      <c r="O96" s="11"/>
      <c r="P96" s="7">
        <v>129457.88</v>
      </c>
      <c r="Q96" s="2"/>
      <c r="R96" s="6">
        <f t="shared" si="61"/>
        <v>1.8535632237424028E-2</v>
      </c>
      <c r="S96" s="2"/>
      <c r="T96" s="7">
        <v>175398.75999999998</v>
      </c>
      <c r="U96" s="2"/>
      <c r="V96" s="6">
        <f t="shared" si="62"/>
        <v>1.7757385936214513E-2</v>
      </c>
      <c r="W96" s="2"/>
      <c r="X96" s="7">
        <f t="shared" si="63"/>
        <v>-45940.879999999976</v>
      </c>
      <c r="Y96" s="2"/>
      <c r="Z96" s="6">
        <f t="shared" si="64"/>
        <v>-0.26192249021600827</v>
      </c>
    </row>
    <row r="97" spans="1:26" s="25" customFormat="1" outlineLevel="1" collapsed="1" x14ac:dyDescent="0.35">
      <c r="A97" s="26"/>
      <c r="B97" s="12" t="str">
        <f>CONCATENATE("     ","Royalty &amp; Commissions                             ")</f>
        <v xml:space="preserve">     Royalty &amp; Commissions                             </v>
      </c>
      <c r="C97" s="12"/>
      <c r="D97" s="1">
        <f>SUM(OSRRefD22_17x_0)</f>
        <v>0</v>
      </c>
      <c r="E97" s="1"/>
      <c r="F97" s="5">
        <f t="shared" ref="F97:F99" si="65">IF(D$12=0,0,D97/D$12)</f>
        <v>0</v>
      </c>
      <c r="G97" s="1"/>
      <c r="H97" s="1">
        <f>SUM(OSRRefH22_17x_0)</f>
        <v>16577.79</v>
      </c>
      <c r="I97" s="1"/>
      <c r="J97" s="5">
        <f t="shared" ref="J97:J99" si="66">IF(H$12=0,0,H97/H$12)</f>
        <v>8.0471036758516856E-2</v>
      </c>
      <c r="K97" s="1"/>
      <c r="L97" s="1">
        <f t="shared" ref="L97:L99" si="67">+D97-H97</f>
        <v>-16577.79</v>
      </c>
      <c r="M97" s="1"/>
      <c r="N97" s="5">
        <f t="shared" ref="N97:N99" si="68">IF(H97=0,0,L97/H97)</f>
        <v>-1</v>
      </c>
      <c r="O97" s="12"/>
      <c r="P97" s="1">
        <f>SUM(OSRRefP22_17x_0)</f>
        <v>258319.61</v>
      </c>
      <c r="Q97" s="1"/>
      <c r="R97" s="5">
        <f t="shared" ref="R97:R99" si="69">IF(P$12=0,0,P97/P$12)</f>
        <v>3.6985908394875623E-2</v>
      </c>
      <c r="S97" s="1"/>
      <c r="T97" s="1">
        <f>SUM(OSRRefT22_17x_0)</f>
        <v>475597.18</v>
      </c>
      <c r="U97" s="1"/>
      <c r="V97" s="5">
        <f t="shared" ref="V97:V99" si="70">IF(T$12=0,0,T97/T$12)</f>
        <v>4.814950046075174E-2</v>
      </c>
      <c r="W97" s="1"/>
      <c r="X97" s="1">
        <f t="shared" ref="X97:X99" si="71">+P97-T97</f>
        <v>-217277.57</v>
      </c>
      <c r="Y97" s="1"/>
      <c r="Z97" s="5">
        <f t="shared" ref="Z97:Z99" si="72">IF(T97=0,0,X97/T97)</f>
        <v>-0.45685209908099123</v>
      </c>
    </row>
    <row r="98" spans="1:26" s="24" customFormat="1" hidden="1" outlineLevel="2" x14ac:dyDescent="0.35">
      <c r="A98" s="27"/>
      <c r="B98" s="11" t="str">
        <f>CONCATENATE("          ", "6254", " - ", "ROYALTY &amp; COMMISSIONS")</f>
        <v xml:space="preserve">          6254 - ROYALTY &amp; COMMISSIONS</v>
      </c>
      <c r="C98" s="11"/>
      <c r="D98" s="7"/>
      <c r="E98" s="2"/>
      <c r="F98" s="6">
        <f t="shared" si="65"/>
        <v>0</v>
      </c>
      <c r="G98" s="2"/>
      <c r="H98" s="7">
        <v>15323.310000000001</v>
      </c>
      <c r="I98" s="2"/>
      <c r="J98" s="6">
        <f t="shared" si="66"/>
        <v>7.4381605887886684E-2</v>
      </c>
      <c r="K98" s="2"/>
      <c r="L98" s="7">
        <f t="shared" si="67"/>
        <v>-15323.310000000001</v>
      </c>
      <c r="M98" s="2"/>
      <c r="N98" s="6">
        <f t="shared" si="68"/>
        <v>-1</v>
      </c>
      <c r="O98" s="11"/>
      <c r="P98" s="7">
        <v>153649.65</v>
      </c>
      <c r="Q98" s="2"/>
      <c r="R98" s="6">
        <f t="shared" si="69"/>
        <v>2.1999382392241543E-2</v>
      </c>
      <c r="S98" s="2"/>
      <c r="T98" s="7">
        <v>334593.74</v>
      </c>
      <c r="U98" s="2"/>
      <c r="V98" s="6">
        <f t="shared" si="70"/>
        <v>3.3874299755719005E-2</v>
      </c>
      <c r="W98" s="2"/>
      <c r="X98" s="7">
        <f t="shared" si="71"/>
        <v>-180944.09</v>
      </c>
      <c r="Y98" s="2"/>
      <c r="Z98" s="6">
        <f t="shared" si="72"/>
        <v>-0.54078743373979443</v>
      </c>
    </row>
    <row r="99" spans="1:26" s="24" customFormat="1" hidden="1" outlineLevel="2" x14ac:dyDescent="0.35">
      <c r="A99" s="27"/>
      <c r="B99" s="11" t="str">
        <f>CONCATENATE("          ", "6259", " - ", "ROYALTY &amp; COMMISSIONS")</f>
        <v xml:space="preserve">          6259 - ROYALTY &amp; COMMISSIONS</v>
      </c>
      <c r="C99" s="11"/>
      <c r="D99" s="7"/>
      <c r="E99" s="2"/>
      <c r="F99" s="6">
        <f t="shared" si="65"/>
        <v>0</v>
      </c>
      <c r="G99" s="2"/>
      <c r="H99" s="7">
        <v>1254.48</v>
      </c>
      <c r="I99" s="2"/>
      <c r="J99" s="6">
        <f t="shared" si="66"/>
        <v>6.0894308706301763E-3</v>
      </c>
      <c r="K99" s="2"/>
      <c r="L99" s="7">
        <f t="shared" si="67"/>
        <v>-1254.48</v>
      </c>
      <c r="M99" s="2"/>
      <c r="N99" s="6">
        <f t="shared" si="68"/>
        <v>-1</v>
      </c>
      <c r="O99" s="11"/>
      <c r="P99" s="7">
        <v>104669.95999999999</v>
      </c>
      <c r="Q99" s="2"/>
      <c r="R99" s="6">
        <f t="shared" si="69"/>
        <v>1.4986526002634086E-2</v>
      </c>
      <c r="S99" s="2"/>
      <c r="T99" s="7">
        <v>141003.44</v>
      </c>
      <c r="U99" s="2"/>
      <c r="V99" s="6">
        <f t="shared" si="70"/>
        <v>1.4275200705032735E-2</v>
      </c>
      <c r="W99" s="2"/>
      <c r="X99" s="7">
        <f t="shared" si="71"/>
        <v>-36333.48000000001</v>
      </c>
      <c r="Y99" s="2"/>
      <c r="Z99" s="6">
        <f t="shared" si="72"/>
        <v>-0.25767796870771387</v>
      </c>
    </row>
    <row r="100" spans="1:26" s="25" customFormat="1" outlineLevel="1" collapsed="1" x14ac:dyDescent="0.35">
      <c r="A100" s="26"/>
      <c r="B100" s="12" t="str">
        <f>CONCATENATE("     ","Services                                          ")</f>
        <v xml:space="preserve">     Services                                          </v>
      </c>
      <c r="C100" s="12"/>
      <c r="D100" s="1">
        <f>SUM(OSRRefD22_18x_0)</f>
        <v>22180.81</v>
      </c>
      <c r="E100" s="1"/>
      <c r="F100" s="5">
        <f t="shared" ref="F100:F105" si="73">IF(D$12=0,0,D100/D$12)</f>
        <v>185.66008202896126</v>
      </c>
      <c r="G100" s="1"/>
      <c r="H100" s="1">
        <f>SUM(OSRRefH22_18x_0)</f>
        <v>21074.25</v>
      </c>
      <c r="I100" s="1"/>
      <c r="J100" s="5">
        <f t="shared" ref="J100:J105" si="74">IF(H$12=0,0,H100/H$12)</f>
        <v>0.1022975165210908</v>
      </c>
      <c r="K100" s="1"/>
      <c r="L100" s="1">
        <f t="shared" ref="L100:L105" si="75">+D100-H100</f>
        <v>1106.5600000000013</v>
      </c>
      <c r="M100" s="1"/>
      <c r="N100" s="5">
        <f t="shared" ref="N100:N105" si="76">IF(H100=0,0,L100/H100)</f>
        <v>5.2507681174893593E-2</v>
      </c>
      <c r="O100" s="12"/>
      <c r="P100" s="1">
        <f>SUM(OSRRefP22_18x_0)</f>
        <v>257201.99</v>
      </c>
      <c r="Q100" s="1"/>
      <c r="R100" s="5">
        <f t="shared" ref="R100:R105" si="77">IF(P$12=0,0,P100/P$12)</f>
        <v>3.6825888832519207E-2</v>
      </c>
      <c r="S100" s="1"/>
      <c r="T100" s="1">
        <f>SUM(OSRRefT22_18x_0)</f>
        <v>297567.25</v>
      </c>
      <c r="U100" s="1"/>
      <c r="V100" s="5">
        <f t="shared" ref="V100:V105" si="78">IF(T$12=0,0,T100/T$12)</f>
        <v>3.0125734641613368E-2</v>
      </c>
      <c r="W100" s="1"/>
      <c r="X100" s="1">
        <f t="shared" ref="X100:X105" si="79">+P100-T100</f>
        <v>-40365.260000000009</v>
      </c>
      <c r="Y100" s="1"/>
      <c r="Z100" s="5">
        <f t="shared" ref="Z100:Z105" si="80">IF(T100=0,0,X100/T100)</f>
        <v>-0.13565088227955197</v>
      </c>
    </row>
    <row r="101" spans="1:26" s="24" customFormat="1" hidden="1" outlineLevel="2" x14ac:dyDescent="0.35">
      <c r="A101" s="27"/>
      <c r="B101" s="11" t="str">
        <f>CONCATENATE("          ", "6282", " - ", "JANITORIAL/EXTERMINATOR EXPENS")</f>
        <v xml:space="preserve">          6282 - JANITORIAL/EXTERMINATOR EXPENS</v>
      </c>
      <c r="C101" s="11"/>
      <c r="D101" s="7">
        <v>2492.3000000000002</v>
      </c>
      <c r="E101" s="2"/>
      <c r="F101" s="6">
        <f t="shared" si="73"/>
        <v>20.861304093077763</v>
      </c>
      <c r="G101" s="2"/>
      <c r="H101" s="7">
        <v>640.59</v>
      </c>
      <c r="I101" s="2"/>
      <c r="J101" s="6">
        <f t="shared" si="74"/>
        <v>3.1095183035337228E-3</v>
      </c>
      <c r="K101" s="2"/>
      <c r="L101" s="7">
        <f t="shared" si="75"/>
        <v>1851.71</v>
      </c>
      <c r="M101" s="2"/>
      <c r="N101" s="6">
        <f t="shared" si="76"/>
        <v>2.8906320735571893</v>
      </c>
      <c r="O101" s="11"/>
      <c r="P101" s="7">
        <v>21589.129999999997</v>
      </c>
      <c r="Q101" s="2"/>
      <c r="R101" s="6">
        <f t="shared" si="77"/>
        <v>3.091107115348545E-3</v>
      </c>
      <c r="S101" s="2"/>
      <c r="T101" s="7">
        <v>21016.929999999997</v>
      </c>
      <c r="U101" s="2"/>
      <c r="V101" s="6">
        <f t="shared" si="78"/>
        <v>2.1277558473298494E-3</v>
      </c>
      <c r="W101" s="2"/>
      <c r="X101" s="7">
        <f t="shared" si="79"/>
        <v>572.20000000000073</v>
      </c>
      <c r="Y101" s="2"/>
      <c r="Z101" s="6">
        <f t="shared" si="80"/>
        <v>2.7225669971779932E-2</v>
      </c>
    </row>
    <row r="102" spans="1:26" s="24" customFormat="1" hidden="1" outlineLevel="2" x14ac:dyDescent="0.35">
      <c r="A102" s="27"/>
      <c r="B102" s="11" t="str">
        <f>CONCATENATE("          ", "6283", " - ", "PLANT SERVICE")</f>
        <v xml:space="preserve">          6283 - PLANT SERVICE</v>
      </c>
      <c r="C102" s="11"/>
      <c r="D102" s="7"/>
      <c r="E102" s="2"/>
      <c r="F102" s="6">
        <f t="shared" si="73"/>
        <v>0</v>
      </c>
      <c r="G102" s="2"/>
      <c r="H102" s="7">
        <v>199.78</v>
      </c>
      <c r="I102" s="2"/>
      <c r="J102" s="6">
        <f t="shared" si="74"/>
        <v>9.6976157398642987E-4</v>
      </c>
      <c r="K102" s="2"/>
      <c r="L102" s="7">
        <f t="shared" si="75"/>
        <v>-199.78</v>
      </c>
      <c r="M102" s="2"/>
      <c r="N102" s="6">
        <f t="shared" si="76"/>
        <v>-1</v>
      </c>
      <c r="O102" s="11"/>
      <c r="P102" s="7">
        <v>1798.02</v>
      </c>
      <c r="Q102" s="2"/>
      <c r="R102" s="6">
        <f t="shared" si="77"/>
        <v>2.5743846164894056E-4</v>
      </c>
      <c r="S102" s="2"/>
      <c r="T102" s="7">
        <v>2135.7800000000002</v>
      </c>
      <c r="U102" s="2"/>
      <c r="V102" s="6">
        <f t="shared" si="78"/>
        <v>2.1622655562016655E-4</v>
      </c>
      <c r="W102" s="2"/>
      <c r="X102" s="7">
        <f t="shared" si="79"/>
        <v>-337.76000000000022</v>
      </c>
      <c r="Y102" s="2"/>
      <c r="Z102" s="6">
        <f t="shared" si="80"/>
        <v>-0.1581436290254615</v>
      </c>
    </row>
    <row r="103" spans="1:26" s="24" customFormat="1" hidden="1" outlineLevel="2" x14ac:dyDescent="0.35">
      <c r="A103" s="27"/>
      <c r="B103" s="11" t="str">
        <f>CONCATENATE("          ", "6284", " - ", "TRASH REMOVAL EXPENSE")</f>
        <v xml:space="preserve">          6284 - TRASH REMOVAL EXPENSE</v>
      </c>
      <c r="C103" s="11"/>
      <c r="D103" s="7">
        <v>5417</v>
      </c>
      <c r="E103" s="2"/>
      <c r="F103" s="6">
        <f t="shared" si="73"/>
        <v>45.341926843559051</v>
      </c>
      <c r="G103" s="2"/>
      <c r="H103" s="7">
        <v>4436</v>
      </c>
      <c r="I103" s="2"/>
      <c r="J103" s="6">
        <f t="shared" si="74"/>
        <v>2.1532998008828727E-2</v>
      </c>
      <c r="K103" s="2"/>
      <c r="L103" s="7">
        <f t="shared" si="75"/>
        <v>981</v>
      </c>
      <c r="M103" s="2"/>
      <c r="N103" s="6">
        <f t="shared" si="76"/>
        <v>0.22114517583408477</v>
      </c>
      <c r="O103" s="11"/>
      <c r="P103" s="7">
        <v>57136</v>
      </c>
      <c r="Q103" s="2"/>
      <c r="R103" s="6">
        <f t="shared" si="77"/>
        <v>8.1806675925595197E-3</v>
      </c>
      <c r="S103" s="2"/>
      <c r="T103" s="7">
        <v>62592</v>
      </c>
      <c r="U103" s="2"/>
      <c r="V103" s="6">
        <f t="shared" si="78"/>
        <v>6.3368196019147399E-3</v>
      </c>
      <c r="W103" s="2"/>
      <c r="X103" s="7">
        <f t="shared" si="79"/>
        <v>-5456</v>
      </c>
      <c r="Y103" s="2"/>
      <c r="Z103" s="6">
        <f t="shared" si="80"/>
        <v>-8.7167689161554193E-2</v>
      </c>
    </row>
    <row r="104" spans="1:26" s="24" customFormat="1" hidden="1" outlineLevel="2" x14ac:dyDescent="0.35">
      <c r="A104" s="27"/>
      <c r="B104" s="11" t="str">
        <f>CONCATENATE("          ", "6285", " - ", "JANITORIAL SERVICES")</f>
        <v xml:space="preserve">          6285 - JANITORIAL SERVICES</v>
      </c>
      <c r="C104" s="11"/>
      <c r="D104" s="7">
        <v>14271.51</v>
      </c>
      <c r="E104" s="2"/>
      <c r="F104" s="6">
        <f t="shared" si="73"/>
        <v>119.45685109232444</v>
      </c>
      <c r="G104" s="2"/>
      <c r="H104" s="7">
        <v>13019.69</v>
      </c>
      <c r="I104" s="2"/>
      <c r="J104" s="6">
        <f t="shared" si="74"/>
        <v>6.3199494780335277E-2</v>
      </c>
      <c r="K104" s="2"/>
      <c r="L104" s="7">
        <f t="shared" si="75"/>
        <v>1251.8199999999997</v>
      </c>
      <c r="M104" s="2"/>
      <c r="N104" s="6">
        <f t="shared" si="76"/>
        <v>9.6148218582777292E-2</v>
      </c>
      <c r="O104" s="11"/>
      <c r="P104" s="7">
        <v>143481.06</v>
      </c>
      <c r="Q104" s="2"/>
      <c r="R104" s="6">
        <f t="shared" si="77"/>
        <v>2.0543455224168439E-2</v>
      </c>
      <c r="S104" s="2"/>
      <c r="T104" s="7">
        <v>159533.72999999998</v>
      </c>
      <c r="U104" s="2"/>
      <c r="V104" s="6">
        <f t="shared" si="78"/>
        <v>1.6151208899389275E-2</v>
      </c>
      <c r="W104" s="2"/>
      <c r="X104" s="7">
        <f t="shared" si="79"/>
        <v>-16052.669999999984</v>
      </c>
      <c r="Y104" s="2"/>
      <c r="Z104" s="6">
        <f t="shared" si="80"/>
        <v>-0.10062242009887179</v>
      </c>
    </row>
    <row r="105" spans="1:26" s="24" customFormat="1" hidden="1" outlineLevel="2" x14ac:dyDescent="0.35">
      <c r="A105" s="27"/>
      <c r="B105" s="11" t="str">
        <f>CONCATENATE("          ", "6286", " - ", "LAUNDRY EXPENSE")</f>
        <v xml:space="preserve">          6286 - LAUNDRY EXPENSE</v>
      </c>
      <c r="C105" s="11"/>
      <c r="D105" s="7"/>
      <c r="E105" s="2"/>
      <c r="F105" s="6">
        <f t="shared" si="73"/>
        <v>0</v>
      </c>
      <c r="G105" s="2"/>
      <c r="H105" s="7">
        <v>2778.19</v>
      </c>
      <c r="I105" s="2"/>
      <c r="J105" s="6">
        <f t="shared" si="74"/>
        <v>1.3485743854406646E-2</v>
      </c>
      <c r="K105" s="2"/>
      <c r="L105" s="7">
        <f t="shared" si="75"/>
        <v>-2778.19</v>
      </c>
      <c r="M105" s="2"/>
      <c r="N105" s="6">
        <f t="shared" si="76"/>
        <v>-1</v>
      </c>
      <c r="O105" s="11"/>
      <c r="P105" s="7">
        <v>33197.78</v>
      </c>
      <c r="Q105" s="2"/>
      <c r="R105" s="6">
        <f t="shared" si="77"/>
        <v>4.7532204387937651E-3</v>
      </c>
      <c r="S105" s="2"/>
      <c r="T105" s="7">
        <v>52288.81</v>
      </c>
      <c r="U105" s="2"/>
      <c r="V105" s="6">
        <f t="shared" si="78"/>
        <v>5.2937237373593344E-3</v>
      </c>
      <c r="W105" s="2"/>
      <c r="X105" s="7">
        <f t="shared" si="79"/>
        <v>-19091.03</v>
      </c>
      <c r="Y105" s="2"/>
      <c r="Z105" s="6">
        <f t="shared" si="80"/>
        <v>-0.36510737192144932</v>
      </c>
    </row>
    <row r="106" spans="1:26" s="25" customFormat="1" outlineLevel="1" collapsed="1" x14ac:dyDescent="0.35">
      <c r="A106" s="26"/>
      <c r="B106" s="12" t="str">
        <f>CONCATENATE("     ","Subscriptions &amp; Dues                              ")</f>
        <v xml:space="preserve">     Subscriptions &amp; Dues                              </v>
      </c>
      <c r="C106" s="12"/>
      <c r="D106" s="1">
        <f>SUM(OSRRefD22_19x_0)</f>
        <v>0</v>
      </c>
      <c r="E106" s="1"/>
      <c r="F106" s="5">
        <f t="shared" ref="F106:F108" si="81">IF(D$12=0,0,D106/D$12)</f>
        <v>0</v>
      </c>
      <c r="G106" s="1"/>
      <c r="H106" s="1">
        <f>SUM(OSRRefH22_19x_0)</f>
        <v>2641.89</v>
      </c>
      <c r="I106" s="1"/>
      <c r="J106" s="5">
        <f t="shared" ref="J106:J108" si="82">IF(H$12=0,0,H106/H$12)</f>
        <v>1.2824123559410398E-2</v>
      </c>
      <c r="K106" s="1"/>
      <c r="L106" s="1">
        <f t="shared" ref="L106:L108" si="83">+D106-H106</f>
        <v>-2641.89</v>
      </c>
      <c r="M106" s="1"/>
      <c r="N106" s="5">
        <f t="shared" ref="N106:N108" si="84">IF(H106=0,0,L106/H106)</f>
        <v>-1</v>
      </c>
      <c r="O106" s="12"/>
      <c r="P106" s="1">
        <f>SUM(OSRRefP22_19x_0)</f>
        <v>8711.75</v>
      </c>
      <c r="Q106" s="1"/>
      <c r="R106" s="5">
        <f t="shared" ref="R106:R108" si="85">IF(P$12=0,0,P106/P$12)</f>
        <v>1.2473384713574697E-3</v>
      </c>
      <c r="S106" s="1"/>
      <c r="T106" s="1">
        <f>SUM(OSRRefT22_19x_0)</f>
        <v>9453.630000000001</v>
      </c>
      <c r="U106" s="1"/>
      <c r="V106" s="5">
        <f t="shared" ref="V106:V108" si="86">IF(T$12=0,0,T106/T$12)</f>
        <v>9.570863352065639E-4</v>
      </c>
      <c r="W106" s="1"/>
      <c r="X106" s="1">
        <f t="shared" ref="X106:X108" si="87">+P106-T106</f>
        <v>-741.88000000000102</v>
      </c>
      <c r="Y106" s="1"/>
      <c r="Z106" s="5">
        <f t="shared" ref="Z106:Z108" si="88">IF(T106=0,0,X106/T106)</f>
        <v>-7.8475675481270254E-2</v>
      </c>
    </row>
    <row r="107" spans="1:26" s="24" customFormat="1" hidden="1" outlineLevel="2" x14ac:dyDescent="0.35">
      <c r="A107" s="27"/>
      <c r="B107" s="11" t="str">
        <f>CONCATENATE("          ", "6258", " - ", "MEMBERSHIP DUES")</f>
        <v xml:space="preserve">          6258 - MEMBERSHIP DUES</v>
      </c>
      <c r="C107" s="11"/>
      <c r="D107" s="7"/>
      <c r="E107" s="2"/>
      <c r="F107" s="6">
        <f t="shared" si="81"/>
        <v>0</v>
      </c>
      <c r="G107" s="2"/>
      <c r="H107" s="7"/>
      <c r="I107" s="2"/>
      <c r="J107" s="6">
        <f t="shared" si="82"/>
        <v>0</v>
      </c>
      <c r="K107" s="2"/>
      <c r="L107" s="7">
        <f t="shared" si="83"/>
        <v>0</v>
      </c>
      <c r="M107" s="2"/>
      <c r="N107" s="6">
        <f t="shared" si="84"/>
        <v>0</v>
      </c>
      <c r="O107" s="11"/>
      <c r="P107" s="7">
        <v>3730</v>
      </c>
      <c r="Q107" s="2"/>
      <c r="R107" s="6">
        <f t="shared" si="85"/>
        <v>5.340571639639983E-4</v>
      </c>
      <c r="S107" s="2"/>
      <c r="T107" s="7">
        <v>383.2</v>
      </c>
      <c r="U107" s="2"/>
      <c r="V107" s="6">
        <f t="shared" si="86"/>
        <v>3.8795201806200925E-5</v>
      </c>
      <c r="W107" s="2"/>
      <c r="X107" s="7">
        <f t="shared" si="87"/>
        <v>3346.8</v>
      </c>
      <c r="Y107" s="2"/>
      <c r="Z107" s="6">
        <f t="shared" si="88"/>
        <v>8.7338204592901878</v>
      </c>
    </row>
    <row r="108" spans="1:26" s="24" customFormat="1" hidden="1" outlineLevel="2" x14ac:dyDescent="0.35">
      <c r="A108" s="27"/>
      <c r="B108" s="11" t="str">
        <f>CONCATENATE("          ", "6275", " - ", "SUBSCRIPTIONS")</f>
        <v xml:space="preserve">          6275 - SUBSCRIPTIONS</v>
      </c>
      <c r="C108" s="11"/>
      <c r="D108" s="7"/>
      <c r="E108" s="2"/>
      <c r="F108" s="6">
        <f t="shared" si="81"/>
        <v>0</v>
      </c>
      <c r="G108" s="2"/>
      <c r="H108" s="7">
        <v>2641.89</v>
      </c>
      <c r="I108" s="2"/>
      <c r="J108" s="6">
        <f t="shared" si="82"/>
        <v>1.2824123559410398E-2</v>
      </c>
      <c r="K108" s="2"/>
      <c r="L108" s="7">
        <f t="shared" si="83"/>
        <v>-2641.89</v>
      </c>
      <c r="M108" s="2"/>
      <c r="N108" s="6">
        <f t="shared" si="84"/>
        <v>-1</v>
      </c>
      <c r="O108" s="11"/>
      <c r="P108" s="7">
        <v>4981.75</v>
      </c>
      <c r="Q108" s="2"/>
      <c r="R108" s="6">
        <f t="shared" si="85"/>
        <v>7.1328130739347143E-4</v>
      </c>
      <c r="S108" s="2"/>
      <c r="T108" s="7">
        <v>9070.43</v>
      </c>
      <c r="U108" s="2"/>
      <c r="V108" s="6">
        <f t="shared" si="86"/>
        <v>9.1829113340036292E-4</v>
      </c>
      <c r="W108" s="2"/>
      <c r="X108" s="7">
        <f t="shared" si="87"/>
        <v>-4088.6800000000003</v>
      </c>
      <c r="Y108" s="2"/>
      <c r="Z108" s="6">
        <f t="shared" si="88"/>
        <v>-0.450770250142496</v>
      </c>
    </row>
    <row r="109" spans="1:26" s="25" customFormat="1" outlineLevel="1" collapsed="1" x14ac:dyDescent="0.35">
      <c r="A109" s="26"/>
      <c r="B109" s="12" t="str">
        <f>CONCATENATE("     ","Supplies                                          ")</f>
        <v xml:space="preserve">     Supplies                                          </v>
      </c>
      <c r="C109" s="12"/>
      <c r="D109" s="1">
        <f>SUM(OSRRefD22_20x_0)</f>
        <v>838.73</v>
      </c>
      <c r="E109" s="1"/>
      <c r="F109" s="5">
        <f t="shared" ref="F109:F119" si="89">IF(D$12=0,0,D109/D$12)</f>
        <v>7.0204235372896964</v>
      </c>
      <c r="G109" s="1"/>
      <c r="H109" s="1">
        <f>SUM(OSRRefH22_20x_0)</f>
        <v>23317.839999999997</v>
      </c>
      <c r="I109" s="1"/>
      <c r="J109" s="5">
        <f t="shared" ref="J109:J119" si="90">IF(H$12=0,0,H109/H$12)</f>
        <v>0.11318823315829278</v>
      </c>
      <c r="K109" s="1"/>
      <c r="L109" s="1">
        <f t="shared" ref="L109:L119" si="91">+D109-H109</f>
        <v>-22479.109999999997</v>
      </c>
      <c r="M109" s="1"/>
      <c r="N109" s="5">
        <f t="shared" ref="N109:N119" si="92">IF(H109=0,0,L109/H109)</f>
        <v>-0.96403054485321116</v>
      </c>
      <c r="O109" s="12"/>
      <c r="P109" s="1">
        <f>SUM(OSRRefP22_20x_0)</f>
        <v>219953.77</v>
      </c>
      <c r="Q109" s="1"/>
      <c r="R109" s="5">
        <f t="shared" ref="R109:R119" si="93">IF(P$12=0,0,P109/P$12)</f>
        <v>3.1492730994474416E-2</v>
      </c>
      <c r="S109" s="1"/>
      <c r="T109" s="1">
        <f>SUM(OSRRefT22_20x_0)</f>
        <v>282661.76000000007</v>
      </c>
      <c r="U109" s="1"/>
      <c r="V109" s="5">
        <f t="shared" ref="V109:V119" si="94">IF(T$12=0,0,T109/T$12)</f>
        <v>2.8616701519039497E-2</v>
      </c>
      <c r="W109" s="1"/>
      <c r="X109" s="1">
        <f t="shared" ref="X109:X119" si="95">+P109-T109</f>
        <v>-62707.990000000078</v>
      </c>
      <c r="Y109" s="1"/>
      <c r="Z109" s="5">
        <f t="shared" ref="Z109:Z119" si="96">IF(T109=0,0,X109/T109)</f>
        <v>-0.22184815519439227</v>
      </c>
    </row>
    <row r="110" spans="1:26" s="24" customFormat="1" hidden="1" outlineLevel="2" x14ac:dyDescent="0.35">
      <c r="A110" s="27"/>
      <c r="B110" s="11" t="str">
        <f>CONCATENATE("          ", "6234", " - ", "EXPENDABLE SUPPLIES &amp; EQUIPMEN")</f>
        <v xml:space="preserve">          6234 - EXPENDABLE SUPPLIES &amp; EQUIPMEN</v>
      </c>
      <c r="C110" s="11"/>
      <c r="D110" s="7">
        <v>1048.8</v>
      </c>
      <c r="E110" s="2"/>
      <c r="F110" s="6">
        <f t="shared" si="89"/>
        <v>8.7787729137021842</v>
      </c>
      <c r="G110" s="2"/>
      <c r="H110" s="7">
        <v>523.54</v>
      </c>
      <c r="I110" s="2"/>
      <c r="J110" s="6">
        <f t="shared" si="90"/>
        <v>2.5413403466055433E-3</v>
      </c>
      <c r="K110" s="2"/>
      <c r="L110" s="7">
        <f t="shared" si="91"/>
        <v>525.26</v>
      </c>
      <c r="M110" s="2"/>
      <c r="N110" s="6">
        <f t="shared" si="92"/>
        <v>1.003285326813615</v>
      </c>
      <c r="O110" s="11"/>
      <c r="P110" s="7">
        <v>16827.75</v>
      </c>
      <c r="Q110" s="2"/>
      <c r="R110" s="6">
        <f t="shared" si="93"/>
        <v>2.40937813428825E-3</v>
      </c>
      <c r="S110" s="2"/>
      <c r="T110" s="7">
        <v>9406.08</v>
      </c>
      <c r="U110" s="2"/>
      <c r="V110" s="6">
        <f t="shared" si="94"/>
        <v>9.5227236901166594E-4</v>
      </c>
      <c r="W110" s="2"/>
      <c r="X110" s="7">
        <f t="shared" si="95"/>
        <v>7421.67</v>
      </c>
      <c r="Y110" s="2"/>
      <c r="Z110" s="6">
        <f t="shared" si="96"/>
        <v>0.78902901102265766</v>
      </c>
    </row>
    <row r="111" spans="1:26" s="24" customFormat="1" hidden="1" outlineLevel="2" x14ac:dyDescent="0.35">
      <c r="A111" s="27"/>
      <c r="B111" s="11" t="str">
        <f>CONCATENATE("          ", "6235", " - ", "COVID-19 EXPENSES")</f>
        <v xml:space="preserve">          6235 - COVID-19 EXPENSES</v>
      </c>
      <c r="C111" s="11"/>
      <c r="D111" s="7"/>
      <c r="E111" s="2"/>
      <c r="F111" s="6">
        <f t="shared" si="89"/>
        <v>0</v>
      </c>
      <c r="G111" s="2"/>
      <c r="H111" s="7"/>
      <c r="I111" s="2"/>
      <c r="J111" s="6">
        <f t="shared" si="90"/>
        <v>0</v>
      </c>
      <c r="K111" s="2"/>
      <c r="L111" s="7">
        <f t="shared" si="91"/>
        <v>0</v>
      </c>
      <c r="M111" s="2"/>
      <c r="N111" s="6">
        <f t="shared" si="92"/>
        <v>0</v>
      </c>
      <c r="O111" s="11"/>
      <c r="P111" s="7">
        <v>1095.08</v>
      </c>
      <c r="Q111" s="2"/>
      <c r="R111" s="6">
        <f t="shared" si="93"/>
        <v>1.5679231075434188E-4</v>
      </c>
      <c r="S111" s="2"/>
      <c r="T111" s="7"/>
      <c r="U111" s="2"/>
      <c r="V111" s="6">
        <f t="shared" si="94"/>
        <v>0</v>
      </c>
      <c r="W111" s="2"/>
      <c r="X111" s="7">
        <f t="shared" si="95"/>
        <v>1095.08</v>
      </c>
      <c r="Y111" s="2"/>
      <c r="Z111" s="6">
        <f t="shared" si="96"/>
        <v>0</v>
      </c>
    </row>
    <row r="112" spans="1:26" s="24" customFormat="1" hidden="1" outlineLevel="2" x14ac:dyDescent="0.35">
      <c r="A112" s="27"/>
      <c r="B112" s="11" t="str">
        <f>CONCATENATE("          ", "6237", " - ", "JANITORIAL SUPPLIES")</f>
        <v xml:space="preserve">          6237 - JANITORIAL SUPPLIES</v>
      </c>
      <c r="C112" s="11"/>
      <c r="D112" s="7"/>
      <c r="E112" s="2"/>
      <c r="F112" s="6">
        <f t="shared" si="89"/>
        <v>0</v>
      </c>
      <c r="G112" s="2"/>
      <c r="H112" s="7">
        <v>6438.2</v>
      </c>
      <c r="I112" s="2"/>
      <c r="J112" s="6">
        <f t="shared" si="90"/>
        <v>3.1251971997394296E-2</v>
      </c>
      <c r="K112" s="2"/>
      <c r="L112" s="7">
        <f t="shared" si="91"/>
        <v>-6438.2</v>
      </c>
      <c r="M112" s="2"/>
      <c r="N112" s="6">
        <f t="shared" si="92"/>
        <v>-1</v>
      </c>
      <c r="O112" s="11"/>
      <c r="P112" s="7">
        <v>52899.67</v>
      </c>
      <c r="Q112" s="2"/>
      <c r="R112" s="6">
        <f t="shared" si="93"/>
        <v>7.5741146742175341E-3</v>
      </c>
      <c r="S112" s="2"/>
      <c r="T112" s="7">
        <v>64362.040000000008</v>
      </c>
      <c r="U112" s="2"/>
      <c r="V112" s="6">
        <f t="shared" si="94"/>
        <v>6.5160186076690411E-3</v>
      </c>
      <c r="W112" s="2"/>
      <c r="X112" s="7">
        <f t="shared" si="95"/>
        <v>-11462.37000000001</v>
      </c>
      <c r="Y112" s="2"/>
      <c r="Z112" s="6">
        <f t="shared" si="96"/>
        <v>-0.17809208657774067</v>
      </c>
    </row>
    <row r="113" spans="1:26" s="24" customFormat="1" hidden="1" outlineLevel="2" x14ac:dyDescent="0.35">
      <c r="A113" s="27"/>
      <c r="B113" s="11" t="str">
        <f>CONCATENATE("          ", "6239", " - ", "KITCHEN SUPPLIES")</f>
        <v xml:space="preserve">          6239 - KITCHEN SUPPLIES</v>
      </c>
      <c r="C113" s="11"/>
      <c r="D113" s="7"/>
      <c r="E113" s="2"/>
      <c r="F113" s="6">
        <f t="shared" si="89"/>
        <v>0</v>
      </c>
      <c r="G113" s="2"/>
      <c r="H113" s="7">
        <v>13404.33</v>
      </c>
      <c r="I113" s="2"/>
      <c r="J113" s="6">
        <f t="shared" si="90"/>
        <v>6.5066594048621099E-2</v>
      </c>
      <c r="K113" s="2"/>
      <c r="L113" s="7">
        <f t="shared" si="91"/>
        <v>-13404.33</v>
      </c>
      <c r="M113" s="2"/>
      <c r="N113" s="6">
        <f t="shared" si="92"/>
        <v>-1</v>
      </c>
      <c r="O113" s="11"/>
      <c r="P113" s="7">
        <v>45966.83</v>
      </c>
      <c r="Q113" s="2"/>
      <c r="R113" s="6">
        <f t="shared" si="93"/>
        <v>6.5814785164115914E-3</v>
      </c>
      <c r="S113" s="2"/>
      <c r="T113" s="7">
        <v>73399.39</v>
      </c>
      <c r="U113" s="2"/>
      <c r="V113" s="6">
        <f t="shared" si="94"/>
        <v>7.4309607189510596E-3</v>
      </c>
      <c r="W113" s="2"/>
      <c r="X113" s="7">
        <f t="shared" si="95"/>
        <v>-27432.559999999998</v>
      </c>
      <c r="Y113" s="2"/>
      <c r="Z113" s="6">
        <f t="shared" si="96"/>
        <v>-0.37374370549945984</v>
      </c>
    </row>
    <row r="114" spans="1:26" s="24" customFormat="1" hidden="1" outlineLevel="2" x14ac:dyDescent="0.35">
      <c r="A114" s="27"/>
      <c r="B114" s="11" t="str">
        <f>CONCATENATE("          ", "6241", " - ", "OFFICE EXPENSE")</f>
        <v xml:space="preserve">          6241 - OFFICE EXPENSE</v>
      </c>
      <c r="C114" s="11"/>
      <c r="D114" s="7">
        <v>-180.17</v>
      </c>
      <c r="E114" s="2"/>
      <c r="F114" s="6">
        <f t="shared" si="89"/>
        <v>-1.5080773415920314</v>
      </c>
      <c r="G114" s="2"/>
      <c r="H114" s="7">
        <v>1982.37</v>
      </c>
      <c r="I114" s="2"/>
      <c r="J114" s="6">
        <f t="shared" si="90"/>
        <v>9.6227162449868796E-3</v>
      </c>
      <c r="K114" s="2"/>
      <c r="L114" s="7">
        <f t="shared" si="91"/>
        <v>-2162.54</v>
      </c>
      <c r="M114" s="2"/>
      <c r="N114" s="6">
        <f t="shared" si="92"/>
        <v>-1.0908861615137437</v>
      </c>
      <c r="O114" s="11"/>
      <c r="P114" s="7">
        <v>19956.11</v>
      </c>
      <c r="Q114" s="2"/>
      <c r="R114" s="6">
        <f t="shared" si="93"/>
        <v>2.8572931663146343E-3</v>
      </c>
      <c r="S114" s="2"/>
      <c r="T114" s="7">
        <v>37369.660000000003</v>
      </c>
      <c r="U114" s="2"/>
      <c r="V114" s="6">
        <f t="shared" si="94"/>
        <v>3.7833076751803618E-3</v>
      </c>
      <c r="W114" s="2"/>
      <c r="X114" s="7">
        <f t="shared" si="95"/>
        <v>-17413.550000000003</v>
      </c>
      <c r="Y114" s="2"/>
      <c r="Z114" s="6">
        <f t="shared" si="96"/>
        <v>-0.46598095888482799</v>
      </c>
    </row>
    <row r="115" spans="1:26" s="24" customFormat="1" hidden="1" outlineLevel="2" x14ac:dyDescent="0.35">
      <c r="A115" s="27"/>
      <c r="B115" s="11" t="str">
        <f>CONCATENATE("          ", "6243", " - ", "PAPER SUPPLIES")</f>
        <v xml:space="preserve">          6243 - PAPER SUPPLIES</v>
      </c>
      <c r="C115" s="11"/>
      <c r="D115" s="7"/>
      <c r="E115" s="2"/>
      <c r="F115" s="6">
        <f t="shared" si="89"/>
        <v>0</v>
      </c>
      <c r="G115" s="2"/>
      <c r="H115" s="7">
        <v>324.02999999999997</v>
      </c>
      <c r="I115" s="2"/>
      <c r="J115" s="6">
        <f t="shared" si="90"/>
        <v>1.5728893924257827E-3</v>
      </c>
      <c r="K115" s="2"/>
      <c r="L115" s="7">
        <f t="shared" si="91"/>
        <v>-324.02999999999997</v>
      </c>
      <c r="M115" s="2"/>
      <c r="N115" s="6">
        <f t="shared" si="92"/>
        <v>-1</v>
      </c>
      <c r="O115" s="11"/>
      <c r="P115" s="7">
        <v>34117.769999999997</v>
      </c>
      <c r="Q115" s="2"/>
      <c r="R115" s="6">
        <f t="shared" si="93"/>
        <v>4.8849435621919519E-3</v>
      </c>
      <c r="S115" s="2"/>
      <c r="T115" s="7">
        <v>58285.66</v>
      </c>
      <c r="U115" s="2"/>
      <c r="V115" s="6">
        <f t="shared" si="94"/>
        <v>5.9008453604060887E-3</v>
      </c>
      <c r="W115" s="2"/>
      <c r="X115" s="7">
        <f t="shared" si="95"/>
        <v>-24167.890000000007</v>
      </c>
      <c r="Y115" s="2"/>
      <c r="Z115" s="6">
        <f t="shared" si="96"/>
        <v>-0.41464555775811762</v>
      </c>
    </row>
    <row r="116" spans="1:26" s="24" customFormat="1" hidden="1" outlineLevel="2" x14ac:dyDescent="0.35">
      <c r="A116" s="27"/>
      <c r="B116" s="11" t="str">
        <f>CONCATENATE("          ", "6245", " - ", "PRINTING")</f>
        <v xml:space="preserve">          6245 - PRINTING</v>
      </c>
      <c r="C116" s="11"/>
      <c r="D116" s="7"/>
      <c r="E116" s="2"/>
      <c r="F116" s="6">
        <f t="shared" si="89"/>
        <v>0</v>
      </c>
      <c r="G116" s="2"/>
      <c r="H116" s="7">
        <v>59.7</v>
      </c>
      <c r="I116" s="2"/>
      <c r="J116" s="6">
        <f t="shared" si="90"/>
        <v>2.8979260169681583E-4</v>
      </c>
      <c r="K116" s="2"/>
      <c r="L116" s="7">
        <f t="shared" si="91"/>
        <v>-59.7</v>
      </c>
      <c r="M116" s="2"/>
      <c r="N116" s="6">
        <f t="shared" si="92"/>
        <v>-1</v>
      </c>
      <c r="O116" s="11"/>
      <c r="P116" s="7">
        <v>613.02</v>
      </c>
      <c r="Q116" s="2"/>
      <c r="R116" s="6">
        <f t="shared" si="93"/>
        <v>8.777150741372929E-5</v>
      </c>
      <c r="S116" s="2"/>
      <c r="T116" s="7">
        <v>403.91</v>
      </c>
      <c r="U116" s="2"/>
      <c r="V116" s="6">
        <f t="shared" si="94"/>
        <v>4.0891884033253175E-5</v>
      </c>
      <c r="W116" s="2"/>
      <c r="X116" s="7">
        <f t="shared" si="95"/>
        <v>209.10999999999996</v>
      </c>
      <c r="Y116" s="2"/>
      <c r="Z116" s="6">
        <f t="shared" si="96"/>
        <v>0.5177143423039785</v>
      </c>
    </row>
    <row r="117" spans="1:26" s="24" customFormat="1" hidden="1" outlineLevel="2" x14ac:dyDescent="0.35">
      <c r="A117" s="27"/>
      <c r="B117" s="11" t="str">
        <f>CONCATENATE("          ", "6246", " - ", "REPLACEMENTS")</f>
        <v xml:space="preserve">          6246 - REPLACEMENTS</v>
      </c>
      <c r="C117" s="11"/>
      <c r="D117" s="7"/>
      <c r="E117" s="2"/>
      <c r="F117" s="6">
        <f t="shared" si="89"/>
        <v>0</v>
      </c>
      <c r="G117" s="2"/>
      <c r="H117" s="7"/>
      <c r="I117" s="2"/>
      <c r="J117" s="6">
        <f t="shared" si="90"/>
        <v>0</v>
      </c>
      <c r="K117" s="2"/>
      <c r="L117" s="7">
        <f t="shared" si="91"/>
        <v>0</v>
      </c>
      <c r="M117" s="2"/>
      <c r="N117" s="6">
        <f t="shared" si="92"/>
        <v>0</v>
      </c>
      <c r="O117" s="11"/>
      <c r="P117" s="7">
        <v>25.87</v>
      </c>
      <c r="Q117" s="2"/>
      <c r="R117" s="6">
        <f t="shared" si="93"/>
        <v>3.7040372203079455E-6</v>
      </c>
      <c r="S117" s="2"/>
      <c r="T117" s="7"/>
      <c r="U117" s="2"/>
      <c r="V117" s="6">
        <f t="shared" si="94"/>
        <v>0</v>
      </c>
      <c r="W117" s="2"/>
      <c r="X117" s="7">
        <f t="shared" si="95"/>
        <v>25.87</v>
      </c>
      <c r="Y117" s="2"/>
      <c r="Z117" s="6">
        <f t="shared" si="96"/>
        <v>0</v>
      </c>
    </row>
    <row r="118" spans="1:26" s="24" customFormat="1" hidden="1" outlineLevel="2" x14ac:dyDescent="0.35">
      <c r="A118" s="27"/>
      <c r="B118" s="11" t="str">
        <f>CONCATENATE("          ", "6247", " - ", "STORE SUPPLIES")</f>
        <v xml:space="preserve">          6247 - STORE SUPPLIES</v>
      </c>
      <c r="C118" s="11"/>
      <c r="D118" s="7">
        <v>-29.9</v>
      </c>
      <c r="E118" s="2"/>
      <c r="F118" s="6">
        <f t="shared" si="89"/>
        <v>-0.25027203482045701</v>
      </c>
      <c r="G118" s="2"/>
      <c r="H118" s="7">
        <v>585.66999999999996</v>
      </c>
      <c r="I118" s="2"/>
      <c r="J118" s="6">
        <f t="shared" si="90"/>
        <v>2.8429285265623803E-3</v>
      </c>
      <c r="K118" s="2"/>
      <c r="L118" s="7">
        <f t="shared" si="91"/>
        <v>-615.56999999999994</v>
      </c>
      <c r="M118" s="2"/>
      <c r="N118" s="6">
        <f t="shared" si="92"/>
        <v>-1.0510526405655061</v>
      </c>
      <c r="O118" s="11"/>
      <c r="P118" s="7">
        <v>43533.599999999999</v>
      </c>
      <c r="Q118" s="2"/>
      <c r="R118" s="6">
        <f t="shared" si="93"/>
        <v>6.2330914083493609E-3</v>
      </c>
      <c r="S118" s="2"/>
      <c r="T118" s="7">
        <v>28508.809999999998</v>
      </c>
      <c r="U118" s="2"/>
      <c r="V118" s="6">
        <f t="shared" si="94"/>
        <v>2.8862344394693083E-3</v>
      </c>
      <c r="W118" s="2"/>
      <c r="X118" s="7">
        <f t="shared" si="95"/>
        <v>15024.79</v>
      </c>
      <c r="Y118" s="2"/>
      <c r="Z118" s="6">
        <f t="shared" si="96"/>
        <v>0.52702269929891854</v>
      </c>
    </row>
    <row r="119" spans="1:26" s="24" customFormat="1" hidden="1" outlineLevel="2" x14ac:dyDescent="0.35">
      <c r="A119" s="27"/>
      <c r="B119" s="11" t="str">
        <f>CONCATENATE("          ", "6248", " - ", "UNIFORMS")</f>
        <v xml:space="preserve">          6248 - UNIFORMS</v>
      </c>
      <c r="C119" s="11"/>
      <c r="D119" s="7"/>
      <c r="E119" s="2"/>
      <c r="F119" s="6">
        <f t="shared" si="89"/>
        <v>0</v>
      </c>
      <c r="G119" s="2"/>
      <c r="H119" s="7"/>
      <c r="I119" s="2"/>
      <c r="J119" s="6">
        <f t="shared" si="90"/>
        <v>0</v>
      </c>
      <c r="K119" s="2"/>
      <c r="L119" s="7">
        <f t="shared" si="91"/>
        <v>0</v>
      </c>
      <c r="M119" s="2"/>
      <c r="N119" s="6">
        <f t="shared" si="92"/>
        <v>0</v>
      </c>
      <c r="O119" s="11"/>
      <c r="P119" s="7">
        <v>4918.07</v>
      </c>
      <c r="Q119" s="2"/>
      <c r="R119" s="6">
        <f t="shared" si="93"/>
        <v>7.0416367731271335E-4</v>
      </c>
      <c r="S119" s="2"/>
      <c r="T119" s="7">
        <v>10926.21</v>
      </c>
      <c r="U119" s="2"/>
      <c r="V119" s="6">
        <f t="shared" si="94"/>
        <v>1.1061704643187125E-3</v>
      </c>
      <c r="W119" s="2"/>
      <c r="X119" s="7">
        <f t="shared" si="95"/>
        <v>-6008.1399999999994</v>
      </c>
      <c r="Y119" s="2"/>
      <c r="Z119" s="6">
        <f t="shared" si="96"/>
        <v>-0.54988326235721263</v>
      </c>
    </row>
    <row r="120" spans="1:26" s="25" customFormat="1" outlineLevel="1" collapsed="1" x14ac:dyDescent="0.35">
      <c r="A120" s="26"/>
      <c r="B120" s="12" t="str">
        <f>CONCATENATE("     ","Telephone/Data Lines                              ")</f>
        <v xml:space="preserve">     Telephone/Data Lines                              </v>
      </c>
      <c r="C120" s="12"/>
      <c r="D120" s="1">
        <f>SUM(OSRRefD22_21x_0)</f>
        <v>709.33</v>
      </c>
      <c r="E120" s="1"/>
      <c r="F120" s="5">
        <f t="shared" ref="F120:F127" si="97">IF(D$12=0,0,D120/D$12)</f>
        <v>5.9373064367623671</v>
      </c>
      <c r="G120" s="1"/>
      <c r="H120" s="1">
        <f>SUM(OSRRefH22_21x_0)</f>
        <v>2254.1999999999998</v>
      </c>
      <c r="I120" s="1"/>
      <c r="J120" s="5">
        <f t="shared" ref="J120:J127" si="98">IF(H$12=0,0,H120/H$12)</f>
        <v>1.0942219141456653E-2</v>
      </c>
      <c r="K120" s="1"/>
      <c r="L120" s="1">
        <f t="shared" ref="L120:L127" si="99">+D120-H120</f>
        <v>-1544.87</v>
      </c>
      <c r="M120" s="1"/>
      <c r="N120" s="5">
        <f t="shared" ref="N120:N127" si="100">IF(H120=0,0,L120/H120)</f>
        <v>-0.6853296069559045</v>
      </c>
      <c r="O120" s="12"/>
      <c r="P120" s="1">
        <f>SUM(OSRRefP22_21x_0)</f>
        <v>25695.17</v>
      </c>
      <c r="Q120" s="1"/>
      <c r="R120" s="5">
        <f t="shared" ref="R120:R127" si="101">IF(P$12=0,0,P120/P$12)</f>
        <v>3.6790052594565174E-3</v>
      </c>
      <c r="S120" s="1"/>
      <c r="T120" s="1">
        <f>SUM(OSRRefT22_21x_0)</f>
        <v>27257.9</v>
      </c>
      <c r="U120" s="1"/>
      <c r="V120" s="5">
        <f t="shared" ref="V120:V127" si="102">IF(T$12=0,0,T120/T$12)</f>
        <v>2.759592200713059E-3</v>
      </c>
      <c r="W120" s="1"/>
      <c r="X120" s="1">
        <f t="shared" ref="X120:X127" si="103">+P120-T120</f>
        <v>-1562.7300000000032</v>
      </c>
      <c r="Y120" s="1"/>
      <c r="Z120" s="5">
        <f t="shared" ref="Z120:Z127" si="104">IF(T120=0,0,X120/T120)</f>
        <v>-5.7331269099967462E-2</v>
      </c>
    </row>
    <row r="121" spans="1:26" s="24" customFormat="1" hidden="1" outlineLevel="2" x14ac:dyDescent="0.35">
      <c r="A121" s="27"/>
      <c r="B121" s="11" t="str">
        <f>CONCATENATE("          ", "6309", " - ", "TELEPHONE")</f>
        <v xml:space="preserve">          6309 - TELEPHONE</v>
      </c>
      <c r="C121" s="11"/>
      <c r="D121" s="7">
        <v>709.33</v>
      </c>
      <c r="E121" s="2"/>
      <c r="F121" s="6">
        <f t="shared" si="97"/>
        <v>5.9373064367623671</v>
      </c>
      <c r="G121" s="2"/>
      <c r="H121" s="7">
        <v>2254.1999999999998</v>
      </c>
      <c r="I121" s="2"/>
      <c r="J121" s="6">
        <f t="shared" si="98"/>
        <v>1.0942219141456653E-2</v>
      </c>
      <c r="K121" s="2"/>
      <c r="L121" s="7">
        <f t="shared" si="99"/>
        <v>-1544.87</v>
      </c>
      <c r="M121" s="2"/>
      <c r="N121" s="6">
        <f t="shared" si="100"/>
        <v>-0.6853296069559045</v>
      </c>
      <c r="O121" s="11"/>
      <c r="P121" s="7">
        <v>25695.17</v>
      </c>
      <c r="Q121" s="2"/>
      <c r="R121" s="6">
        <f t="shared" si="101"/>
        <v>3.6790052594565174E-3</v>
      </c>
      <c r="S121" s="2"/>
      <c r="T121" s="7">
        <v>27257.9</v>
      </c>
      <c r="U121" s="2"/>
      <c r="V121" s="6">
        <f t="shared" si="102"/>
        <v>2.759592200713059E-3</v>
      </c>
      <c r="W121" s="2"/>
      <c r="X121" s="7">
        <f t="shared" si="103"/>
        <v>-1562.7300000000032</v>
      </c>
      <c r="Y121" s="2"/>
      <c r="Z121" s="6">
        <f t="shared" si="104"/>
        <v>-5.7331269099967462E-2</v>
      </c>
    </row>
    <row r="122" spans="1:26" s="25" customFormat="1" outlineLevel="1" collapsed="1" x14ac:dyDescent="0.35">
      <c r="A122" s="26"/>
      <c r="B122" s="12" t="str">
        <f>CONCATENATE("     ","Training                                          ")</f>
        <v xml:space="preserve">     Training                                          </v>
      </c>
      <c r="C122" s="12"/>
      <c r="D122" s="1">
        <f>SUM(OSRRefD22_22x_0)</f>
        <v>0</v>
      </c>
      <c r="E122" s="1"/>
      <c r="F122" s="5">
        <f t="shared" si="97"/>
        <v>0</v>
      </c>
      <c r="G122" s="1"/>
      <c r="H122" s="1">
        <f>SUM(OSRRefH22_22x_0)</f>
        <v>666.22</v>
      </c>
      <c r="I122" s="1"/>
      <c r="J122" s="5">
        <f t="shared" si="98"/>
        <v>3.2339301022186375E-3</v>
      </c>
      <c r="K122" s="1"/>
      <c r="L122" s="1">
        <f t="shared" si="99"/>
        <v>-666.22</v>
      </c>
      <c r="M122" s="1"/>
      <c r="N122" s="5">
        <f t="shared" si="100"/>
        <v>-1</v>
      </c>
      <c r="O122" s="12"/>
      <c r="P122" s="1">
        <f>SUM(OSRRefP22_22x_0)</f>
        <v>2233.0100000000002</v>
      </c>
      <c r="Q122" s="1"/>
      <c r="R122" s="5">
        <f t="shared" si="101"/>
        <v>3.1971983584537479E-4</v>
      </c>
      <c r="S122" s="1"/>
      <c r="T122" s="1">
        <f>SUM(OSRRefT22_22x_0)</f>
        <v>2274.85</v>
      </c>
      <c r="U122" s="1"/>
      <c r="V122" s="5">
        <f t="shared" si="102"/>
        <v>2.3030601468902967E-4</v>
      </c>
      <c r="W122" s="1"/>
      <c r="X122" s="1">
        <f t="shared" si="103"/>
        <v>-41.839999999999691</v>
      </c>
      <c r="Y122" s="1"/>
      <c r="Z122" s="5">
        <f t="shared" si="104"/>
        <v>-1.8392421478339097E-2</v>
      </c>
    </row>
    <row r="123" spans="1:26" s="24" customFormat="1" hidden="1" outlineLevel="2" x14ac:dyDescent="0.35">
      <c r="A123" s="27"/>
      <c r="B123" s="11" t="str">
        <f>CONCATENATE("          ", "6376", " - ", "TRAINING")</f>
        <v xml:space="preserve">          6376 - TRAINING</v>
      </c>
      <c r="C123" s="11"/>
      <c r="D123" s="7"/>
      <c r="E123" s="2"/>
      <c r="F123" s="6">
        <f t="shared" si="97"/>
        <v>0</v>
      </c>
      <c r="G123" s="2"/>
      <c r="H123" s="7">
        <v>666.22</v>
      </c>
      <c r="I123" s="2"/>
      <c r="J123" s="6">
        <f t="shared" si="98"/>
        <v>3.2339301022186375E-3</v>
      </c>
      <c r="K123" s="2"/>
      <c r="L123" s="7">
        <f t="shared" si="99"/>
        <v>-666.22</v>
      </c>
      <c r="M123" s="2"/>
      <c r="N123" s="6">
        <f t="shared" si="100"/>
        <v>-1</v>
      </c>
      <c r="O123" s="11"/>
      <c r="P123" s="7">
        <v>2233.0100000000002</v>
      </c>
      <c r="Q123" s="2"/>
      <c r="R123" s="6">
        <f t="shared" si="101"/>
        <v>3.1971983584537479E-4</v>
      </c>
      <c r="S123" s="2"/>
      <c r="T123" s="7">
        <v>2274.85</v>
      </c>
      <c r="U123" s="2"/>
      <c r="V123" s="6">
        <f t="shared" si="102"/>
        <v>2.3030601468902967E-4</v>
      </c>
      <c r="W123" s="2"/>
      <c r="X123" s="7">
        <f t="shared" si="103"/>
        <v>-41.839999999999691</v>
      </c>
      <c r="Y123" s="2"/>
      <c r="Z123" s="6">
        <f t="shared" si="104"/>
        <v>-1.8392421478339097E-2</v>
      </c>
    </row>
    <row r="124" spans="1:26" s="25" customFormat="1" outlineLevel="1" collapsed="1" x14ac:dyDescent="0.35">
      <c r="A124" s="26"/>
      <c r="B124" s="12" t="str">
        <f>CONCATENATE("     ","Travel                                            ")</f>
        <v xml:space="preserve">     Travel                                            </v>
      </c>
      <c r="C124" s="12"/>
      <c r="D124" s="1">
        <f>SUM(OSRRefD22_23x_0)</f>
        <v>0</v>
      </c>
      <c r="E124" s="1"/>
      <c r="F124" s="5">
        <f t="shared" si="97"/>
        <v>0</v>
      </c>
      <c r="G124" s="1"/>
      <c r="H124" s="1">
        <f>SUM(OSRRefH22_23x_0)</f>
        <v>155.88999999999999</v>
      </c>
      <c r="I124" s="1"/>
      <c r="J124" s="5">
        <f t="shared" si="98"/>
        <v>7.5671304319123304E-4</v>
      </c>
      <c r="K124" s="1"/>
      <c r="L124" s="1">
        <f t="shared" si="99"/>
        <v>-155.88999999999999</v>
      </c>
      <c r="M124" s="1"/>
      <c r="N124" s="5">
        <f t="shared" si="100"/>
        <v>-1</v>
      </c>
      <c r="O124" s="12"/>
      <c r="P124" s="1">
        <f>SUM(OSRRefP22_23x_0)</f>
        <v>6407.32</v>
      </c>
      <c r="Q124" s="1"/>
      <c r="R124" s="5">
        <f t="shared" si="101"/>
        <v>9.1739280102139554E-4</v>
      </c>
      <c r="S124" s="1"/>
      <c r="T124" s="1">
        <f>SUM(OSRRefT22_23x_0)</f>
        <v>4239.42</v>
      </c>
      <c r="U124" s="1"/>
      <c r="V124" s="5">
        <f t="shared" si="102"/>
        <v>4.2919925480491735E-4</v>
      </c>
      <c r="W124" s="1"/>
      <c r="X124" s="1">
        <f t="shared" si="103"/>
        <v>2167.8999999999996</v>
      </c>
      <c r="Y124" s="1"/>
      <c r="Z124" s="5">
        <f t="shared" si="104"/>
        <v>0.51136712097409542</v>
      </c>
    </row>
    <row r="125" spans="1:26" s="24" customFormat="1" hidden="1" outlineLevel="2" x14ac:dyDescent="0.35">
      <c r="A125" s="27"/>
      <c r="B125" s="11" t="str">
        <f>CONCATENATE("          ", "6292", " - ", "TRAVEL/CONFERENCE")</f>
        <v xml:space="preserve">          6292 - TRAVEL/CONFERENCE</v>
      </c>
      <c r="C125" s="11"/>
      <c r="D125" s="7"/>
      <c r="E125" s="2"/>
      <c r="F125" s="6">
        <f t="shared" si="97"/>
        <v>0</v>
      </c>
      <c r="G125" s="2"/>
      <c r="H125" s="7"/>
      <c r="I125" s="2"/>
      <c r="J125" s="6">
        <f t="shared" si="98"/>
        <v>0</v>
      </c>
      <c r="K125" s="2"/>
      <c r="L125" s="7">
        <f t="shared" si="99"/>
        <v>0</v>
      </c>
      <c r="M125" s="2"/>
      <c r="N125" s="6">
        <f t="shared" si="100"/>
        <v>0</v>
      </c>
      <c r="O125" s="11"/>
      <c r="P125" s="7">
        <v>4995.68</v>
      </c>
      <c r="Q125" s="2"/>
      <c r="R125" s="6">
        <f t="shared" si="101"/>
        <v>7.1527578897363732E-4</v>
      </c>
      <c r="S125" s="2"/>
      <c r="T125" s="7">
        <v>1493.8</v>
      </c>
      <c r="U125" s="2"/>
      <c r="V125" s="6">
        <f t="shared" si="102"/>
        <v>1.5123244378419348E-4</v>
      </c>
      <c r="W125" s="2"/>
      <c r="X125" s="7">
        <f t="shared" si="103"/>
        <v>3501.88</v>
      </c>
      <c r="Y125" s="2"/>
      <c r="Z125" s="6">
        <f t="shared" si="104"/>
        <v>2.3442763422144868</v>
      </c>
    </row>
    <row r="126" spans="1:26" s="24" customFormat="1" hidden="1" outlineLevel="2" x14ac:dyDescent="0.35">
      <c r="A126" s="27"/>
      <c r="B126" s="11" t="str">
        <f>CONCATENATE("          ", "6294", " - ", "TRAVEL OPERATIONAL")</f>
        <v xml:space="preserve">          6294 - TRAVEL OPERATIONAL</v>
      </c>
      <c r="C126" s="11"/>
      <c r="D126" s="7"/>
      <c r="E126" s="2"/>
      <c r="F126" s="6">
        <f t="shared" si="97"/>
        <v>0</v>
      </c>
      <c r="G126" s="2"/>
      <c r="H126" s="7"/>
      <c r="I126" s="2"/>
      <c r="J126" s="6">
        <f t="shared" si="98"/>
        <v>0</v>
      </c>
      <c r="K126" s="2"/>
      <c r="L126" s="7">
        <f t="shared" si="99"/>
        <v>0</v>
      </c>
      <c r="M126" s="2"/>
      <c r="N126" s="6">
        <f t="shared" si="100"/>
        <v>0</v>
      </c>
      <c r="O126" s="11"/>
      <c r="P126" s="7">
        <v>56.99</v>
      </c>
      <c r="Q126" s="2"/>
      <c r="R126" s="6">
        <f t="shared" si="101"/>
        <v>8.1597634783668272E-6</v>
      </c>
      <c r="S126" s="2"/>
      <c r="T126" s="7">
        <v>1299.02</v>
      </c>
      <c r="U126" s="2"/>
      <c r="V126" s="6">
        <f t="shared" si="102"/>
        <v>1.3151289940055097E-4</v>
      </c>
      <c r="W126" s="2"/>
      <c r="X126" s="7">
        <f t="shared" si="103"/>
        <v>-1242.03</v>
      </c>
      <c r="Y126" s="2"/>
      <c r="Z126" s="6">
        <f t="shared" si="104"/>
        <v>-0.95612846607442536</v>
      </c>
    </row>
    <row r="127" spans="1:26" s="24" customFormat="1" hidden="1" outlineLevel="2" x14ac:dyDescent="0.35">
      <c r="A127" s="27"/>
      <c r="B127" s="11" t="str">
        <f>CONCATENATE("          ", "6298", " - ", "VEHICLE MILEAGE")</f>
        <v xml:space="preserve">          6298 - VEHICLE MILEAGE</v>
      </c>
      <c r="C127" s="11"/>
      <c r="D127" s="7"/>
      <c r="E127" s="2"/>
      <c r="F127" s="6">
        <f t="shared" si="97"/>
        <v>0</v>
      </c>
      <c r="G127" s="2"/>
      <c r="H127" s="7">
        <v>155.88999999999999</v>
      </c>
      <c r="I127" s="2"/>
      <c r="J127" s="6">
        <f t="shared" si="98"/>
        <v>7.5671304319123304E-4</v>
      </c>
      <c r="K127" s="2"/>
      <c r="L127" s="7">
        <f t="shared" si="99"/>
        <v>-155.88999999999999</v>
      </c>
      <c r="M127" s="2"/>
      <c r="N127" s="6">
        <f t="shared" si="100"/>
        <v>-1</v>
      </c>
      <c r="O127" s="11"/>
      <c r="P127" s="7">
        <v>1354.65</v>
      </c>
      <c r="Q127" s="2"/>
      <c r="R127" s="6">
        <f t="shared" si="101"/>
        <v>1.9395724856939152E-4</v>
      </c>
      <c r="S127" s="2"/>
      <c r="T127" s="7">
        <v>1446.6</v>
      </c>
      <c r="U127" s="2"/>
      <c r="V127" s="6">
        <f t="shared" si="102"/>
        <v>1.4645391162017291E-4</v>
      </c>
      <c r="W127" s="2"/>
      <c r="X127" s="7">
        <f t="shared" si="103"/>
        <v>-91.949999999999818</v>
      </c>
      <c r="Y127" s="2"/>
      <c r="Z127" s="6">
        <f t="shared" si="104"/>
        <v>-6.3562836997096514E-2</v>
      </c>
    </row>
    <row r="128" spans="1:26" s="25" customFormat="1" outlineLevel="1" collapsed="1" x14ac:dyDescent="0.35">
      <c r="A128" s="26"/>
      <c r="B128" s="12" t="str">
        <f>CONCATENATE("     ","Utilities                                         ")</f>
        <v xml:space="preserve">     Utilities                                         </v>
      </c>
      <c r="C128" s="12"/>
      <c r="D128" s="1">
        <f>SUM(OSRRefD22_24x_0)</f>
        <v>16673</v>
      </c>
      <c r="E128" s="1"/>
      <c r="F128" s="5">
        <f t="shared" ref="F128:F129" si="105">IF(D$12=0,0,D128/D$12)</f>
        <v>139.55804804553443</v>
      </c>
      <c r="G128" s="1"/>
      <c r="H128" s="1">
        <f>SUM(OSRRefH22_24x_0)</f>
        <v>14662</v>
      </c>
      <c r="I128" s="1"/>
      <c r="J128" s="5">
        <f t="shared" ref="J128:J129" si="106">IF(H$12=0,0,H128/H$12)</f>
        <v>7.1171509649559692E-2</v>
      </c>
      <c r="K128" s="1"/>
      <c r="L128" s="1">
        <f t="shared" ref="L128:L129" si="107">+D128-H128</f>
        <v>2011</v>
      </c>
      <c r="M128" s="1"/>
      <c r="N128" s="5">
        <f t="shared" ref="N128:N129" si="108">IF(H128=0,0,L128/H128)</f>
        <v>0.13715727731550947</v>
      </c>
      <c r="O128" s="12"/>
      <c r="P128" s="1">
        <f>SUM(OSRRefP22_24x_0)</f>
        <v>203078.74</v>
      </c>
      <c r="Q128" s="1"/>
      <c r="R128" s="5">
        <f t="shared" ref="R128:R129" si="109">IF(P$12=0,0,P128/P$12)</f>
        <v>2.9076583363480474E-2</v>
      </c>
      <c r="S128" s="1"/>
      <c r="T128" s="1">
        <f>SUM(OSRRefT22_24x_0)</f>
        <v>151719.11000000002</v>
      </c>
      <c r="U128" s="1"/>
      <c r="V128" s="5">
        <f t="shared" ref="V128:V129" si="110">IF(T$12=0,0,T128/T$12)</f>
        <v>1.5360056081177447E-2</v>
      </c>
      <c r="W128" s="1"/>
      <c r="X128" s="1">
        <f t="shared" ref="X128:X129" si="111">+P128-T128</f>
        <v>51359.629999999976</v>
      </c>
      <c r="Y128" s="1"/>
      <c r="Z128" s="5">
        <f t="shared" ref="Z128:Z129" si="112">IF(T128=0,0,X128/T128)</f>
        <v>0.3385178702933333</v>
      </c>
    </row>
    <row r="129" spans="1:26" s="24" customFormat="1" hidden="1" outlineLevel="2" x14ac:dyDescent="0.35">
      <c r="A129" s="27"/>
      <c r="B129" s="11" t="str">
        <f>CONCATENATE("          ", "6274", " - ", "UTILITIES")</f>
        <v xml:space="preserve">          6274 - UTILITIES</v>
      </c>
      <c r="C129" s="11"/>
      <c r="D129" s="7">
        <v>16673</v>
      </c>
      <c r="E129" s="2"/>
      <c r="F129" s="6">
        <f t="shared" si="105"/>
        <v>139.55804804553443</v>
      </c>
      <c r="G129" s="2"/>
      <c r="H129" s="7">
        <v>14662</v>
      </c>
      <c r="I129" s="2"/>
      <c r="J129" s="6">
        <f t="shared" si="106"/>
        <v>7.1171509649559692E-2</v>
      </c>
      <c r="K129" s="2"/>
      <c r="L129" s="7">
        <f t="shared" si="107"/>
        <v>2011</v>
      </c>
      <c r="M129" s="2"/>
      <c r="N129" s="6">
        <f t="shared" si="108"/>
        <v>0.13715727731550947</v>
      </c>
      <c r="O129" s="11"/>
      <c r="P129" s="7">
        <v>203078.74</v>
      </c>
      <c r="Q129" s="2"/>
      <c r="R129" s="6">
        <f t="shared" si="109"/>
        <v>2.9076583363480474E-2</v>
      </c>
      <c r="S129" s="2"/>
      <c r="T129" s="7">
        <v>151719.11000000002</v>
      </c>
      <c r="U129" s="2"/>
      <c r="V129" s="6">
        <f t="shared" si="110"/>
        <v>1.5360056081177447E-2</v>
      </c>
      <c r="W129" s="2"/>
      <c r="X129" s="7">
        <f t="shared" si="111"/>
        <v>51359.629999999976</v>
      </c>
      <c r="Y129" s="2"/>
      <c r="Z129" s="6">
        <f t="shared" si="112"/>
        <v>0.3385178702933333</v>
      </c>
    </row>
    <row r="130" spans="1:26" s="56" customFormat="1" x14ac:dyDescent="0.35">
      <c r="A130" s="37"/>
      <c r="B130" s="37"/>
      <c r="C130" s="37"/>
      <c r="D130" s="1"/>
      <c r="E130" s="1"/>
      <c r="F130" s="5"/>
      <c r="G130" s="1"/>
      <c r="H130" s="1"/>
      <c r="I130" s="1"/>
      <c r="J130" s="5"/>
      <c r="K130" s="1"/>
      <c r="L130" s="1"/>
      <c r="M130" s="1"/>
      <c r="N130" s="5"/>
      <c r="O130" s="37"/>
      <c r="P130" s="1"/>
      <c r="Q130" s="1"/>
      <c r="R130" s="5"/>
      <c r="S130" s="1"/>
      <c r="T130" s="1"/>
      <c r="U130" s="1"/>
      <c r="V130" s="5"/>
      <c r="W130" s="1"/>
      <c r="X130" s="1"/>
      <c r="Y130" s="1"/>
      <c r="Z130" s="5"/>
    </row>
    <row r="131" spans="1:26" s="23" customFormat="1" collapsed="1" x14ac:dyDescent="0.35">
      <c r="A131" s="10"/>
      <c r="B131" s="29" t="s">
        <v>0</v>
      </c>
      <c r="C131" s="10"/>
      <c r="D131" s="4">
        <f>SUM(OSRRefD25x_0)</f>
        <v>43261.639999999992</v>
      </c>
      <c r="E131" s="4"/>
      <c r="F131" s="13">
        <f t="shared" ref="F131:F134" si="113">IF(D$12=0,0,D131/D$12)</f>
        <v>362.11299907926667</v>
      </c>
      <c r="G131" s="4"/>
      <c r="H131" s="4">
        <f>SUM(OSRRefH25x_0)</f>
        <v>52294.259999999995</v>
      </c>
      <c r="I131" s="4"/>
      <c r="J131" s="13">
        <f t="shared" ref="J131:J134" si="114">IF(H$12=0,0,H131/H$12)</f>
        <v>0.25384404789296022</v>
      </c>
      <c r="K131" s="4"/>
      <c r="L131" s="4">
        <f t="shared" ref="L131:L134" si="115">+D131-H131</f>
        <v>-9032.6200000000026</v>
      </c>
      <c r="M131" s="4"/>
      <c r="N131" s="13">
        <f t="shared" ref="N131:N134" si="116">IF(H131=0,0,L131/H131)</f>
        <v>-0.17272679640174665</v>
      </c>
      <c r="O131" s="10"/>
      <c r="P131" s="4">
        <f>SUM(OSRRefP25x_0)</f>
        <v>730460.52</v>
      </c>
      <c r="Q131" s="4"/>
      <c r="R131" s="13">
        <f t="shared" ref="R131:R134" si="117">IF(P$12=0,0,P131/P$12)</f>
        <v>0.10458650769406634</v>
      </c>
      <c r="S131" s="4"/>
      <c r="T131" s="4">
        <f>SUM(OSRRefT25x_0)</f>
        <v>731041.09</v>
      </c>
      <c r="U131" s="4"/>
      <c r="V131" s="13">
        <f t="shared" ref="V131:V134" si="118">IF(T$12=0,0,T131/T$12)</f>
        <v>7.4010664444611407E-2</v>
      </c>
      <c r="W131" s="4"/>
      <c r="X131" s="4">
        <f t="shared" ref="X131:X134" si="119">+P131-T131</f>
        <v>-580.56999999994878</v>
      </c>
      <c r="Y131" s="4"/>
      <c r="Z131" s="13">
        <f t="shared" ref="Z131:Z134" si="120">IF(T131=0,0,X131/T131)</f>
        <v>-7.9416876553402597E-4</v>
      </c>
    </row>
    <row r="132" spans="1:26" s="24" customFormat="1" hidden="1" outlineLevel="1" x14ac:dyDescent="0.35">
      <c r="A132" s="44"/>
      <c r="B132" s="11" t="str">
        <f>CONCATENATE("          ", "9150", " - ", "MISC. INCOME")</f>
        <v xml:space="preserve">          9150 - MISC. INCOME</v>
      </c>
      <c r="C132" s="11"/>
      <c r="D132" s="2">
        <f>--16951.85</f>
        <v>16951.849999999999</v>
      </c>
      <c r="E132" s="2"/>
      <c r="F132" s="19">
        <f t="shared" si="113"/>
        <v>141.89210680505565</v>
      </c>
      <c r="G132" s="2"/>
      <c r="H132" s="2">
        <f>--42291.96</f>
        <v>42291.96</v>
      </c>
      <c r="I132" s="2"/>
      <c r="J132" s="19">
        <f t="shared" si="114"/>
        <v>0.20529140903279175</v>
      </c>
      <c r="K132" s="2"/>
      <c r="L132" s="2">
        <f t="shared" si="115"/>
        <v>-25340.11</v>
      </c>
      <c r="M132" s="2"/>
      <c r="N132" s="19">
        <f t="shared" si="116"/>
        <v>-0.59917085895286004</v>
      </c>
      <c r="O132" s="11"/>
      <c r="P132" s="2">
        <f>--330936.39</f>
        <v>330936.39</v>
      </c>
      <c r="Q132" s="2"/>
      <c r="R132" s="19">
        <f t="shared" si="117"/>
        <v>4.7383096486832088E-2</v>
      </c>
      <c r="S132" s="2"/>
      <c r="T132" s="2">
        <f>--389464.12</f>
        <v>389464.12</v>
      </c>
      <c r="U132" s="2"/>
      <c r="V132" s="19">
        <f t="shared" si="118"/>
        <v>3.9429381867626442E-2</v>
      </c>
      <c r="W132" s="2"/>
      <c r="X132" s="2">
        <f t="shared" si="119"/>
        <v>-58527.729999999981</v>
      </c>
      <c r="Y132" s="2"/>
      <c r="Z132" s="19">
        <f t="shared" si="120"/>
        <v>-0.15027759168161622</v>
      </c>
    </row>
    <row r="133" spans="1:26" s="24" customFormat="1" hidden="1" outlineLevel="1" x14ac:dyDescent="0.35">
      <c r="A133" s="44"/>
      <c r="B133" s="11" t="str">
        <f>CONCATENATE("          ", "9160", " - ", "MISC. INCOME")</f>
        <v xml:space="preserve">          9160 - MISC. INCOME</v>
      </c>
      <c r="C133" s="11"/>
      <c r="D133" s="2">
        <f>--25000.02</f>
        <v>25000.02</v>
      </c>
      <c r="E133" s="2"/>
      <c r="F133" s="19">
        <f t="shared" si="113"/>
        <v>209.2577216037499</v>
      </c>
      <c r="G133" s="2"/>
      <c r="H133" s="2">
        <f>--4981.17</f>
        <v>4981.17</v>
      </c>
      <c r="I133" s="2"/>
      <c r="J133" s="19">
        <f t="shared" si="114"/>
        <v>2.4179333564390757E-2</v>
      </c>
      <c r="K133" s="2"/>
      <c r="L133" s="2">
        <f t="shared" si="115"/>
        <v>20018.849999999999</v>
      </c>
      <c r="M133" s="2"/>
      <c r="N133" s="19">
        <f t="shared" si="116"/>
        <v>4.0189051969717955</v>
      </c>
      <c r="O133" s="11"/>
      <c r="P133" s="2">
        <f>--155089.34</f>
        <v>155089.34</v>
      </c>
      <c r="Q133" s="2"/>
      <c r="R133" s="19">
        <f t="shared" si="117"/>
        <v>2.2205515571433854E-2</v>
      </c>
      <c r="S133" s="2"/>
      <c r="T133" s="2">
        <f>--91560.73</f>
        <v>91560.73</v>
      </c>
      <c r="U133" s="2"/>
      <c r="V133" s="19">
        <f t="shared" si="118"/>
        <v>9.2696163827585467E-3</v>
      </c>
      <c r="W133" s="2"/>
      <c r="X133" s="2">
        <f t="shared" si="119"/>
        <v>63528.61</v>
      </c>
      <c r="Y133" s="2"/>
      <c r="Z133" s="19">
        <f t="shared" si="120"/>
        <v>0.69384123521077212</v>
      </c>
    </row>
    <row r="134" spans="1:26" s="24" customFormat="1" hidden="1" outlineLevel="1" x14ac:dyDescent="0.35">
      <c r="A134" s="44"/>
      <c r="B134" s="11" t="str">
        <f>CONCATENATE("          ", "9165", " - ", "OTHER INCOME")</f>
        <v xml:space="preserve">          9165 - OTHER INCOME</v>
      </c>
      <c r="C134" s="11"/>
      <c r="D134" s="2">
        <f>--1309.77</f>
        <v>1309.77</v>
      </c>
      <c r="E134" s="2"/>
      <c r="F134" s="19">
        <f t="shared" si="113"/>
        <v>10.963170670461203</v>
      </c>
      <c r="G134" s="2"/>
      <c r="H134" s="2">
        <f>--5021.13</f>
        <v>5021.13</v>
      </c>
      <c r="I134" s="2"/>
      <c r="J134" s="19">
        <f t="shared" si="114"/>
        <v>2.4373305295777772E-2</v>
      </c>
      <c r="K134" s="2"/>
      <c r="L134" s="2">
        <f t="shared" si="115"/>
        <v>-3711.36</v>
      </c>
      <c r="M134" s="2"/>
      <c r="N134" s="19">
        <f t="shared" si="116"/>
        <v>-0.73914835903471932</v>
      </c>
      <c r="O134" s="11"/>
      <c r="P134" s="2">
        <f>--244434.79</f>
        <v>244434.79</v>
      </c>
      <c r="Q134" s="2"/>
      <c r="R134" s="19">
        <f t="shared" si="117"/>
        <v>3.49978956358004E-2</v>
      </c>
      <c r="S134" s="2"/>
      <c r="T134" s="2">
        <f>--250016.24</f>
        <v>250016.24</v>
      </c>
      <c r="U134" s="2"/>
      <c r="V134" s="19">
        <f t="shared" si="118"/>
        <v>2.531166619422642E-2</v>
      </c>
      <c r="W134" s="2"/>
      <c r="X134" s="2">
        <f t="shared" si="119"/>
        <v>-5581.4499999999825</v>
      </c>
      <c r="Y134" s="2"/>
      <c r="Z134" s="19">
        <f t="shared" si="120"/>
        <v>-2.2324349810236257E-2</v>
      </c>
    </row>
    <row r="135" spans="1:26" x14ac:dyDescent="0.3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35">
      <c r="A136" s="10"/>
      <c r="B136" s="28" t="s">
        <v>3</v>
      </c>
      <c r="C136" s="28"/>
      <c r="D136" s="22">
        <f>+D39-D41+D131</f>
        <v>-182124.10999999996</v>
      </c>
      <c r="E136" s="14"/>
      <c r="F136" s="21">
        <f>IF(D$12=0,0,D136/D$12)</f>
        <v>-1524.4338327613623</v>
      </c>
      <c r="G136" s="14"/>
      <c r="H136" s="22">
        <f>+H39-H41+H131</f>
        <v>-288491.64</v>
      </c>
      <c r="I136" s="14"/>
      <c r="J136" s="21">
        <f>IF(H$12=0,0,H136/H$12)</f>
        <v>-1.4003809534904721</v>
      </c>
      <c r="K136" s="15"/>
      <c r="L136" s="22">
        <f>+D136-H136</f>
        <v>106367.53000000006</v>
      </c>
      <c r="M136" s="15"/>
      <c r="N136" s="21">
        <f>IF(H136=0,0,L136/H136)</f>
        <v>-0.36870229584469089</v>
      </c>
      <c r="O136" s="29"/>
      <c r="P136" s="22">
        <f>+P39-P41+P131</f>
        <v>-1114677.4499999993</v>
      </c>
      <c r="Q136" s="14"/>
      <c r="R136" s="21">
        <f>IF(P$12=0,0,P136/P$12)</f>
        <v>-0.15959825138917455</v>
      </c>
      <c r="S136" s="14"/>
      <c r="T136" s="22">
        <f>+T39-T41+T131</f>
        <v>92469.969999999856</v>
      </c>
      <c r="U136" s="14"/>
      <c r="V136" s="21">
        <f>IF(T$12=0,0,T136/T$12)</f>
        <v>9.3616679205723898E-3</v>
      </c>
      <c r="W136" s="15"/>
      <c r="X136" s="22">
        <f>+P136-T136</f>
        <v>-1207147.419999999</v>
      </c>
      <c r="Y136" s="15"/>
      <c r="Z136" s="21">
        <f>IF(T136=0,0,X136/T136)</f>
        <v>-13.054480497830818</v>
      </c>
    </row>
    <row r="137" spans="1:26" x14ac:dyDescent="0.3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35">
      <c r="A138" s="51"/>
      <c r="B138" s="10" t="s">
        <v>13</v>
      </c>
      <c r="C138" s="10"/>
      <c r="D138" s="4">
        <v>230622.05</v>
      </c>
      <c r="E138" s="4"/>
      <c r="F138" s="13">
        <f>IF(D$12=0,0,D138/D$12)</f>
        <v>1930.3762450824474</v>
      </c>
      <c r="G138" s="4"/>
      <c r="H138" s="4">
        <v>-301936.84999999998</v>
      </c>
      <c r="I138" s="4"/>
      <c r="J138" s="13">
        <f>IF(H$12=0,0,H138/H$12)</f>
        <v>-1.4656459850861177</v>
      </c>
      <c r="K138" s="4"/>
      <c r="L138" s="4">
        <f>+D138-H138</f>
        <v>532558.89999999991</v>
      </c>
      <c r="M138" s="4"/>
      <c r="N138" s="13">
        <f>IF(H138=0,0,L138/H138)</f>
        <v>-1.7638088891766603</v>
      </c>
      <c r="O138" s="10"/>
      <c r="P138" s="4">
        <v>1057689.29</v>
      </c>
      <c r="Q138" s="4"/>
      <c r="R138" s="13">
        <f>IF(P$12=0,0,P138/P$12)</f>
        <v>0.15143875135991822</v>
      </c>
      <c r="S138" s="4"/>
      <c r="T138" s="4">
        <v>704040.2</v>
      </c>
      <c r="U138" s="4"/>
      <c r="V138" s="13">
        <f>IF(T$12=0,0,T138/T$12)</f>
        <v>7.1277091958971972E-2</v>
      </c>
      <c r="W138" s="4"/>
      <c r="X138" s="4">
        <f>+P138-T138</f>
        <v>353649.09000000008</v>
      </c>
      <c r="Y138" s="4"/>
      <c r="Z138" s="13">
        <f>IF(T138=0,0,X138/T138)</f>
        <v>0.50231377412823885</v>
      </c>
    </row>
    <row r="139" spans="1:26" x14ac:dyDescent="0.3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" thickBot="1" x14ac:dyDescent="0.4">
      <c r="A140" s="10"/>
      <c r="B140" s="28" t="s">
        <v>4</v>
      </c>
      <c r="C140" s="28"/>
      <c r="D140" s="34">
        <f>+D136-D138</f>
        <v>-412746.15999999992</v>
      </c>
      <c r="E140" s="14"/>
      <c r="F140" s="32">
        <f>IF(D$12=0,0,D140/D$12)</f>
        <v>-3454.8100778438093</v>
      </c>
      <c r="G140" s="14"/>
      <c r="H140" s="34">
        <f>+H136-H138</f>
        <v>13445.209999999963</v>
      </c>
      <c r="I140" s="14"/>
      <c r="J140" s="32">
        <f>IF(H$12=0,0,H140/H$12)</f>
        <v>6.5265031595645465E-2</v>
      </c>
      <c r="K140" s="15"/>
      <c r="L140" s="34">
        <f>D140-H140</f>
        <v>-426191.36999999988</v>
      </c>
      <c r="M140" s="15"/>
      <c r="N140" s="32">
        <f>IF(H140=0,0,L140/H140)</f>
        <v>-31.698379571609596</v>
      </c>
      <c r="O140" s="29"/>
      <c r="P140" s="34">
        <f>+P136-P138</f>
        <v>-2172366.7399999993</v>
      </c>
      <c r="Q140" s="14"/>
      <c r="R140" s="32">
        <f>IF(P$12=0,0,P140/P$12)</f>
        <v>-0.31103700274909279</v>
      </c>
      <c r="S140" s="14"/>
      <c r="T140" s="34">
        <f>+T136-T138</f>
        <v>-611570.2300000001</v>
      </c>
      <c r="U140" s="14"/>
      <c r="V140" s="32">
        <f>IF(T$12=0,0,T140/T$12)</f>
        <v>-6.1915424038399579E-2</v>
      </c>
      <c r="W140" s="15"/>
      <c r="X140" s="34">
        <f>P140-T140</f>
        <v>-1560796.5099999993</v>
      </c>
      <c r="Y140" s="15"/>
      <c r="Z140" s="32">
        <f>IF(T140=0,0,X140/T140)</f>
        <v>2.5521132871362937</v>
      </c>
    </row>
    <row r="141" spans="1:26" ht="15" thickTop="1" x14ac:dyDescent="0.3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3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" thickBot="1" x14ac:dyDescent="0.4">
      <c r="A143" s="10"/>
      <c r="B143" s="28" t="s">
        <v>5</v>
      </c>
      <c r="C143" s="28"/>
      <c r="D143" s="35">
        <f>SUM(D140:D142)</f>
        <v>-412746.15999999992</v>
      </c>
      <c r="E143" s="14"/>
      <c r="F143" s="33">
        <f>IF(D$12=0,0,D143/D$12)</f>
        <v>-3454.8100778438093</v>
      </c>
      <c r="G143" s="14"/>
      <c r="H143" s="35">
        <f>SUM(H140:H142)</f>
        <v>13445.209999999963</v>
      </c>
      <c r="I143" s="14"/>
      <c r="J143" s="33">
        <f>IF(H$12=0,0,H143/H$12)</f>
        <v>6.5265031595645465E-2</v>
      </c>
      <c r="K143" s="15"/>
      <c r="L143" s="35">
        <f>+D143-H143</f>
        <v>-426191.36999999988</v>
      </c>
      <c r="M143" s="15"/>
      <c r="N143" s="33">
        <f>IF(H143=0,0,L143/H143)</f>
        <v>-31.698379571609596</v>
      </c>
      <c r="O143" s="29"/>
      <c r="P143" s="35">
        <f>SUM(P140:P142)</f>
        <v>-2172366.7399999993</v>
      </c>
      <c r="Q143" s="14"/>
      <c r="R143" s="33">
        <f>IF(P$12=0,0,P143/P$12)</f>
        <v>-0.31103700274909279</v>
      </c>
      <c r="S143" s="14"/>
      <c r="T143" s="35">
        <f>SUM(T140:T142)</f>
        <v>-611570.2300000001</v>
      </c>
      <c r="U143" s="14"/>
      <c r="V143" s="33">
        <f>IF(T$12=0,0,T143/T$12)</f>
        <v>-6.1915424038399579E-2</v>
      </c>
      <c r="W143" s="15"/>
      <c r="X143" s="35">
        <f>+P143-T143</f>
        <v>-1560796.5099999993</v>
      </c>
      <c r="Y143" s="15"/>
      <c r="Z143" s="33">
        <f>IF(T143=0,0,X143/T143)</f>
        <v>2.5521132871362937</v>
      </c>
    </row>
    <row r="144" spans="1:26" ht="15" thickTop="1" x14ac:dyDescent="0.35">
      <c r="A144" s="9"/>
      <c r="C144" s="9"/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  <row r="145" spans="1:24" x14ac:dyDescent="0.35">
      <c r="A145" s="9"/>
      <c r="B145" s="52">
        <v>44043.522454085651</v>
      </c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35">
      <c r="A146" s="9"/>
      <c r="B146" s="61" t="s">
        <v>313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35">
      <c r="A147" s="9"/>
      <c r="B147" s="54"/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35"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299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160312.10999999999</v>
      </c>
      <c r="I12" s="4"/>
      <c r="J12" s="13"/>
      <c r="K12" s="4"/>
      <c r="L12" s="4">
        <f t="shared" ref="L12:L24" si="0">+D12-H12</f>
        <v>-160312.10999999999</v>
      </c>
      <c r="M12" s="4"/>
      <c r="N12" s="13">
        <f t="shared" ref="N12:N24" si="1">IF(H12=0,0,L12/H12)</f>
        <v>-1</v>
      </c>
      <c r="O12" s="10"/>
      <c r="P12" s="4">
        <f>SUM(OSRRefP13x_0)</f>
        <v>4619542.3499999996</v>
      </c>
      <c r="Q12" s="4"/>
      <c r="R12" s="13"/>
      <c r="S12" s="4"/>
      <c r="T12" s="4">
        <f>SUM(OSRRefT13x_0)</f>
        <v>6849380.919999999</v>
      </c>
      <c r="U12" s="4"/>
      <c r="V12" s="13"/>
      <c r="W12" s="4"/>
      <c r="X12" s="4">
        <f t="shared" ref="X12:X24" si="2">+P12-T12</f>
        <v>-2229838.5699999994</v>
      </c>
      <c r="Y12" s="4"/>
      <c r="Z12" s="13">
        <f t="shared" ref="Z12:Z24" si="3">IF(T12=0,0,X12/T12)</f>
        <v>-0.32555330124638471</v>
      </c>
    </row>
    <row r="13" spans="1:26" s="24" customFormat="1" hidden="1" outlineLevel="1" x14ac:dyDescent="0.3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24" si="4">0</f>
        <v>0</v>
      </c>
      <c r="E13" s="2"/>
      <c r="F13" s="19"/>
      <c r="G13" s="2"/>
      <c r="H13" s="2">
        <f>--11666.69</f>
        <v>11666.69</v>
      </c>
      <c r="I13" s="2"/>
      <c r="J13" s="19"/>
      <c r="K13" s="2"/>
      <c r="L13" s="2">
        <f t="shared" si="0"/>
        <v>-11666.69</v>
      </c>
      <c r="M13" s="2"/>
      <c r="N13" s="19">
        <f t="shared" si="1"/>
        <v>-1</v>
      </c>
      <c r="O13" s="11"/>
      <c r="P13" s="2">
        <f>--454738.68</f>
        <v>454738.68</v>
      </c>
      <c r="Q13" s="2"/>
      <c r="R13" s="19"/>
      <c r="S13" s="2"/>
      <c r="T13" s="2">
        <f>--682221.54</f>
        <v>682221.54</v>
      </c>
      <c r="U13" s="2"/>
      <c r="V13" s="19"/>
      <c r="W13" s="2"/>
      <c r="X13" s="2">
        <f t="shared" si="2"/>
        <v>-227482.86000000004</v>
      </c>
      <c r="Y13" s="2"/>
      <c r="Z13" s="19">
        <f t="shared" si="3"/>
        <v>-0.33344426504035629</v>
      </c>
    </row>
    <row r="14" spans="1:26" s="24" customFormat="1" hidden="1" outlineLevel="1" x14ac:dyDescent="0.3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>
        <f>--69227.44</f>
        <v>69227.44</v>
      </c>
      <c r="I14" s="2"/>
      <c r="J14" s="19"/>
      <c r="K14" s="2"/>
      <c r="L14" s="2">
        <f t="shared" si="0"/>
        <v>-69227.44</v>
      </c>
      <c r="M14" s="2"/>
      <c r="N14" s="19">
        <f t="shared" si="1"/>
        <v>-1</v>
      </c>
      <c r="O14" s="11"/>
      <c r="P14" s="2">
        <f>--836487.29</f>
        <v>836487.29</v>
      </c>
      <c r="Q14" s="2"/>
      <c r="R14" s="19"/>
      <c r="S14" s="2"/>
      <c r="T14" s="2">
        <f>--1589998.48</f>
        <v>1589998.48</v>
      </c>
      <c r="U14" s="2"/>
      <c r="V14" s="19"/>
      <c r="W14" s="2"/>
      <c r="X14" s="2">
        <f t="shared" si="2"/>
        <v>-753511.19</v>
      </c>
      <c r="Y14" s="2"/>
      <c r="Z14" s="19">
        <f t="shared" si="3"/>
        <v>-0.47390686184806918</v>
      </c>
    </row>
    <row r="15" spans="1:26" s="24" customFormat="1" hidden="1" outlineLevel="1" x14ac:dyDescent="0.3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>
        <f>--11538.31</f>
        <v>11538.31</v>
      </c>
      <c r="I15" s="2"/>
      <c r="J15" s="19"/>
      <c r="K15" s="2"/>
      <c r="L15" s="2">
        <f t="shared" si="0"/>
        <v>-11538.31</v>
      </c>
      <c r="M15" s="2"/>
      <c r="N15" s="19">
        <f t="shared" si="1"/>
        <v>-1</v>
      </c>
      <c r="O15" s="11"/>
      <c r="P15" s="2">
        <f>--253270.4</f>
        <v>253270.39999999999</v>
      </c>
      <c r="Q15" s="2"/>
      <c r="R15" s="19"/>
      <c r="S15" s="2"/>
      <c r="T15" s="2">
        <f>--325290.63</f>
        <v>325290.63</v>
      </c>
      <c r="U15" s="2"/>
      <c r="V15" s="19"/>
      <c r="W15" s="2"/>
      <c r="X15" s="2">
        <f t="shared" si="2"/>
        <v>-72020.23000000001</v>
      </c>
      <c r="Y15" s="2"/>
      <c r="Z15" s="19">
        <f t="shared" si="3"/>
        <v>-0.2214027191622458</v>
      </c>
    </row>
    <row r="16" spans="1:26" s="24" customFormat="1" hidden="1" outlineLevel="1" x14ac:dyDescent="0.3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--16246.93</f>
        <v>16246.93</v>
      </c>
      <c r="I16" s="2"/>
      <c r="J16" s="19"/>
      <c r="K16" s="2"/>
      <c r="L16" s="2">
        <f t="shared" si="0"/>
        <v>-16246.93</v>
      </c>
      <c r="M16" s="2"/>
      <c r="N16" s="19">
        <f t="shared" si="1"/>
        <v>-1</v>
      </c>
      <c r="O16" s="11"/>
      <c r="P16" s="2">
        <f>--381406.04</f>
        <v>381406.04</v>
      </c>
      <c r="Q16" s="2"/>
      <c r="R16" s="19"/>
      <c r="S16" s="2"/>
      <c r="T16" s="2">
        <f>--625909.88</f>
        <v>625909.88</v>
      </c>
      <c r="U16" s="2"/>
      <c r="V16" s="19"/>
      <c r="W16" s="2"/>
      <c r="X16" s="2">
        <f t="shared" si="2"/>
        <v>-244503.84000000003</v>
      </c>
      <c r="Y16" s="2"/>
      <c r="Z16" s="19">
        <f t="shared" si="3"/>
        <v>-0.39063745087391816</v>
      </c>
    </row>
    <row r="17" spans="1:26" s="24" customFormat="1" hidden="1" outlineLevel="1" x14ac:dyDescent="0.3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 t="shared" si="4"/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3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--117077.57</f>
        <v>117077.57</v>
      </c>
      <c r="Q18" s="2"/>
      <c r="R18" s="19"/>
      <c r="S18" s="2"/>
      <c r="T18" s="2">
        <f>--200045.36</f>
        <v>200045.36</v>
      </c>
      <c r="U18" s="2"/>
      <c r="V18" s="19"/>
      <c r="W18" s="2"/>
      <c r="X18" s="2">
        <f t="shared" si="2"/>
        <v>-82967.789999999979</v>
      </c>
      <c r="Y18" s="2"/>
      <c r="Z18" s="19">
        <f t="shared" si="3"/>
        <v>-0.41474488585988689</v>
      </c>
    </row>
    <row r="19" spans="1:26" s="24" customFormat="1" hidden="1" outlineLevel="1" x14ac:dyDescent="0.3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 t="shared" si="4"/>
        <v>0</v>
      </c>
      <c r="E19" s="2"/>
      <c r="F19" s="19"/>
      <c r="G19" s="2"/>
      <c r="H19" s="2">
        <f>--25146.05</f>
        <v>25146.05</v>
      </c>
      <c r="I19" s="2"/>
      <c r="J19" s="19"/>
      <c r="K19" s="2"/>
      <c r="L19" s="2">
        <f t="shared" si="0"/>
        <v>-25146.05</v>
      </c>
      <c r="M19" s="2"/>
      <c r="N19" s="19">
        <f t="shared" si="1"/>
        <v>-1</v>
      </c>
      <c r="O19" s="11"/>
      <c r="P19" s="2">
        <f>--1363402.11</f>
        <v>1363402.11</v>
      </c>
      <c r="Q19" s="2"/>
      <c r="R19" s="19"/>
      <c r="S19" s="2"/>
      <c r="T19" s="2">
        <f>--1822583.5</f>
        <v>1822583.5</v>
      </c>
      <c r="U19" s="2"/>
      <c r="V19" s="19"/>
      <c r="W19" s="2"/>
      <c r="X19" s="2">
        <f t="shared" si="2"/>
        <v>-459181.3899999999</v>
      </c>
      <c r="Y19" s="2"/>
      <c r="Z19" s="19">
        <f t="shared" si="3"/>
        <v>-0.25193983704998968</v>
      </c>
    </row>
    <row r="20" spans="1:26" s="24" customFormat="1" hidden="1" outlineLevel="1" x14ac:dyDescent="0.3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 t="shared" si="4"/>
        <v>0</v>
      </c>
      <c r="E20" s="2"/>
      <c r="F20" s="19"/>
      <c r="G20" s="2"/>
      <c r="H20" s="2">
        <f>--3022.91</f>
        <v>3022.91</v>
      </c>
      <c r="I20" s="2"/>
      <c r="J20" s="19"/>
      <c r="K20" s="2"/>
      <c r="L20" s="2">
        <f t="shared" si="0"/>
        <v>-3022.91</v>
      </c>
      <c r="M20" s="2"/>
      <c r="N20" s="19">
        <f t="shared" si="1"/>
        <v>-1</v>
      </c>
      <c r="O20" s="11"/>
      <c r="P20" s="2">
        <f>--51415.27</f>
        <v>51415.27</v>
      </c>
      <c r="Q20" s="2"/>
      <c r="R20" s="19"/>
      <c r="S20" s="2"/>
      <c r="T20" s="2">
        <f>--79299.25</f>
        <v>79299.25</v>
      </c>
      <c r="U20" s="2"/>
      <c r="V20" s="19"/>
      <c r="W20" s="2"/>
      <c r="X20" s="2">
        <f t="shared" si="2"/>
        <v>-27883.980000000003</v>
      </c>
      <c r="Y20" s="2"/>
      <c r="Z20" s="19">
        <f t="shared" si="3"/>
        <v>-0.35162980734370125</v>
      </c>
    </row>
    <row r="21" spans="1:26" s="24" customFormat="1" hidden="1" outlineLevel="1" x14ac:dyDescent="0.3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 t="shared" si="4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-498.41</f>
        <v>-498.41</v>
      </c>
      <c r="Q21" s="2"/>
      <c r="R21" s="19"/>
      <c r="S21" s="2"/>
      <c r="T21" s="2">
        <f>--527.13</f>
        <v>527.13</v>
      </c>
      <c r="U21" s="2"/>
      <c r="V21" s="19"/>
      <c r="W21" s="2"/>
      <c r="X21" s="2">
        <f t="shared" si="2"/>
        <v>-1025.54</v>
      </c>
      <c r="Y21" s="2"/>
      <c r="Z21" s="19">
        <f t="shared" si="3"/>
        <v>-1.9455162863050859</v>
      </c>
    </row>
    <row r="22" spans="1:26" s="24" customFormat="1" hidden="1" outlineLevel="1" x14ac:dyDescent="0.3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 t="shared" si="4"/>
        <v>0</v>
      </c>
      <c r="E22" s="2"/>
      <c r="F22" s="19"/>
      <c r="G22" s="2"/>
      <c r="H22" s="2">
        <f>--23463.78</f>
        <v>23463.78</v>
      </c>
      <c r="I22" s="2"/>
      <c r="J22" s="19"/>
      <c r="K22" s="2"/>
      <c r="L22" s="2">
        <f t="shared" si="0"/>
        <v>-23463.78</v>
      </c>
      <c r="M22" s="2"/>
      <c r="N22" s="19">
        <f t="shared" si="1"/>
        <v>-1</v>
      </c>
      <c r="O22" s="11"/>
      <c r="P22" s="2">
        <f>--687389.73</f>
        <v>687389.73</v>
      </c>
      <c r="Q22" s="2"/>
      <c r="R22" s="19"/>
      <c r="S22" s="2"/>
      <c r="T22" s="2">
        <f>--913989.89</f>
        <v>913989.89</v>
      </c>
      <c r="U22" s="2"/>
      <c r="V22" s="19"/>
      <c r="W22" s="2"/>
      <c r="X22" s="2">
        <f t="shared" si="2"/>
        <v>-226600.16000000003</v>
      </c>
      <c r="Y22" s="2"/>
      <c r="Z22" s="19">
        <f t="shared" si="3"/>
        <v>-0.24792414279330818</v>
      </c>
    </row>
    <row r="23" spans="1:26" s="24" customFormat="1" hidden="1" outlineLevel="1" x14ac:dyDescent="0.35">
      <c r="A23" s="44"/>
      <c r="B23" s="11" t="str">
        <f>CONCATENATE("          ", "4157", " - ", "NON-TAXABLE SALES-FOOD")</f>
        <v xml:space="preserve">          4157 - NON-TAXABLE SALES-FOOD</v>
      </c>
      <c r="C23" s="11"/>
      <c r="D23" s="2">
        <f t="shared" si="4"/>
        <v>0</v>
      </c>
      <c r="E23" s="2"/>
      <c r="F23" s="19"/>
      <c r="G23" s="2"/>
      <c r="H23" s="2">
        <f t="shared" ref="H23:H24" si="6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--208</f>
        <v>208</v>
      </c>
      <c r="U23" s="2"/>
      <c r="V23" s="19"/>
      <c r="W23" s="2"/>
      <c r="X23" s="2">
        <f t="shared" si="2"/>
        <v>-208</v>
      </c>
      <c r="Y23" s="2"/>
      <c r="Z23" s="19">
        <f t="shared" si="3"/>
        <v>-1</v>
      </c>
    </row>
    <row r="24" spans="1:26" s="24" customFormat="1" hidden="1" outlineLevel="1" x14ac:dyDescent="0.3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4"/>
        <v>0</v>
      </c>
      <c r="E24" s="2"/>
      <c r="F24" s="19"/>
      <c r="G24" s="2"/>
      <c r="H24" s="2">
        <f t="shared" si="6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--474853.67</f>
        <v>474853.67</v>
      </c>
      <c r="Q24" s="2"/>
      <c r="R24" s="19"/>
      <c r="S24" s="2"/>
      <c r="T24" s="2">
        <f>--597801.18</f>
        <v>597801.18000000005</v>
      </c>
      <c r="U24" s="2"/>
      <c r="V24" s="19"/>
      <c r="W24" s="2"/>
      <c r="X24" s="2">
        <f t="shared" si="2"/>
        <v>-122947.51000000007</v>
      </c>
      <c r="Y24" s="2"/>
      <c r="Z24" s="19">
        <f t="shared" si="3"/>
        <v>-0.20566622166921794</v>
      </c>
    </row>
    <row r="25" spans="1:26" x14ac:dyDescent="0.3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35">
      <c r="A26" s="10"/>
      <c r="B26" s="29" t="s">
        <v>8</v>
      </c>
      <c r="C26" s="10"/>
      <c r="D26" s="4">
        <f>SUM(OSRRefD16x_0)</f>
        <v>33964</v>
      </c>
      <c r="E26" s="4"/>
      <c r="F26" s="13">
        <f t="shared" ref="F26:F28" si="7">IF(D$12=0,0,D26/D$12)</f>
        <v>0</v>
      </c>
      <c r="G26" s="4"/>
      <c r="H26" s="4">
        <f>SUM(OSRRefH16x_0)</f>
        <v>57557.91</v>
      </c>
      <c r="I26" s="4"/>
      <c r="J26" s="13">
        <f t="shared" ref="J26:J28" si="8">IF(H$12=0,0,H26/H$12)</f>
        <v>0.35903656935212197</v>
      </c>
      <c r="K26" s="4"/>
      <c r="L26" s="4">
        <f t="shared" ref="L26:L28" si="9">+D26-H26</f>
        <v>-23593.910000000003</v>
      </c>
      <c r="M26" s="4"/>
      <c r="N26" s="13">
        <f t="shared" ref="N26:N28" si="10">IF(H26=0,0,L26/H26)</f>
        <v>-0.40991603065503945</v>
      </c>
      <c r="O26" s="10"/>
      <c r="P26" s="4">
        <f>SUM(OSRRefP16x_0)</f>
        <v>1678796.26</v>
      </c>
      <c r="Q26" s="4"/>
      <c r="R26" s="13">
        <f t="shared" ref="R26:R28" si="11">IF(P$12=0,0,P26/P$12)</f>
        <v>0.36341181286063978</v>
      </c>
      <c r="S26" s="4"/>
      <c r="T26" s="4">
        <f>SUM(OSRRefT16x_0)</f>
        <v>2157913.66</v>
      </c>
      <c r="U26" s="4"/>
      <c r="V26" s="13">
        <f t="shared" ref="V26:V28" si="12">IF(T$12=0,0,T26/T$12)</f>
        <v>0.31505236534574288</v>
      </c>
      <c r="W26" s="4"/>
      <c r="X26" s="4">
        <f t="shared" ref="X26:X28" si="13">+P26-T26</f>
        <v>-479117.40000000014</v>
      </c>
      <c r="Y26" s="4"/>
      <c r="Z26" s="13">
        <f t="shared" ref="Z26:Z28" si="14">IF(T26=0,0,X26/T26)</f>
        <v>-0.22202806761045302</v>
      </c>
    </row>
    <row r="27" spans="1:26" s="24" customFormat="1" hidden="1" outlineLevel="1" x14ac:dyDescent="0.3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1754</v>
      </c>
      <c r="E27" s="2"/>
      <c r="F27" s="19">
        <f t="shared" si="7"/>
        <v>0</v>
      </c>
      <c r="G27" s="2"/>
      <c r="H27" s="2">
        <v>48781.91</v>
      </c>
      <c r="I27" s="2"/>
      <c r="J27" s="19">
        <f t="shared" si="8"/>
        <v>0.30429335625362308</v>
      </c>
      <c r="K27" s="2"/>
      <c r="L27" s="2">
        <f t="shared" si="9"/>
        <v>-47027.91</v>
      </c>
      <c r="M27" s="2"/>
      <c r="N27" s="19">
        <f t="shared" si="10"/>
        <v>-0.96404404829577195</v>
      </c>
      <c r="O27" s="11"/>
      <c r="P27" s="2">
        <v>1603213.27</v>
      </c>
      <c r="Q27" s="2"/>
      <c r="R27" s="19">
        <f t="shared" si="11"/>
        <v>0.34705023756303482</v>
      </c>
      <c r="S27" s="2"/>
      <c r="T27" s="2">
        <v>2187551.29</v>
      </c>
      <c r="U27" s="2"/>
      <c r="V27" s="19">
        <f t="shared" si="12"/>
        <v>0.31937941772407663</v>
      </c>
      <c r="W27" s="2"/>
      <c r="X27" s="2">
        <f t="shared" si="13"/>
        <v>-584338.02</v>
      </c>
      <c r="Y27" s="2"/>
      <c r="Z27" s="19">
        <f t="shared" si="14"/>
        <v>-0.26711968888281473</v>
      </c>
    </row>
    <row r="28" spans="1:26" s="24" customFormat="1" hidden="1" outlineLevel="1" x14ac:dyDescent="0.3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32210</v>
      </c>
      <c r="E28" s="2"/>
      <c r="F28" s="19">
        <f t="shared" si="7"/>
        <v>0</v>
      </c>
      <c r="G28" s="2"/>
      <c r="H28" s="2">
        <v>8776</v>
      </c>
      <c r="I28" s="2"/>
      <c r="J28" s="19">
        <f t="shared" si="8"/>
        <v>5.4743213098498923E-2</v>
      </c>
      <c r="K28" s="2"/>
      <c r="L28" s="2">
        <f t="shared" si="9"/>
        <v>23434</v>
      </c>
      <c r="M28" s="2"/>
      <c r="N28" s="19">
        <f t="shared" si="10"/>
        <v>2.6702370100273471</v>
      </c>
      <c r="O28" s="11"/>
      <c r="P28" s="2">
        <v>75582.989999999991</v>
      </c>
      <c r="Q28" s="2"/>
      <c r="R28" s="19">
        <f t="shared" si="11"/>
        <v>1.6361575297604968E-2</v>
      </c>
      <c r="S28" s="2"/>
      <c r="T28" s="2">
        <v>-29637.63</v>
      </c>
      <c r="U28" s="2"/>
      <c r="V28" s="19">
        <f t="shared" si="12"/>
        <v>-4.3270523783337789E-3</v>
      </c>
      <c r="W28" s="2"/>
      <c r="X28" s="2">
        <f t="shared" si="13"/>
        <v>105220.62</v>
      </c>
      <c r="Y28" s="2"/>
      <c r="Z28" s="19">
        <f t="shared" si="14"/>
        <v>-3.5502373165465655</v>
      </c>
    </row>
    <row r="29" spans="1:26" x14ac:dyDescent="0.3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5">
      <c r="A30" s="10"/>
      <c r="B30" s="28" t="s">
        <v>6</v>
      </c>
      <c r="C30" s="28"/>
      <c r="D30" s="22">
        <f>D12-D26</f>
        <v>-33964</v>
      </c>
      <c r="E30" s="14"/>
      <c r="F30" s="21">
        <f>IF(D$12=0,0,D30/D$12)</f>
        <v>0</v>
      </c>
      <c r="G30" s="14"/>
      <c r="H30" s="22">
        <f>H12-H26</f>
        <v>102754.19999999998</v>
      </c>
      <c r="I30" s="14"/>
      <c r="J30" s="21">
        <f>IF(H$12=0,0,H30/H$12)</f>
        <v>0.64096343064787797</v>
      </c>
      <c r="K30" s="15"/>
      <c r="L30" s="22">
        <f>+D30-H30</f>
        <v>-136718.19999999998</v>
      </c>
      <c r="M30" s="15"/>
      <c r="N30" s="21">
        <f>IF(H30=0,0,L30/H30)</f>
        <v>-1.3305363673698982</v>
      </c>
      <c r="O30" s="29"/>
      <c r="P30" s="22">
        <f>P12-P26</f>
        <v>2940746.09</v>
      </c>
      <c r="Q30" s="14"/>
      <c r="R30" s="21">
        <f>IF(P$12=0,0,P30/P$12)</f>
        <v>0.63658818713936027</v>
      </c>
      <c r="S30" s="14"/>
      <c r="T30" s="22">
        <f>T12-T26</f>
        <v>4691467.2599999988</v>
      </c>
      <c r="U30" s="14"/>
      <c r="V30" s="21">
        <f>IF(T$12=0,0,T30/T$12)</f>
        <v>0.68494763465425712</v>
      </c>
      <c r="W30" s="15"/>
      <c r="X30" s="22">
        <f>+P30-T30</f>
        <v>-1750721.169999999</v>
      </c>
      <c r="Y30" s="15"/>
      <c r="Z30" s="21">
        <f>IF(T30=0,0,X30/T30)</f>
        <v>-0.37317134980922778</v>
      </c>
    </row>
    <row r="31" spans="1:26" x14ac:dyDescent="0.3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5">
      <c r="A32" s="10"/>
      <c r="B32" s="29" t="s">
        <v>9</v>
      </c>
      <c r="C32" s="10"/>
      <c r="D32" s="20">
        <f>SUM(OSRRefD22x_0)</f>
        <v>145555.24</v>
      </c>
      <c r="E32" s="20"/>
      <c r="F32" s="36">
        <f t="shared" ref="F32:F42" si="15">IF(D$12=0,0,D32/D$12)</f>
        <v>0</v>
      </c>
      <c r="G32" s="20"/>
      <c r="H32" s="20">
        <f>SUM(OSRRefH22x_0)</f>
        <v>349675.28</v>
      </c>
      <c r="I32" s="20"/>
      <c r="J32" s="36">
        <f t="shared" ref="J32:J42" si="16">IF(H$12=0,0,H32/H$12)</f>
        <v>2.1812156299358798</v>
      </c>
      <c r="K32" s="4"/>
      <c r="L32" s="20">
        <f t="shared" ref="L32:L42" si="17">+D32-H32</f>
        <v>-204120.04000000004</v>
      </c>
      <c r="M32" s="4"/>
      <c r="N32" s="36">
        <f t="shared" ref="N32:N42" si="18">IF(H32=0,0,L32/H32)</f>
        <v>-0.58374169315028512</v>
      </c>
      <c r="O32" s="10"/>
      <c r="P32" s="20">
        <f>SUM(OSRRefP22x_0)</f>
        <v>4840617.6500000004</v>
      </c>
      <c r="Q32" s="20"/>
      <c r="R32" s="36">
        <f t="shared" ref="R32:R42" si="19">IF(P$12=0,0,P32/P$12)</f>
        <v>1.0478565371307833</v>
      </c>
      <c r="S32" s="20"/>
      <c r="T32" s="20">
        <f>SUM(OSRRefT22x_0)</f>
        <v>5649127.4299999997</v>
      </c>
      <c r="U32" s="20"/>
      <c r="V32" s="36">
        <f t="shared" ref="V32:V42" si="20">IF(T$12=0,0,T32/T$12)</f>
        <v>0.82476467522848773</v>
      </c>
      <c r="W32" s="4"/>
      <c r="X32" s="20">
        <f t="shared" ref="X32:X42" si="21">+P32-T32</f>
        <v>-808509.77999999933</v>
      </c>
      <c r="Y32" s="4"/>
      <c r="Z32" s="36">
        <f t="shared" ref="Z32:Z42" si="22">IF(T32=0,0,X32/T32)</f>
        <v>-0.14312117933583229</v>
      </c>
    </row>
    <row r="33" spans="1:26" s="25" customFormat="1" outlineLevel="1" collapsed="1" x14ac:dyDescent="0.35">
      <c r="A33" s="26"/>
      <c r="B33" s="12" t="str">
        <f>CONCATENATE("     ","*Benefits                                         ")</f>
        <v xml:space="preserve">     *Benefits                                         </v>
      </c>
      <c r="C33" s="12"/>
      <c r="D33" s="1">
        <f>SUM(OSRRefD22_0x_0)</f>
        <v>18939.369999999995</v>
      </c>
      <c r="E33" s="1"/>
      <c r="F33" s="5">
        <f t="shared" si="15"/>
        <v>0</v>
      </c>
      <c r="G33" s="1"/>
      <c r="H33" s="1">
        <f>SUM(OSRRefH22_0x_0)</f>
        <v>51042.68</v>
      </c>
      <c r="I33" s="1"/>
      <c r="J33" s="5">
        <f t="shared" si="16"/>
        <v>0.31839565956682875</v>
      </c>
      <c r="K33" s="1"/>
      <c r="L33" s="1">
        <f t="shared" si="17"/>
        <v>-32103.310000000005</v>
      </c>
      <c r="M33" s="1"/>
      <c r="N33" s="5">
        <f t="shared" si="18"/>
        <v>-0.62895032157402397</v>
      </c>
      <c r="O33" s="12"/>
      <c r="P33" s="1">
        <f>SUM(OSRRefP22_0x_0)</f>
        <v>637018.51</v>
      </c>
      <c r="Q33" s="1"/>
      <c r="R33" s="5">
        <f t="shared" si="19"/>
        <v>0.1378964541801419</v>
      </c>
      <c r="S33" s="1"/>
      <c r="T33" s="1">
        <f>SUM(OSRRefT22_0x_0)</f>
        <v>721507.13000000012</v>
      </c>
      <c r="U33" s="1"/>
      <c r="V33" s="5">
        <f t="shared" si="20"/>
        <v>0.10533902821687427</v>
      </c>
      <c r="W33" s="1"/>
      <c r="X33" s="1">
        <f t="shared" si="21"/>
        <v>-84488.620000000112</v>
      </c>
      <c r="Y33" s="1"/>
      <c r="Z33" s="5">
        <f t="shared" si="22"/>
        <v>-0.11710018721505926</v>
      </c>
    </row>
    <row r="34" spans="1:26" s="24" customFormat="1" hidden="1" outlineLevel="2" x14ac:dyDescent="0.35">
      <c r="A34" s="27"/>
      <c r="B34" s="11" t="str">
        <f>CONCATENATE("          ", "6111", " - ", "F.I.C.A.")</f>
        <v xml:space="preserve">          6111 - F.I.C.A.</v>
      </c>
      <c r="C34" s="11"/>
      <c r="D34" s="7">
        <v>2746.16</v>
      </c>
      <c r="E34" s="2"/>
      <c r="F34" s="6">
        <f t="shared" si="15"/>
        <v>0</v>
      </c>
      <c r="G34" s="2"/>
      <c r="H34" s="7">
        <v>10711.17</v>
      </c>
      <c r="I34" s="2"/>
      <c r="J34" s="6">
        <f t="shared" si="16"/>
        <v>6.6814478332298172E-2</v>
      </c>
      <c r="K34" s="2"/>
      <c r="L34" s="7">
        <f t="shared" si="17"/>
        <v>-7965.01</v>
      </c>
      <c r="M34" s="2"/>
      <c r="N34" s="6">
        <f t="shared" si="18"/>
        <v>-0.74361717720846554</v>
      </c>
      <c r="O34" s="11"/>
      <c r="P34" s="7">
        <v>137065.68</v>
      </c>
      <c r="Q34" s="2"/>
      <c r="R34" s="6">
        <f t="shared" si="19"/>
        <v>2.9670835250595766E-2</v>
      </c>
      <c r="S34" s="2"/>
      <c r="T34" s="7">
        <v>140966.31</v>
      </c>
      <c r="U34" s="2"/>
      <c r="V34" s="6">
        <f t="shared" si="20"/>
        <v>2.0580883388801222E-2</v>
      </c>
      <c r="W34" s="2"/>
      <c r="X34" s="7">
        <f t="shared" si="21"/>
        <v>-3900.6300000000047</v>
      </c>
      <c r="Y34" s="2"/>
      <c r="Z34" s="6">
        <f t="shared" si="22"/>
        <v>-2.7670654073303082E-2</v>
      </c>
    </row>
    <row r="35" spans="1:26" s="24" customFormat="1" hidden="1" outlineLevel="2" x14ac:dyDescent="0.35">
      <c r="A35" s="27"/>
      <c r="B35" s="11" t="str">
        <f>CONCATENATE("          ", "6112", " - ", "COMPENSATION INSURANCE")</f>
        <v xml:space="preserve">          6112 - COMPENSATION INSURANCE</v>
      </c>
      <c r="C35" s="11"/>
      <c r="D35" s="7">
        <v>783.34</v>
      </c>
      <c r="E35" s="2"/>
      <c r="F35" s="6">
        <f t="shared" si="15"/>
        <v>0</v>
      </c>
      <c r="G35" s="2"/>
      <c r="H35" s="7">
        <v>7630.99</v>
      </c>
      <c r="I35" s="2"/>
      <c r="J35" s="6">
        <f t="shared" si="16"/>
        <v>4.7600833149785131E-2</v>
      </c>
      <c r="K35" s="2"/>
      <c r="L35" s="7">
        <f t="shared" si="17"/>
        <v>-6847.65</v>
      </c>
      <c r="M35" s="2"/>
      <c r="N35" s="6">
        <f t="shared" si="18"/>
        <v>-0.89734752633668757</v>
      </c>
      <c r="O35" s="11"/>
      <c r="P35" s="7">
        <v>71894.930000000008</v>
      </c>
      <c r="Q35" s="2"/>
      <c r="R35" s="6">
        <f t="shared" si="19"/>
        <v>1.5563214827979663E-2</v>
      </c>
      <c r="S35" s="2"/>
      <c r="T35" s="7">
        <v>82904.84</v>
      </c>
      <c r="U35" s="2"/>
      <c r="V35" s="6">
        <f t="shared" si="20"/>
        <v>1.2103990268364284E-2</v>
      </c>
      <c r="W35" s="2"/>
      <c r="X35" s="7">
        <f t="shared" si="21"/>
        <v>-11009.909999999989</v>
      </c>
      <c r="Y35" s="2"/>
      <c r="Z35" s="6">
        <f t="shared" si="22"/>
        <v>-0.13280177610860824</v>
      </c>
    </row>
    <row r="36" spans="1:26" s="24" customFormat="1" hidden="1" outlineLevel="2" x14ac:dyDescent="0.35">
      <c r="A36" s="27"/>
      <c r="B36" s="11" t="str">
        <f>CONCATENATE("          ", "6113", " - ", "GROUP INSURANCE")</f>
        <v xml:space="preserve">          6113 - GROUP INSURANCE</v>
      </c>
      <c r="C36" s="11"/>
      <c r="D36" s="7">
        <v>13618.53</v>
      </c>
      <c r="E36" s="2"/>
      <c r="F36" s="6">
        <f t="shared" si="15"/>
        <v>0</v>
      </c>
      <c r="G36" s="2"/>
      <c r="H36" s="7">
        <v>21255.99</v>
      </c>
      <c r="I36" s="2"/>
      <c r="J36" s="6">
        <f t="shared" si="16"/>
        <v>0.13259129332150893</v>
      </c>
      <c r="K36" s="2"/>
      <c r="L36" s="7">
        <f t="shared" si="17"/>
        <v>-7637.4600000000009</v>
      </c>
      <c r="M36" s="2"/>
      <c r="N36" s="6">
        <f t="shared" si="18"/>
        <v>-0.3593085995994541</v>
      </c>
      <c r="O36" s="11"/>
      <c r="P36" s="7">
        <v>249331.83000000002</v>
      </c>
      <c r="Q36" s="2"/>
      <c r="R36" s="6">
        <f t="shared" si="19"/>
        <v>5.3973275079943803E-2</v>
      </c>
      <c r="S36" s="2"/>
      <c r="T36" s="7">
        <v>255259.91</v>
      </c>
      <c r="U36" s="2"/>
      <c r="V36" s="6">
        <f t="shared" si="20"/>
        <v>3.7267588557477985E-2</v>
      </c>
      <c r="W36" s="2"/>
      <c r="X36" s="7">
        <f t="shared" si="21"/>
        <v>-5928.0799999999872</v>
      </c>
      <c r="Y36" s="2"/>
      <c r="Z36" s="6">
        <f t="shared" si="22"/>
        <v>-2.3223701677243351E-2</v>
      </c>
    </row>
    <row r="37" spans="1:26" s="24" customFormat="1" hidden="1" outlineLevel="2" x14ac:dyDescent="0.35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7">
        <v>-6145.79</v>
      </c>
      <c r="E37" s="2"/>
      <c r="F37" s="6">
        <f t="shared" si="15"/>
        <v>0</v>
      </c>
      <c r="G37" s="2"/>
      <c r="H37" s="7">
        <v>582.89</v>
      </c>
      <c r="I37" s="2"/>
      <c r="J37" s="6">
        <f t="shared" si="16"/>
        <v>3.6359698590455831E-3</v>
      </c>
      <c r="K37" s="2"/>
      <c r="L37" s="7">
        <f t="shared" si="17"/>
        <v>-6728.68</v>
      </c>
      <c r="M37" s="2"/>
      <c r="N37" s="6">
        <f t="shared" si="18"/>
        <v>-11.543653176414075</v>
      </c>
      <c r="O37" s="11"/>
      <c r="P37" s="7">
        <v>0</v>
      </c>
      <c r="Q37" s="2"/>
      <c r="R37" s="6">
        <f t="shared" si="19"/>
        <v>0</v>
      </c>
      <c r="S37" s="2"/>
      <c r="T37" s="7">
        <v>6973.81</v>
      </c>
      <c r="U37" s="2"/>
      <c r="V37" s="6">
        <f t="shared" si="20"/>
        <v>1.0181664710217345E-3</v>
      </c>
      <c r="W37" s="2"/>
      <c r="X37" s="7">
        <f t="shared" si="21"/>
        <v>-6973.81</v>
      </c>
      <c r="Y37" s="2"/>
      <c r="Z37" s="6">
        <f t="shared" si="22"/>
        <v>-1</v>
      </c>
    </row>
    <row r="38" spans="1:26" s="24" customFormat="1" hidden="1" outlineLevel="2" x14ac:dyDescent="0.35">
      <c r="A38" s="27"/>
      <c r="B38" s="11" t="str">
        <f>CONCATENATE("          ", "6115", " - ", "P.E.R.S.")</f>
        <v xml:space="preserve">          6115 - P.E.R.S.</v>
      </c>
      <c r="C38" s="11"/>
      <c r="D38" s="7">
        <v>3064.65</v>
      </c>
      <c r="E38" s="2"/>
      <c r="F38" s="6">
        <f t="shared" si="15"/>
        <v>0</v>
      </c>
      <c r="G38" s="2"/>
      <c r="H38" s="7"/>
      <c r="I38" s="2"/>
      <c r="J38" s="6">
        <f t="shared" si="16"/>
        <v>0</v>
      </c>
      <c r="K38" s="2"/>
      <c r="L38" s="7">
        <f t="shared" si="17"/>
        <v>3064.65</v>
      </c>
      <c r="M38" s="2"/>
      <c r="N38" s="6">
        <f t="shared" si="18"/>
        <v>0</v>
      </c>
      <c r="O38" s="11"/>
      <c r="P38" s="7">
        <v>78997.83</v>
      </c>
      <c r="Q38" s="2"/>
      <c r="R38" s="6">
        <f t="shared" si="19"/>
        <v>1.7100791380340957E-2</v>
      </c>
      <c r="S38" s="2"/>
      <c r="T38" s="7">
        <v>76237.14</v>
      </c>
      <c r="U38" s="2"/>
      <c r="V38" s="6">
        <f t="shared" si="20"/>
        <v>1.1130515427662914E-2</v>
      </c>
      <c r="W38" s="2"/>
      <c r="X38" s="7">
        <f t="shared" si="21"/>
        <v>2760.6900000000023</v>
      </c>
      <c r="Y38" s="2"/>
      <c r="Z38" s="6">
        <f t="shared" si="22"/>
        <v>3.6211877832772875E-2</v>
      </c>
    </row>
    <row r="39" spans="1:26" s="24" customFormat="1" hidden="1" outlineLevel="2" x14ac:dyDescent="0.35">
      <c r="A39" s="27"/>
      <c r="B39" s="11" t="str">
        <f>CONCATENATE("          ", "6117", " - ", "RETIREMENT STAFF HOURLY")</f>
        <v xml:space="preserve">          6117 - RETIREMENT STAFF HOURLY</v>
      </c>
      <c r="C39" s="11"/>
      <c r="D39" s="7"/>
      <c r="E39" s="2"/>
      <c r="F39" s="6">
        <f t="shared" si="15"/>
        <v>0</v>
      </c>
      <c r="G39" s="2"/>
      <c r="H39" s="7">
        <v>56</v>
      </c>
      <c r="I39" s="2"/>
      <c r="J39" s="6">
        <f t="shared" si="16"/>
        <v>3.4931858859570873E-4</v>
      </c>
      <c r="K39" s="2"/>
      <c r="L39" s="7">
        <f t="shared" si="17"/>
        <v>-56</v>
      </c>
      <c r="M39" s="2"/>
      <c r="N39" s="6">
        <f t="shared" si="18"/>
        <v>-1</v>
      </c>
      <c r="O39" s="11"/>
      <c r="P39" s="7">
        <v>1352.45</v>
      </c>
      <c r="Q39" s="2"/>
      <c r="R39" s="6">
        <f t="shared" si="19"/>
        <v>2.9276709629039339E-4</v>
      </c>
      <c r="S39" s="2"/>
      <c r="T39" s="7">
        <v>728</v>
      </c>
      <c r="U39" s="2"/>
      <c r="V39" s="6">
        <f t="shared" si="20"/>
        <v>1.0628697812298051E-4</v>
      </c>
      <c r="W39" s="2"/>
      <c r="X39" s="7">
        <f t="shared" si="21"/>
        <v>624.45000000000005</v>
      </c>
      <c r="Y39" s="2"/>
      <c r="Z39" s="6">
        <f t="shared" si="22"/>
        <v>0.85776098901098907</v>
      </c>
    </row>
    <row r="40" spans="1:26" s="24" customFormat="1" hidden="1" outlineLevel="2" x14ac:dyDescent="0.35">
      <c r="A40" s="27"/>
      <c r="B40" s="11" t="str">
        <f>CONCATENATE("          ", "6118", " - ", "VACATION")</f>
        <v xml:space="preserve">          6118 - VACATION</v>
      </c>
      <c r="C40" s="11"/>
      <c r="D40" s="7">
        <v>2558.84</v>
      </c>
      <c r="E40" s="2"/>
      <c r="F40" s="6">
        <f t="shared" si="15"/>
        <v>0</v>
      </c>
      <c r="G40" s="2"/>
      <c r="H40" s="7">
        <v>4585.74</v>
      </c>
      <c r="I40" s="2"/>
      <c r="J40" s="6">
        <f t="shared" si="16"/>
        <v>2.8605075436908666E-2</v>
      </c>
      <c r="K40" s="2"/>
      <c r="L40" s="7">
        <f t="shared" si="17"/>
        <v>-2026.8999999999996</v>
      </c>
      <c r="M40" s="2"/>
      <c r="N40" s="6">
        <f t="shared" si="18"/>
        <v>-0.44200063675655393</v>
      </c>
      <c r="O40" s="11"/>
      <c r="P40" s="7">
        <v>78006.8</v>
      </c>
      <c r="Q40" s="2"/>
      <c r="R40" s="6">
        <f t="shared" si="19"/>
        <v>1.6886261471333847E-2</v>
      </c>
      <c r="S40" s="2"/>
      <c r="T40" s="7">
        <v>71164.930000000008</v>
      </c>
      <c r="U40" s="2"/>
      <c r="V40" s="6">
        <f t="shared" si="20"/>
        <v>1.0389979887408571E-2</v>
      </c>
      <c r="W40" s="2"/>
      <c r="X40" s="7">
        <f t="shared" si="21"/>
        <v>6841.8699999999953</v>
      </c>
      <c r="Y40" s="2"/>
      <c r="Z40" s="6">
        <f t="shared" si="22"/>
        <v>9.6141034636020778E-2</v>
      </c>
    </row>
    <row r="41" spans="1:26" s="24" customFormat="1" hidden="1" outlineLevel="2" x14ac:dyDescent="0.35">
      <c r="A41" s="27"/>
      <c r="B41" s="11" t="str">
        <f>CONCATENATE("          ", "6119", " - ", "SICK LEAVE")</f>
        <v xml:space="preserve">          6119 - SICK LEAVE</v>
      </c>
      <c r="C41" s="11"/>
      <c r="D41" s="7">
        <v>1655.82</v>
      </c>
      <c r="E41" s="2"/>
      <c r="F41" s="6">
        <f t="shared" si="15"/>
        <v>0</v>
      </c>
      <c r="G41" s="2"/>
      <c r="H41" s="7">
        <v>3928.66</v>
      </c>
      <c r="I41" s="2"/>
      <c r="J41" s="6">
        <f t="shared" si="16"/>
        <v>2.450632082629316E-2</v>
      </c>
      <c r="K41" s="2"/>
      <c r="L41" s="7">
        <f t="shared" si="17"/>
        <v>-2272.84</v>
      </c>
      <c r="M41" s="2"/>
      <c r="N41" s="6">
        <f t="shared" si="18"/>
        <v>-0.57852804773128752</v>
      </c>
      <c r="O41" s="11"/>
      <c r="P41" s="7">
        <v>-6285.35</v>
      </c>
      <c r="Q41" s="2"/>
      <c r="R41" s="6">
        <f t="shared" si="19"/>
        <v>-1.3606001468955038E-3</v>
      </c>
      <c r="S41" s="2"/>
      <c r="T41" s="7">
        <v>55311.420000000006</v>
      </c>
      <c r="U41" s="2"/>
      <c r="V41" s="6">
        <f t="shared" si="20"/>
        <v>8.0753896806194884E-3</v>
      </c>
      <c r="W41" s="2"/>
      <c r="X41" s="7">
        <f t="shared" si="21"/>
        <v>-61596.770000000004</v>
      </c>
      <c r="Y41" s="2"/>
      <c r="Z41" s="6">
        <f t="shared" si="22"/>
        <v>-1.1136356651121957</v>
      </c>
    </row>
    <row r="42" spans="1:26" s="24" customFormat="1" hidden="1" outlineLevel="2" x14ac:dyDescent="0.35">
      <c r="A42" s="27"/>
      <c r="B42" s="11" t="str">
        <f>CONCATENATE("          ", "6156", " - ", "EMPLOYEE MEALS")</f>
        <v xml:space="preserve">          6156 - EMPLOYEE MEALS</v>
      </c>
      <c r="C42" s="11"/>
      <c r="D42" s="7">
        <v>657.82</v>
      </c>
      <c r="E42" s="2"/>
      <c r="F42" s="6">
        <f t="shared" si="15"/>
        <v>0</v>
      </c>
      <c r="G42" s="2"/>
      <c r="H42" s="7">
        <v>2291.2399999999998</v>
      </c>
      <c r="I42" s="2"/>
      <c r="J42" s="6">
        <f t="shared" si="16"/>
        <v>1.4292370052393422E-2</v>
      </c>
      <c r="K42" s="2"/>
      <c r="L42" s="7">
        <f t="shared" si="17"/>
        <v>-1633.4199999999996</v>
      </c>
      <c r="M42" s="2"/>
      <c r="N42" s="6">
        <f t="shared" si="18"/>
        <v>-0.71289781952130715</v>
      </c>
      <c r="O42" s="11"/>
      <c r="P42" s="7">
        <v>26654.34</v>
      </c>
      <c r="Q42" s="2"/>
      <c r="R42" s="6">
        <f t="shared" si="19"/>
        <v>5.7699092205529849E-3</v>
      </c>
      <c r="S42" s="2"/>
      <c r="T42" s="7">
        <v>31960.769999999997</v>
      </c>
      <c r="U42" s="2"/>
      <c r="V42" s="6">
        <f t="shared" si="20"/>
        <v>4.6662275573950704E-3</v>
      </c>
      <c r="W42" s="2"/>
      <c r="X42" s="7">
        <f t="shared" si="21"/>
        <v>-5306.4299999999967</v>
      </c>
      <c r="Y42" s="2"/>
      <c r="Z42" s="6">
        <f t="shared" si="22"/>
        <v>-0.16602947926473602</v>
      </c>
    </row>
    <row r="43" spans="1:26" s="25" customFormat="1" outlineLevel="1" collapsed="1" x14ac:dyDescent="0.35">
      <c r="A43" s="26"/>
      <c r="B43" s="12" t="str">
        <f>CONCATENATE("     ","*Payroll                                          ")</f>
        <v xml:space="preserve">     *Payroll                                          </v>
      </c>
      <c r="C43" s="12"/>
      <c r="D43" s="1">
        <f>SUM(OSRRefD22_1x_0)</f>
        <v>30621.22</v>
      </c>
      <c r="E43" s="1"/>
      <c r="F43" s="5">
        <f t="shared" ref="F43:F50" si="23">IF(D$12=0,0,D43/D$12)</f>
        <v>0</v>
      </c>
      <c r="G43" s="1"/>
      <c r="H43" s="1">
        <f>SUM(OSRRefH22_1x_0)</f>
        <v>131398.18</v>
      </c>
      <c r="I43" s="1"/>
      <c r="J43" s="5">
        <f t="shared" ref="J43:J50" si="24">IF(H$12=0,0,H43/H$12)</f>
        <v>0.81963976395794436</v>
      </c>
      <c r="K43" s="1"/>
      <c r="L43" s="1">
        <f t="shared" ref="L43:L50" si="25">+D43-H43</f>
        <v>-100776.95999999999</v>
      </c>
      <c r="M43" s="1"/>
      <c r="N43" s="5">
        <f t="shared" ref="N43:N50" si="26">IF(H43=0,0,L43/H43)</f>
        <v>-0.7669585682236999</v>
      </c>
      <c r="O43" s="12"/>
      <c r="P43" s="1">
        <f>SUM(OSRRefP22_1x_0)</f>
        <v>2164366.9900000002</v>
      </c>
      <c r="Q43" s="1"/>
      <c r="R43" s="5">
        <f t="shared" ref="R43:R50" si="27">IF(P$12=0,0,P43/P$12)</f>
        <v>0.46852411473184141</v>
      </c>
      <c r="S43" s="1"/>
      <c r="T43" s="1">
        <f>SUM(OSRRefT22_1x_0)</f>
        <v>2481621.9499999997</v>
      </c>
      <c r="U43" s="1"/>
      <c r="V43" s="5">
        <f t="shared" ref="V43:V50" si="28">IF(T$12=0,0,T43/T$12)</f>
        <v>0.36231332130378874</v>
      </c>
      <c r="W43" s="1"/>
      <c r="X43" s="1">
        <f t="shared" ref="X43:X50" si="29">+P43-T43</f>
        <v>-317254.9599999995</v>
      </c>
      <c r="Y43" s="1"/>
      <c r="Z43" s="5">
        <f t="shared" ref="Z43:Z50" si="30">IF(T43=0,0,X43/T43)</f>
        <v>-0.12784177702812449</v>
      </c>
    </row>
    <row r="44" spans="1:26" s="24" customFormat="1" hidden="1" outlineLevel="2" x14ac:dyDescent="0.35">
      <c r="A44" s="27"/>
      <c r="B44" s="11" t="str">
        <f>CONCATENATE("          ", "6001", " - ", "ADMINISTRATIVE SALARIES")</f>
        <v xml:space="preserve">          6001 - ADMINISTRATIVE SALARIES</v>
      </c>
      <c r="C44" s="11"/>
      <c r="D44" s="7">
        <v>7748.5</v>
      </c>
      <c r="E44" s="2"/>
      <c r="F44" s="6">
        <f t="shared" si="23"/>
        <v>0</v>
      </c>
      <c r="G44" s="2"/>
      <c r="H44" s="7">
        <v>17438.88</v>
      </c>
      <c r="I44" s="2"/>
      <c r="J44" s="6">
        <f t="shared" si="24"/>
        <v>0.10878080264803452</v>
      </c>
      <c r="K44" s="2"/>
      <c r="L44" s="7">
        <f t="shared" si="25"/>
        <v>-9690.380000000001</v>
      </c>
      <c r="M44" s="2"/>
      <c r="N44" s="6">
        <f t="shared" si="26"/>
        <v>-0.5556767407081189</v>
      </c>
      <c r="O44" s="11"/>
      <c r="P44" s="7">
        <v>187186.24</v>
      </c>
      <c r="Q44" s="2"/>
      <c r="R44" s="6">
        <f t="shared" si="27"/>
        <v>4.0520516063674579E-2</v>
      </c>
      <c r="S44" s="2"/>
      <c r="T44" s="7">
        <v>204636.1</v>
      </c>
      <c r="U44" s="2"/>
      <c r="V44" s="6">
        <f t="shared" si="28"/>
        <v>2.9876583356967103E-2</v>
      </c>
      <c r="W44" s="2"/>
      <c r="X44" s="7">
        <f t="shared" si="29"/>
        <v>-17449.860000000015</v>
      </c>
      <c r="Y44" s="2"/>
      <c r="Z44" s="6">
        <f t="shared" si="30"/>
        <v>-8.5272637623566974E-2</v>
      </c>
    </row>
    <row r="45" spans="1:26" s="24" customFormat="1" hidden="1" outlineLevel="2" x14ac:dyDescent="0.35">
      <c r="A45" s="27"/>
      <c r="B45" s="11" t="str">
        <f>CONCATENATE("          ", "6002", " - ", "STAFF SALARIES")</f>
        <v xml:space="preserve">          6002 - STAFF SALARIES</v>
      </c>
      <c r="C45" s="11"/>
      <c r="D45" s="7">
        <v>22872.720000000001</v>
      </c>
      <c r="E45" s="2"/>
      <c r="F45" s="6">
        <f t="shared" si="23"/>
        <v>0</v>
      </c>
      <c r="G45" s="2"/>
      <c r="H45" s="7">
        <v>44588.060000000005</v>
      </c>
      <c r="I45" s="2"/>
      <c r="J45" s="6">
        <f t="shared" si="24"/>
        <v>0.27813282477537105</v>
      </c>
      <c r="K45" s="2"/>
      <c r="L45" s="7">
        <f t="shared" si="25"/>
        <v>-21715.340000000004</v>
      </c>
      <c r="M45" s="2"/>
      <c r="N45" s="6">
        <f t="shared" si="26"/>
        <v>-0.48702141335595228</v>
      </c>
      <c r="O45" s="11"/>
      <c r="P45" s="7">
        <v>626772.43999999994</v>
      </c>
      <c r="Q45" s="2"/>
      <c r="R45" s="6">
        <f t="shared" si="27"/>
        <v>0.13567847040086126</v>
      </c>
      <c r="S45" s="2"/>
      <c r="T45" s="7">
        <v>695002.78999999992</v>
      </c>
      <c r="U45" s="2"/>
      <c r="V45" s="6">
        <f t="shared" si="28"/>
        <v>0.10146943178041265</v>
      </c>
      <c r="W45" s="2"/>
      <c r="X45" s="7">
        <f t="shared" si="29"/>
        <v>-68230.349999999977</v>
      </c>
      <c r="Y45" s="2"/>
      <c r="Z45" s="6">
        <f t="shared" si="30"/>
        <v>-9.8172771363982558E-2</v>
      </c>
    </row>
    <row r="46" spans="1:26" s="24" customFormat="1" hidden="1" outlineLevel="2" x14ac:dyDescent="0.35">
      <c r="A46" s="27"/>
      <c r="B46" s="11" t="str">
        <f>CONCATENATE("          ", "6004", " - ", "STAFF HOURLY")</f>
        <v xml:space="preserve">          6004 - STAFF HOURLY</v>
      </c>
      <c r="C46" s="11"/>
      <c r="D46" s="7"/>
      <c r="E46" s="2"/>
      <c r="F46" s="6">
        <f t="shared" si="23"/>
        <v>0</v>
      </c>
      <c r="G46" s="2"/>
      <c r="H46" s="7">
        <v>14664.86</v>
      </c>
      <c r="I46" s="2"/>
      <c r="J46" s="6">
        <f t="shared" si="24"/>
        <v>9.1476932092029742E-2</v>
      </c>
      <c r="K46" s="2"/>
      <c r="L46" s="7">
        <f t="shared" si="25"/>
        <v>-14664.86</v>
      </c>
      <c r="M46" s="2"/>
      <c r="N46" s="6">
        <f t="shared" si="26"/>
        <v>-1</v>
      </c>
      <c r="O46" s="11"/>
      <c r="P46" s="7">
        <v>221154.82</v>
      </c>
      <c r="Q46" s="2"/>
      <c r="R46" s="6">
        <f t="shared" si="27"/>
        <v>4.7873750957170037E-2</v>
      </c>
      <c r="S46" s="2"/>
      <c r="T46" s="7">
        <v>171890.18000000002</v>
      </c>
      <c r="U46" s="2"/>
      <c r="V46" s="6">
        <f t="shared" si="28"/>
        <v>2.5095725001669209E-2</v>
      </c>
      <c r="W46" s="2"/>
      <c r="X46" s="7">
        <f t="shared" si="29"/>
        <v>49264.639999999985</v>
      </c>
      <c r="Y46" s="2"/>
      <c r="Z46" s="6">
        <f t="shared" si="30"/>
        <v>0.28660531974543269</v>
      </c>
    </row>
    <row r="47" spans="1:26" s="24" customFormat="1" hidden="1" outlineLevel="2" x14ac:dyDescent="0.35">
      <c r="A47" s="27"/>
      <c r="B47" s="11" t="str">
        <f>CONCATENATE("          ", "6005", " - ", "TEMPORARY WAGES-HOURLY")</f>
        <v xml:space="preserve">          6005 - TEMPORARY WAGES-HOURLY</v>
      </c>
      <c r="C47" s="11"/>
      <c r="D47" s="7"/>
      <c r="E47" s="2"/>
      <c r="F47" s="6">
        <f t="shared" si="23"/>
        <v>0</v>
      </c>
      <c r="G47" s="2"/>
      <c r="H47" s="7">
        <v>30844.05</v>
      </c>
      <c r="I47" s="2"/>
      <c r="J47" s="6">
        <f t="shared" si="24"/>
        <v>0.19240000022456197</v>
      </c>
      <c r="K47" s="2"/>
      <c r="L47" s="7">
        <f t="shared" si="25"/>
        <v>-30844.05</v>
      </c>
      <c r="M47" s="2"/>
      <c r="N47" s="6">
        <f t="shared" si="26"/>
        <v>-1</v>
      </c>
      <c r="O47" s="11"/>
      <c r="P47" s="7">
        <v>437740.4</v>
      </c>
      <c r="Q47" s="2"/>
      <c r="R47" s="6">
        <f t="shared" si="27"/>
        <v>9.4758390947536186E-2</v>
      </c>
      <c r="S47" s="2"/>
      <c r="T47" s="7">
        <v>495107.42</v>
      </c>
      <c r="U47" s="2"/>
      <c r="V47" s="6">
        <f t="shared" si="28"/>
        <v>7.2284988348990831E-2</v>
      </c>
      <c r="W47" s="2"/>
      <c r="X47" s="7">
        <f t="shared" si="29"/>
        <v>-57367.01999999996</v>
      </c>
      <c r="Y47" s="2"/>
      <c r="Z47" s="6">
        <f t="shared" si="30"/>
        <v>-0.11586782520851729</v>
      </c>
    </row>
    <row r="48" spans="1:26" s="24" customFormat="1" hidden="1" outlineLevel="2" x14ac:dyDescent="0.35">
      <c r="A48" s="27"/>
      <c r="B48" s="11" t="str">
        <f>CONCATENATE("          ", "6006", " - ", "TEMPORARY PART TIME")</f>
        <v xml:space="preserve">          6006 - TEMPORARY PART TIME</v>
      </c>
      <c r="C48" s="11"/>
      <c r="D48" s="7"/>
      <c r="E48" s="2"/>
      <c r="F48" s="6">
        <f t="shared" si="23"/>
        <v>0</v>
      </c>
      <c r="G48" s="2"/>
      <c r="H48" s="7">
        <v>3961.89</v>
      </c>
      <c r="I48" s="2"/>
      <c r="J48" s="6">
        <f t="shared" si="24"/>
        <v>2.4713603981633081E-2</v>
      </c>
      <c r="K48" s="2"/>
      <c r="L48" s="7">
        <f t="shared" si="25"/>
        <v>-3961.89</v>
      </c>
      <c r="M48" s="2"/>
      <c r="N48" s="6">
        <f t="shared" si="26"/>
        <v>-1</v>
      </c>
      <c r="O48" s="11"/>
      <c r="P48" s="7">
        <v>11826.56</v>
      </c>
      <c r="Q48" s="2"/>
      <c r="R48" s="6">
        <f t="shared" si="27"/>
        <v>2.5601150728708009E-3</v>
      </c>
      <c r="S48" s="2"/>
      <c r="T48" s="7">
        <v>20289.099999999999</v>
      </c>
      <c r="U48" s="2"/>
      <c r="V48" s="6">
        <f t="shared" si="28"/>
        <v>2.9621801206524225E-3</v>
      </c>
      <c r="W48" s="2"/>
      <c r="X48" s="7">
        <f t="shared" si="29"/>
        <v>-8462.5399999999991</v>
      </c>
      <c r="Y48" s="2"/>
      <c r="Z48" s="6">
        <f t="shared" si="30"/>
        <v>-0.41709785057001048</v>
      </c>
    </row>
    <row r="49" spans="1:26" s="24" customFormat="1" hidden="1" outlineLevel="2" x14ac:dyDescent="0.35">
      <c r="A49" s="27"/>
      <c r="B49" s="11" t="str">
        <f>CONCATENATE("          ", "6007", " - ", "STUDENT HOURLY")</f>
        <v xml:space="preserve">          6007 - STUDENT HOURLY</v>
      </c>
      <c r="C49" s="11"/>
      <c r="D49" s="7"/>
      <c r="E49" s="2"/>
      <c r="F49" s="6">
        <f t="shared" si="23"/>
        <v>0</v>
      </c>
      <c r="G49" s="2"/>
      <c r="H49" s="7">
        <v>18714.32</v>
      </c>
      <c r="I49" s="2"/>
      <c r="J49" s="6">
        <f t="shared" si="24"/>
        <v>0.11673678301657936</v>
      </c>
      <c r="K49" s="2"/>
      <c r="L49" s="7">
        <f t="shared" si="25"/>
        <v>-18714.32</v>
      </c>
      <c r="M49" s="2"/>
      <c r="N49" s="6">
        <f t="shared" si="26"/>
        <v>-1</v>
      </c>
      <c r="O49" s="11"/>
      <c r="P49" s="7">
        <v>643229.24</v>
      </c>
      <c r="Q49" s="2"/>
      <c r="R49" s="6">
        <f t="shared" si="27"/>
        <v>0.13924090121178348</v>
      </c>
      <c r="S49" s="2"/>
      <c r="T49" s="7">
        <v>826669.67</v>
      </c>
      <c r="U49" s="2"/>
      <c r="V49" s="6">
        <f t="shared" si="28"/>
        <v>0.12069261144261198</v>
      </c>
      <c r="W49" s="2"/>
      <c r="X49" s="7">
        <f t="shared" si="29"/>
        <v>-183440.43000000005</v>
      </c>
      <c r="Y49" s="2"/>
      <c r="Z49" s="6">
        <f t="shared" si="30"/>
        <v>-0.22190293978004544</v>
      </c>
    </row>
    <row r="50" spans="1:26" s="24" customFormat="1" hidden="1" outlineLevel="2" x14ac:dyDescent="0.35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7"/>
      <c r="E50" s="2"/>
      <c r="F50" s="6">
        <f t="shared" si="23"/>
        <v>0</v>
      </c>
      <c r="G50" s="2"/>
      <c r="H50" s="7">
        <v>1186.1199999999999</v>
      </c>
      <c r="I50" s="2"/>
      <c r="J50" s="6">
        <f t="shared" si="24"/>
        <v>7.3988172197346786E-3</v>
      </c>
      <c r="K50" s="2"/>
      <c r="L50" s="7">
        <f t="shared" si="25"/>
        <v>-1186.1199999999999</v>
      </c>
      <c r="M50" s="2"/>
      <c r="N50" s="6">
        <f t="shared" si="26"/>
        <v>-1</v>
      </c>
      <c r="O50" s="11"/>
      <c r="P50" s="7">
        <v>36457.29</v>
      </c>
      <c r="Q50" s="2"/>
      <c r="R50" s="6">
        <f t="shared" si="27"/>
        <v>7.89197007794506E-3</v>
      </c>
      <c r="S50" s="2"/>
      <c r="T50" s="7">
        <v>68026.69</v>
      </c>
      <c r="U50" s="2"/>
      <c r="V50" s="6">
        <f t="shared" si="28"/>
        <v>9.9318012524845841E-3</v>
      </c>
      <c r="W50" s="2"/>
      <c r="X50" s="7">
        <f t="shared" si="29"/>
        <v>-31569.4</v>
      </c>
      <c r="Y50" s="2"/>
      <c r="Z50" s="6">
        <f t="shared" si="30"/>
        <v>-0.46407373341257674</v>
      </c>
    </row>
    <row r="51" spans="1:26" s="25" customFormat="1" outlineLevel="1" collapsed="1" x14ac:dyDescent="0.35">
      <c r="A51" s="26"/>
      <c r="B51" s="12" t="str">
        <f>CONCATENATE("     ","Advertising/Promo                                 ")</f>
        <v xml:space="preserve">     Advertising/Promo                                 </v>
      </c>
      <c r="C51" s="12"/>
      <c r="D51" s="1">
        <f>SUM(OSRRefD22_2x_0)</f>
        <v>0</v>
      </c>
      <c r="E51" s="1"/>
      <c r="F51" s="5">
        <f t="shared" ref="F51:F60" si="31">IF(D$12=0,0,D51/D$12)</f>
        <v>0</v>
      </c>
      <c r="G51" s="1"/>
      <c r="H51" s="1">
        <f>SUM(OSRRefH22_2x_0)</f>
        <v>7114.83</v>
      </c>
      <c r="I51" s="1"/>
      <c r="J51" s="5">
        <f t="shared" ref="J51:J60" si="32">IF(H$12=0,0,H51/H$12)</f>
        <v>4.4381113816042969E-2</v>
      </c>
      <c r="K51" s="1"/>
      <c r="L51" s="1">
        <f t="shared" ref="L51:L60" si="33">+D51-H51</f>
        <v>-7114.83</v>
      </c>
      <c r="M51" s="1"/>
      <c r="N51" s="5">
        <f t="shared" ref="N51:N60" si="34">IF(H51=0,0,L51/H51)</f>
        <v>-1</v>
      </c>
      <c r="O51" s="12"/>
      <c r="P51" s="1">
        <f>SUM(OSRRefP22_2x_0)</f>
        <v>28503.73</v>
      </c>
      <c r="Q51" s="1"/>
      <c r="R51" s="5">
        <f t="shared" ref="R51:R60" si="35">IF(P$12=0,0,P51/P$12)</f>
        <v>6.1702497434621426E-3</v>
      </c>
      <c r="S51" s="1"/>
      <c r="T51" s="1">
        <f>SUM(OSRRefT22_2x_0)</f>
        <v>41508.950000000004</v>
      </c>
      <c r="U51" s="1"/>
      <c r="V51" s="5">
        <f t="shared" ref="V51:V60" si="36">IF(T$12=0,0,T51/T$12)</f>
        <v>6.0602484348322699E-3</v>
      </c>
      <c r="W51" s="1"/>
      <c r="X51" s="1">
        <f t="shared" ref="X51:X60" si="37">+P51-T51</f>
        <v>-13005.220000000005</v>
      </c>
      <c r="Y51" s="1"/>
      <c r="Z51" s="5">
        <f t="shared" ref="Z51:Z60" si="38">IF(T51=0,0,X51/T51)</f>
        <v>-0.31331122565133551</v>
      </c>
    </row>
    <row r="52" spans="1:26" s="24" customFormat="1" hidden="1" outlineLevel="2" x14ac:dyDescent="0.35">
      <c r="A52" s="27"/>
      <c r="B52" s="11" t="str">
        <f>CONCATENATE("          ", "6362", " - ", "ADVERTISING EXPENSE")</f>
        <v xml:space="preserve">          6362 - ADVERTISING EXPENSE</v>
      </c>
      <c r="C52" s="11"/>
      <c r="D52" s="7"/>
      <c r="E52" s="2"/>
      <c r="F52" s="6">
        <f t="shared" si="31"/>
        <v>0</v>
      </c>
      <c r="G52" s="2"/>
      <c r="H52" s="7">
        <v>7114.83</v>
      </c>
      <c r="I52" s="2"/>
      <c r="J52" s="6">
        <f t="shared" si="32"/>
        <v>4.4381113816042969E-2</v>
      </c>
      <c r="K52" s="2"/>
      <c r="L52" s="7">
        <f t="shared" si="33"/>
        <v>-7114.83</v>
      </c>
      <c r="M52" s="2"/>
      <c r="N52" s="6">
        <f t="shared" si="34"/>
        <v>-1</v>
      </c>
      <c r="O52" s="11"/>
      <c r="P52" s="7">
        <v>28503.73</v>
      </c>
      <c r="Q52" s="2"/>
      <c r="R52" s="6">
        <f t="shared" si="35"/>
        <v>6.1702497434621426E-3</v>
      </c>
      <c r="S52" s="2"/>
      <c r="T52" s="7">
        <v>41508.950000000004</v>
      </c>
      <c r="U52" s="2"/>
      <c r="V52" s="6">
        <f t="shared" si="36"/>
        <v>6.0602484348322699E-3</v>
      </c>
      <c r="W52" s="2"/>
      <c r="X52" s="7">
        <f t="shared" si="37"/>
        <v>-13005.220000000005</v>
      </c>
      <c r="Y52" s="2"/>
      <c r="Z52" s="6">
        <f t="shared" si="38"/>
        <v>-0.31331122565133551</v>
      </c>
    </row>
    <row r="53" spans="1:26" s="25" customFormat="1" outlineLevel="1" collapsed="1" x14ac:dyDescent="0.35">
      <c r="A53" s="26"/>
      <c r="B53" s="12" t="str">
        <f>CONCATENATE("     ","Bad Debts/Over/Short                              ")</f>
        <v xml:space="preserve">     Bad Debts/Over/Short                              </v>
      </c>
      <c r="C53" s="12"/>
      <c r="D53" s="1">
        <f>SUM(OSRRefD22_3x_0)</f>
        <v>0</v>
      </c>
      <c r="E53" s="1"/>
      <c r="F53" s="5">
        <f t="shared" si="31"/>
        <v>0</v>
      </c>
      <c r="G53" s="1"/>
      <c r="H53" s="1">
        <f>SUM(OSRRefH22_3x_0)</f>
        <v>6873.45</v>
      </c>
      <c r="I53" s="1"/>
      <c r="J53" s="5">
        <f t="shared" si="32"/>
        <v>4.287542594255668E-2</v>
      </c>
      <c r="K53" s="1"/>
      <c r="L53" s="1">
        <f t="shared" si="33"/>
        <v>-6873.45</v>
      </c>
      <c r="M53" s="1"/>
      <c r="N53" s="5">
        <f t="shared" si="34"/>
        <v>-1</v>
      </c>
      <c r="O53" s="12"/>
      <c r="P53" s="1">
        <f>SUM(OSRRefP22_3x_0)</f>
        <v>-260.64999999999998</v>
      </c>
      <c r="Q53" s="1"/>
      <c r="R53" s="5">
        <f t="shared" si="35"/>
        <v>-5.6423338125691175E-5</v>
      </c>
      <c r="S53" s="1"/>
      <c r="T53" s="1">
        <f>SUM(OSRRefT22_3x_0)</f>
        <v>8198.16</v>
      </c>
      <c r="U53" s="1"/>
      <c r="V53" s="5">
        <f t="shared" si="36"/>
        <v>1.1969198524295246E-3</v>
      </c>
      <c r="W53" s="1"/>
      <c r="X53" s="1">
        <f t="shared" si="37"/>
        <v>-8458.81</v>
      </c>
      <c r="Y53" s="1"/>
      <c r="Z53" s="5">
        <f t="shared" si="38"/>
        <v>-1.0317937195663416</v>
      </c>
    </row>
    <row r="54" spans="1:26" s="24" customFormat="1" hidden="1" outlineLevel="2" x14ac:dyDescent="0.35">
      <c r="A54" s="27"/>
      <c r="B54" s="11" t="str">
        <f>CONCATENATE("          ", "6272", " - ", "CASH (OVER/SHORT)")</f>
        <v xml:space="preserve">          6272 - CASH (OVER/SHORT)</v>
      </c>
      <c r="C54" s="11"/>
      <c r="D54" s="7"/>
      <c r="E54" s="2"/>
      <c r="F54" s="6">
        <f t="shared" si="31"/>
        <v>0</v>
      </c>
      <c r="G54" s="2"/>
      <c r="H54" s="7">
        <v>6873.45</v>
      </c>
      <c r="I54" s="2"/>
      <c r="J54" s="6">
        <f t="shared" si="32"/>
        <v>4.287542594255668E-2</v>
      </c>
      <c r="K54" s="2"/>
      <c r="L54" s="7">
        <f t="shared" si="33"/>
        <v>-6873.45</v>
      </c>
      <c r="M54" s="2"/>
      <c r="N54" s="6">
        <f t="shared" si="34"/>
        <v>-1</v>
      </c>
      <c r="O54" s="11"/>
      <c r="P54" s="7">
        <v>-260.64999999999998</v>
      </c>
      <c r="Q54" s="2"/>
      <c r="R54" s="6">
        <f t="shared" si="35"/>
        <v>-5.6423338125691175E-5</v>
      </c>
      <c r="S54" s="2"/>
      <c r="T54" s="7">
        <v>8198.16</v>
      </c>
      <c r="U54" s="2"/>
      <c r="V54" s="6">
        <f t="shared" si="36"/>
        <v>1.1969198524295246E-3</v>
      </c>
      <c r="W54" s="2"/>
      <c r="X54" s="7">
        <f t="shared" si="37"/>
        <v>-8458.81</v>
      </c>
      <c r="Y54" s="2"/>
      <c r="Z54" s="6">
        <f t="shared" si="38"/>
        <v>-1.0317937195663416</v>
      </c>
    </row>
    <row r="55" spans="1:26" s="25" customFormat="1" outlineLevel="1" collapsed="1" x14ac:dyDescent="0.35">
      <c r="A55" s="26"/>
      <c r="B55" s="12" t="str">
        <f>CONCATENATE("     ","Bank/card Fees                                    ")</f>
        <v xml:space="preserve">     Bank/card Fees                                    </v>
      </c>
      <c r="C55" s="12"/>
      <c r="D55" s="1">
        <f>SUM(OSRRefD22_4x_0)</f>
        <v>279.08999999999997</v>
      </c>
      <c r="E55" s="1"/>
      <c r="F55" s="5">
        <f t="shared" si="31"/>
        <v>0</v>
      </c>
      <c r="G55" s="1"/>
      <c r="H55" s="1">
        <f>SUM(OSRRefH22_4x_0)</f>
        <v>7939.71</v>
      </c>
      <c r="I55" s="1"/>
      <c r="J55" s="5">
        <f t="shared" si="32"/>
        <v>4.9526576626057764E-2</v>
      </c>
      <c r="K55" s="1"/>
      <c r="L55" s="1">
        <f t="shared" si="33"/>
        <v>-7660.62</v>
      </c>
      <c r="M55" s="1"/>
      <c r="N55" s="5">
        <f t="shared" si="34"/>
        <v>-0.96484884208617194</v>
      </c>
      <c r="O55" s="12"/>
      <c r="P55" s="1">
        <f>SUM(OSRRefP22_4x_0)</f>
        <v>149623.62</v>
      </c>
      <c r="Q55" s="1"/>
      <c r="R55" s="5">
        <f t="shared" si="35"/>
        <v>3.2389273366007783E-2</v>
      </c>
      <c r="S55" s="1"/>
      <c r="T55" s="1">
        <f>SUM(OSRRefT22_4x_0)</f>
        <v>221991.89</v>
      </c>
      <c r="U55" s="1"/>
      <c r="V55" s="5">
        <f t="shared" si="36"/>
        <v>3.2410504335039968E-2</v>
      </c>
      <c r="W55" s="1"/>
      <c r="X55" s="1">
        <f t="shared" si="37"/>
        <v>-72368.270000000019</v>
      </c>
      <c r="Y55" s="1"/>
      <c r="Z55" s="5">
        <f t="shared" si="38"/>
        <v>-0.32599510729873965</v>
      </c>
    </row>
    <row r="56" spans="1:26" s="24" customFormat="1" hidden="1" outlineLevel="2" x14ac:dyDescent="0.35">
      <c r="A56" s="27"/>
      <c r="B56" s="11" t="str">
        <f>CONCATENATE("          ", "6381", " - ", "BANK/CREDIT CARD FEES")</f>
        <v xml:space="preserve">          6381 - BANK/CREDIT CARD FEES</v>
      </c>
      <c r="C56" s="11"/>
      <c r="D56" s="7">
        <v>279.08999999999997</v>
      </c>
      <c r="E56" s="2"/>
      <c r="F56" s="6">
        <f t="shared" si="31"/>
        <v>0</v>
      </c>
      <c r="G56" s="2"/>
      <c r="H56" s="7">
        <v>7939.71</v>
      </c>
      <c r="I56" s="2"/>
      <c r="J56" s="6">
        <f t="shared" si="32"/>
        <v>4.9526576626057764E-2</v>
      </c>
      <c r="K56" s="2"/>
      <c r="L56" s="7">
        <f t="shared" si="33"/>
        <v>-7660.62</v>
      </c>
      <c r="M56" s="2"/>
      <c r="N56" s="6">
        <f t="shared" si="34"/>
        <v>-0.96484884208617194</v>
      </c>
      <c r="O56" s="11"/>
      <c r="P56" s="7">
        <v>149623.62</v>
      </c>
      <c r="Q56" s="2"/>
      <c r="R56" s="6">
        <f t="shared" si="35"/>
        <v>3.2389273366007783E-2</v>
      </c>
      <c r="S56" s="2"/>
      <c r="T56" s="7">
        <v>221991.89</v>
      </c>
      <c r="U56" s="2"/>
      <c r="V56" s="6">
        <f t="shared" si="36"/>
        <v>3.2410504335039968E-2</v>
      </c>
      <c r="W56" s="2"/>
      <c r="X56" s="7">
        <f t="shared" si="37"/>
        <v>-72368.270000000019</v>
      </c>
      <c r="Y56" s="2"/>
      <c r="Z56" s="6">
        <f t="shared" si="38"/>
        <v>-0.32599510729873965</v>
      </c>
    </row>
    <row r="57" spans="1:26" s="25" customFormat="1" outlineLevel="1" collapsed="1" x14ac:dyDescent="0.35">
      <c r="A57" s="26"/>
      <c r="B57" s="12" t="str">
        <f>CONCATENATE("     ","Depreciation                                      ")</f>
        <v xml:space="preserve">     Depreciation                                      </v>
      </c>
      <c r="C57" s="12"/>
      <c r="D57" s="1">
        <f>SUM(OSRRefD22_5x_0)</f>
        <v>37737.599999999999</v>
      </c>
      <c r="E57" s="1"/>
      <c r="F57" s="5">
        <f t="shared" si="31"/>
        <v>0</v>
      </c>
      <c r="G57" s="1"/>
      <c r="H57" s="1">
        <f>SUM(OSRRefH22_5x_0)</f>
        <v>42180.59</v>
      </c>
      <c r="I57" s="1"/>
      <c r="J57" s="5">
        <f t="shared" si="32"/>
        <v>0.26311543151668332</v>
      </c>
      <c r="K57" s="1"/>
      <c r="L57" s="1">
        <f t="shared" si="33"/>
        <v>-4442.989999999998</v>
      </c>
      <c r="M57" s="1"/>
      <c r="N57" s="5">
        <f t="shared" si="34"/>
        <v>-0.10533257121344197</v>
      </c>
      <c r="O57" s="12"/>
      <c r="P57" s="1">
        <f>SUM(OSRRefP22_5x_0)</f>
        <v>477347.9</v>
      </c>
      <c r="Q57" s="1"/>
      <c r="R57" s="5">
        <f t="shared" si="35"/>
        <v>0.10333229221288556</v>
      </c>
      <c r="S57" s="1"/>
      <c r="T57" s="1">
        <f>SUM(OSRRefT22_5x_0)</f>
        <v>475304.2</v>
      </c>
      <c r="U57" s="1"/>
      <c r="V57" s="5">
        <f t="shared" si="36"/>
        <v>6.9393746026319716E-2</v>
      </c>
      <c r="W57" s="1"/>
      <c r="X57" s="1">
        <f t="shared" si="37"/>
        <v>2043.7000000000116</v>
      </c>
      <c r="Y57" s="1"/>
      <c r="Z57" s="5">
        <f t="shared" si="38"/>
        <v>4.2997726508623565E-3</v>
      </c>
    </row>
    <row r="58" spans="1:26" s="24" customFormat="1" hidden="1" outlineLevel="2" x14ac:dyDescent="0.35">
      <c r="A58" s="27"/>
      <c r="B58" s="11" t="str">
        <f>CONCATENATE("          ", "6321", " - ", "BUILDING DEPRECIATION")</f>
        <v xml:space="preserve">          6321 - BUILDING DEPRECIATION</v>
      </c>
      <c r="C58" s="11"/>
      <c r="D58" s="7">
        <v>24027.89</v>
      </c>
      <c r="E58" s="2"/>
      <c r="F58" s="6">
        <f t="shared" si="31"/>
        <v>0</v>
      </c>
      <c r="G58" s="2"/>
      <c r="H58" s="7">
        <v>26663.79</v>
      </c>
      <c r="I58" s="2"/>
      <c r="J58" s="6">
        <f t="shared" si="32"/>
        <v>0.16632424088236381</v>
      </c>
      <c r="K58" s="2"/>
      <c r="L58" s="7">
        <f t="shared" si="33"/>
        <v>-2635.9000000000015</v>
      </c>
      <c r="M58" s="2"/>
      <c r="N58" s="6">
        <f t="shared" si="34"/>
        <v>-9.8856914189618256E-2</v>
      </c>
      <c r="O58" s="11"/>
      <c r="P58" s="7">
        <v>288500.45</v>
      </c>
      <c r="Q58" s="2"/>
      <c r="R58" s="6">
        <f t="shared" si="35"/>
        <v>6.245217126324213E-2</v>
      </c>
      <c r="S58" s="2"/>
      <c r="T58" s="7">
        <v>303462.94</v>
      </c>
      <c r="U58" s="2"/>
      <c r="V58" s="6">
        <f t="shared" si="36"/>
        <v>4.430516327598262E-2</v>
      </c>
      <c r="W58" s="2"/>
      <c r="X58" s="7">
        <f t="shared" si="37"/>
        <v>-14962.489999999991</v>
      </c>
      <c r="Y58" s="2"/>
      <c r="Z58" s="6">
        <f t="shared" si="38"/>
        <v>-4.9305822977922742E-2</v>
      </c>
    </row>
    <row r="59" spans="1:26" s="24" customFormat="1" hidden="1" outlineLevel="2" x14ac:dyDescent="0.35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13709.71</v>
      </c>
      <c r="E59" s="2"/>
      <c r="F59" s="6">
        <f t="shared" si="31"/>
        <v>0</v>
      </c>
      <c r="G59" s="2"/>
      <c r="H59" s="7">
        <v>15092.56</v>
      </c>
      <c r="I59" s="2"/>
      <c r="J59" s="6">
        <f t="shared" si="32"/>
        <v>9.4144852812429458E-2</v>
      </c>
      <c r="K59" s="2"/>
      <c r="L59" s="7">
        <f t="shared" si="33"/>
        <v>-1382.8500000000004</v>
      </c>
      <c r="M59" s="2"/>
      <c r="N59" s="6">
        <f t="shared" si="34"/>
        <v>-9.1624615042113486E-2</v>
      </c>
      <c r="O59" s="11"/>
      <c r="P59" s="7">
        <v>184604.97</v>
      </c>
      <c r="Q59" s="2"/>
      <c r="R59" s="6">
        <f t="shared" si="35"/>
        <v>3.9961744262394308E-2</v>
      </c>
      <c r="S59" s="2"/>
      <c r="T59" s="7">
        <v>166750.27000000002</v>
      </c>
      <c r="U59" s="2"/>
      <c r="V59" s="6">
        <f t="shared" si="36"/>
        <v>2.4345305356443813E-2</v>
      </c>
      <c r="W59" s="2"/>
      <c r="X59" s="7">
        <f t="shared" si="37"/>
        <v>17854.699999999983</v>
      </c>
      <c r="Y59" s="2"/>
      <c r="Z59" s="6">
        <f t="shared" si="38"/>
        <v>0.10707448929467989</v>
      </c>
    </row>
    <row r="60" spans="1:26" s="24" customFormat="1" hidden="1" outlineLevel="2" x14ac:dyDescent="0.35">
      <c r="A60" s="27"/>
      <c r="B60" s="11" t="str">
        <f>CONCATENATE("          ", "6326", " - ", "VEHICLES DEPRECIATION EXPENSE")</f>
        <v xml:space="preserve">          6326 - VEHICLES DEPRECIATION EXPENSE</v>
      </c>
      <c r="C60" s="11"/>
      <c r="D60" s="7"/>
      <c r="E60" s="2"/>
      <c r="F60" s="6">
        <f t="shared" si="31"/>
        <v>0</v>
      </c>
      <c r="G60" s="2"/>
      <c r="H60" s="7">
        <v>424.24</v>
      </c>
      <c r="I60" s="2"/>
      <c r="J60" s="6">
        <f t="shared" si="32"/>
        <v>2.646337821890062E-3</v>
      </c>
      <c r="K60" s="2"/>
      <c r="L60" s="7">
        <f t="shared" si="33"/>
        <v>-424.24</v>
      </c>
      <c r="M60" s="2"/>
      <c r="N60" s="6">
        <f t="shared" si="34"/>
        <v>-1</v>
      </c>
      <c r="O60" s="11"/>
      <c r="P60" s="7">
        <v>4242.4799999999996</v>
      </c>
      <c r="Q60" s="2"/>
      <c r="R60" s="6">
        <f t="shared" si="35"/>
        <v>9.1837668724911682E-4</v>
      </c>
      <c r="S60" s="2"/>
      <c r="T60" s="7">
        <v>5090.99</v>
      </c>
      <c r="U60" s="2"/>
      <c r="V60" s="6">
        <f t="shared" si="36"/>
        <v>7.4327739389328646E-4</v>
      </c>
      <c r="W60" s="2"/>
      <c r="X60" s="7">
        <f t="shared" si="37"/>
        <v>-848.51000000000022</v>
      </c>
      <c r="Y60" s="2"/>
      <c r="Z60" s="6">
        <f t="shared" si="38"/>
        <v>-0.16666895829691283</v>
      </c>
    </row>
    <row r="61" spans="1:26" s="25" customFormat="1" outlineLevel="1" collapsed="1" x14ac:dyDescent="0.35">
      <c r="A61" s="26"/>
      <c r="B61" s="12" t="str">
        <f>CONCATENATE("     ","Discounts and Markdowns                           ")</f>
        <v xml:space="preserve">     Discounts and Markdowns                           </v>
      </c>
      <c r="C61" s="12"/>
      <c r="D61" s="1">
        <f>SUM(OSRRefD22_6x_0)</f>
        <v>0</v>
      </c>
      <c r="E61" s="1"/>
      <c r="F61" s="5">
        <f t="shared" ref="F61:F73" si="39">IF(D$12=0,0,D61/D$12)</f>
        <v>0</v>
      </c>
      <c r="G61" s="1"/>
      <c r="H61" s="1">
        <f>SUM(OSRRefH22_6x_0)</f>
        <v>0</v>
      </c>
      <c r="I61" s="1"/>
      <c r="J61" s="5">
        <f t="shared" ref="J61:J73" si="40">IF(H$12=0,0,H61/H$12)</f>
        <v>0</v>
      </c>
      <c r="K61" s="1"/>
      <c r="L61" s="1">
        <f t="shared" ref="L61:L73" si="41">+D61-H61</f>
        <v>0</v>
      </c>
      <c r="M61" s="1"/>
      <c r="N61" s="5">
        <f t="shared" ref="N61:N73" si="42">IF(H61=0,0,L61/H61)</f>
        <v>0</v>
      </c>
      <c r="O61" s="12"/>
      <c r="P61" s="1">
        <f>SUM(OSRRefP22_6x_0)</f>
        <v>0.09</v>
      </c>
      <c r="Q61" s="1"/>
      <c r="R61" s="5">
        <f t="shared" ref="R61:R73" si="43">IF(P$12=0,0,P61/P$12)</f>
        <v>1.9482449381592965E-8</v>
      </c>
      <c r="S61" s="1"/>
      <c r="T61" s="1">
        <f>SUM(OSRRefT22_6x_0)</f>
        <v>0</v>
      </c>
      <c r="U61" s="1"/>
      <c r="V61" s="5">
        <f t="shared" ref="V61:V73" si="44">IF(T$12=0,0,T61/T$12)</f>
        <v>0</v>
      </c>
      <c r="W61" s="1"/>
      <c r="X61" s="1">
        <f t="shared" ref="X61:X73" si="45">+P61-T61</f>
        <v>0.09</v>
      </c>
      <c r="Y61" s="1"/>
      <c r="Z61" s="5">
        <f t="shared" ref="Z61:Z73" si="46">IF(T61=0,0,X61/T61)</f>
        <v>0</v>
      </c>
    </row>
    <row r="62" spans="1:26" s="24" customFormat="1" hidden="1" outlineLevel="2" x14ac:dyDescent="0.35">
      <c r="A62" s="27"/>
      <c r="B62" s="11" t="str">
        <f>CONCATENATE("          ", "6382", " - ", "DISCOUNTS/MARK DOWNS")</f>
        <v xml:space="preserve">          6382 - DISCOUNTS/MARK DOWNS</v>
      </c>
      <c r="C62" s="11"/>
      <c r="D62" s="7"/>
      <c r="E62" s="2"/>
      <c r="F62" s="6">
        <f t="shared" si="39"/>
        <v>0</v>
      </c>
      <c r="G62" s="2"/>
      <c r="H62" s="7"/>
      <c r="I62" s="2"/>
      <c r="J62" s="6">
        <f t="shared" si="40"/>
        <v>0</v>
      </c>
      <c r="K62" s="2"/>
      <c r="L62" s="7">
        <f t="shared" si="41"/>
        <v>0</v>
      </c>
      <c r="M62" s="2"/>
      <c r="N62" s="6">
        <f t="shared" si="42"/>
        <v>0</v>
      </c>
      <c r="O62" s="11"/>
      <c r="P62" s="7">
        <v>0.09</v>
      </c>
      <c r="Q62" s="2"/>
      <c r="R62" s="6">
        <f t="shared" si="43"/>
        <v>1.9482449381592965E-8</v>
      </c>
      <c r="S62" s="2"/>
      <c r="T62" s="7"/>
      <c r="U62" s="2"/>
      <c r="V62" s="6">
        <f t="shared" si="44"/>
        <v>0</v>
      </c>
      <c r="W62" s="2"/>
      <c r="X62" s="7">
        <f t="shared" si="45"/>
        <v>0.09</v>
      </c>
      <c r="Y62" s="2"/>
      <c r="Z62" s="6">
        <f t="shared" si="46"/>
        <v>0</v>
      </c>
    </row>
    <row r="63" spans="1:26" s="25" customFormat="1" outlineLevel="1" collapsed="1" x14ac:dyDescent="0.35">
      <c r="A63" s="26"/>
      <c r="B63" s="12" t="str">
        <f>CONCATENATE("     ","Donations                                         ")</f>
        <v xml:space="preserve">     Donations                                         </v>
      </c>
      <c r="C63" s="12"/>
      <c r="D63" s="1">
        <f>SUM(OSRRefD22_7x_0)</f>
        <v>0</v>
      </c>
      <c r="E63" s="1"/>
      <c r="F63" s="5">
        <f t="shared" si="39"/>
        <v>0</v>
      </c>
      <c r="G63" s="1"/>
      <c r="H63" s="1">
        <f>SUM(OSRRefH22_7x_0)</f>
        <v>0</v>
      </c>
      <c r="I63" s="1"/>
      <c r="J63" s="5">
        <f t="shared" si="40"/>
        <v>0</v>
      </c>
      <c r="K63" s="1"/>
      <c r="L63" s="1">
        <f t="shared" si="41"/>
        <v>0</v>
      </c>
      <c r="M63" s="1"/>
      <c r="N63" s="5">
        <f t="shared" si="42"/>
        <v>0</v>
      </c>
      <c r="O63" s="12"/>
      <c r="P63" s="1">
        <f>SUM(OSRRefP22_7x_0)</f>
        <v>236.68</v>
      </c>
      <c r="Q63" s="1"/>
      <c r="R63" s="5">
        <f t="shared" si="43"/>
        <v>5.123451244039359E-5</v>
      </c>
      <c r="S63" s="1"/>
      <c r="T63" s="1">
        <f>SUM(OSRRefT22_7x_0)</f>
        <v>1038.48</v>
      </c>
      <c r="U63" s="1"/>
      <c r="V63" s="5">
        <f t="shared" si="44"/>
        <v>1.5161662230927581E-4</v>
      </c>
      <c r="W63" s="1"/>
      <c r="X63" s="1">
        <f t="shared" si="45"/>
        <v>-801.8</v>
      </c>
      <c r="Y63" s="1"/>
      <c r="Z63" s="5">
        <f t="shared" si="46"/>
        <v>-0.77208997765965637</v>
      </c>
    </row>
    <row r="64" spans="1:26" s="24" customFormat="1" hidden="1" outlineLevel="2" x14ac:dyDescent="0.35">
      <c r="A64" s="27"/>
      <c r="B64" s="11" t="str">
        <f>CONCATENATE("          ", "6399", " - ", "DONATION-ON CAMPUS")</f>
        <v xml:space="preserve">          6399 - DONATION-ON CAMPUS</v>
      </c>
      <c r="C64" s="11"/>
      <c r="D64" s="7"/>
      <c r="E64" s="2"/>
      <c r="F64" s="6">
        <f t="shared" si="39"/>
        <v>0</v>
      </c>
      <c r="G64" s="2"/>
      <c r="H64" s="7"/>
      <c r="I64" s="2"/>
      <c r="J64" s="6">
        <f t="shared" si="40"/>
        <v>0</v>
      </c>
      <c r="K64" s="2"/>
      <c r="L64" s="7">
        <f t="shared" si="41"/>
        <v>0</v>
      </c>
      <c r="M64" s="2"/>
      <c r="N64" s="6">
        <f t="shared" si="42"/>
        <v>0</v>
      </c>
      <c r="O64" s="11"/>
      <c r="P64" s="7">
        <v>236.68</v>
      </c>
      <c r="Q64" s="2"/>
      <c r="R64" s="6">
        <f t="shared" si="43"/>
        <v>5.123451244039359E-5</v>
      </c>
      <c r="S64" s="2"/>
      <c r="T64" s="7">
        <v>1038.48</v>
      </c>
      <c r="U64" s="2"/>
      <c r="V64" s="6">
        <f t="shared" si="44"/>
        <v>1.5161662230927581E-4</v>
      </c>
      <c r="W64" s="2"/>
      <c r="X64" s="7">
        <f t="shared" si="45"/>
        <v>-801.8</v>
      </c>
      <c r="Y64" s="2"/>
      <c r="Z64" s="6">
        <f t="shared" si="46"/>
        <v>-0.77208997765965637</v>
      </c>
    </row>
    <row r="65" spans="1:26" s="25" customFormat="1" outlineLevel="1" collapsed="1" x14ac:dyDescent="0.35">
      <c r="A65" s="26"/>
      <c r="B65" s="12" t="str">
        <f>CONCATENATE("     ","Employees' Appreciation                           ")</f>
        <v xml:space="preserve">     Employees' Appreciation                           </v>
      </c>
      <c r="C65" s="12"/>
      <c r="D65" s="1">
        <f>SUM(OSRRefD22_8x_0)</f>
        <v>0</v>
      </c>
      <c r="E65" s="1"/>
      <c r="F65" s="5">
        <f t="shared" si="39"/>
        <v>0</v>
      </c>
      <c r="G65" s="1"/>
      <c r="H65" s="1">
        <f>SUM(OSRRefH22_8x_0)</f>
        <v>748.15</v>
      </c>
      <c r="I65" s="1"/>
      <c r="J65" s="5">
        <f t="shared" si="40"/>
        <v>4.6668339653192763E-3</v>
      </c>
      <c r="K65" s="1"/>
      <c r="L65" s="1">
        <f t="shared" si="41"/>
        <v>-748.15</v>
      </c>
      <c r="M65" s="1"/>
      <c r="N65" s="5">
        <f t="shared" si="42"/>
        <v>-1</v>
      </c>
      <c r="O65" s="12"/>
      <c r="P65" s="1">
        <f>SUM(OSRRefP22_8x_0)</f>
        <v>1672.81</v>
      </c>
      <c r="Q65" s="1"/>
      <c r="R65" s="5">
        <f t="shared" si="43"/>
        <v>3.6211595722247249E-4</v>
      </c>
      <c r="S65" s="1"/>
      <c r="T65" s="1">
        <f>SUM(OSRRefT22_8x_0)</f>
        <v>4653.0200000000004</v>
      </c>
      <c r="U65" s="1"/>
      <c r="V65" s="5">
        <f t="shared" si="44"/>
        <v>6.7933438866180052E-4</v>
      </c>
      <c r="W65" s="1"/>
      <c r="X65" s="1">
        <f t="shared" si="45"/>
        <v>-2980.2100000000005</v>
      </c>
      <c r="Y65" s="1"/>
      <c r="Z65" s="5">
        <f t="shared" si="46"/>
        <v>-0.64048940258154918</v>
      </c>
    </row>
    <row r="66" spans="1:26" s="24" customFormat="1" hidden="1" outlineLevel="2" x14ac:dyDescent="0.35">
      <c r="A66" s="27"/>
      <c r="B66" s="11" t="str">
        <f>CONCATENATE("          ", "6277", " - ", "EMPLOYEE APPRECIATION")</f>
        <v xml:space="preserve">          6277 - EMPLOYEE APPRECIATION</v>
      </c>
      <c r="C66" s="11"/>
      <c r="D66" s="7"/>
      <c r="E66" s="2"/>
      <c r="F66" s="6">
        <f t="shared" si="39"/>
        <v>0</v>
      </c>
      <c r="G66" s="2"/>
      <c r="H66" s="7">
        <v>748.15</v>
      </c>
      <c r="I66" s="2"/>
      <c r="J66" s="6">
        <f t="shared" si="40"/>
        <v>4.6668339653192763E-3</v>
      </c>
      <c r="K66" s="2"/>
      <c r="L66" s="7">
        <f t="shared" si="41"/>
        <v>-748.15</v>
      </c>
      <c r="M66" s="2"/>
      <c r="N66" s="6">
        <f t="shared" si="42"/>
        <v>-1</v>
      </c>
      <c r="O66" s="11"/>
      <c r="P66" s="7">
        <v>1672.81</v>
      </c>
      <c r="Q66" s="2"/>
      <c r="R66" s="6">
        <f t="shared" si="43"/>
        <v>3.6211595722247249E-4</v>
      </c>
      <c r="S66" s="2"/>
      <c r="T66" s="7">
        <v>4653.0200000000004</v>
      </c>
      <c r="U66" s="2"/>
      <c r="V66" s="6">
        <f t="shared" si="44"/>
        <v>6.7933438866180052E-4</v>
      </c>
      <c r="W66" s="2"/>
      <c r="X66" s="7">
        <f t="shared" si="45"/>
        <v>-2980.2100000000005</v>
      </c>
      <c r="Y66" s="2"/>
      <c r="Z66" s="6">
        <f t="shared" si="46"/>
        <v>-0.64048940258154918</v>
      </c>
    </row>
    <row r="67" spans="1:26" s="25" customFormat="1" outlineLevel="1" collapsed="1" x14ac:dyDescent="0.35">
      <c r="A67" s="26"/>
      <c r="B67" s="12" t="str">
        <f>CONCATENATE("     ","Equipment Rental                                  ")</f>
        <v xml:space="preserve">     Equipment Rental                                  </v>
      </c>
      <c r="C67" s="12"/>
      <c r="D67" s="1">
        <f>SUM(OSRRefD22_9x_0)</f>
        <v>1792.99</v>
      </c>
      <c r="E67" s="1"/>
      <c r="F67" s="5">
        <f t="shared" si="39"/>
        <v>0</v>
      </c>
      <c r="G67" s="1"/>
      <c r="H67" s="1">
        <f>SUM(OSRRefH22_9x_0)</f>
        <v>2345.7199999999998</v>
      </c>
      <c r="I67" s="1"/>
      <c r="J67" s="5">
        <f t="shared" si="40"/>
        <v>1.4632207136441533E-2</v>
      </c>
      <c r="K67" s="1"/>
      <c r="L67" s="1">
        <f t="shared" si="41"/>
        <v>-552.72999999999979</v>
      </c>
      <c r="M67" s="1"/>
      <c r="N67" s="5">
        <f t="shared" si="42"/>
        <v>-0.23563340893201229</v>
      </c>
      <c r="O67" s="12"/>
      <c r="P67" s="1">
        <f>SUM(OSRRefP22_9x_0)</f>
        <v>28337.550000000003</v>
      </c>
      <c r="Q67" s="1"/>
      <c r="R67" s="5">
        <f t="shared" si="43"/>
        <v>6.1342764830373308E-3</v>
      </c>
      <c r="S67" s="1"/>
      <c r="T67" s="1">
        <f>SUM(OSRRefT22_9x_0)</f>
        <v>21453.759999999998</v>
      </c>
      <c r="U67" s="1"/>
      <c r="V67" s="5">
        <f t="shared" si="44"/>
        <v>3.1322188458457064E-3</v>
      </c>
      <c r="W67" s="1"/>
      <c r="X67" s="1">
        <f t="shared" si="45"/>
        <v>6883.7900000000045</v>
      </c>
      <c r="Y67" s="1"/>
      <c r="Z67" s="5">
        <f t="shared" si="46"/>
        <v>0.32086636561609738</v>
      </c>
    </row>
    <row r="68" spans="1:26" s="24" customFormat="1" hidden="1" outlineLevel="2" x14ac:dyDescent="0.35">
      <c r="A68" s="27"/>
      <c r="B68" s="11" t="str">
        <f>CONCATENATE("          ", "6351", " - ", "EQUIPMENT RENTAL")</f>
        <v xml:space="preserve">          6351 - EQUIPMENT RENTAL</v>
      </c>
      <c r="C68" s="11"/>
      <c r="D68" s="7">
        <v>1792.99</v>
      </c>
      <c r="E68" s="2"/>
      <c r="F68" s="6">
        <f t="shared" si="39"/>
        <v>0</v>
      </c>
      <c r="G68" s="2"/>
      <c r="H68" s="7">
        <v>2345.7199999999998</v>
      </c>
      <c r="I68" s="2"/>
      <c r="J68" s="6">
        <f t="shared" si="40"/>
        <v>1.4632207136441533E-2</v>
      </c>
      <c r="K68" s="2"/>
      <c r="L68" s="7">
        <f t="shared" si="41"/>
        <v>-552.72999999999979</v>
      </c>
      <c r="M68" s="2"/>
      <c r="N68" s="6">
        <f t="shared" si="42"/>
        <v>-0.23563340893201229</v>
      </c>
      <c r="O68" s="11"/>
      <c r="P68" s="7">
        <v>28337.550000000003</v>
      </c>
      <c r="Q68" s="2"/>
      <c r="R68" s="6">
        <f t="shared" si="43"/>
        <v>6.1342764830373308E-3</v>
      </c>
      <c r="S68" s="2"/>
      <c r="T68" s="7">
        <v>21453.759999999998</v>
      </c>
      <c r="U68" s="2"/>
      <c r="V68" s="6">
        <f t="shared" si="44"/>
        <v>3.1322188458457064E-3</v>
      </c>
      <c r="W68" s="2"/>
      <c r="X68" s="7">
        <f t="shared" si="45"/>
        <v>6883.7900000000045</v>
      </c>
      <c r="Y68" s="2"/>
      <c r="Z68" s="6">
        <f t="shared" si="46"/>
        <v>0.32086636561609738</v>
      </c>
    </row>
    <row r="69" spans="1:26" s="25" customFormat="1" outlineLevel="1" collapsed="1" x14ac:dyDescent="0.35">
      <c r="A69" s="26"/>
      <c r="B69" s="12" t="str">
        <f>CONCATENATE("     ","Freight out/Postage                               ")</f>
        <v xml:space="preserve">     Freight out/Postage                               </v>
      </c>
      <c r="C69" s="12"/>
      <c r="D69" s="1">
        <f>SUM(OSRRefD22_10x_0)</f>
        <v>0</v>
      </c>
      <c r="E69" s="1"/>
      <c r="F69" s="5">
        <f t="shared" si="39"/>
        <v>0</v>
      </c>
      <c r="G69" s="1"/>
      <c r="H69" s="1">
        <f>SUM(OSRRefH22_10x_0)</f>
        <v>35</v>
      </c>
      <c r="I69" s="1"/>
      <c r="J69" s="5">
        <f t="shared" si="40"/>
        <v>2.1832411787231796E-4</v>
      </c>
      <c r="K69" s="1"/>
      <c r="L69" s="1">
        <f t="shared" si="41"/>
        <v>-35</v>
      </c>
      <c r="M69" s="1"/>
      <c r="N69" s="5">
        <f t="shared" si="42"/>
        <v>-1</v>
      </c>
      <c r="O69" s="12"/>
      <c r="P69" s="1">
        <f>SUM(OSRRefP22_10x_0)</f>
        <v>0.57999999999999996</v>
      </c>
      <c r="Q69" s="1"/>
      <c r="R69" s="5">
        <f t="shared" si="43"/>
        <v>1.2555356268137687E-7</v>
      </c>
      <c r="S69" s="1"/>
      <c r="T69" s="1">
        <f>SUM(OSRRefT22_10x_0)</f>
        <v>44.01</v>
      </c>
      <c r="U69" s="1"/>
      <c r="V69" s="5">
        <f t="shared" si="44"/>
        <v>6.4253982241653457E-6</v>
      </c>
      <c r="W69" s="1"/>
      <c r="X69" s="1">
        <f t="shared" si="45"/>
        <v>-43.43</v>
      </c>
      <c r="Y69" s="1"/>
      <c r="Z69" s="5">
        <f t="shared" si="46"/>
        <v>-0.98682117700522609</v>
      </c>
    </row>
    <row r="70" spans="1:26" s="24" customFormat="1" hidden="1" outlineLevel="2" x14ac:dyDescent="0.35">
      <c r="A70" s="27"/>
      <c r="B70" s="11" t="str">
        <f>CONCATENATE("          ", "6307", " - ", "POSTAGE")</f>
        <v xml:space="preserve">          6307 - POSTAGE</v>
      </c>
      <c r="C70" s="11"/>
      <c r="D70" s="7"/>
      <c r="E70" s="2"/>
      <c r="F70" s="6">
        <f t="shared" si="39"/>
        <v>0</v>
      </c>
      <c r="G70" s="2"/>
      <c r="H70" s="7">
        <v>35</v>
      </c>
      <c r="I70" s="2"/>
      <c r="J70" s="6">
        <f t="shared" si="40"/>
        <v>2.1832411787231796E-4</v>
      </c>
      <c r="K70" s="2"/>
      <c r="L70" s="7">
        <f t="shared" si="41"/>
        <v>-35</v>
      </c>
      <c r="M70" s="2"/>
      <c r="N70" s="6">
        <f t="shared" si="42"/>
        <v>-1</v>
      </c>
      <c r="O70" s="11"/>
      <c r="P70" s="7">
        <v>0.57999999999999996</v>
      </c>
      <c r="Q70" s="2"/>
      <c r="R70" s="6">
        <f t="shared" si="43"/>
        <v>1.2555356268137687E-7</v>
      </c>
      <c r="S70" s="2"/>
      <c r="T70" s="7">
        <v>44.01</v>
      </c>
      <c r="U70" s="2"/>
      <c r="V70" s="6">
        <f t="shared" si="44"/>
        <v>6.4253982241653457E-6</v>
      </c>
      <c r="W70" s="2"/>
      <c r="X70" s="7">
        <f t="shared" si="45"/>
        <v>-43.43</v>
      </c>
      <c r="Y70" s="2"/>
      <c r="Z70" s="6">
        <f t="shared" si="46"/>
        <v>-0.98682117700522609</v>
      </c>
    </row>
    <row r="71" spans="1:26" s="25" customFormat="1" outlineLevel="1" collapsed="1" x14ac:dyDescent="0.35">
      <c r="A71" s="26"/>
      <c r="B71" s="12" t="str">
        <f>CONCATENATE("     ","General                                           ")</f>
        <v xml:space="preserve">     General                                           </v>
      </c>
      <c r="C71" s="12"/>
      <c r="D71" s="1">
        <f>SUM(OSRRefD22_11x_0)</f>
        <v>4574.0600000000004</v>
      </c>
      <c r="E71" s="1"/>
      <c r="F71" s="5">
        <f t="shared" si="39"/>
        <v>0</v>
      </c>
      <c r="G71" s="1"/>
      <c r="H71" s="1">
        <f>SUM(OSRRefH22_11x_0)</f>
        <v>1167.8900000000001</v>
      </c>
      <c r="I71" s="1"/>
      <c r="J71" s="5">
        <f t="shared" si="40"/>
        <v>7.2851015434828989E-3</v>
      </c>
      <c r="K71" s="1"/>
      <c r="L71" s="1">
        <f t="shared" si="41"/>
        <v>3406.17</v>
      </c>
      <c r="M71" s="1"/>
      <c r="N71" s="5">
        <f t="shared" si="42"/>
        <v>2.9165161102501092</v>
      </c>
      <c r="O71" s="12"/>
      <c r="P71" s="1">
        <f>SUM(OSRRefP22_11x_0)</f>
        <v>88161.41</v>
      </c>
      <c r="Q71" s="1"/>
      <c r="R71" s="5">
        <f t="shared" si="43"/>
        <v>1.9084446752609598E-2</v>
      </c>
      <c r="S71" s="1"/>
      <c r="T71" s="1">
        <f>SUM(OSRRefT22_11x_0)</f>
        <v>61443.56</v>
      </c>
      <c r="U71" s="1"/>
      <c r="V71" s="5">
        <f t="shared" si="44"/>
        <v>8.9706735130742309E-3</v>
      </c>
      <c r="W71" s="1"/>
      <c r="X71" s="1">
        <f t="shared" si="45"/>
        <v>26717.850000000006</v>
      </c>
      <c r="Y71" s="1"/>
      <c r="Z71" s="5">
        <f t="shared" si="46"/>
        <v>0.43483564428884014</v>
      </c>
    </row>
    <row r="72" spans="1:26" s="24" customFormat="1" hidden="1" outlineLevel="2" x14ac:dyDescent="0.35">
      <c r="A72" s="27"/>
      <c r="B72" s="11" t="str">
        <f>CONCATENATE("          ", "6269", " - ", "ENTERTAINMENT")</f>
        <v xml:space="preserve">          6269 - ENTERTAINMENT</v>
      </c>
      <c r="C72" s="11"/>
      <c r="D72" s="7"/>
      <c r="E72" s="2"/>
      <c r="F72" s="6">
        <f t="shared" si="39"/>
        <v>0</v>
      </c>
      <c r="G72" s="2"/>
      <c r="H72" s="7"/>
      <c r="I72" s="2"/>
      <c r="J72" s="6">
        <f t="shared" si="40"/>
        <v>0</v>
      </c>
      <c r="K72" s="2"/>
      <c r="L72" s="7">
        <f t="shared" si="41"/>
        <v>0</v>
      </c>
      <c r="M72" s="2"/>
      <c r="N72" s="6">
        <f t="shared" si="42"/>
        <v>0</v>
      </c>
      <c r="O72" s="11"/>
      <c r="P72" s="7">
        <v>10050</v>
      </c>
      <c r="Q72" s="2"/>
      <c r="R72" s="6">
        <f t="shared" si="43"/>
        <v>2.1755401809445477E-3</v>
      </c>
      <c r="S72" s="2"/>
      <c r="T72" s="7">
        <v>10824.27</v>
      </c>
      <c r="U72" s="2"/>
      <c r="V72" s="6">
        <f t="shared" si="44"/>
        <v>1.5803282262187284E-3</v>
      </c>
      <c r="W72" s="2"/>
      <c r="X72" s="7">
        <f t="shared" si="45"/>
        <v>-774.27000000000044</v>
      </c>
      <c r="Y72" s="2"/>
      <c r="Z72" s="6">
        <f t="shared" si="46"/>
        <v>-7.1530920791887151E-2</v>
      </c>
    </row>
    <row r="73" spans="1:26" s="24" customFormat="1" hidden="1" outlineLevel="2" x14ac:dyDescent="0.35">
      <c r="A73" s="27"/>
      <c r="B73" s="11" t="str">
        <f>CONCATENATE("          ", "6279", " - ", "GENERAL EXPENSE")</f>
        <v xml:space="preserve">          6279 - GENERAL EXPENSE</v>
      </c>
      <c r="C73" s="11"/>
      <c r="D73" s="7">
        <v>4574.0600000000004</v>
      </c>
      <c r="E73" s="2"/>
      <c r="F73" s="6">
        <f t="shared" si="39"/>
        <v>0</v>
      </c>
      <c r="G73" s="2"/>
      <c r="H73" s="7">
        <v>1167.8900000000001</v>
      </c>
      <c r="I73" s="2"/>
      <c r="J73" s="6">
        <f t="shared" si="40"/>
        <v>7.2851015434828989E-3</v>
      </c>
      <c r="K73" s="2"/>
      <c r="L73" s="7">
        <f t="shared" si="41"/>
        <v>3406.17</v>
      </c>
      <c r="M73" s="2"/>
      <c r="N73" s="6">
        <f t="shared" si="42"/>
        <v>2.9165161102501092</v>
      </c>
      <c r="O73" s="11"/>
      <c r="P73" s="7">
        <v>78111.41</v>
      </c>
      <c r="Q73" s="2"/>
      <c r="R73" s="6">
        <f t="shared" si="43"/>
        <v>1.690890657166505E-2</v>
      </c>
      <c r="S73" s="2"/>
      <c r="T73" s="7">
        <v>50619.29</v>
      </c>
      <c r="U73" s="2"/>
      <c r="V73" s="6">
        <f t="shared" si="44"/>
        <v>7.3903452868555033E-3</v>
      </c>
      <c r="W73" s="2"/>
      <c r="X73" s="7">
        <f t="shared" si="45"/>
        <v>27492.120000000003</v>
      </c>
      <c r="Y73" s="2"/>
      <c r="Z73" s="6">
        <f t="shared" si="46"/>
        <v>0.54311548028429479</v>
      </c>
    </row>
    <row r="74" spans="1:26" s="25" customFormat="1" outlineLevel="1" collapsed="1" x14ac:dyDescent="0.35">
      <c r="A74" s="26"/>
      <c r="B74" s="12" t="str">
        <f>CONCATENATE("     ","Insurance                                         ")</f>
        <v xml:space="preserve">     Insurance                                         </v>
      </c>
      <c r="C74" s="12"/>
      <c r="D74" s="1">
        <f>SUM(OSRRefD22_12x_0)</f>
        <v>4240.13</v>
      </c>
      <c r="E74" s="1"/>
      <c r="F74" s="5">
        <f t="shared" ref="F74:F86" si="47">IF(D$12=0,0,D74/D$12)</f>
        <v>0</v>
      </c>
      <c r="G74" s="1"/>
      <c r="H74" s="1">
        <f>SUM(OSRRefH22_12x_0)</f>
        <v>3993.18</v>
      </c>
      <c r="I74" s="1"/>
      <c r="J74" s="5">
        <f t="shared" ref="J74:J86" si="48">IF(H$12=0,0,H74/H$12)</f>
        <v>2.490878574301093E-2</v>
      </c>
      <c r="K74" s="1"/>
      <c r="L74" s="1">
        <f t="shared" ref="L74:L86" si="49">+D74-H74</f>
        <v>246.95000000000027</v>
      </c>
      <c r="M74" s="1"/>
      <c r="N74" s="5">
        <f t="shared" ref="N74:N86" si="50">IF(H74=0,0,L74/H74)</f>
        <v>6.1842942216479166E-2</v>
      </c>
      <c r="O74" s="12"/>
      <c r="P74" s="1">
        <f>SUM(OSRRefP22_12x_0)</f>
        <v>56642.559999999998</v>
      </c>
      <c r="Q74" s="1"/>
      <c r="R74" s="5">
        <f t="shared" ref="R74:R86" si="51">IF(P$12=0,0,P74/P$12)</f>
        <v>1.2261508978264914E-2</v>
      </c>
      <c r="S74" s="1"/>
      <c r="T74" s="1">
        <f>SUM(OSRRefT22_12x_0)</f>
        <v>45402.85</v>
      </c>
      <c r="U74" s="1"/>
      <c r="V74" s="5">
        <f t="shared" ref="V74:V86" si="52">IF(T$12=0,0,T74/T$12)</f>
        <v>6.6287523690535238E-3</v>
      </c>
      <c r="W74" s="1"/>
      <c r="X74" s="1">
        <f t="shared" ref="X74:X86" si="53">+P74-T74</f>
        <v>11239.71</v>
      </c>
      <c r="Y74" s="1"/>
      <c r="Z74" s="5">
        <f t="shared" ref="Z74:Z86" si="54">IF(T74=0,0,X74/T74)</f>
        <v>0.24755516448857284</v>
      </c>
    </row>
    <row r="75" spans="1:26" s="24" customFormat="1" hidden="1" outlineLevel="2" x14ac:dyDescent="0.35">
      <c r="A75" s="27"/>
      <c r="B75" s="11" t="str">
        <f>CONCATENATE("          ", "6314", " - ", "LIABILITY INSURANCE")</f>
        <v xml:space="preserve">          6314 - LIABILITY INSURANCE</v>
      </c>
      <c r="C75" s="11"/>
      <c r="D75" s="7">
        <v>4240.13</v>
      </c>
      <c r="E75" s="2"/>
      <c r="F75" s="6">
        <f t="shared" si="47"/>
        <v>0</v>
      </c>
      <c r="G75" s="2"/>
      <c r="H75" s="7">
        <v>3993.18</v>
      </c>
      <c r="I75" s="2"/>
      <c r="J75" s="6">
        <f t="shared" si="48"/>
        <v>2.490878574301093E-2</v>
      </c>
      <c r="K75" s="2"/>
      <c r="L75" s="7">
        <f t="shared" si="49"/>
        <v>246.95000000000027</v>
      </c>
      <c r="M75" s="2"/>
      <c r="N75" s="6">
        <f t="shared" si="50"/>
        <v>6.1842942216479166E-2</v>
      </c>
      <c r="O75" s="11"/>
      <c r="P75" s="7">
        <v>56642.559999999998</v>
      </c>
      <c r="Q75" s="2"/>
      <c r="R75" s="6">
        <f t="shared" si="51"/>
        <v>1.2261508978264914E-2</v>
      </c>
      <c r="S75" s="2"/>
      <c r="T75" s="7">
        <v>45402.85</v>
      </c>
      <c r="U75" s="2"/>
      <c r="V75" s="6">
        <f t="shared" si="52"/>
        <v>6.6287523690535238E-3</v>
      </c>
      <c r="W75" s="2"/>
      <c r="X75" s="7">
        <f t="shared" si="53"/>
        <v>11239.71</v>
      </c>
      <c r="Y75" s="2"/>
      <c r="Z75" s="6">
        <f t="shared" si="54"/>
        <v>0.24755516448857284</v>
      </c>
    </row>
    <row r="76" spans="1:26" s="25" customFormat="1" outlineLevel="1" collapsed="1" x14ac:dyDescent="0.35">
      <c r="A76" s="26"/>
      <c r="B76" s="12" t="str">
        <f>CONCATENATE("     ","Interest                                          ")</f>
        <v xml:space="preserve">     Interest                                          </v>
      </c>
      <c r="C76" s="12"/>
      <c r="D76" s="1">
        <f>SUM(OSRRefD22_13x_0)</f>
        <v>7754</v>
      </c>
      <c r="E76" s="1"/>
      <c r="F76" s="5">
        <f t="shared" si="47"/>
        <v>0</v>
      </c>
      <c r="G76" s="1"/>
      <c r="H76" s="1">
        <f>SUM(OSRRefH22_13x_0)</f>
        <v>-376.7</v>
      </c>
      <c r="I76" s="1"/>
      <c r="J76" s="5">
        <f t="shared" si="48"/>
        <v>-2.3497912915000623E-3</v>
      </c>
      <c r="K76" s="1"/>
      <c r="L76" s="1">
        <f t="shared" si="49"/>
        <v>8130.7</v>
      </c>
      <c r="M76" s="1"/>
      <c r="N76" s="5">
        <f t="shared" si="50"/>
        <v>-21.584019113352802</v>
      </c>
      <c r="O76" s="12"/>
      <c r="P76" s="1">
        <f>SUM(OSRRefP22_13x_0)</f>
        <v>90704.280000000013</v>
      </c>
      <c r="Q76" s="1"/>
      <c r="R76" s="5">
        <f t="shared" si="51"/>
        <v>1.9634906042153726E-2</v>
      </c>
      <c r="S76" s="1"/>
      <c r="T76" s="1">
        <f>SUM(OSRRefT22_13x_0)</f>
        <v>85492.9</v>
      </c>
      <c r="U76" s="1"/>
      <c r="V76" s="5">
        <f t="shared" si="52"/>
        <v>1.2481843395563406E-2</v>
      </c>
      <c r="W76" s="1"/>
      <c r="X76" s="1">
        <f t="shared" si="53"/>
        <v>5211.3800000000192</v>
      </c>
      <c r="Y76" s="1"/>
      <c r="Z76" s="5">
        <f t="shared" si="54"/>
        <v>6.0956874781414823E-2</v>
      </c>
    </row>
    <row r="77" spans="1:26" s="24" customFormat="1" hidden="1" outlineLevel="2" x14ac:dyDescent="0.35">
      <c r="A77" s="27"/>
      <c r="B77" s="11" t="str">
        <f>CONCATENATE("          ", "6401", " - ", "INTEREST EXPENSE")</f>
        <v xml:space="preserve">          6401 - INTEREST EXPENSE</v>
      </c>
      <c r="C77" s="11"/>
      <c r="D77" s="7">
        <v>7754</v>
      </c>
      <c r="E77" s="2"/>
      <c r="F77" s="6">
        <f t="shared" si="47"/>
        <v>0</v>
      </c>
      <c r="G77" s="2"/>
      <c r="H77" s="7">
        <v>-376.7</v>
      </c>
      <c r="I77" s="2"/>
      <c r="J77" s="6">
        <f t="shared" si="48"/>
        <v>-2.3497912915000623E-3</v>
      </c>
      <c r="K77" s="2"/>
      <c r="L77" s="7">
        <f t="shared" si="49"/>
        <v>8130.7</v>
      </c>
      <c r="M77" s="2"/>
      <c r="N77" s="6">
        <f t="shared" si="50"/>
        <v>-21.584019113352802</v>
      </c>
      <c r="O77" s="11"/>
      <c r="P77" s="7">
        <v>90704.280000000013</v>
      </c>
      <c r="Q77" s="2"/>
      <c r="R77" s="6">
        <f t="shared" si="51"/>
        <v>1.9634906042153726E-2</v>
      </c>
      <c r="S77" s="2"/>
      <c r="T77" s="7">
        <v>85492.9</v>
      </c>
      <c r="U77" s="2"/>
      <c r="V77" s="6">
        <f t="shared" si="52"/>
        <v>1.2481843395563406E-2</v>
      </c>
      <c r="W77" s="2"/>
      <c r="X77" s="7">
        <f t="shared" si="53"/>
        <v>5211.3800000000192</v>
      </c>
      <c r="Y77" s="2"/>
      <c r="Z77" s="6">
        <f t="shared" si="54"/>
        <v>6.0956874781414823E-2</v>
      </c>
    </row>
    <row r="78" spans="1:26" s="25" customFormat="1" outlineLevel="1" collapsed="1" x14ac:dyDescent="0.35">
      <c r="A78" s="26"/>
      <c r="B78" s="12" t="str">
        <f>CONCATENATE("     ","Professional Services                             ")</f>
        <v xml:space="preserve">     Professional Services                             </v>
      </c>
      <c r="C78" s="12"/>
      <c r="D78" s="1">
        <f>SUM(OSRRefD22_14x_0)</f>
        <v>0</v>
      </c>
      <c r="E78" s="1"/>
      <c r="F78" s="5">
        <f t="shared" si="47"/>
        <v>0</v>
      </c>
      <c r="G78" s="1"/>
      <c r="H78" s="1">
        <f>SUM(OSRRefH22_14x_0)</f>
        <v>0</v>
      </c>
      <c r="I78" s="1"/>
      <c r="J78" s="5">
        <f t="shared" si="48"/>
        <v>0</v>
      </c>
      <c r="K78" s="1"/>
      <c r="L78" s="1">
        <f t="shared" si="49"/>
        <v>0</v>
      </c>
      <c r="M78" s="1"/>
      <c r="N78" s="5">
        <f t="shared" si="50"/>
        <v>0</v>
      </c>
      <c r="O78" s="12"/>
      <c r="P78" s="1">
        <f>SUM(OSRRefP22_14x_0)</f>
        <v>125</v>
      </c>
      <c r="Q78" s="1"/>
      <c r="R78" s="5">
        <f t="shared" si="51"/>
        <v>2.7058957474434672E-5</v>
      </c>
      <c r="S78" s="1"/>
      <c r="T78" s="1">
        <f>SUM(OSRRefT22_14x_0)</f>
        <v>0</v>
      </c>
      <c r="U78" s="1"/>
      <c r="V78" s="5">
        <f t="shared" si="52"/>
        <v>0</v>
      </c>
      <c r="W78" s="1"/>
      <c r="X78" s="1">
        <f t="shared" si="53"/>
        <v>125</v>
      </c>
      <c r="Y78" s="1"/>
      <c r="Z78" s="5">
        <f t="shared" si="54"/>
        <v>0</v>
      </c>
    </row>
    <row r="79" spans="1:26" s="24" customFormat="1" hidden="1" outlineLevel="2" x14ac:dyDescent="0.35">
      <c r="A79" s="27"/>
      <c r="B79" s="11" t="str">
        <f>CONCATENATE("          ", "6336", " - ", "PROFESSIONAL SERVICES")</f>
        <v xml:space="preserve">          6336 - PROFESSIONAL SERVICES</v>
      </c>
      <c r="C79" s="11"/>
      <c r="D79" s="7"/>
      <c r="E79" s="2"/>
      <c r="F79" s="6">
        <f t="shared" si="47"/>
        <v>0</v>
      </c>
      <c r="G79" s="2"/>
      <c r="H79" s="7"/>
      <c r="I79" s="2"/>
      <c r="J79" s="6">
        <f t="shared" si="48"/>
        <v>0</v>
      </c>
      <c r="K79" s="2"/>
      <c r="L79" s="7">
        <f t="shared" si="49"/>
        <v>0</v>
      </c>
      <c r="M79" s="2"/>
      <c r="N79" s="6">
        <f t="shared" si="50"/>
        <v>0</v>
      </c>
      <c r="O79" s="11"/>
      <c r="P79" s="7">
        <v>125</v>
      </c>
      <c r="Q79" s="2"/>
      <c r="R79" s="6">
        <f t="shared" si="51"/>
        <v>2.7058957474434672E-5</v>
      </c>
      <c r="S79" s="2"/>
      <c r="T79" s="7"/>
      <c r="U79" s="2"/>
      <c r="V79" s="6">
        <f t="shared" si="52"/>
        <v>0</v>
      </c>
      <c r="W79" s="2"/>
      <c r="X79" s="7">
        <f t="shared" si="53"/>
        <v>125</v>
      </c>
      <c r="Y79" s="2"/>
      <c r="Z79" s="6">
        <f t="shared" si="54"/>
        <v>0</v>
      </c>
    </row>
    <row r="80" spans="1:26" s="25" customFormat="1" outlineLevel="1" collapsed="1" x14ac:dyDescent="0.35">
      <c r="A80" s="26"/>
      <c r="B80" s="12" t="str">
        <f>CONCATENATE("     ","Rent                                              ")</f>
        <v xml:space="preserve">     Rent                                              </v>
      </c>
      <c r="C80" s="12"/>
      <c r="D80" s="1">
        <f>SUM(OSRRefD22_15x_0)</f>
        <v>1850</v>
      </c>
      <c r="E80" s="1"/>
      <c r="F80" s="5">
        <f t="shared" si="47"/>
        <v>0</v>
      </c>
      <c r="G80" s="1"/>
      <c r="H80" s="1">
        <f>SUM(OSRRefH22_15x_0)</f>
        <v>1850</v>
      </c>
      <c r="I80" s="1"/>
      <c r="J80" s="5">
        <f t="shared" si="48"/>
        <v>1.1539989087536806E-2</v>
      </c>
      <c r="K80" s="1"/>
      <c r="L80" s="1">
        <f t="shared" si="49"/>
        <v>0</v>
      </c>
      <c r="M80" s="1"/>
      <c r="N80" s="5">
        <f t="shared" si="50"/>
        <v>0</v>
      </c>
      <c r="O80" s="12"/>
      <c r="P80" s="1">
        <f>SUM(OSRRefP22_15x_0)</f>
        <v>22200</v>
      </c>
      <c r="Q80" s="1"/>
      <c r="R80" s="5">
        <f t="shared" si="51"/>
        <v>4.8056708474595979E-3</v>
      </c>
      <c r="S80" s="1"/>
      <c r="T80" s="1">
        <f>SUM(OSRRefT22_15x_0)</f>
        <v>22200</v>
      </c>
      <c r="U80" s="1"/>
      <c r="V80" s="5">
        <f t="shared" si="52"/>
        <v>3.2411688383656143E-3</v>
      </c>
      <c r="W80" s="1"/>
      <c r="X80" s="1">
        <f t="shared" si="53"/>
        <v>0</v>
      </c>
      <c r="Y80" s="1"/>
      <c r="Z80" s="5">
        <f t="shared" si="54"/>
        <v>0</v>
      </c>
    </row>
    <row r="81" spans="1:26" s="24" customFormat="1" hidden="1" outlineLevel="2" x14ac:dyDescent="0.35">
      <c r="A81" s="27"/>
      <c r="B81" s="11" t="str">
        <f>CONCATENATE("          ", "6273", " - ", "RENT")</f>
        <v xml:space="preserve">          6273 - RENT</v>
      </c>
      <c r="C81" s="11"/>
      <c r="D81" s="7">
        <v>1850</v>
      </c>
      <c r="E81" s="2"/>
      <c r="F81" s="6">
        <f t="shared" si="47"/>
        <v>0</v>
      </c>
      <c r="G81" s="2"/>
      <c r="H81" s="7">
        <v>1850</v>
      </c>
      <c r="I81" s="2"/>
      <c r="J81" s="6">
        <f t="shared" si="48"/>
        <v>1.1539989087536806E-2</v>
      </c>
      <c r="K81" s="2"/>
      <c r="L81" s="7">
        <f t="shared" si="49"/>
        <v>0</v>
      </c>
      <c r="M81" s="2"/>
      <c r="N81" s="6">
        <f t="shared" si="50"/>
        <v>0</v>
      </c>
      <c r="O81" s="11"/>
      <c r="P81" s="7">
        <v>22200</v>
      </c>
      <c r="Q81" s="2"/>
      <c r="R81" s="6">
        <f t="shared" si="51"/>
        <v>4.8056708474595979E-3</v>
      </c>
      <c r="S81" s="2"/>
      <c r="T81" s="7">
        <v>22200</v>
      </c>
      <c r="U81" s="2"/>
      <c r="V81" s="6">
        <f t="shared" si="52"/>
        <v>3.2411688383656143E-3</v>
      </c>
      <c r="W81" s="2"/>
      <c r="X81" s="7">
        <f t="shared" si="53"/>
        <v>0</v>
      </c>
      <c r="Y81" s="2"/>
      <c r="Z81" s="6">
        <f t="shared" si="54"/>
        <v>0</v>
      </c>
    </row>
    <row r="82" spans="1:26" s="25" customFormat="1" outlineLevel="1" collapsed="1" x14ac:dyDescent="0.35">
      <c r="A82" s="26"/>
      <c r="B82" s="12" t="str">
        <f>CONCATENATE("     ","Repair and Maintenance                            ")</f>
        <v xml:space="preserve">     Repair and Maintenance                            </v>
      </c>
      <c r="C82" s="12"/>
      <c r="D82" s="1">
        <f>SUM(OSRRefD22_16x_0)</f>
        <v>7691.29</v>
      </c>
      <c r="E82" s="1"/>
      <c r="F82" s="5">
        <f t="shared" si="47"/>
        <v>0</v>
      </c>
      <c r="G82" s="1"/>
      <c r="H82" s="1">
        <f>SUM(OSRRefH22_16x_0)</f>
        <v>22716.22</v>
      </c>
      <c r="I82" s="1"/>
      <c r="J82" s="5">
        <f t="shared" si="48"/>
        <v>0.1416999626541002</v>
      </c>
      <c r="K82" s="1"/>
      <c r="L82" s="1">
        <f t="shared" si="49"/>
        <v>-15024.93</v>
      </c>
      <c r="M82" s="1"/>
      <c r="N82" s="5">
        <f t="shared" si="50"/>
        <v>-0.66141858108435292</v>
      </c>
      <c r="O82" s="12"/>
      <c r="P82" s="1">
        <f>SUM(OSRRefP22_16x_0)</f>
        <v>234062.56</v>
      </c>
      <c r="Q82" s="1"/>
      <c r="R82" s="5">
        <f t="shared" si="51"/>
        <v>5.066791085917851E-2</v>
      </c>
      <c r="S82" s="1"/>
      <c r="T82" s="1">
        <f>SUM(OSRRefT22_16x_0)</f>
        <v>319544.03999999998</v>
      </c>
      <c r="U82" s="1"/>
      <c r="V82" s="5">
        <f t="shared" si="52"/>
        <v>4.6652981303308798E-2</v>
      </c>
      <c r="W82" s="1"/>
      <c r="X82" s="1">
        <f t="shared" si="53"/>
        <v>-85481.479999999981</v>
      </c>
      <c r="Y82" s="1"/>
      <c r="Z82" s="5">
        <f t="shared" si="54"/>
        <v>-0.26751079444323228</v>
      </c>
    </row>
    <row r="83" spans="1:26" s="24" customFormat="1" hidden="1" outlineLevel="2" x14ac:dyDescent="0.35">
      <c r="A83" s="27"/>
      <c r="B83" s="11" t="str">
        <f>CONCATENATE("          ", "6371", " - ", "COMPUTER SOFTWARE MAINTENANCE")</f>
        <v xml:space="preserve">          6371 - COMPUTER SOFTWARE MAINTENANCE</v>
      </c>
      <c r="C83" s="11"/>
      <c r="D83" s="7"/>
      <c r="E83" s="2"/>
      <c r="F83" s="6">
        <f t="shared" si="47"/>
        <v>0</v>
      </c>
      <c r="G83" s="2"/>
      <c r="H83" s="7">
        <v>2430</v>
      </c>
      <c r="I83" s="2"/>
      <c r="J83" s="6">
        <f t="shared" si="48"/>
        <v>1.5157931612278075E-2</v>
      </c>
      <c r="K83" s="2"/>
      <c r="L83" s="7">
        <f t="shared" si="49"/>
        <v>-2430</v>
      </c>
      <c r="M83" s="2"/>
      <c r="N83" s="6">
        <f t="shared" si="50"/>
        <v>-1</v>
      </c>
      <c r="O83" s="11"/>
      <c r="P83" s="7">
        <v>10932.69</v>
      </c>
      <c r="Q83" s="2"/>
      <c r="R83" s="6">
        <f t="shared" si="51"/>
        <v>2.3666175503294176E-3</v>
      </c>
      <c r="S83" s="2"/>
      <c r="T83" s="7">
        <v>30582.339999999997</v>
      </c>
      <c r="U83" s="2"/>
      <c r="V83" s="6">
        <f t="shared" si="52"/>
        <v>4.4649787122658675E-3</v>
      </c>
      <c r="W83" s="2"/>
      <c r="X83" s="7">
        <f t="shared" si="53"/>
        <v>-19649.649999999994</v>
      </c>
      <c r="Y83" s="2"/>
      <c r="Z83" s="6">
        <f t="shared" si="54"/>
        <v>-0.64251623649465661</v>
      </c>
    </row>
    <row r="84" spans="1:26" s="24" customFormat="1" hidden="1" outlineLevel="2" x14ac:dyDescent="0.35">
      <c r="A84" s="27"/>
      <c r="B84" s="11" t="str">
        <f>CONCATENATE("          ", "6372", " - ", "COMPUTER HARDWARE MAINTENANCE")</f>
        <v xml:space="preserve">          6372 - COMPUTER HARDWARE MAINTENANCE</v>
      </c>
      <c r="C84" s="11"/>
      <c r="D84" s="7"/>
      <c r="E84" s="2"/>
      <c r="F84" s="6">
        <f t="shared" si="47"/>
        <v>0</v>
      </c>
      <c r="G84" s="2"/>
      <c r="H84" s="7"/>
      <c r="I84" s="2"/>
      <c r="J84" s="6">
        <f t="shared" si="48"/>
        <v>0</v>
      </c>
      <c r="K84" s="2"/>
      <c r="L84" s="7">
        <f t="shared" si="49"/>
        <v>0</v>
      </c>
      <c r="M84" s="2"/>
      <c r="N84" s="6">
        <f t="shared" si="50"/>
        <v>0</v>
      </c>
      <c r="O84" s="11"/>
      <c r="P84" s="7">
        <v>8142.87</v>
      </c>
      <c r="Q84" s="2"/>
      <c r="R84" s="6">
        <f t="shared" si="51"/>
        <v>1.7627005843987987E-3</v>
      </c>
      <c r="S84" s="2"/>
      <c r="T84" s="7">
        <v>880.96</v>
      </c>
      <c r="U84" s="2"/>
      <c r="V84" s="6">
        <f t="shared" si="52"/>
        <v>1.2861892341651225E-4</v>
      </c>
      <c r="W84" s="2"/>
      <c r="X84" s="7">
        <f t="shared" si="53"/>
        <v>7261.91</v>
      </c>
      <c r="Y84" s="2"/>
      <c r="Z84" s="6">
        <f t="shared" si="54"/>
        <v>8.2431778968398106</v>
      </c>
    </row>
    <row r="85" spans="1:26" s="24" customFormat="1" hidden="1" outlineLevel="2" x14ac:dyDescent="0.35">
      <c r="A85" s="27"/>
      <c r="B85" s="11" t="str">
        <f>CONCATENATE("          ", "6373", " - ", "MAINTENANCE CONTRACTS")</f>
        <v xml:space="preserve">          6373 - MAINTENANCE CONTRACTS</v>
      </c>
      <c r="C85" s="11"/>
      <c r="D85" s="7">
        <v>7691.29</v>
      </c>
      <c r="E85" s="2"/>
      <c r="F85" s="6">
        <f t="shared" si="47"/>
        <v>0</v>
      </c>
      <c r="G85" s="2"/>
      <c r="H85" s="7">
        <v>7629.55</v>
      </c>
      <c r="I85" s="2"/>
      <c r="J85" s="6">
        <f t="shared" si="48"/>
        <v>4.7591850671792675E-2</v>
      </c>
      <c r="K85" s="2"/>
      <c r="L85" s="7">
        <f t="shared" si="49"/>
        <v>61.739999999999782</v>
      </c>
      <c r="M85" s="2"/>
      <c r="N85" s="6">
        <f t="shared" si="50"/>
        <v>8.0922203799699555E-3</v>
      </c>
      <c r="O85" s="11"/>
      <c r="P85" s="7">
        <v>100948.53</v>
      </c>
      <c r="Q85" s="2"/>
      <c r="R85" s="6">
        <f t="shared" si="51"/>
        <v>2.185249584301354E-2</v>
      </c>
      <c r="S85" s="2"/>
      <c r="T85" s="7">
        <v>126736.87</v>
      </c>
      <c r="U85" s="2"/>
      <c r="V85" s="6">
        <f t="shared" si="52"/>
        <v>1.8503405122342068E-2</v>
      </c>
      <c r="W85" s="2"/>
      <c r="X85" s="7">
        <f t="shared" si="53"/>
        <v>-25788.339999999997</v>
      </c>
      <c r="Y85" s="2"/>
      <c r="Z85" s="6">
        <f t="shared" si="54"/>
        <v>-0.20347938212455458</v>
      </c>
    </row>
    <row r="86" spans="1:26" s="24" customFormat="1" hidden="1" outlineLevel="2" x14ac:dyDescent="0.35">
      <c r="A86" s="27"/>
      <c r="B86" s="11" t="str">
        <f>CONCATENATE("          ", "6375", " - ", "OUTSIDE REPAIRS &amp; MAINTENANCE")</f>
        <v xml:space="preserve">          6375 - OUTSIDE REPAIRS &amp; MAINTENANCE</v>
      </c>
      <c r="C86" s="11"/>
      <c r="D86" s="7"/>
      <c r="E86" s="2"/>
      <c r="F86" s="6">
        <f t="shared" si="47"/>
        <v>0</v>
      </c>
      <c r="G86" s="2"/>
      <c r="H86" s="7">
        <v>12656.67</v>
      </c>
      <c r="I86" s="2"/>
      <c r="J86" s="6">
        <f t="shared" si="48"/>
        <v>7.8950180370029446E-2</v>
      </c>
      <c r="K86" s="2"/>
      <c r="L86" s="7">
        <f t="shared" si="49"/>
        <v>-12656.67</v>
      </c>
      <c r="M86" s="2"/>
      <c r="N86" s="6">
        <f t="shared" si="50"/>
        <v>-1</v>
      </c>
      <c r="O86" s="11"/>
      <c r="P86" s="7">
        <v>114038.47</v>
      </c>
      <c r="Q86" s="2"/>
      <c r="R86" s="6">
        <f t="shared" si="51"/>
        <v>2.4686096881436755E-2</v>
      </c>
      <c r="S86" s="2"/>
      <c r="T86" s="7">
        <v>161343.87</v>
      </c>
      <c r="U86" s="2"/>
      <c r="V86" s="6">
        <f t="shared" si="52"/>
        <v>2.3555978545284354E-2</v>
      </c>
      <c r="W86" s="2"/>
      <c r="X86" s="7">
        <f t="shared" si="53"/>
        <v>-47305.399999999994</v>
      </c>
      <c r="Y86" s="2"/>
      <c r="Z86" s="6">
        <f t="shared" si="54"/>
        <v>-0.29319614064048416</v>
      </c>
    </row>
    <row r="87" spans="1:26" s="25" customFormat="1" outlineLevel="1" collapsed="1" x14ac:dyDescent="0.35">
      <c r="A87" s="26"/>
      <c r="B87" s="12" t="str">
        <f>CONCATENATE("     ","Royalty &amp; Commissions                             ")</f>
        <v xml:space="preserve">     Royalty &amp; Commissions                             </v>
      </c>
      <c r="C87" s="12"/>
      <c r="D87" s="1">
        <f>SUM(OSRRefD22_17x_0)</f>
        <v>0</v>
      </c>
      <c r="E87" s="1"/>
      <c r="F87" s="5">
        <f t="shared" ref="F87:F89" si="55">IF(D$12=0,0,D87/D$12)</f>
        <v>0</v>
      </c>
      <c r="G87" s="1"/>
      <c r="H87" s="1">
        <f>SUM(OSRRefH22_17x_0)</f>
        <v>10256.039999999999</v>
      </c>
      <c r="I87" s="1"/>
      <c r="J87" s="5">
        <f t="shared" ref="J87:J89" si="56">IF(H$12=0,0,H87/H$12)</f>
        <v>6.3975453881805935E-2</v>
      </c>
      <c r="K87" s="1"/>
      <c r="L87" s="1">
        <f t="shared" ref="L87:L89" si="57">+D87-H87</f>
        <v>-10256.039999999999</v>
      </c>
      <c r="M87" s="1"/>
      <c r="N87" s="5">
        <f t="shared" ref="N87:N89" si="58">IF(H87=0,0,L87/H87)</f>
        <v>-1</v>
      </c>
      <c r="O87" s="12"/>
      <c r="P87" s="1">
        <f>SUM(OSRRefP22_17x_0)</f>
        <v>233763.46999999997</v>
      </c>
      <c r="Q87" s="1"/>
      <c r="R87" s="5">
        <f t="shared" ref="R87:R89" si="59">IF(P$12=0,0,P87/P$12)</f>
        <v>5.0603166350450278E-2</v>
      </c>
      <c r="S87" s="1"/>
      <c r="T87" s="1">
        <f>SUM(OSRRefT22_17x_0)</f>
        <v>446474.05</v>
      </c>
      <c r="U87" s="1"/>
      <c r="V87" s="5">
        <f t="shared" ref="V87:V89" si="60">IF(T$12=0,0,T87/T$12)</f>
        <v>6.5184584594544653E-2</v>
      </c>
      <c r="W87" s="1"/>
      <c r="X87" s="1">
        <f t="shared" ref="X87:X89" si="61">+P87-T87</f>
        <v>-212710.58000000002</v>
      </c>
      <c r="Y87" s="1"/>
      <c r="Z87" s="5">
        <f t="shared" ref="Z87:Z89" si="62">IF(T87=0,0,X87/T87)</f>
        <v>-0.47642316501933318</v>
      </c>
    </row>
    <row r="88" spans="1:26" s="24" customFormat="1" hidden="1" outlineLevel="2" x14ac:dyDescent="0.35">
      <c r="A88" s="27"/>
      <c r="B88" s="11" t="str">
        <f>CONCATENATE("          ", "6254", " - ", "ROYALTY &amp; COMMISSIONS")</f>
        <v xml:space="preserve">          6254 - ROYALTY &amp; COMMISSIONS</v>
      </c>
      <c r="C88" s="11"/>
      <c r="D88" s="7"/>
      <c r="E88" s="2"/>
      <c r="F88" s="6">
        <f t="shared" si="55"/>
        <v>0</v>
      </c>
      <c r="G88" s="2"/>
      <c r="H88" s="7">
        <v>9001.56</v>
      </c>
      <c r="I88" s="2"/>
      <c r="J88" s="6">
        <f t="shared" si="56"/>
        <v>5.6150218470706927E-2</v>
      </c>
      <c r="K88" s="2"/>
      <c r="L88" s="7">
        <f t="shared" si="57"/>
        <v>-9001.56</v>
      </c>
      <c r="M88" s="2"/>
      <c r="N88" s="6">
        <f t="shared" si="58"/>
        <v>-1</v>
      </c>
      <c r="O88" s="11"/>
      <c r="P88" s="7">
        <v>129093.51</v>
      </c>
      <c r="Q88" s="2"/>
      <c r="R88" s="6">
        <f t="shared" si="59"/>
        <v>2.7945086378524057E-2</v>
      </c>
      <c r="S88" s="2"/>
      <c r="T88" s="7">
        <v>305470.61</v>
      </c>
      <c r="U88" s="2"/>
      <c r="V88" s="6">
        <f t="shared" si="60"/>
        <v>4.4598280277861967E-2</v>
      </c>
      <c r="W88" s="2"/>
      <c r="X88" s="7">
        <f t="shared" si="61"/>
        <v>-176377.09999999998</v>
      </c>
      <c r="Y88" s="2"/>
      <c r="Z88" s="6">
        <f t="shared" si="62"/>
        <v>-0.57739466327055156</v>
      </c>
    </row>
    <row r="89" spans="1:26" s="24" customFormat="1" hidden="1" outlineLevel="2" x14ac:dyDescent="0.35">
      <c r="A89" s="27"/>
      <c r="B89" s="11" t="str">
        <f>CONCATENATE("          ", "6259", " - ", "ROYALTY &amp; COMMISSIONS")</f>
        <v xml:space="preserve">          6259 - ROYALTY &amp; COMMISSIONS</v>
      </c>
      <c r="C89" s="11"/>
      <c r="D89" s="7"/>
      <c r="E89" s="2"/>
      <c r="F89" s="6">
        <f t="shared" si="55"/>
        <v>0</v>
      </c>
      <c r="G89" s="2"/>
      <c r="H89" s="7">
        <v>1254.48</v>
      </c>
      <c r="I89" s="2"/>
      <c r="J89" s="6">
        <f t="shared" si="56"/>
        <v>7.8252354110990123E-3</v>
      </c>
      <c r="K89" s="2"/>
      <c r="L89" s="7">
        <f t="shared" si="57"/>
        <v>-1254.48</v>
      </c>
      <c r="M89" s="2"/>
      <c r="N89" s="6">
        <f t="shared" si="58"/>
        <v>-1</v>
      </c>
      <c r="O89" s="11"/>
      <c r="P89" s="7">
        <v>104669.95999999999</v>
      </c>
      <c r="Q89" s="2"/>
      <c r="R89" s="6">
        <f t="shared" si="59"/>
        <v>2.2658079971926225E-2</v>
      </c>
      <c r="S89" s="2"/>
      <c r="T89" s="7">
        <v>141003.44</v>
      </c>
      <c r="U89" s="2"/>
      <c r="V89" s="6">
        <f t="shared" si="60"/>
        <v>2.0586304316682687E-2</v>
      </c>
      <c r="W89" s="2"/>
      <c r="X89" s="7">
        <f t="shared" si="61"/>
        <v>-36333.48000000001</v>
      </c>
      <c r="Y89" s="2"/>
      <c r="Z89" s="6">
        <f t="shared" si="62"/>
        <v>-0.25767796870771387</v>
      </c>
    </row>
    <row r="90" spans="1:26" s="25" customFormat="1" outlineLevel="1" collapsed="1" x14ac:dyDescent="0.35">
      <c r="A90" s="26"/>
      <c r="B90" s="12" t="str">
        <f>CONCATENATE("     ","Services                                          ")</f>
        <v xml:space="preserve">     Services                                          </v>
      </c>
      <c r="C90" s="12"/>
      <c r="D90" s="1">
        <f>SUM(OSRRefD22_18x_0)</f>
        <v>13264.94</v>
      </c>
      <c r="E90" s="1"/>
      <c r="F90" s="5">
        <f t="shared" ref="F90:F95" si="63">IF(D$12=0,0,D90/D$12)</f>
        <v>0</v>
      </c>
      <c r="G90" s="1"/>
      <c r="H90" s="1">
        <f>SUM(OSRRefH22_18x_0)</f>
        <v>19574.699999999997</v>
      </c>
      <c r="I90" s="1"/>
      <c r="J90" s="5">
        <f t="shared" ref="J90:J95" si="64">IF(H$12=0,0,H90/H$12)</f>
        <v>0.12210368886043604</v>
      </c>
      <c r="K90" s="1"/>
      <c r="L90" s="1">
        <f t="shared" ref="L90:L95" si="65">+D90-H90</f>
        <v>-6309.7599999999966</v>
      </c>
      <c r="M90" s="1"/>
      <c r="N90" s="5">
        <f t="shared" ref="N90:N95" si="66">IF(H90=0,0,L90/H90)</f>
        <v>-0.32234261572335704</v>
      </c>
      <c r="O90" s="12"/>
      <c r="P90" s="1">
        <f>SUM(OSRRefP22_18x_0)</f>
        <v>231180.97999999998</v>
      </c>
      <c r="Q90" s="1"/>
      <c r="R90" s="5">
        <f t="shared" ref="R90:R95" si="67">IF(P$12=0,0,P90/P$12)</f>
        <v>5.0044130453745055E-2</v>
      </c>
      <c r="S90" s="1"/>
      <c r="T90" s="1">
        <f>SUM(OSRRefT22_18x_0)</f>
        <v>277968.99</v>
      </c>
      <c r="U90" s="1"/>
      <c r="V90" s="5">
        <f t="shared" ref="V90:V95" si="68">IF(T$12=0,0,T90/T$12)</f>
        <v>4.0583082361259598E-2</v>
      </c>
      <c r="W90" s="1"/>
      <c r="X90" s="1">
        <f t="shared" ref="X90:X95" si="69">+P90-T90</f>
        <v>-46788.010000000009</v>
      </c>
      <c r="Y90" s="1"/>
      <c r="Z90" s="5">
        <f t="shared" ref="Z90:Z95" si="70">IF(T90=0,0,X90/T90)</f>
        <v>-0.16832096990387313</v>
      </c>
    </row>
    <row r="91" spans="1:26" s="24" customFormat="1" hidden="1" outlineLevel="2" x14ac:dyDescent="0.35">
      <c r="A91" s="27"/>
      <c r="B91" s="11" t="str">
        <f>CONCATENATE("          ", "6282", " - ", "JANITORIAL/EXTERMINATOR EXPENS")</f>
        <v xml:space="preserve">          6282 - JANITORIAL/EXTERMINATOR EXPENS</v>
      </c>
      <c r="C91" s="11"/>
      <c r="D91" s="7">
        <v>1909.6</v>
      </c>
      <c r="E91" s="2"/>
      <c r="F91" s="6">
        <f t="shared" si="63"/>
        <v>0</v>
      </c>
      <c r="G91" s="2"/>
      <c r="H91" s="7"/>
      <c r="I91" s="2"/>
      <c r="J91" s="6">
        <f t="shared" si="64"/>
        <v>0</v>
      </c>
      <c r="K91" s="2"/>
      <c r="L91" s="7">
        <f t="shared" si="65"/>
        <v>1909.6</v>
      </c>
      <c r="M91" s="2"/>
      <c r="N91" s="6">
        <f t="shared" si="66"/>
        <v>0</v>
      </c>
      <c r="O91" s="11"/>
      <c r="P91" s="7">
        <v>14588.34</v>
      </c>
      <c r="Q91" s="2"/>
      <c r="R91" s="6">
        <f t="shared" si="67"/>
        <v>3.1579621734607543E-3</v>
      </c>
      <c r="S91" s="2"/>
      <c r="T91" s="7">
        <v>14009.35</v>
      </c>
      <c r="U91" s="2"/>
      <c r="V91" s="6">
        <f t="shared" si="68"/>
        <v>2.045345435394474E-3</v>
      </c>
      <c r="W91" s="2"/>
      <c r="X91" s="7">
        <f t="shared" si="69"/>
        <v>578.98999999999978</v>
      </c>
      <c r="Y91" s="2"/>
      <c r="Z91" s="6">
        <f t="shared" si="70"/>
        <v>4.1328826819231425E-2</v>
      </c>
    </row>
    <row r="92" spans="1:26" s="24" customFormat="1" hidden="1" outlineLevel="2" x14ac:dyDescent="0.35">
      <c r="A92" s="27"/>
      <c r="B92" s="11" t="str">
        <f>CONCATENATE("          ", "6283", " - ", "PLANT SERVICE")</f>
        <v xml:space="preserve">          6283 - PLANT SERVICE</v>
      </c>
      <c r="C92" s="11"/>
      <c r="D92" s="7"/>
      <c r="E92" s="2"/>
      <c r="F92" s="6">
        <f t="shared" si="63"/>
        <v>0</v>
      </c>
      <c r="G92" s="2"/>
      <c r="H92" s="7">
        <v>199.78</v>
      </c>
      <c r="I92" s="2"/>
      <c r="J92" s="6">
        <f t="shared" si="64"/>
        <v>1.2461940648151909E-3</v>
      </c>
      <c r="K92" s="2"/>
      <c r="L92" s="7">
        <f t="shared" si="65"/>
        <v>-199.78</v>
      </c>
      <c r="M92" s="2"/>
      <c r="N92" s="6">
        <f t="shared" si="66"/>
        <v>-1</v>
      </c>
      <c r="O92" s="11"/>
      <c r="P92" s="7">
        <v>1798.02</v>
      </c>
      <c r="Q92" s="2"/>
      <c r="R92" s="6">
        <f t="shared" si="67"/>
        <v>3.8922037374546423E-4</v>
      </c>
      <c r="S92" s="2"/>
      <c r="T92" s="7">
        <v>2135.7800000000002</v>
      </c>
      <c r="U92" s="2"/>
      <c r="V92" s="6">
        <f t="shared" si="68"/>
        <v>3.118208820542573E-4</v>
      </c>
      <c r="W92" s="2"/>
      <c r="X92" s="7">
        <f t="shared" si="69"/>
        <v>-337.76000000000022</v>
      </c>
      <c r="Y92" s="2"/>
      <c r="Z92" s="6">
        <f t="shared" si="70"/>
        <v>-0.1581436290254615</v>
      </c>
    </row>
    <row r="93" spans="1:26" s="24" customFormat="1" hidden="1" outlineLevel="2" x14ac:dyDescent="0.35">
      <c r="A93" s="27"/>
      <c r="B93" s="11" t="str">
        <f>CONCATENATE("          ", "6284", " - ", "TRASH REMOVAL EXPENSE")</f>
        <v xml:space="preserve">          6284 - TRASH REMOVAL EXPENSE</v>
      </c>
      <c r="C93" s="11"/>
      <c r="D93" s="7">
        <v>5128</v>
      </c>
      <c r="E93" s="2"/>
      <c r="F93" s="6">
        <f t="shared" si="63"/>
        <v>0</v>
      </c>
      <c r="G93" s="2"/>
      <c r="H93" s="7">
        <v>4199</v>
      </c>
      <c r="I93" s="2"/>
      <c r="J93" s="6">
        <f t="shared" si="64"/>
        <v>2.6192656312738948E-2</v>
      </c>
      <c r="K93" s="2"/>
      <c r="L93" s="7">
        <f t="shared" si="65"/>
        <v>929</v>
      </c>
      <c r="M93" s="2"/>
      <c r="N93" s="6">
        <f t="shared" si="66"/>
        <v>0.22124315313169801</v>
      </c>
      <c r="O93" s="11"/>
      <c r="P93" s="7">
        <v>53669</v>
      </c>
      <c r="Q93" s="2"/>
      <c r="R93" s="6">
        <f t="shared" si="67"/>
        <v>1.1617817509563476E-2</v>
      </c>
      <c r="S93" s="2"/>
      <c r="T93" s="7">
        <v>59177.270000000004</v>
      </c>
      <c r="U93" s="2"/>
      <c r="V93" s="6">
        <f t="shared" si="68"/>
        <v>8.6397983542138897E-3</v>
      </c>
      <c r="W93" s="2"/>
      <c r="X93" s="7">
        <f t="shared" si="69"/>
        <v>-5508.2700000000041</v>
      </c>
      <c r="Y93" s="2"/>
      <c r="Z93" s="6">
        <f t="shared" si="70"/>
        <v>-9.308083999143596E-2</v>
      </c>
    </row>
    <row r="94" spans="1:26" s="24" customFormat="1" hidden="1" outlineLevel="2" x14ac:dyDescent="0.35">
      <c r="A94" s="27"/>
      <c r="B94" s="11" t="str">
        <f>CONCATENATE("          ", "6285", " - ", "JANITORIAL SERVICES")</f>
        <v xml:space="preserve">          6285 - JANITORIAL SERVICES</v>
      </c>
      <c r="C94" s="11"/>
      <c r="D94" s="7">
        <v>6227.34</v>
      </c>
      <c r="E94" s="2"/>
      <c r="F94" s="6">
        <f t="shared" si="63"/>
        <v>0</v>
      </c>
      <c r="G94" s="2"/>
      <c r="H94" s="7">
        <v>12894.46</v>
      </c>
      <c r="I94" s="2"/>
      <c r="J94" s="6">
        <f t="shared" si="64"/>
        <v>8.0433474426853974E-2</v>
      </c>
      <c r="K94" s="2"/>
      <c r="L94" s="7">
        <f t="shared" si="65"/>
        <v>-6667.119999999999</v>
      </c>
      <c r="M94" s="2"/>
      <c r="N94" s="6">
        <f t="shared" si="66"/>
        <v>-0.51705305999630846</v>
      </c>
      <c r="O94" s="11"/>
      <c r="P94" s="7">
        <v>134115.00999999998</v>
      </c>
      <c r="Q94" s="2"/>
      <c r="R94" s="6">
        <f t="shared" si="67"/>
        <v>2.9032098818187042E-2</v>
      </c>
      <c r="S94" s="2"/>
      <c r="T94" s="7">
        <v>158084.85</v>
      </c>
      <c r="U94" s="2"/>
      <c r="V94" s="6">
        <f t="shared" si="68"/>
        <v>2.3080166199896505E-2</v>
      </c>
      <c r="W94" s="2"/>
      <c r="X94" s="7">
        <f t="shared" si="69"/>
        <v>-23969.840000000026</v>
      </c>
      <c r="Y94" s="2"/>
      <c r="Z94" s="6">
        <f t="shared" si="70"/>
        <v>-0.15162642087461276</v>
      </c>
    </row>
    <row r="95" spans="1:26" s="24" customFormat="1" hidden="1" outlineLevel="2" x14ac:dyDescent="0.35">
      <c r="A95" s="27"/>
      <c r="B95" s="11" t="str">
        <f>CONCATENATE("          ", "6286", " - ", "LAUNDRY EXPENSE")</f>
        <v xml:space="preserve">          6286 - LAUNDRY EXPENSE</v>
      </c>
      <c r="C95" s="11"/>
      <c r="D95" s="7"/>
      <c r="E95" s="2"/>
      <c r="F95" s="6">
        <f t="shared" si="63"/>
        <v>0</v>
      </c>
      <c r="G95" s="2"/>
      <c r="H95" s="7">
        <v>2281.46</v>
      </c>
      <c r="I95" s="2"/>
      <c r="J95" s="6">
        <f t="shared" si="64"/>
        <v>1.4231364056027958E-2</v>
      </c>
      <c r="K95" s="2"/>
      <c r="L95" s="7">
        <f t="shared" si="65"/>
        <v>-2281.46</v>
      </c>
      <c r="M95" s="2"/>
      <c r="N95" s="6">
        <f t="shared" si="66"/>
        <v>-1</v>
      </c>
      <c r="O95" s="11"/>
      <c r="P95" s="7">
        <v>27010.609999999997</v>
      </c>
      <c r="Q95" s="2"/>
      <c r="R95" s="6">
        <f t="shared" si="67"/>
        <v>5.8470315787883184E-3</v>
      </c>
      <c r="S95" s="2"/>
      <c r="T95" s="7">
        <v>44561.740000000005</v>
      </c>
      <c r="U95" s="2"/>
      <c r="V95" s="6">
        <f t="shared" si="68"/>
        <v>6.5059514897004749E-3</v>
      </c>
      <c r="W95" s="2"/>
      <c r="X95" s="7">
        <f t="shared" si="69"/>
        <v>-17551.130000000008</v>
      </c>
      <c r="Y95" s="2"/>
      <c r="Z95" s="6">
        <f t="shared" si="70"/>
        <v>-0.39386096682939237</v>
      </c>
    </row>
    <row r="96" spans="1:26" s="25" customFormat="1" outlineLevel="1" collapsed="1" x14ac:dyDescent="0.35">
      <c r="A96" s="26"/>
      <c r="B96" s="12" t="str">
        <f>CONCATENATE("     ","Subscriptions &amp; Dues                              ")</f>
        <v xml:space="preserve">     Subscriptions &amp; Dues                              </v>
      </c>
      <c r="C96" s="12"/>
      <c r="D96" s="1">
        <f>SUM(OSRRefD22_19x_0)</f>
        <v>0</v>
      </c>
      <c r="E96" s="1"/>
      <c r="F96" s="5">
        <f t="shared" ref="F96:F98" si="71">IF(D$12=0,0,D96/D$12)</f>
        <v>0</v>
      </c>
      <c r="G96" s="1"/>
      <c r="H96" s="1">
        <f>SUM(OSRRefH22_19x_0)</f>
        <v>2465.4899999999998</v>
      </c>
      <c r="I96" s="1"/>
      <c r="J96" s="5">
        <f t="shared" ref="J96:J98" si="72">IF(H$12=0,0,H96/H$12)</f>
        <v>1.5379312267800605E-2</v>
      </c>
      <c r="K96" s="1"/>
      <c r="L96" s="1">
        <f t="shared" ref="L96:L98" si="73">+D96-H96</f>
        <v>-2465.4899999999998</v>
      </c>
      <c r="M96" s="1"/>
      <c r="N96" s="5">
        <f t="shared" ref="N96:N98" si="74">IF(H96=0,0,L96/H96)</f>
        <v>-1</v>
      </c>
      <c r="O96" s="12"/>
      <c r="P96" s="1">
        <f>SUM(OSRRefP22_19x_0)</f>
        <v>7300.55</v>
      </c>
      <c r="Q96" s="1"/>
      <c r="R96" s="5">
        <f t="shared" ref="R96:R98" si="75">IF(P$12=0,0,P96/P$12)</f>
        <v>1.5803621759198725E-3</v>
      </c>
      <c r="S96" s="1"/>
      <c r="T96" s="1">
        <f>SUM(OSRRefT22_19x_0)</f>
        <v>7666.05</v>
      </c>
      <c r="U96" s="1"/>
      <c r="V96" s="5">
        <f t="shared" ref="V96:V98" si="76">IF(T$12=0,0,T96/T$12)</f>
        <v>1.1192325393402126E-3</v>
      </c>
      <c r="W96" s="1"/>
      <c r="X96" s="1">
        <f t="shared" ref="X96:X98" si="77">+P96-T96</f>
        <v>-365.5</v>
      </c>
      <c r="Y96" s="1"/>
      <c r="Z96" s="5">
        <f t="shared" ref="Z96:Z98" si="78">IF(T96=0,0,X96/T96)</f>
        <v>-4.7677747992773328E-2</v>
      </c>
    </row>
    <row r="97" spans="1:26" s="24" customFormat="1" hidden="1" outlineLevel="2" x14ac:dyDescent="0.35">
      <c r="A97" s="27"/>
      <c r="B97" s="11" t="str">
        <f>CONCATENATE("          ", "6258", " - ", "MEMBERSHIP DUES")</f>
        <v xml:space="preserve">          6258 - MEMBERSHIP DUES</v>
      </c>
      <c r="C97" s="11"/>
      <c r="D97" s="7"/>
      <c r="E97" s="2"/>
      <c r="F97" s="6">
        <f t="shared" si="71"/>
        <v>0</v>
      </c>
      <c r="G97" s="2"/>
      <c r="H97" s="7"/>
      <c r="I97" s="2"/>
      <c r="J97" s="6">
        <f t="shared" si="72"/>
        <v>0</v>
      </c>
      <c r="K97" s="2"/>
      <c r="L97" s="7">
        <f t="shared" si="73"/>
        <v>0</v>
      </c>
      <c r="M97" s="2"/>
      <c r="N97" s="6">
        <f t="shared" si="74"/>
        <v>0</v>
      </c>
      <c r="O97" s="11"/>
      <c r="P97" s="7">
        <v>3730</v>
      </c>
      <c r="Q97" s="2"/>
      <c r="R97" s="6">
        <f t="shared" si="75"/>
        <v>8.0743929103713067E-4</v>
      </c>
      <c r="S97" s="2"/>
      <c r="T97" s="7"/>
      <c r="U97" s="2"/>
      <c r="V97" s="6">
        <f t="shared" si="76"/>
        <v>0</v>
      </c>
      <c r="W97" s="2"/>
      <c r="X97" s="7">
        <f t="shared" si="77"/>
        <v>3730</v>
      </c>
      <c r="Y97" s="2"/>
      <c r="Z97" s="6">
        <f t="shared" si="78"/>
        <v>0</v>
      </c>
    </row>
    <row r="98" spans="1:26" s="24" customFormat="1" hidden="1" outlineLevel="2" x14ac:dyDescent="0.35">
      <c r="A98" s="27"/>
      <c r="B98" s="11" t="str">
        <f>CONCATENATE("          ", "6275", " - ", "SUBSCRIPTIONS")</f>
        <v xml:space="preserve">          6275 - SUBSCRIPTIONS</v>
      </c>
      <c r="C98" s="11"/>
      <c r="D98" s="7"/>
      <c r="E98" s="2"/>
      <c r="F98" s="6">
        <f t="shared" si="71"/>
        <v>0</v>
      </c>
      <c r="G98" s="2"/>
      <c r="H98" s="7">
        <v>2465.4899999999998</v>
      </c>
      <c r="I98" s="2"/>
      <c r="J98" s="6">
        <f t="shared" si="72"/>
        <v>1.5379312267800605E-2</v>
      </c>
      <c r="K98" s="2"/>
      <c r="L98" s="7">
        <f t="shared" si="73"/>
        <v>-2465.4899999999998</v>
      </c>
      <c r="M98" s="2"/>
      <c r="N98" s="6">
        <f t="shared" si="74"/>
        <v>-1</v>
      </c>
      <c r="O98" s="11"/>
      <c r="P98" s="7">
        <v>3570.55</v>
      </c>
      <c r="Q98" s="2"/>
      <c r="R98" s="6">
        <f t="shared" si="75"/>
        <v>7.7292288488274184E-4</v>
      </c>
      <c r="S98" s="2"/>
      <c r="T98" s="7">
        <v>7666.05</v>
      </c>
      <c r="U98" s="2"/>
      <c r="V98" s="6">
        <f t="shared" si="76"/>
        <v>1.1192325393402126E-3</v>
      </c>
      <c r="W98" s="2"/>
      <c r="X98" s="7">
        <f t="shared" si="77"/>
        <v>-4095.5</v>
      </c>
      <c r="Y98" s="2"/>
      <c r="Z98" s="6">
        <f t="shared" si="78"/>
        <v>-0.53423862354145879</v>
      </c>
    </row>
    <row r="99" spans="1:26" s="25" customFormat="1" outlineLevel="1" collapsed="1" x14ac:dyDescent="0.35">
      <c r="A99" s="26"/>
      <c r="B99" s="12" t="str">
        <f>CONCATENATE("     ","Supplies                                          ")</f>
        <v xml:space="preserve">     Supplies                                          </v>
      </c>
      <c r="C99" s="12"/>
      <c r="D99" s="1">
        <f>SUM(OSRRefD22_20x_0)</f>
        <v>868.63</v>
      </c>
      <c r="E99" s="1"/>
      <c r="F99" s="5">
        <f t="shared" ref="F99:F109" si="79">IF(D$12=0,0,D99/D$12)</f>
        <v>0</v>
      </c>
      <c r="G99" s="1"/>
      <c r="H99" s="1">
        <f>SUM(OSRRefH22_20x_0)</f>
        <v>21924.1</v>
      </c>
      <c r="I99" s="1"/>
      <c r="J99" s="5">
        <f t="shared" ref="J99:J109" si="80">IF(H$12=0,0,H99/H$12)</f>
        <v>0.13675885121841388</v>
      </c>
      <c r="K99" s="1"/>
      <c r="L99" s="1">
        <f t="shared" ref="L99:L109" si="81">+D99-H99</f>
        <v>-21055.469999999998</v>
      </c>
      <c r="M99" s="1"/>
      <c r="N99" s="5">
        <f t="shared" ref="N99:N109" si="82">IF(H99=0,0,L99/H99)</f>
        <v>-0.96038012962903829</v>
      </c>
      <c r="O99" s="12"/>
      <c r="P99" s="1">
        <f>SUM(OSRRefP22_20x_0)</f>
        <v>169811.61000000002</v>
      </c>
      <c r="Q99" s="1"/>
      <c r="R99" s="5">
        <f t="shared" ref="R99:R109" si="83">IF(P$12=0,0,P99/P$12)</f>
        <v>3.675940106924229E-2</v>
      </c>
      <c r="S99" s="1"/>
      <c r="T99" s="1">
        <f>SUM(OSRRefT22_20x_0)</f>
        <v>235149.54</v>
      </c>
      <c r="U99" s="1"/>
      <c r="V99" s="5">
        <f t="shared" ref="V99:V109" si="84">IF(T$12=0,0,T99/T$12)</f>
        <v>3.4331502765946334E-2</v>
      </c>
      <c r="W99" s="1"/>
      <c r="X99" s="1">
        <f t="shared" ref="X99:X109" si="85">+P99-T99</f>
        <v>-65337.929999999993</v>
      </c>
      <c r="Y99" s="1"/>
      <c r="Z99" s="5">
        <f t="shared" ref="Z99:Z109" si="86">IF(T99=0,0,X99/T99)</f>
        <v>-0.27785693308181675</v>
      </c>
    </row>
    <row r="100" spans="1:26" s="24" customFormat="1" hidden="1" outlineLevel="2" x14ac:dyDescent="0.35">
      <c r="A100" s="27"/>
      <c r="B100" s="11" t="str">
        <f>CONCATENATE("          ", "6234", " - ", "EXPENDABLE SUPPLIES &amp; EQUIPMEN")</f>
        <v xml:space="preserve">          6234 - EXPENDABLE SUPPLIES &amp; EQUIPMEN</v>
      </c>
      <c r="C100" s="11"/>
      <c r="D100" s="7">
        <v>1048.8</v>
      </c>
      <c r="E100" s="2"/>
      <c r="F100" s="6">
        <f t="shared" si="79"/>
        <v>0</v>
      </c>
      <c r="G100" s="2"/>
      <c r="H100" s="7">
        <v>523.54</v>
      </c>
      <c r="I100" s="2"/>
      <c r="J100" s="6">
        <f t="shared" si="80"/>
        <v>3.265754533453524E-3</v>
      </c>
      <c r="K100" s="2"/>
      <c r="L100" s="7">
        <f t="shared" si="81"/>
        <v>525.26</v>
      </c>
      <c r="M100" s="2"/>
      <c r="N100" s="6">
        <f t="shared" si="82"/>
        <v>1.003285326813615</v>
      </c>
      <c r="O100" s="11"/>
      <c r="P100" s="7">
        <v>15735.289999999999</v>
      </c>
      <c r="Q100" s="2"/>
      <c r="R100" s="6">
        <f t="shared" si="83"/>
        <v>3.406244343663177E-3</v>
      </c>
      <c r="S100" s="2"/>
      <c r="T100" s="7">
        <v>8466.75</v>
      </c>
      <c r="U100" s="2"/>
      <c r="V100" s="6">
        <f t="shared" si="84"/>
        <v>1.2361336154158588E-3</v>
      </c>
      <c r="W100" s="2"/>
      <c r="X100" s="7">
        <f t="shared" si="85"/>
        <v>7268.5399999999991</v>
      </c>
      <c r="Y100" s="2"/>
      <c r="Z100" s="6">
        <f t="shared" si="86"/>
        <v>0.85848052676646869</v>
      </c>
    </row>
    <row r="101" spans="1:26" s="24" customFormat="1" hidden="1" outlineLevel="2" x14ac:dyDescent="0.35">
      <c r="A101" s="27"/>
      <c r="B101" s="11" t="str">
        <f>CONCATENATE("          ", "6235", " - ", "COVID-19 EXPENSES")</f>
        <v xml:space="preserve">          6235 - COVID-19 EXPENSES</v>
      </c>
      <c r="C101" s="11"/>
      <c r="D101" s="7"/>
      <c r="E101" s="2"/>
      <c r="F101" s="6">
        <f t="shared" si="79"/>
        <v>0</v>
      </c>
      <c r="G101" s="2"/>
      <c r="H101" s="7"/>
      <c r="I101" s="2"/>
      <c r="J101" s="6">
        <f t="shared" si="80"/>
        <v>0</v>
      </c>
      <c r="K101" s="2"/>
      <c r="L101" s="7">
        <f t="shared" si="81"/>
        <v>0</v>
      </c>
      <c r="M101" s="2"/>
      <c r="N101" s="6">
        <f t="shared" si="82"/>
        <v>0</v>
      </c>
      <c r="O101" s="11"/>
      <c r="P101" s="7">
        <v>1095.08</v>
      </c>
      <c r="Q101" s="2"/>
      <c r="R101" s="6">
        <f t="shared" si="83"/>
        <v>2.3705378520883134E-4</v>
      </c>
      <c r="S101" s="2"/>
      <c r="T101" s="7"/>
      <c r="U101" s="2"/>
      <c r="V101" s="6">
        <f t="shared" si="84"/>
        <v>0</v>
      </c>
      <c r="W101" s="2"/>
      <c r="X101" s="7">
        <f t="shared" si="85"/>
        <v>1095.08</v>
      </c>
      <c r="Y101" s="2"/>
      <c r="Z101" s="6">
        <f t="shared" si="86"/>
        <v>0</v>
      </c>
    </row>
    <row r="102" spans="1:26" s="24" customFormat="1" hidden="1" outlineLevel="2" x14ac:dyDescent="0.35">
      <c r="A102" s="27"/>
      <c r="B102" s="11" t="str">
        <f>CONCATENATE("          ", "6237", " - ", "JANITORIAL SUPPLIES")</f>
        <v xml:space="preserve">          6237 - JANITORIAL SUPPLIES</v>
      </c>
      <c r="C102" s="11"/>
      <c r="D102" s="7"/>
      <c r="E102" s="2"/>
      <c r="F102" s="6">
        <f t="shared" si="79"/>
        <v>0</v>
      </c>
      <c r="G102" s="2"/>
      <c r="H102" s="7">
        <v>5442.26</v>
      </c>
      <c r="I102" s="2"/>
      <c r="J102" s="6">
        <f t="shared" si="80"/>
        <v>3.3947903249480035E-2</v>
      </c>
      <c r="K102" s="2"/>
      <c r="L102" s="7">
        <f t="shared" si="81"/>
        <v>-5442.26</v>
      </c>
      <c r="M102" s="2"/>
      <c r="N102" s="6">
        <f t="shared" si="82"/>
        <v>-1</v>
      </c>
      <c r="O102" s="11"/>
      <c r="P102" s="7">
        <v>48480.700000000004</v>
      </c>
      <c r="Q102" s="2"/>
      <c r="R102" s="6">
        <f t="shared" si="83"/>
        <v>1.04946975970466E-2</v>
      </c>
      <c r="S102" s="2"/>
      <c r="T102" s="7">
        <v>56153.93</v>
      </c>
      <c r="U102" s="2"/>
      <c r="V102" s="6">
        <f t="shared" si="84"/>
        <v>8.1983949580073882E-3</v>
      </c>
      <c r="W102" s="2"/>
      <c r="X102" s="7">
        <f t="shared" si="85"/>
        <v>-7673.2299999999959</v>
      </c>
      <c r="Y102" s="2"/>
      <c r="Z102" s="6">
        <f t="shared" si="86"/>
        <v>-0.13664635761023308</v>
      </c>
    </row>
    <row r="103" spans="1:26" s="24" customFormat="1" hidden="1" outlineLevel="2" x14ac:dyDescent="0.35">
      <c r="A103" s="27"/>
      <c r="B103" s="11" t="str">
        <f>CONCATENATE("          ", "6239", " - ", "KITCHEN SUPPLIES")</f>
        <v xml:space="preserve">          6239 - KITCHEN SUPPLIES</v>
      </c>
      <c r="C103" s="11"/>
      <c r="D103" s="7"/>
      <c r="E103" s="2"/>
      <c r="F103" s="6">
        <f t="shared" si="79"/>
        <v>0</v>
      </c>
      <c r="G103" s="2"/>
      <c r="H103" s="7">
        <v>13404.33</v>
      </c>
      <c r="I103" s="2"/>
      <c r="J103" s="6">
        <f t="shared" si="80"/>
        <v>8.3613957797698507E-2</v>
      </c>
      <c r="K103" s="2"/>
      <c r="L103" s="7">
        <f t="shared" si="81"/>
        <v>-13404.33</v>
      </c>
      <c r="M103" s="2"/>
      <c r="N103" s="6">
        <f t="shared" si="82"/>
        <v>-1</v>
      </c>
      <c r="O103" s="11"/>
      <c r="P103" s="7">
        <v>45525.630000000005</v>
      </c>
      <c r="Q103" s="2"/>
      <c r="R103" s="6">
        <f t="shared" si="83"/>
        <v>9.8550086893347804E-3</v>
      </c>
      <c r="S103" s="2"/>
      <c r="T103" s="7">
        <v>73338.33</v>
      </c>
      <c r="U103" s="2"/>
      <c r="V103" s="6">
        <f t="shared" si="84"/>
        <v>1.0707293236656491E-2</v>
      </c>
      <c r="W103" s="2"/>
      <c r="X103" s="7">
        <f t="shared" si="85"/>
        <v>-27812.699999999997</v>
      </c>
      <c r="Y103" s="2"/>
      <c r="Z103" s="6">
        <f t="shared" si="86"/>
        <v>-0.37923825099371633</v>
      </c>
    </row>
    <row r="104" spans="1:26" s="24" customFormat="1" hidden="1" outlineLevel="2" x14ac:dyDescent="0.35">
      <c r="A104" s="27"/>
      <c r="B104" s="11" t="str">
        <f>CONCATENATE("          ", "6241", " - ", "OFFICE EXPENSE")</f>
        <v xml:space="preserve">          6241 - OFFICE EXPENSE</v>
      </c>
      <c r="C104" s="11"/>
      <c r="D104" s="7">
        <v>-180.17</v>
      </c>
      <c r="E104" s="2"/>
      <c r="F104" s="6">
        <f t="shared" si="79"/>
        <v>0</v>
      </c>
      <c r="G104" s="2"/>
      <c r="H104" s="7">
        <v>1982.37</v>
      </c>
      <c r="I104" s="2"/>
      <c r="J104" s="6">
        <f t="shared" si="80"/>
        <v>1.2365690901329912E-2</v>
      </c>
      <c r="K104" s="2"/>
      <c r="L104" s="7">
        <f t="shared" si="81"/>
        <v>-2162.54</v>
      </c>
      <c r="M104" s="2"/>
      <c r="N104" s="6">
        <f t="shared" si="82"/>
        <v>-1.0908861615137437</v>
      </c>
      <c r="O104" s="11"/>
      <c r="P104" s="7">
        <v>17578.900000000001</v>
      </c>
      <c r="Q104" s="2"/>
      <c r="R104" s="6">
        <f t="shared" si="83"/>
        <v>3.8053336603787176E-3</v>
      </c>
      <c r="S104" s="2"/>
      <c r="T104" s="7">
        <v>29428.57</v>
      </c>
      <c r="U104" s="2"/>
      <c r="V104" s="6">
        <f t="shared" si="84"/>
        <v>4.296529911786539E-3</v>
      </c>
      <c r="W104" s="2"/>
      <c r="X104" s="7">
        <f t="shared" si="85"/>
        <v>-11849.669999999998</v>
      </c>
      <c r="Y104" s="2"/>
      <c r="Z104" s="6">
        <f t="shared" si="86"/>
        <v>-0.40265870886692756</v>
      </c>
    </row>
    <row r="105" spans="1:26" s="24" customFormat="1" hidden="1" outlineLevel="2" x14ac:dyDescent="0.35">
      <c r="A105" s="27"/>
      <c r="B105" s="11" t="str">
        <f>CONCATENATE("          ", "6243", " - ", "PAPER SUPPLIES")</f>
        <v xml:space="preserve">          6243 - PAPER SUPPLIES</v>
      </c>
      <c r="C105" s="11"/>
      <c r="D105" s="7"/>
      <c r="E105" s="2"/>
      <c r="F105" s="6">
        <f t="shared" si="79"/>
        <v>0</v>
      </c>
      <c r="G105" s="2"/>
      <c r="H105" s="7">
        <v>324.02999999999997</v>
      </c>
      <c r="I105" s="2"/>
      <c r="J105" s="6">
        <f t="shared" si="80"/>
        <v>2.0212446832619194E-3</v>
      </c>
      <c r="K105" s="2"/>
      <c r="L105" s="7">
        <f t="shared" si="81"/>
        <v>-324.02999999999997</v>
      </c>
      <c r="M105" s="2"/>
      <c r="N105" s="6">
        <f t="shared" si="82"/>
        <v>-1</v>
      </c>
      <c r="O105" s="11"/>
      <c r="P105" s="7">
        <v>29152.85</v>
      </c>
      <c r="Q105" s="2"/>
      <c r="R105" s="6">
        <f t="shared" si="83"/>
        <v>6.3107658272685821E-3</v>
      </c>
      <c r="S105" s="2"/>
      <c r="T105" s="7">
        <v>48956.68</v>
      </c>
      <c r="U105" s="2"/>
      <c r="V105" s="6">
        <f t="shared" si="84"/>
        <v>7.1476065606232934E-3</v>
      </c>
      <c r="W105" s="2"/>
      <c r="X105" s="7">
        <f t="shared" si="85"/>
        <v>-19803.830000000002</v>
      </c>
      <c r="Y105" s="2"/>
      <c r="Z105" s="6">
        <f t="shared" si="86"/>
        <v>-0.40451742234154769</v>
      </c>
    </row>
    <row r="106" spans="1:26" s="24" customFormat="1" hidden="1" outlineLevel="2" x14ac:dyDescent="0.35">
      <c r="A106" s="27"/>
      <c r="B106" s="11" t="str">
        <f>CONCATENATE("          ", "6245", " - ", "PRINTING")</f>
        <v xml:space="preserve">          6245 - PRINTING</v>
      </c>
      <c r="C106" s="11"/>
      <c r="D106" s="7"/>
      <c r="E106" s="2"/>
      <c r="F106" s="6">
        <f t="shared" si="79"/>
        <v>0</v>
      </c>
      <c r="G106" s="2"/>
      <c r="H106" s="7">
        <v>59.7</v>
      </c>
      <c r="I106" s="2"/>
      <c r="J106" s="6">
        <f t="shared" si="80"/>
        <v>3.7239856677078235E-4</v>
      </c>
      <c r="K106" s="2"/>
      <c r="L106" s="7">
        <f t="shared" si="81"/>
        <v>-59.7</v>
      </c>
      <c r="M106" s="2"/>
      <c r="N106" s="6">
        <f t="shared" si="82"/>
        <v>-1</v>
      </c>
      <c r="O106" s="11"/>
      <c r="P106" s="7">
        <v>531.28</v>
      </c>
      <c r="Q106" s="2"/>
      <c r="R106" s="6">
        <f t="shared" si="83"/>
        <v>1.1500706341614121E-4</v>
      </c>
      <c r="S106" s="2"/>
      <c r="T106" s="7">
        <v>352.09</v>
      </c>
      <c r="U106" s="2"/>
      <c r="V106" s="6">
        <f t="shared" si="84"/>
        <v>5.1404645779285994E-5</v>
      </c>
      <c r="W106" s="2"/>
      <c r="X106" s="7">
        <f t="shared" si="85"/>
        <v>179.19</v>
      </c>
      <c r="Y106" s="2"/>
      <c r="Z106" s="6">
        <f t="shared" si="86"/>
        <v>0.50893237524496582</v>
      </c>
    </row>
    <row r="107" spans="1:26" s="24" customFormat="1" hidden="1" outlineLevel="2" x14ac:dyDescent="0.35">
      <c r="A107" s="27"/>
      <c r="B107" s="11" t="str">
        <f>CONCATENATE("          ", "6246", " - ", "REPLACEMENTS")</f>
        <v xml:space="preserve">          6246 - REPLACEMENTS</v>
      </c>
      <c r="C107" s="11"/>
      <c r="D107" s="7"/>
      <c r="E107" s="2"/>
      <c r="F107" s="6">
        <f t="shared" si="79"/>
        <v>0</v>
      </c>
      <c r="G107" s="2"/>
      <c r="H107" s="7"/>
      <c r="I107" s="2"/>
      <c r="J107" s="6">
        <f t="shared" si="80"/>
        <v>0</v>
      </c>
      <c r="K107" s="2"/>
      <c r="L107" s="7">
        <f t="shared" si="81"/>
        <v>0</v>
      </c>
      <c r="M107" s="2"/>
      <c r="N107" s="6">
        <f t="shared" si="82"/>
        <v>0</v>
      </c>
      <c r="O107" s="11"/>
      <c r="P107" s="7">
        <v>25.87</v>
      </c>
      <c r="Q107" s="2"/>
      <c r="R107" s="6">
        <f t="shared" si="83"/>
        <v>5.600121838909E-6</v>
      </c>
      <c r="S107" s="2"/>
      <c r="T107" s="7"/>
      <c r="U107" s="2"/>
      <c r="V107" s="6">
        <f t="shared" si="84"/>
        <v>0</v>
      </c>
      <c r="W107" s="2"/>
      <c r="X107" s="7">
        <f t="shared" si="85"/>
        <v>25.87</v>
      </c>
      <c r="Y107" s="2"/>
      <c r="Z107" s="6">
        <f t="shared" si="86"/>
        <v>0</v>
      </c>
    </row>
    <row r="108" spans="1:26" s="24" customFormat="1" hidden="1" outlineLevel="2" x14ac:dyDescent="0.35">
      <c r="A108" s="27"/>
      <c r="B108" s="11" t="str">
        <f>CONCATENATE("          ", "6247", " - ", "STORE SUPPLIES")</f>
        <v xml:space="preserve">          6247 - STORE SUPPLIES</v>
      </c>
      <c r="C108" s="11"/>
      <c r="D108" s="7"/>
      <c r="E108" s="2"/>
      <c r="F108" s="6">
        <f t="shared" si="79"/>
        <v>0</v>
      </c>
      <c r="G108" s="2"/>
      <c r="H108" s="7">
        <v>187.87</v>
      </c>
      <c r="I108" s="2"/>
      <c r="J108" s="6">
        <f t="shared" si="80"/>
        <v>1.1719014864192108E-3</v>
      </c>
      <c r="K108" s="2"/>
      <c r="L108" s="7">
        <f t="shared" si="81"/>
        <v>-187.87</v>
      </c>
      <c r="M108" s="2"/>
      <c r="N108" s="6">
        <f t="shared" si="82"/>
        <v>-1</v>
      </c>
      <c r="O108" s="11"/>
      <c r="P108" s="7">
        <v>6962.12</v>
      </c>
      <c r="Q108" s="2"/>
      <c r="R108" s="6">
        <f t="shared" si="83"/>
        <v>1.507101672095289E-3</v>
      </c>
      <c r="S108" s="2"/>
      <c r="T108" s="7">
        <v>8678.16</v>
      </c>
      <c r="U108" s="2"/>
      <c r="V108" s="6">
        <f t="shared" si="84"/>
        <v>1.2669991786644567E-3</v>
      </c>
      <c r="W108" s="2"/>
      <c r="X108" s="7">
        <f t="shared" si="85"/>
        <v>-1716.04</v>
      </c>
      <c r="Y108" s="2"/>
      <c r="Z108" s="6">
        <f t="shared" si="86"/>
        <v>-0.19774237856872887</v>
      </c>
    </row>
    <row r="109" spans="1:26" s="24" customFormat="1" hidden="1" outlineLevel="2" x14ac:dyDescent="0.35">
      <c r="A109" s="27"/>
      <c r="B109" s="11" t="str">
        <f>CONCATENATE("          ", "6248", " - ", "UNIFORMS")</f>
        <v xml:space="preserve">          6248 - UNIFORMS</v>
      </c>
      <c r="C109" s="11"/>
      <c r="D109" s="7"/>
      <c r="E109" s="2"/>
      <c r="F109" s="6">
        <f t="shared" si="79"/>
        <v>0</v>
      </c>
      <c r="G109" s="2"/>
      <c r="H109" s="7"/>
      <c r="I109" s="2"/>
      <c r="J109" s="6">
        <f t="shared" si="80"/>
        <v>0</v>
      </c>
      <c r="K109" s="2"/>
      <c r="L109" s="7">
        <f t="shared" si="81"/>
        <v>0</v>
      </c>
      <c r="M109" s="2"/>
      <c r="N109" s="6">
        <f t="shared" si="82"/>
        <v>0</v>
      </c>
      <c r="O109" s="11"/>
      <c r="P109" s="7">
        <v>4723.8900000000003</v>
      </c>
      <c r="Q109" s="2"/>
      <c r="R109" s="6">
        <f t="shared" si="83"/>
        <v>1.0225883089912578E-3</v>
      </c>
      <c r="S109" s="2"/>
      <c r="T109" s="7">
        <v>9775.0300000000007</v>
      </c>
      <c r="U109" s="2"/>
      <c r="V109" s="6">
        <f t="shared" si="84"/>
        <v>1.4271406590130196E-3</v>
      </c>
      <c r="W109" s="2"/>
      <c r="X109" s="7">
        <f t="shared" si="85"/>
        <v>-5051.1400000000003</v>
      </c>
      <c r="Y109" s="2"/>
      <c r="Z109" s="6">
        <f t="shared" si="86"/>
        <v>-0.51673907906164995</v>
      </c>
    </row>
    <row r="110" spans="1:26" s="25" customFormat="1" outlineLevel="1" collapsed="1" x14ac:dyDescent="0.35">
      <c r="A110" s="26"/>
      <c r="B110" s="12" t="str">
        <f>CONCATENATE("     ","Telephone/Data Lines                              ")</f>
        <v xml:space="preserve">     Telephone/Data Lines                              </v>
      </c>
      <c r="C110" s="12"/>
      <c r="D110" s="1">
        <f>SUM(OSRRefD22_21x_0)</f>
        <v>358.92</v>
      </c>
      <c r="E110" s="1"/>
      <c r="F110" s="5">
        <f t="shared" ref="F110:F117" si="87">IF(D$12=0,0,D110/D$12)</f>
        <v>0</v>
      </c>
      <c r="G110" s="1"/>
      <c r="H110" s="1">
        <f>SUM(OSRRefH22_21x_0)</f>
        <v>1910.94</v>
      </c>
      <c r="I110" s="1"/>
      <c r="J110" s="5">
        <f t="shared" ref="J110:J117" si="88">IF(H$12=0,0,H110/H$12)</f>
        <v>1.1920122565912208E-2</v>
      </c>
      <c r="K110" s="1"/>
      <c r="L110" s="1">
        <f t="shared" ref="L110:L117" si="89">+D110-H110</f>
        <v>-1552.02</v>
      </c>
      <c r="M110" s="1"/>
      <c r="N110" s="5">
        <f t="shared" ref="N110:N117" si="90">IF(H110=0,0,L110/H110)</f>
        <v>-0.81217620647430055</v>
      </c>
      <c r="O110" s="12"/>
      <c r="P110" s="1">
        <f>SUM(OSRRefP22_21x_0)</f>
        <v>20968.09</v>
      </c>
      <c r="Q110" s="1"/>
      <c r="R110" s="5">
        <f t="shared" ref="R110:R117" si="91">IF(P$12=0,0,P110/P$12)</f>
        <v>4.5389972450409514E-3</v>
      </c>
      <c r="S110" s="1"/>
      <c r="T110" s="1">
        <f>SUM(OSRRefT22_21x_0)</f>
        <v>23033.83</v>
      </c>
      <c r="U110" s="1"/>
      <c r="V110" s="5">
        <f t="shared" ref="V110:V117" si="92">IF(T$12=0,0,T110/T$12)</f>
        <v>3.3629068479374344E-3</v>
      </c>
      <c r="W110" s="1"/>
      <c r="X110" s="1">
        <f t="shared" ref="X110:X117" si="93">+P110-T110</f>
        <v>-2065.7400000000016</v>
      </c>
      <c r="Y110" s="1"/>
      <c r="Z110" s="5">
        <f t="shared" ref="Z110:Z117" si="94">IF(T110=0,0,X110/T110)</f>
        <v>-8.9682870803509507E-2</v>
      </c>
    </row>
    <row r="111" spans="1:26" s="24" customFormat="1" hidden="1" outlineLevel="2" x14ac:dyDescent="0.35">
      <c r="A111" s="27"/>
      <c r="B111" s="11" t="str">
        <f>CONCATENATE("          ", "6309", " - ", "TELEPHONE")</f>
        <v xml:space="preserve">          6309 - TELEPHONE</v>
      </c>
      <c r="C111" s="11"/>
      <c r="D111" s="7">
        <v>358.92</v>
      </c>
      <c r="E111" s="2"/>
      <c r="F111" s="6">
        <f t="shared" si="87"/>
        <v>0</v>
      </c>
      <c r="G111" s="2"/>
      <c r="H111" s="7">
        <v>1910.94</v>
      </c>
      <c r="I111" s="2"/>
      <c r="J111" s="6">
        <f t="shared" si="88"/>
        <v>1.1920122565912208E-2</v>
      </c>
      <c r="K111" s="2"/>
      <c r="L111" s="7">
        <f t="shared" si="89"/>
        <v>-1552.02</v>
      </c>
      <c r="M111" s="2"/>
      <c r="N111" s="6">
        <f t="shared" si="90"/>
        <v>-0.81217620647430055</v>
      </c>
      <c r="O111" s="11"/>
      <c r="P111" s="7">
        <v>20968.09</v>
      </c>
      <c r="Q111" s="2"/>
      <c r="R111" s="6">
        <f t="shared" si="91"/>
        <v>4.5389972450409514E-3</v>
      </c>
      <c r="S111" s="2"/>
      <c r="T111" s="7">
        <v>23033.83</v>
      </c>
      <c r="U111" s="2"/>
      <c r="V111" s="6">
        <f t="shared" si="92"/>
        <v>3.3629068479374344E-3</v>
      </c>
      <c r="W111" s="2"/>
      <c r="X111" s="7">
        <f t="shared" si="93"/>
        <v>-2065.7400000000016</v>
      </c>
      <c r="Y111" s="2"/>
      <c r="Z111" s="6">
        <f t="shared" si="94"/>
        <v>-8.9682870803509507E-2</v>
      </c>
    </row>
    <row r="112" spans="1:26" s="25" customFormat="1" outlineLevel="1" collapsed="1" x14ac:dyDescent="0.35">
      <c r="A112" s="26"/>
      <c r="B112" s="12" t="str">
        <f>CONCATENATE("     ","Training                                          ")</f>
        <v xml:space="preserve">     Training                                          </v>
      </c>
      <c r="C112" s="12"/>
      <c r="D112" s="1">
        <f>SUM(OSRRefD22_22x_0)</f>
        <v>0</v>
      </c>
      <c r="E112" s="1"/>
      <c r="F112" s="5">
        <f t="shared" si="87"/>
        <v>0</v>
      </c>
      <c r="G112" s="1"/>
      <c r="H112" s="1">
        <f>SUM(OSRRefH22_22x_0)</f>
        <v>666.22</v>
      </c>
      <c r="I112" s="1"/>
      <c r="J112" s="5">
        <f t="shared" si="88"/>
        <v>4.1557683945398763E-3</v>
      </c>
      <c r="K112" s="1"/>
      <c r="L112" s="1">
        <f t="shared" si="89"/>
        <v>-666.22</v>
      </c>
      <c r="M112" s="1"/>
      <c r="N112" s="5">
        <f t="shared" si="90"/>
        <v>-1</v>
      </c>
      <c r="O112" s="12"/>
      <c r="P112" s="1">
        <f>SUM(OSRRefP22_22x_0)</f>
        <v>2123.0100000000002</v>
      </c>
      <c r="Q112" s="1"/>
      <c r="R112" s="5">
        <f t="shared" si="91"/>
        <v>4.5957149846239645E-4</v>
      </c>
      <c r="S112" s="1"/>
      <c r="T112" s="1">
        <f>SUM(OSRRefT22_22x_0)</f>
        <v>1977.03</v>
      </c>
      <c r="U112" s="1"/>
      <c r="V112" s="5">
        <f t="shared" si="92"/>
        <v>2.8864360488801668E-4</v>
      </c>
      <c r="W112" s="1"/>
      <c r="X112" s="1">
        <f t="shared" si="93"/>
        <v>145.98000000000025</v>
      </c>
      <c r="Y112" s="1"/>
      <c r="Z112" s="5">
        <f t="shared" si="94"/>
        <v>7.3838029771930755E-2</v>
      </c>
    </row>
    <row r="113" spans="1:26" s="24" customFormat="1" hidden="1" outlineLevel="2" x14ac:dyDescent="0.35">
      <c r="A113" s="27"/>
      <c r="B113" s="11" t="str">
        <f>CONCATENATE("          ", "6376", " - ", "TRAINING")</f>
        <v xml:space="preserve">          6376 - TRAINING</v>
      </c>
      <c r="C113" s="11"/>
      <c r="D113" s="7"/>
      <c r="E113" s="2"/>
      <c r="F113" s="6">
        <f t="shared" si="87"/>
        <v>0</v>
      </c>
      <c r="G113" s="2"/>
      <c r="H113" s="7">
        <v>666.22</v>
      </c>
      <c r="I113" s="2"/>
      <c r="J113" s="6">
        <f t="shared" si="88"/>
        <v>4.1557683945398763E-3</v>
      </c>
      <c r="K113" s="2"/>
      <c r="L113" s="7">
        <f t="shared" si="89"/>
        <v>-666.22</v>
      </c>
      <c r="M113" s="2"/>
      <c r="N113" s="6">
        <f t="shared" si="90"/>
        <v>-1</v>
      </c>
      <c r="O113" s="11"/>
      <c r="P113" s="7">
        <v>2123.0100000000002</v>
      </c>
      <c r="Q113" s="2"/>
      <c r="R113" s="6">
        <f t="shared" si="91"/>
        <v>4.5957149846239645E-4</v>
      </c>
      <c r="S113" s="2"/>
      <c r="T113" s="7">
        <v>1977.03</v>
      </c>
      <c r="U113" s="2"/>
      <c r="V113" s="6">
        <f t="shared" si="92"/>
        <v>2.8864360488801668E-4</v>
      </c>
      <c r="W113" s="2"/>
      <c r="X113" s="7">
        <f t="shared" si="93"/>
        <v>145.98000000000025</v>
      </c>
      <c r="Y113" s="2"/>
      <c r="Z113" s="6">
        <f t="shared" si="94"/>
        <v>7.3838029771930755E-2</v>
      </c>
    </row>
    <row r="114" spans="1:26" s="25" customFormat="1" outlineLevel="1" collapsed="1" x14ac:dyDescent="0.35">
      <c r="A114" s="26"/>
      <c r="B114" s="12" t="str">
        <f>CONCATENATE("     ","Travel                                            ")</f>
        <v xml:space="preserve">     Travel                                            </v>
      </c>
      <c r="C114" s="12"/>
      <c r="D114" s="1">
        <f>SUM(OSRRefD22_23x_0)</f>
        <v>0</v>
      </c>
      <c r="E114" s="1"/>
      <c r="F114" s="5">
        <f t="shared" si="87"/>
        <v>0</v>
      </c>
      <c r="G114" s="1"/>
      <c r="H114" s="1">
        <f>SUM(OSRRefH22_23x_0)</f>
        <v>155.88999999999999</v>
      </c>
      <c r="I114" s="1"/>
      <c r="J114" s="5">
        <f t="shared" si="88"/>
        <v>9.7241562100330414E-4</v>
      </c>
      <c r="K114" s="1"/>
      <c r="L114" s="1">
        <f t="shared" si="89"/>
        <v>-155.88999999999999</v>
      </c>
      <c r="M114" s="1"/>
      <c r="N114" s="5">
        <f t="shared" si="90"/>
        <v>-1</v>
      </c>
      <c r="O114" s="12"/>
      <c r="P114" s="1">
        <f>SUM(OSRRefP22_23x_0)</f>
        <v>6341.32</v>
      </c>
      <c r="Q114" s="1"/>
      <c r="R114" s="5">
        <f t="shared" si="91"/>
        <v>1.3727160656942566E-3</v>
      </c>
      <c r="S114" s="1"/>
      <c r="T114" s="1">
        <f>SUM(OSRRefT22_23x_0)</f>
        <v>4239.42</v>
      </c>
      <c r="U114" s="1"/>
      <c r="V114" s="5">
        <f t="shared" si="92"/>
        <v>6.1894936922270063E-4</v>
      </c>
      <c r="W114" s="1"/>
      <c r="X114" s="1">
        <f t="shared" si="93"/>
        <v>2101.8999999999996</v>
      </c>
      <c r="Y114" s="1"/>
      <c r="Z114" s="5">
        <f t="shared" si="94"/>
        <v>0.49579895363044935</v>
      </c>
    </row>
    <row r="115" spans="1:26" s="24" customFormat="1" hidden="1" outlineLevel="2" x14ac:dyDescent="0.35">
      <c r="A115" s="27"/>
      <c r="B115" s="11" t="str">
        <f>CONCATENATE("          ", "6292", " - ", "TRAVEL/CONFERENCE")</f>
        <v xml:space="preserve">          6292 - TRAVEL/CONFERENCE</v>
      </c>
      <c r="C115" s="11"/>
      <c r="D115" s="7"/>
      <c r="E115" s="2"/>
      <c r="F115" s="6">
        <f t="shared" si="87"/>
        <v>0</v>
      </c>
      <c r="G115" s="2"/>
      <c r="H115" s="7"/>
      <c r="I115" s="2"/>
      <c r="J115" s="6">
        <f t="shared" si="88"/>
        <v>0</v>
      </c>
      <c r="K115" s="2"/>
      <c r="L115" s="7">
        <f t="shared" si="89"/>
        <v>0</v>
      </c>
      <c r="M115" s="2"/>
      <c r="N115" s="6">
        <f t="shared" si="90"/>
        <v>0</v>
      </c>
      <c r="O115" s="11"/>
      <c r="P115" s="7">
        <v>4995.68</v>
      </c>
      <c r="Q115" s="2"/>
      <c r="R115" s="6">
        <f t="shared" si="91"/>
        <v>1.0814231414070705E-3</v>
      </c>
      <c r="S115" s="2"/>
      <c r="T115" s="7">
        <v>1493.8</v>
      </c>
      <c r="U115" s="2"/>
      <c r="V115" s="6">
        <f t="shared" si="92"/>
        <v>2.1809270318696192E-4</v>
      </c>
      <c r="W115" s="2"/>
      <c r="X115" s="7">
        <f t="shared" si="93"/>
        <v>3501.88</v>
      </c>
      <c r="Y115" s="2"/>
      <c r="Z115" s="6">
        <f t="shared" si="94"/>
        <v>2.3442763422144868</v>
      </c>
    </row>
    <row r="116" spans="1:26" s="24" customFormat="1" hidden="1" outlineLevel="2" x14ac:dyDescent="0.35">
      <c r="A116" s="27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87"/>
        <v>0</v>
      </c>
      <c r="G116" s="2"/>
      <c r="H116" s="7"/>
      <c r="I116" s="2"/>
      <c r="J116" s="6">
        <f t="shared" si="88"/>
        <v>0</v>
      </c>
      <c r="K116" s="2"/>
      <c r="L116" s="7">
        <f t="shared" si="89"/>
        <v>0</v>
      </c>
      <c r="M116" s="2"/>
      <c r="N116" s="6">
        <f t="shared" si="90"/>
        <v>0</v>
      </c>
      <c r="O116" s="11"/>
      <c r="P116" s="7">
        <v>56.99</v>
      </c>
      <c r="Q116" s="2"/>
      <c r="R116" s="6">
        <f t="shared" si="91"/>
        <v>1.2336719891744256E-5</v>
      </c>
      <c r="S116" s="2"/>
      <c r="T116" s="7">
        <v>1299.02</v>
      </c>
      <c r="U116" s="2"/>
      <c r="V116" s="6">
        <f t="shared" si="92"/>
        <v>1.8965509659521173E-4</v>
      </c>
      <c r="W116" s="2"/>
      <c r="X116" s="7">
        <f t="shared" si="93"/>
        <v>-1242.03</v>
      </c>
      <c r="Y116" s="2"/>
      <c r="Z116" s="6">
        <f t="shared" si="94"/>
        <v>-0.95612846607442536</v>
      </c>
    </row>
    <row r="117" spans="1:26" s="24" customFormat="1" hidden="1" outlineLevel="2" x14ac:dyDescent="0.35">
      <c r="A117" s="27"/>
      <c r="B117" s="11" t="str">
        <f>CONCATENATE("          ", "6298", " - ", "VEHICLE MILEAGE")</f>
        <v xml:space="preserve">          6298 - VEHICLE MILEAGE</v>
      </c>
      <c r="C117" s="11"/>
      <c r="D117" s="7"/>
      <c r="E117" s="2"/>
      <c r="F117" s="6">
        <f t="shared" si="87"/>
        <v>0</v>
      </c>
      <c r="G117" s="2"/>
      <c r="H117" s="7">
        <v>155.88999999999999</v>
      </c>
      <c r="I117" s="2"/>
      <c r="J117" s="6">
        <f t="shared" si="88"/>
        <v>9.7241562100330414E-4</v>
      </c>
      <c r="K117" s="2"/>
      <c r="L117" s="7">
        <f t="shared" si="89"/>
        <v>-155.88999999999999</v>
      </c>
      <c r="M117" s="2"/>
      <c r="N117" s="6">
        <f t="shared" si="90"/>
        <v>-1</v>
      </c>
      <c r="O117" s="11"/>
      <c r="P117" s="7">
        <v>1288.6500000000001</v>
      </c>
      <c r="Q117" s="2"/>
      <c r="R117" s="6">
        <f t="shared" si="91"/>
        <v>2.7895620439544194E-4</v>
      </c>
      <c r="S117" s="2"/>
      <c r="T117" s="7">
        <v>1446.6</v>
      </c>
      <c r="U117" s="2"/>
      <c r="V117" s="6">
        <f t="shared" si="92"/>
        <v>2.112015694405269E-4</v>
      </c>
      <c r="W117" s="2"/>
      <c r="X117" s="7">
        <f t="shared" si="93"/>
        <v>-157.94999999999982</v>
      </c>
      <c r="Y117" s="2"/>
      <c r="Z117" s="6">
        <f t="shared" si="94"/>
        <v>-0.10918705931148889</v>
      </c>
    </row>
    <row r="118" spans="1:26" s="25" customFormat="1" outlineLevel="1" collapsed="1" x14ac:dyDescent="0.35">
      <c r="A118" s="26"/>
      <c r="B118" s="12" t="str">
        <f>CONCATENATE("     ","Utilities                                         ")</f>
        <v xml:space="preserve">     Utilities                                         </v>
      </c>
      <c r="C118" s="12"/>
      <c r="D118" s="1">
        <f>SUM(OSRRefD22_24x_0)</f>
        <v>15583</v>
      </c>
      <c r="E118" s="1"/>
      <c r="F118" s="5">
        <f t="shared" ref="F118:F119" si="95">IF(D$12=0,0,D118/D$12)</f>
        <v>0</v>
      </c>
      <c r="G118" s="1"/>
      <c r="H118" s="1">
        <f>SUM(OSRRefH22_24x_0)</f>
        <v>13693</v>
      </c>
      <c r="I118" s="1"/>
      <c r="J118" s="5">
        <f t="shared" ref="J118:J119" si="96">IF(H$12=0,0,H118/H$12)</f>
        <v>8.5414632743589999E-2</v>
      </c>
      <c r="K118" s="1"/>
      <c r="L118" s="1">
        <f t="shared" ref="L118:L119" si="97">+D118-H118</f>
        <v>1890</v>
      </c>
      <c r="M118" s="1"/>
      <c r="N118" s="5">
        <f t="shared" ref="N118:N119" si="98">IF(H118=0,0,L118/H118)</f>
        <v>0.13802672898561308</v>
      </c>
      <c r="O118" s="12"/>
      <c r="P118" s="1">
        <f>SUM(OSRRefP22_24x_0)</f>
        <v>190385</v>
      </c>
      <c r="Q118" s="1"/>
      <c r="R118" s="5">
        <f t="shared" ref="R118:R119" si="99">IF(P$12=0,0,P118/P$12)</f>
        <v>4.1212956950161958E-2</v>
      </c>
      <c r="S118" s="1"/>
      <c r="T118" s="1">
        <f>SUM(OSRRefT22_24x_0)</f>
        <v>141213.62</v>
      </c>
      <c r="U118" s="1"/>
      <c r="V118" s="5">
        <f t="shared" ref="V118:V119" si="100">IF(T$12=0,0,T118/T$12)</f>
        <v>2.0616990301657805E-2</v>
      </c>
      <c r="W118" s="1"/>
      <c r="X118" s="1">
        <f t="shared" ref="X118:X119" si="101">+P118-T118</f>
        <v>49171.380000000005</v>
      </c>
      <c r="Y118" s="1"/>
      <c r="Z118" s="5">
        <f t="shared" ref="Z118:Z119" si="102">IF(T118=0,0,X118/T118)</f>
        <v>0.34820564758555161</v>
      </c>
    </row>
    <row r="119" spans="1:26" s="24" customFormat="1" hidden="1" outlineLevel="2" x14ac:dyDescent="0.35">
      <c r="A119" s="27"/>
      <c r="B119" s="11" t="str">
        <f>CONCATENATE("          ", "6274", " - ", "UTILITIES")</f>
        <v xml:space="preserve">          6274 - UTILITIES</v>
      </c>
      <c r="C119" s="11"/>
      <c r="D119" s="7">
        <v>15583</v>
      </c>
      <c r="E119" s="2"/>
      <c r="F119" s="6">
        <f t="shared" si="95"/>
        <v>0</v>
      </c>
      <c r="G119" s="2"/>
      <c r="H119" s="7">
        <v>13693</v>
      </c>
      <c r="I119" s="2"/>
      <c r="J119" s="6">
        <f t="shared" si="96"/>
        <v>8.5414632743589999E-2</v>
      </c>
      <c r="K119" s="2"/>
      <c r="L119" s="7">
        <f t="shared" si="97"/>
        <v>1890</v>
      </c>
      <c r="M119" s="2"/>
      <c r="N119" s="6">
        <f t="shared" si="98"/>
        <v>0.13802672898561308</v>
      </c>
      <c r="O119" s="11"/>
      <c r="P119" s="7">
        <v>190385</v>
      </c>
      <c r="Q119" s="2"/>
      <c r="R119" s="6">
        <f t="shared" si="99"/>
        <v>4.1212956950161958E-2</v>
      </c>
      <c r="S119" s="2"/>
      <c r="T119" s="7">
        <v>141213.62</v>
      </c>
      <c r="U119" s="2"/>
      <c r="V119" s="6">
        <f t="shared" si="100"/>
        <v>2.0616990301657805E-2</v>
      </c>
      <c r="W119" s="2"/>
      <c r="X119" s="7">
        <f t="shared" si="101"/>
        <v>49171.380000000005</v>
      </c>
      <c r="Y119" s="2"/>
      <c r="Z119" s="6">
        <f t="shared" si="102"/>
        <v>0.34820564758555161</v>
      </c>
    </row>
    <row r="120" spans="1:26" s="56" customFormat="1" x14ac:dyDescent="0.35">
      <c r="A120" s="37"/>
      <c r="B120" s="37"/>
      <c r="C120" s="37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7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35">
      <c r="A121" s="10"/>
      <c r="B121" s="29" t="s">
        <v>0</v>
      </c>
      <c r="C121" s="10"/>
      <c r="D121" s="4">
        <f>SUM(OSRRefD25x_0)</f>
        <v>43261.639999999992</v>
      </c>
      <c r="E121" s="4"/>
      <c r="F121" s="13">
        <f t="shared" ref="F121:F124" si="103">IF(D$12=0,0,D121/D$12)</f>
        <v>0</v>
      </c>
      <c r="G121" s="4"/>
      <c r="H121" s="4">
        <f>SUM(OSRRefH25x_0)</f>
        <v>52294.259999999995</v>
      </c>
      <c r="I121" s="4"/>
      <c r="J121" s="13">
        <f t="shared" ref="J121:J124" si="104">IF(H$12=0,0,H121/H$12)</f>
        <v>0.32620280526530404</v>
      </c>
      <c r="K121" s="4"/>
      <c r="L121" s="4">
        <f t="shared" ref="L121:L124" si="105">+D121-H121</f>
        <v>-9032.6200000000026</v>
      </c>
      <c r="M121" s="4"/>
      <c r="N121" s="13">
        <f t="shared" ref="N121:N124" si="106">IF(H121=0,0,L121/H121)</f>
        <v>-0.17272679640174665</v>
      </c>
      <c r="O121" s="10"/>
      <c r="P121" s="4">
        <f>SUM(OSRRefP25x_0)</f>
        <v>730460.52</v>
      </c>
      <c r="Q121" s="4"/>
      <c r="R121" s="13">
        <f t="shared" ref="R121:R124" si="107">IF(P$12=0,0,P121/P$12)</f>
        <v>0.15812400117946751</v>
      </c>
      <c r="S121" s="4"/>
      <c r="T121" s="4">
        <f>SUM(OSRRefT25x_0)</f>
        <v>731041.09</v>
      </c>
      <c r="U121" s="4"/>
      <c r="V121" s="13">
        <f t="shared" ref="V121:V124" si="108">IF(T$12=0,0,T121/T$12)</f>
        <v>0.10673097299427173</v>
      </c>
      <c r="W121" s="4"/>
      <c r="X121" s="4">
        <f t="shared" ref="X121:X124" si="109">+P121-T121</f>
        <v>-580.56999999994878</v>
      </c>
      <c r="Y121" s="4"/>
      <c r="Z121" s="13">
        <f t="shared" ref="Z121:Z124" si="110">IF(T121=0,0,X121/T121)</f>
        <v>-7.9416876553402597E-4</v>
      </c>
    </row>
    <row r="122" spans="1:26" s="24" customFormat="1" hidden="1" outlineLevel="1" x14ac:dyDescent="0.35">
      <c r="A122" s="44"/>
      <c r="B122" s="11" t="str">
        <f>CONCATENATE("          ", "9150", " - ", "MISC. INCOME")</f>
        <v xml:space="preserve">          9150 - MISC. INCOME</v>
      </c>
      <c r="C122" s="11"/>
      <c r="D122" s="2">
        <f>--16951.85</f>
        <v>16951.849999999999</v>
      </c>
      <c r="E122" s="2"/>
      <c r="F122" s="19">
        <f t="shared" si="103"/>
        <v>0</v>
      </c>
      <c r="G122" s="2"/>
      <c r="H122" s="2">
        <f>--42291.96</f>
        <v>42291.96</v>
      </c>
      <c r="I122" s="2"/>
      <c r="J122" s="19">
        <f t="shared" si="104"/>
        <v>0.26381013885975302</v>
      </c>
      <c r="K122" s="2"/>
      <c r="L122" s="2">
        <f t="shared" si="105"/>
        <v>-25340.11</v>
      </c>
      <c r="M122" s="2"/>
      <c r="N122" s="19">
        <f t="shared" si="106"/>
        <v>-0.59917085895286004</v>
      </c>
      <c r="O122" s="11"/>
      <c r="P122" s="2">
        <f>--330936.39</f>
        <v>330936.39</v>
      </c>
      <c r="Q122" s="2"/>
      <c r="R122" s="19">
        <f t="shared" si="107"/>
        <v>7.1638349630023426E-2</v>
      </c>
      <c r="S122" s="2"/>
      <c r="T122" s="2">
        <f>--389464.12</f>
        <v>389464.12</v>
      </c>
      <c r="U122" s="2"/>
      <c r="V122" s="19">
        <f t="shared" si="108"/>
        <v>5.6861214838084963E-2</v>
      </c>
      <c r="W122" s="2"/>
      <c r="X122" s="2">
        <f t="shared" si="109"/>
        <v>-58527.729999999981</v>
      </c>
      <c r="Y122" s="2"/>
      <c r="Z122" s="19">
        <f t="shared" si="110"/>
        <v>-0.15027759168161622</v>
      </c>
    </row>
    <row r="123" spans="1:26" s="24" customFormat="1" hidden="1" outlineLevel="1" x14ac:dyDescent="0.35">
      <c r="A123" s="44"/>
      <c r="B123" s="11" t="str">
        <f>CONCATENATE("          ", "9160", " - ", "MISC. INCOME")</f>
        <v xml:space="preserve">          9160 - MISC. INCOME</v>
      </c>
      <c r="C123" s="11"/>
      <c r="D123" s="2">
        <f>--25000.02</f>
        <v>25000.02</v>
      </c>
      <c r="E123" s="2"/>
      <c r="F123" s="19">
        <f t="shared" si="103"/>
        <v>0</v>
      </c>
      <c r="G123" s="2"/>
      <c r="H123" s="2">
        <f>--4981.17</f>
        <v>4981.17</v>
      </c>
      <c r="I123" s="2"/>
      <c r="J123" s="19">
        <f t="shared" si="104"/>
        <v>3.1071701320630116E-2</v>
      </c>
      <c r="K123" s="2"/>
      <c r="L123" s="2">
        <f t="shared" si="105"/>
        <v>20018.849999999999</v>
      </c>
      <c r="M123" s="2"/>
      <c r="N123" s="19">
        <f t="shared" si="106"/>
        <v>4.0189051969717955</v>
      </c>
      <c r="O123" s="11"/>
      <c r="P123" s="2">
        <f>--155089.34</f>
        <v>155089.34</v>
      </c>
      <c r="Q123" s="2"/>
      <c r="R123" s="19">
        <f t="shared" si="107"/>
        <v>3.3572446846385121E-2</v>
      </c>
      <c r="S123" s="2"/>
      <c r="T123" s="2">
        <f>--91560.73</f>
        <v>91560.73</v>
      </c>
      <c r="U123" s="2"/>
      <c r="V123" s="19">
        <f t="shared" si="108"/>
        <v>1.3367738058288633E-2</v>
      </c>
      <c r="W123" s="2"/>
      <c r="X123" s="2">
        <f t="shared" si="109"/>
        <v>63528.61</v>
      </c>
      <c r="Y123" s="2"/>
      <c r="Z123" s="19">
        <f t="shared" si="110"/>
        <v>0.69384123521077212</v>
      </c>
    </row>
    <row r="124" spans="1:26" s="24" customFormat="1" hidden="1" outlineLevel="1" x14ac:dyDescent="0.35">
      <c r="A124" s="44"/>
      <c r="B124" s="11" t="str">
        <f>CONCATENATE("          ", "9165", " - ", "OTHER INCOME")</f>
        <v xml:space="preserve">          9165 - OTHER INCOME</v>
      </c>
      <c r="C124" s="11"/>
      <c r="D124" s="2">
        <f>--1309.77</f>
        <v>1309.77</v>
      </c>
      <c r="E124" s="2"/>
      <c r="F124" s="19">
        <f t="shared" si="103"/>
        <v>0</v>
      </c>
      <c r="G124" s="2"/>
      <c r="H124" s="2">
        <f>--5021.13</f>
        <v>5021.13</v>
      </c>
      <c r="I124" s="2"/>
      <c r="J124" s="19">
        <f t="shared" si="104"/>
        <v>3.132096508492091E-2</v>
      </c>
      <c r="K124" s="2"/>
      <c r="L124" s="2">
        <f t="shared" si="105"/>
        <v>-3711.36</v>
      </c>
      <c r="M124" s="2"/>
      <c r="N124" s="19">
        <f t="shared" si="106"/>
        <v>-0.73914835903471932</v>
      </c>
      <c r="O124" s="11"/>
      <c r="P124" s="2">
        <f>--244434.79</f>
        <v>244434.79</v>
      </c>
      <c r="Q124" s="2"/>
      <c r="R124" s="19">
        <f t="shared" si="107"/>
        <v>5.2913204703058957E-2</v>
      </c>
      <c r="S124" s="2"/>
      <c r="T124" s="2">
        <f>--250016.24</f>
        <v>250016.24</v>
      </c>
      <c r="U124" s="2"/>
      <c r="V124" s="19">
        <f t="shared" si="108"/>
        <v>3.6502020097898137E-2</v>
      </c>
      <c r="W124" s="2"/>
      <c r="X124" s="2">
        <f t="shared" si="109"/>
        <v>-5581.4499999999825</v>
      </c>
      <c r="Y124" s="2"/>
      <c r="Z124" s="19">
        <f t="shared" si="110"/>
        <v>-2.2324349810236257E-2</v>
      </c>
    </row>
    <row r="125" spans="1:26" x14ac:dyDescent="0.3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35">
      <c r="A126" s="10"/>
      <c r="B126" s="28" t="s">
        <v>3</v>
      </c>
      <c r="C126" s="28"/>
      <c r="D126" s="22">
        <f>+D30-D32+D121</f>
        <v>-136257.60000000001</v>
      </c>
      <c r="E126" s="14"/>
      <c r="F126" s="21">
        <f>IF(D$12=0,0,D126/D$12)</f>
        <v>0</v>
      </c>
      <c r="G126" s="14"/>
      <c r="H126" s="22">
        <f>+H30-H32+H121</f>
        <v>-194626.82000000007</v>
      </c>
      <c r="I126" s="14"/>
      <c r="J126" s="21">
        <f>IF(H$12=0,0,H126/H$12)</f>
        <v>-1.214049394022698</v>
      </c>
      <c r="K126" s="15"/>
      <c r="L126" s="22">
        <f>+D126-H126</f>
        <v>58369.220000000059</v>
      </c>
      <c r="M126" s="15"/>
      <c r="N126" s="21">
        <f>IF(H126=0,0,L126/H126)</f>
        <v>-0.29990327129632</v>
      </c>
      <c r="O126" s="29"/>
      <c r="P126" s="22">
        <f>+P30-P32+P121</f>
        <v>-1169411.0400000005</v>
      </c>
      <c r="Q126" s="14"/>
      <c r="R126" s="21">
        <f>IF(P$12=0,0,P126/P$12)</f>
        <v>-0.25314434881195552</v>
      </c>
      <c r="S126" s="14"/>
      <c r="T126" s="22">
        <f>+T30-T32+T121</f>
        <v>-226619.08000000089</v>
      </c>
      <c r="U126" s="14"/>
      <c r="V126" s="21">
        <f>IF(T$12=0,0,T126/T$12)</f>
        <v>-3.3086067579958876E-2</v>
      </c>
      <c r="W126" s="15"/>
      <c r="X126" s="22">
        <f>+P126-T126</f>
        <v>-942791.95999999961</v>
      </c>
      <c r="Y126" s="15"/>
      <c r="Z126" s="21">
        <f>IF(T126=0,0,X126/T126)</f>
        <v>4.1602497018344433</v>
      </c>
    </row>
    <row r="127" spans="1:26" x14ac:dyDescent="0.3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35">
      <c r="A128" s="51"/>
      <c r="B128" s="10" t="s">
        <v>13</v>
      </c>
      <c r="C128" s="10"/>
      <c r="D128" s="4">
        <v>152528.87</v>
      </c>
      <c r="E128" s="4"/>
      <c r="F128" s="13">
        <f>IF(D$12=0,0,D128/D$12)</f>
        <v>0</v>
      </c>
      <c r="G128" s="4"/>
      <c r="H128" s="4">
        <v>-207556.69999999998</v>
      </c>
      <c r="I128" s="4"/>
      <c r="J128" s="13">
        <f>IF(H$12=0,0,H128/H$12)</f>
        <v>-1.2947038124568382</v>
      </c>
      <c r="K128" s="4"/>
      <c r="L128" s="4">
        <f>+D128-H128</f>
        <v>360085.56999999995</v>
      </c>
      <c r="M128" s="4"/>
      <c r="N128" s="13">
        <f>IF(H128=0,0,L128/H128)</f>
        <v>-1.7348780839163467</v>
      </c>
      <c r="O128" s="10"/>
      <c r="P128" s="4">
        <v>699577.73</v>
      </c>
      <c r="Q128" s="4"/>
      <c r="R128" s="13">
        <f>IF(P$12=0,0,P128/P$12)</f>
        <v>0.15143875236905233</v>
      </c>
      <c r="S128" s="4"/>
      <c r="T128" s="4">
        <v>488203.95999999996</v>
      </c>
      <c r="U128" s="4"/>
      <c r="V128" s="13">
        <f>IF(T$12=0,0,T128/T$12)</f>
        <v>7.1277092879220391E-2</v>
      </c>
      <c r="W128" s="4"/>
      <c r="X128" s="4">
        <f>+P128-T128</f>
        <v>211373.77000000002</v>
      </c>
      <c r="Y128" s="4"/>
      <c r="Z128" s="13">
        <f>IF(T128=0,0,X128/T128)</f>
        <v>0.43296201448263555</v>
      </c>
    </row>
    <row r="129" spans="1:26" x14ac:dyDescent="0.3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" thickBot="1" x14ac:dyDescent="0.4">
      <c r="A130" s="10"/>
      <c r="B130" s="28" t="s">
        <v>4</v>
      </c>
      <c r="C130" s="28"/>
      <c r="D130" s="34">
        <f>+D126-D128</f>
        <v>-288786.46999999997</v>
      </c>
      <c r="E130" s="14"/>
      <c r="F130" s="32">
        <f>IF(D$12=0,0,D130/D$12)</f>
        <v>0</v>
      </c>
      <c r="G130" s="14"/>
      <c r="H130" s="34">
        <f>+H126-H128</f>
        <v>12929.879999999917</v>
      </c>
      <c r="I130" s="14"/>
      <c r="J130" s="32">
        <f>IF(H$12=0,0,H130/H$12)</f>
        <v>8.0654418434140243E-2</v>
      </c>
      <c r="K130" s="15"/>
      <c r="L130" s="34">
        <f>D130-H130</f>
        <v>-301716.34999999986</v>
      </c>
      <c r="M130" s="15"/>
      <c r="N130" s="32">
        <f>IF(H130=0,0,L130/H130)</f>
        <v>-23.334814398896338</v>
      </c>
      <c r="O130" s="29"/>
      <c r="P130" s="34">
        <f>+P126-P128</f>
        <v>-1868988.7700000005</v>
      </c>
      <c r="Q130" s="14"/>
      <c r="R130" s="32">
        <f>IF(P$12=0,0,P130/P$12)</f>
        <v>-0.40458310118100782</v>
      </c>
      <c r="S130" s="14"/>
      <c r="T130" s="34">
        <f>+T126-T128</f>
        <v>-714823.04000000085</v>
      </c>
      <c r="U130" s="14"/>
      <c r="V130" s="32">
        <f>IF(T$12=0,0,T130/T$12)</f>
        <v>-0.10436316045917927</v>
      </c>
      <c r="W130" s="15"/>
      <c r="X130" s="34">
        <f>P130-T130</f>
        <v>-1154165.7299999995</v>
      </c>
      <c r="Y130" s="15"/>
      <c r="Z130" s="32">
        <f>IF(T130=0,0,X130/T130)</f>
        <v>1.6146174163608356</v>
      </c>
    </row>
    <row r="131" spans="1:26" ht="15" thickTop="1" x14ac:dyDescent="0.3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3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" thickBot="1" x14ac:dyDescent="0.4">
      <c r="A133" s="10"/>
      <c r="B133" s="28" t="s">
        <v>5</v>
      </c>
      <c r="C133" s="28"/>
      <c r="D133" s="35">
        <f>SUM(D130:D132)</f>
        <v>-288786.46999999997</v>
      </c>
      <c r="E133" s="14"/>
      <c r="F133" s="33">
        <f>IF(D$12=0,0,D133/D$12)</f>
        <v>0</v>
      </c>
      <c r="G133" s="14"/>
      <c r="H133" s="35">
        <f>SUM(H130:H132)</f>
        <v>12929.879999999917</v>
      </c>
      <c r="I133" s="14"/>
      <c r="J133" s="33">
        <f>IF(H$12=0,0,H133/H$12)</f>
        <v>8.0654418434140243E-2</v>
      </c>
      <c r="K133" s="15"/>
      <c r="L133" s="35">
        <f>+D133-H133</f>
        <v>-301716.34999999986</v>
      </c>
      <c r="M133" s="15"/>
      <c r="N133" s="33">
        <f>IF(H133=0,0,L133/H133)</f>
        <v>-23.334814398896338</v>
      </c>
      <c r="O133" s="29"/>
      <c r="P133" s="35">
        <f>SUM(P130:P132)</f>
        <v>-1868988.7700000005</v>
      </c>
      <c r="Q133" s="14"/>
      <c r="R133" s="33">
        <f>IF(P$12=0,0,P133/P$12)</f>
        <v>-0.40458310118100782</v>
      </c>
      <c r="S133" s="14"/>
      <c r="T133" s="35">
        <f>SUM(T130:T132)</f>
        <v>-714823.04000000085</v>
      </c>
      <c r="U133" s="14"/>
      <c r="V133" s="33">
        <f>IF(T$12=0,0,T133/T$12)</f>
        <v>-0.10436316045917927</v>
      </c>
      <c r="W133" s="15"/>
      <c r="X133" s="35">
        <f>+P133-T133</f>
        <v>-1154165.7299999995</v>
      </c>
      <c r="Y133" s="15"/>
      <c r="Z133" s="33">
        <f>IF(T133=0,0,X133/T133)</f>
        <v>1.6146174163608356</v>
      </c>
    </row>
    <row r="134" spans="1:26" ht="15" thickTop="1" x14ac:dyDescent="0.35">
      <c r="A134" s="9"/>
      <c r="C134" s="9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35">
      <c r="A135" s="9"/>
      <c r="B135" s="52">
        <v>44043.522485648151</v>
      </c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35">
      <c r="A136" s="9"/>
      <c r="B136" s="61" t="s">
        <v>313</v>
      </c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35">
      <c r="A137" s="9"/>
      <c r="B137" s="54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35"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","405", " - ", "Library Starbucks")</f>
        <v>Department 405 - Library Starbucks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15681.11</v>
      </c>
      <c r="I12" s="4"/>
      <c r="J12" s="13"/>
      <c r="K12" s="4"/>
      <c r="L12" s="4">
        <f t="shared" ref="L12:L14" si="0">+D12-H12</f>
        <v>-15681.11</v>
      </c>
      <c r="M12" s="4"/>
      <c r="N12" s="13">
        <f t="shared" ref="N12:N14" si="1">IF(H12=0,0,L12/H12)</f>
        <v>-1</v>
      </c>
      <c r="O12" s="10"/>
      <c r="P12" s="4">
        <f>SUM(OSRRefP13x_0)</f>
        <v>721341.64</v>
      </c>
      <c r="Q12" s="4"/>
      <c r="R12" s="13"/>
      <c r="S12" s="4"/>
      <c r="T12" s="4">
        <f>SUM(OSRRefT13x_0)</f>
        <v>963251.57000000007</v>
      </c>
      <c r="U12" s="4"/>
      <c r="V12" s="13"/>
      <c r="W12" s="4"/>
      <c r="X12" s="4">
        <f t="shared" ref="X12:X14" si="2">+P12-T12</f>
        <v>-241909.93000000005</v>
      </c>
      <c r="Y12" s="4"/>
      <c r="Z12" s="13">
        <f t="shared" ref="Z12:Z14" si="3">IF(T12=0,0,X12/T12)</f>
        <v>-0.25113888991636946</v>
      </c>
    </row>
    <row r="13" spans="1:26" s="24" customFormat="1" hidden="1" outlineLevel="1" x14ac:dyDescent="0.3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--3683.83</f>
        <v>3683.83</v>
      </c>
      <c r="I13" s="2"/>
      <c r="J13" s="19"/>
      <c r="K13" s="2"/>
      <c r="L13" s="2">
        <f t="shared" si="0"/>
        <v>-3683.83</v>
      </c>
      <c r="M13" s="2"/>
      <c r="N13" s="19">
        <f t="shared" si="1"/>
        <v>-1</v>
      </c>
      <c r="O13" s="11"/>
      <c r="P13" s="2">
        <f>--149614.63</f>
        <v>149614.63</v>
      </c>
      <c r="Q13" s="2"/>
      <c r="R13" s="19"/>
      <c r="S13" s="2"/>
      <c r="T13" s="2">
        <f>--194470.45</f>
        <v>194470.45</v>
      </c>
      <c r="U13" s="2"/>
      <c r="V13" s="19"/>
      <c r="W13" s="2"/>
      <c r="X13" s="2">
        <f t="shared" si="2"/>
        <v>-44855.820000000007</v>
      </c>
      <c r="Y13" s="2"/>
      <c r="Z13" s="19">
        <f t="shared" si="3"/>
        <v>-0.23065622566307634</v>
      </c>
    </row>
    <row r="14" spans="1:26" s="24" customFormat="1" hidden="1" outlineLevel="1" x14ac:dyDescent="0.3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--11997.28</f>
        <v>11997.28</v>
      </c>
      <c r="I14" s="2"/>
      <c r="J14" s="19"/>
      <c r="K14" s="2"/>
      <c r="L14" s="2">
        <f t="shared" si="0"/>
        <v>-11997.28</v>
      </c>
      <c r="M14" s="2"/>
      <c r="N14" s="19">
        <f t="shared" si="1"/>
        <v>-1</v>
      </c>
      <c r="O14" s="11"/>
      <c r="P14" s="2">
        <f>--571727.01</f>
        <v>571727.01</v>
      </c>
      <c r="Q14" s="2"/>
      <c r="R14" s="19"/>
      <c r="S14" s="2"/>
      <c r="T14" s="2">
        <f>--768781.12</f>
        <v>768781.12</v>
      </c>
      <c r="U14" s="2"/>
      <c r="V14" s="19"/>
      <c r="W14" s="2"/>
      <c r="X14" s="2">
        <f t="shared" si="2"/>
        <v>-197054.11</v>
      </c>
      <c r="Y14" s="2"/>
      <c r="Z14" s="19">
        <f t="shared" si="3"/>
        <v>-0.25632017341945129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9" t="s">
        <v>8</v>
      </c>
      <c r="C16" s="10"/>
      <c r="D16" s="4">
        <f>SUM(OSRRefD16x_0)</f>
        <v>8120</v>
      </c>
      <c r="E16" s="4"/>
      <c r="F16" s="13">
        <f t="shared" ref="F16:F18" si="5">IF(D$12=0,0,D16/D$12)</f>
        <v>0</v>
      </c>
      <c r="G16" s="4"/>
      <c r="H16" s="4">
        <f>SUM(OSRRefH16x_0)</f>
        <v>10541.65</v>
      </c>
      <c r="I16" s="4"/>
      <c r="J16" s="13">
        <f t="shared" ref="J16:J18" si="6">IF(H$12=0,0,H16/H$12)</f>
        <v>0.67225151790912752</v>
      </c>
      <c r="K16" s="4"/>
      <c r="L16" s="4">
        <f t="shared" ref="L16:L18" si="7">+D16-H16</f>
        <v>-2421.6499999999996</v>
      </c>
      <c r="M16" s="4"/>
      <c r="N16" s="13">
        <f t="shared" ref="N16:N18" si="8">IF(H16=0,0,L16/H16)</f>
        <v>-0.22972210232743448</v>
      </c>
      <c r="O16" s="10"/>
      <c r="P16" s="4">
        <f>SUM(OSRRefP16x_0)</f>
        <v>302808.14</v>
      </c>
      <c r="Q16" s="4"/>
      <c r="R16" s="13">
        <f t="shared" ref="R16:R18" si="9">IF(P$12=0,0,P16/P$12)</f>
        <v>0.41978463907892521</v>
      </c>
      <c r="S16" s="4"/>
      <c r="T16" s="4">
        <f>SUM(OSRRefT16x_0)</f>
        <v>346868.01</v>
      </c>
      <c r="U16" s="4"/>
      <c r="V16" s="13">
        <f t="shared" ref="V16:V18" si="10">IF(T$12=0,0,T16/T$12)</f>
        <v>0.36010116235782513</v>
      </c>
      <c r="W16" s="4"/>
      <c r="X16" s="4">
        <f t="shared" ref="X16:X18" si="11">+P16-T16</f>
        <v>-44059.869999999995</v>
      </c>
      <c r="Y16" s="4"/>
      <c r="Z16" s="13">
        <f t="shared" ref="Z16:Z18" si="12">IF(T16=0,0,X16/T16)</f>
        <v>-0.12702200471009129</v>
      </c>
    </row>
    <row r="17" spans="1:26" s="24" customFormat="1" hidden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4932.6499999999996</v>
      </c>
      <c r="I17" s="2"/>
      <c r="J17" s="19">
        <f t="shared" si="6"/>
        <v>0.31456000244880622</v>
      </c>
      <c r="K17" s="2"/>
      <c r="L17" s="2">
        <f t="shared" si="7"/>
        <v>-4932.6499999999996</v>
      </c>
      <c r="M17" s="2"/>
      <c r="N17" s="19">
        <f t="shared" si="8"/>
        <v>-1</v>
      </c>
      <c r="O17" s="11"/>
      <c r="P17" s="2">
        <v>288904.14</v>
      </c>
      <c r="Q17" s="2"/>
      <c r="R17" s="19">
        <f t="shared" si="9"/>
        <v>0.40050944515001241</v>
      </c>
      <c r="S17" s="2"/>
      <c r="T17" s="2">
        <v>355222.01</v>
      </c>
      <c r="U17" s="2"/>
      <c r="V17" s="19">
        <f t="shared" si="10"/>
        <v>0.3687738707760424</v>
      </c>
      <c r="W17" s="2"/>
      <c r="X17" s="2">
        <f t="shared" si="11"/>
        <v>-66317.87</v>
      </c>
      <c r="Y17" s="2"/>
      <c r="Z17" s="19">
        <f t="shared" si="12"/>
        <v>-0.18669414657047853</v>
      </c>
    </row>
    <row r="18" spans="1:26" s="24" customFormat="1" hidden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8120</v>
      </c>
      <c r="E18" s="2"/>
      <c r="F18" s="19">
        <f t="shared" si="5"/>
        <v>0</v>
      </c>
      <c r="G18" s="2"/>
      <c r="H18" s="2">
        <v>5609</v>
      </c>
      <c r="I18" s="2"/>
      <c r="J18" s="19">
        <f t="shared" si="6"/>
        <v>0.35769151546032135</v>
      </c>
      <c r="K18" s="2"/>
      <c r="L18" s="2">
        <f t="shared" si="7"/>
        <v>2511</v>
      </c>
      <c r="M18" s="2"/>
      <c r="N18" s="19">
        <f t="shared" si="8"/>
        <v>0.44767338206453916</v>
      </c>
      <c r="O18" s="11"/>
      <c r="P18" s="2">
        <v>13904</v>
      </c>
      <c r="Q18" s="2"/>
      <c r="R18" s="19">
        <f t="shared" si="9"/>
        <v>1.9275193928912797E-2</v>
      </c>
      <c r="S18" s="2"/>
      <c r="T18" s="2">
        <v>-8354</v>
      </c>
      <c r="U18" s="2"/>
      <c r="V18" s="19">
        <f t="shared" si="10"/>
        <v>-8.6727084182172676E-3</v>
      </c>
      <c r="W18" s="2"/>
      <c r="X18" s="2">
        <f t="shared" si="11"/>
        <v>22258</v>
      </c>
      <c r="Y18" s="2"/>
      <c r="Z18" s="19">
        <f t="shared" si="12"/>
        <v>-2.6643524060330379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-8120</v>
      </c>
      <c r="E20" s="14"/>
      <c r="F20" s="21">
        <f>IF(D$12=0,0,D20/D$12)</f>
        <v>0</v>
      </c>
      <c r="G20" s="14"/>
      <c r="H20" s="22">
        <f>H12-H16</f>
        <v>5139.4600000000009</v>
      </c>
      <c r="I20" s="14"/>
      <c r="J20" s="21">
        <f>IF(H$12=0,0,H20/H$12)</f>
        <v>0.32774848209087243</v>
      </c>
      <c r="K20" s="15"/>
      <c r="L20" s="22">
        <f>+D20-H20</f>
        <v>-13259.460000000001</v>
      </c>
      <c r="M20" s="15"/>
      <c r="N20" s="21">
        <f>IF(H20=0,0,L20/H20)</f>
        <v>-2.5799325220937606</v>
      </c>
      <c r="O20" s="29"/>
      <c r="P20" s="22">
        <f>P12-P16</f>
        <v>418533.5</v>
      </c>
      <c r="Q20" s="14"/>
      <c r="R20" s="21">
        <f>IF(P$12=0,0,P20/P$12)</f>
        <v>0.58021536092107473</v>
      </c>
      <c r="S20" s="14"/>
      <c r="T20" s="22">
        <f>T12-T16</f>
        <v>616383.56000000006</v>
      </c>
      <c r="U20" s="14"/>
      <c r="V20" s="21">
        <f>IF(T$12=0,0,T20/T$12)</f>
        <v>0.63989883764217481</v>
      </c>
      <c r="W20" s="15"/>
      <c r="X20" s="22">
        <f>+P20-T20</f>
        <v>-197850.06000000006</v>
      </c>
      <c r="Y20" s="15"/>
      <c r="Z20" s="21">
        <f>IF(T20=0,0,X20/T20)</f>
        <v>-0.32098529688235039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8809.9399999999987</v>
      </c>
      <c r="E22" s="20"/>
      <c r="F22" s="36">
        <f t="shared" ref="F22:F31" si="13">IF(D$12=0,0,D22/D$12)</f>
        <v>0</v>
      </c>
      <c r="G22" s="20"/>
      <c r="H22" s="20">
        <f>SUM(OSRRefH22x_0)</f>
        <v>38416.30000000001</v>
      </c>
      <c r="I22" s="20"/>
      <c r="J22" s="36">
        <f t="shared" ref="J22:J31" si="14">IF(H$12=0,0,H22/H$12)</f>
        <v>2.4498457060756547</v>
      </c>
      <c r="K22" s="4"/>
      <c r="L22" s="20">
        <f t="shared" ref="L22:L31" si="15">+D22-H22</f>
        <v>-29606.360000000011</v>
      </c>
      <c r="M22" s="4"/>
      <c r="N22" s="36">
        <f t="shared" ref="N22:N31" si="16">IF(H22=0,0,L22/H22)</f>
        <v>-0.77067182419962366</v>
      </c>
      <c r="O22" s="10"/>
      <c r="P22" s="20">
        <f>SUM(OSRRefP22x_0)</f>
        <v>534594.79999999993</v>
      </c>
      <c r="Q22" s="20"/>
      <c r="R22" s="36">
        <f t="shared" ref="R22:R31" si="17">IF(P$12=0,0,P22/P$12)</f>
        <v>0.74111179828742446</v>
      </c>
      <c r="S22" s="20"/>
      <c r="T22" s="20">
        <f>SUM(OSRRefT22x_0)</f>
        <v>611028.28</v>
      </c>
      <c r="U22" s="20"/>
      <c r="V22" s="36">
        <f t="shared" ref="V22:V31" si="18">IF(T$12=0,0,T22/T$12)</f>
        <v>0.63433925158305215</v>
      </c>
      <c r="W22" s="4"/>
      <c r="X22" s="20">
        <f t="shared" ref="X22:X31" si="19">+P22-T22</f>
        <v>-76433.480000000098</v>
      </c>
      <c r="Y22" s="4"/>
      <c r="Z22" s="36">
        <f t="shared" ref="Z22:Z31" si="20">IF(T22=0,0,X22/T22)</f>
        <v>-0.12508992218821705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-699.48</v>
      </c>
      <c r="E23" s="1"/>
      <c r="F23" s="5">
        <f t="shared" si="13"/>
        <v>0</v>
      </c>
      <c r="G23" s="1"/>
      <c r="H23" s="1">
        <f>SUM(OSRRefH22_0x_0)</f>
        <v>4573.1099999999997</v>
      </c>
      <c r="I23" s="1"/>
      <c r="J23" s="5">
        <f t="shared" si="14"/>
        <v>0.29163177861771261</v>
      </c>
      <c r="K23" s="1"/>
      <c r="L23" s="1">
        <f t="shared" si="15"/>
        <v>-5272.59</v>
      </c>
      <c r="M23" s="1"/>
      <c r="N23" s="5">
        <f t="shared" si="16"/>
        <v>-1.1529549912422838</v>
      </c>
      <c r="O23" s="12"/>
      <c r="P23" s="1">
        <f>SUM(OSRRefP22_0x_0)</f>
        <v>43327.49</v>
      </c>
      <c r="Q23" s="1"/>
      <c r="R23" s="5">
        <f t="shared" si="17"/>
        <v>6.0065144721161527E-2</v>
      </c>
      <c r="S23" s="1"/>
      <c r="T23" s="1">
        <f>SUM(OSRRefT22_0x_0)</f>
        <v>48394.729999999996</v>
      </c>
      <c r="U23" s="1"/>
      <c r="V23" s="5">
        <f t="shared" si="18"/>
        <v>5.0241008171935803E-2</v>
      </c>
      <c r="W23" s="1"/>
      <c r="X23" s="1">
        <f t="shared" si="19"/>
        <v>-5067.239999999998</v>
      </c>
      <c r="Y23" s="1"/>
      <c r="Z23" s="5">
        <f t="shared" si="20"/>
        <v>-0.1047064422097199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>
        <v>1158.1199999999999</v>
      </c>
      <c r="I24" s="2"/>
      <c r="J24" s="6">
        <f t="shared" si="14"/>
        <v>7.3854465659637603E-2</v>
      </c>
      <c r="K24" s="2"/>
      <c r="L24" s="7">
        <f t="shared" si="15"/>
        <v>-1158.1199999999999</v>
      </c>
      <c r="M24" s="2"/>
      <c r="N24" s="6">
        <f t="shared" si="16"/>
        <v>-1</v>
      </c>
      <c r="O24" s="11"/>
      <c r="P24" s="7">
        <v>9200.35</v>
      </c>
      <c r="Q24" s="2"/>
      <c r="R24" s="6">
        <f t="shared" si="17"/>
        <v>1.2754497300336079E-2</v>
      </c>
      <c r="S24" s="2"/>
      <c r="T24" s="7">
        <v>10030.870000000001</v>
      </c>
      <c r="U24" s="2"/>
      <c r="V24" s="6">
        <f t="shared" si="18"/>
        <v>1.0413551674771732E-2</v>
      </c>
      <c r="W24" s="2"/>
      <c r="X24" s="7">
        <f t="shared" si="19"/>
        <v>-830.52000000000044</v>
      </c>
      <c r="Y24" s="2"/>
      <c r="Z24" s="6">
        <f t="shared" si="20"/>
        <v>-8.2796407490078161E-2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>
        <v>896.03</v>
      </c>
      <c r="I25" s="2"/>
      <c r="J25" s="6">
        <f t="shared" si="14"/>
        <v>5.7140725369568858E-2</v>
      </c>
      <c r="K25" s="2"/>
      <c r="L25" s="7">
        <f t="shared" si="15"/>
        <v>-896.03</v>
      </c>
      <c r="M25" s="2"/>
      <c r="N25" s="6">
        <f t="shared" si="16"/>
        <v>-1</v>
      </c>
      <c r="O25" s="11"/>
      <c r="P25" s="7">
        <v>8884.57</v>
      </c>
      <c r="Q25" s="2"/>
      <c r="R25" s="6">
        <f t="shared" si="17"/>
        <v>1.2316729698288316E-2</v>
      </c>
      <c r="S25" s="2"/>
      <c r="T25" s="7">
        <v>9628.49</v>
      </c>
      <c r="U25" s="2"/>
      <c r="V25" s="6">
        <f t="shared" si="18"/>
        <v>9.9958207179459864E-3</v>
      </c>
      <c r="W25" s="2"/>
      <c r="X25" s="7">
        <f t="shared" si="19"/>
        <v>-743.92000000000007</v>
      </c>
      <c r="Y25" s="2"/>
      <c r="Z25" s="6">
        <f t="shared" si="20"/>
        <v>-7.7262374474086806E-2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3"/>
        <v>0</v>
      </c>
      <c r="G26" s="2"/>
      <c r="H26" s="7">
        <v>1376.23</v>
      </c>
      <c r="I26" s="2"/>
      <c r="J26" s="6">
        <f t="shared" si="14"/>
        <v>8.776355755428028E-2</v>
      </c>
      <c r="K26" s="2"/>
      <c r="L26" s="7">
        <f t="shared" si="15"/>
        <v>-1376.23</v>
      </c>
      <c r="M26" s="2"/>
      <c r="N26" s="6">
        <f t="shared" si="16"/>
        <v>-1</v>
      </c>
      <c r="O26" s="11"/>
      <c r="P26" s="7">
        <v>12146.21</v>
      </c>
      <c r="Q26" s="2"/>
      <c r="R26" s="6">
        <f t="shared" si="17"/>
        <v>1.6838359698741361E-2</v>
      </c>
      <c r="S26" s="2"/>
      <c r="T26" s="7">
        <v>14323.06</v>
      </c>
      <c r="U26" s="2"/>
      <c r="V26" s="6">
        <f t="shared" si="18"/>
        <v>1.4869490428133949E-2</v>
      </c>
      <c r="W26" s="2"/>
      <c r="X26" s="7">
        <f t="shared" si="19"/>
        <v>-2176.8500000000004</v>
      </c>
      <c r="Y26" s="2"/>
      <c r="Z26" s="6">
        <f t="shared" si="20"/>
        <v>-0.15198218816370249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-699.48</v>
      </c>
      <c r="E27" s="2"/>
      <c r="F27" s="6">
        <f t="shared" si="13"/>
        <v>0</v>
      </c>
      <c r="G27" s="2"/>
      <c r="H27" s="7">
        <v>67.48</v>
      </c>
      <c r="I27" s="2"/>
      <c r="J27" s="6">
        <f t="shared" si="14"/>
        <v>4.3032667968020124E-3</v>
      </c>
      <c r="K27" s="2"/>
      <c r="L27" s="7">
        <f t="shared" si="15"/>
        <v>-766.96</v>
      </c>
      <c r="M27" s="2"/>
      <c r="N27" s="6">
        <f t="shared" si="16"/>
        <v>-11.365737996443391</v>
      </c>
      <c r="O27" s="11"/>
      <c r="P27" s="7">
        <v>0</v>
      </c>
      <c r="Q27" s="2"/>
      <c r="R27" s="6">
        <f t="shared" si="17"/>
        <v>0</v>
      </c>
      <c r="S27" s="2"/>
      <c r="T27" s="7">
        <v>799.73</v>
      </c>
      <c r="U27" s="2"/>
      <c r="V27" s="6">
        <f t="shared" si="18"/>
        <v>8.3024001715356665E-4</v>
      </c>
      <c r="W27" s="2"/>
      <c r="X27" s="7">
        <f t="shared" si="19"/>
        <v>-799.73</v>
      </c>
      <c r="Y27" s="2"/>
      <c r="Z27" s="6">
        <f t="shared" si="20"/>
        <v>-1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6335.08</v>
      </c>
      <c r="Q28" s="2"/>
      <c r="R28" s="6">
        <f t="shared" si="17"/>
        <v>8.7823572752572555E-3</v>
      </c>
      <c r="S28" s="2"/>
      <c r="T28" s="7">
        <v>6751.13</v>
      </c>
      <c r="U28" s="2"/>
      <c r="V28" s="6">
        <f t="shared" si="18"/>
        <v>7.0086882910556786E-3</v>
      </c>
      <c r="W28" s="2"/>
      <c r="X28" s="7">
        <f t="shared" si="19"/>
        <v>-416.05000000000018</v>
      </c>
      <c r="Y28" s="2"/>
      <c r="Z28" s="6">
        <f t="shared" si="20"/>
        <v>-6.1626720267570045E-2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3"/>
        <v>0</v>
      </c>
      <c r="G29" s="2"/>
      <c r="H29" s="7">
        <v>384</v>
      </c>
      <c r="I29" s="2"/>
      <c r="J29" s="6">
        <f t="shared" si="14"/>
        <v>2.4488062388440614E-2</v>
      </c>
      <c r="K29" s="2"/>
      <c r="L29" s="7">
        <f t="shared" si="15"/>
        <v>-384</v>
      </c>
      <c r="M29" s="2"/>
      <c r="N29" s="6">
        <f t="shared" si="16"/>
        <v>-1</v>
      </c>
      <c r="O29" s="11"/>
      <c r="P29" s="7">
        <v>3696.18</v>
      </c>
      <c r="Q29" s="2"/>
      <c r="R29" s="6">
        <f t="shared" si="17"/>
        <v>5.1240352629580623E-3</v>
      </c>
      <c r="S29" s="2"/>
      <c r="T29" s="7">
        <v>4686.1000000000004</v>
      </c>
      <c r="U29" s="2"/>
      <c r="V29" s="6">
        <f t="shared" si="18"/>
        <v>4.86487657632367E-3</v>
      </c>
      <c r="W29" s="2"/>
      <c r="X29" s="7">
        <f t="shared" si="19"/>
        <v>-989.92000000000053</v>
      </c>
      <c r="Y29" s="2"/>
      <c r="Z29" s="6">
        <f t="shared" si="20"/>
        <v>-0.21124602547960999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3"/>
        <v>0</v>
      </c>
      <c r="G30" s="2"/>
      <c r="H30" s="7">
        <v>460.04</v>
      </c>
      <c r="I30" s="2"/>
      <c r="J30" s="6">
        <f t="shared" si="14"/>
        <v>2.933720890931828E-2</v>
      </c>
      <c r="K30" s="2"/>
      <c r="L30" s="7">
        <f t="shared" si="15"/>
        <v>-460.04</v>
      </c>
      <c r="M30" s="2"/>
      <c r="N30" s="6">
        <f t="shared" si="16"/>
        <v>-1</v>
      </c>
      <c r="O30" s="11"/>
      <c r="P30" s="7">
        <v>508.77</v>
      </c>
      <c r="Q30" s="2"/>
      <c r="R30" s="6">
        <f t="shared" si="17"/>
        <v>7.0531073181911411E-4</v>
      </c>
      <c r="S30" s="2"/>
      <c r="T30" s="7">
        <v>-1146.8599999999999</v>
      </c>
      <c r="U30" s="2"/>
      <c r="V30" s="6">
        <f t="shared" si="18"/>
        <v>-1.1906131645339543E-3</v>
      </c>
      <c r="W30" s="2"/>
      <c r="X30" s="7">
        <f t="shared" si="19"/>
        <v>1655.6299999999999</v>
      </c>
      <c r="Y30" s="2"/>
      <c r="Z30" s="6">
        <f t="shared" si="20"/>
        <v>-1.4436199710513926</v>
      </c>
    </row>
    <row r="31" spans="1:26" s="24" customFormat="1" hidden="1" outlineLevel="2" x14ac:dyDescent="0.3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3"/>
        <v>0</v>
      </c>
      <c r="G31" s="2"/>
      <c r="H31" s="7">
        <v>231.21</v>
      </c>
      <c r="I31" s="2"/>
      <c r="J31" s="6">
        <f t="shared" si="14"/>
        <v>1.4744491939664985E-2</v>
      </c>
      <c r="K31" s="2"/>
      <c r="L31" s="7">
        <f t="shared" si="15"/>
        <v>-231.21</v>
      </c>
      <c r="M31" s="2"/>
      <c r="N31" s="6">
        <f t="shared" si="16"/>
        <v>-1</v>
      </c>
      <c r="O31" s="11"/>
      <c r="P31" s="7">
        <v>2556.33</v>
      </c>
      <c r="Q31" s="2"/>
      <c r="R31" s="6">
        <f t="shared" si="17"/>
        <v>3.5438547537613384E-3</v>
      </c>
      <c r="S31" s="2"/>
      <c r="T31" s="7">
        <v>3322.21</v>
      </c>
      <c r="U31" s="2"/>
      <c r="V31" s="6">
        <f t="shared" si="18"/>
        <v>3.4489536310851792E-3</v>
      </c>
      <c r="W31" s="2"/>
      <c r="X31" s="7">
        <f t="shared" si="19"/>
        <v>-765.88000000000011</v>
      </c>
      <c r="Y31" s="2"/>
      <c r="Z31" s="6">
        <f t="shared" si="20"/>
        <v>-0.23053328958735303</v>
      </c>
    </row>
    <row r="32" spans="1:26" s="25" customFormat="1" outlineLevel="1" collapsed="1" x14ac:dyDescent="0.3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13995.86</v>
      </c>
      <c r="I32" s="1"/>
      <c r="J32" s="5">
        <f t="shared" ref="J32:J37" si="22">IF(H$12=0,0,H32/H$12)</f>
        <v>0.89252992932260533</v>
      </c>
      <c r="K32" s="1"/>
      <c r="L32" s="1">
        <f t="shared" ref="L32:L37" si="23">+D32-H32</f>
        <v>-13995.86</v>
      </c>
      <c r="M32" s="1"/>
      <c r="N32" s="5">
        <f t="shared" ref="N32:N37" si="24">IF(H32=0,0,L32/H32)</f>
        <v>-1</v>
      </c>
      <c r="O32" s="12"/>
      <c r="P32" s="1">
        <f>SUM(OSRRefP22_1x_0)</f>
        <v>247791.51</v>
      </c>
      <c r="Q32" s="1"/>
      <c r="R32" s="5">
        <f t="shared" ref="R32:R37" si="25">IF(P$12=0,0,P32/P$12)</f>
        <v>0.34351477338809944</v>
      </c>
      <c r="S32" s="1"/>
      <c r="T32" s="1">
        <f>SUM(OSRRefT22_1x_0)</f>
        <v>293485.75</v>
      </c>
      <c r="U32" s="1"/>
      <c r="V32" s="5">
        <f t="shared" ref="V32:V37" si="26">IF(T$12=0,0,T32/T$12)</f>
        <v>0.30468234793533738</v>
      </c>
      <c r="W32" s="1"/>
      <c r="X32" s="1">
        <f t="shared" ref="X32:X37" si="27">+P32-T32</f>
        <v>-45694.239999999991</v>
      </c>
      <c r="Y32" s="1"/>
      <c r="Z32" s="5">
        <f t="shared" ref="Z32:Z37" si="28">IF(T32=0,0,X32/T32)</f>
        <v>-0.1556949187481845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1"/>
        <v>0</v>
      </c>
      <c r="G33" s="2"/>
      <c r="H33" s="7">
        <v>8940.61</v>
      </c>
      <c r="I33" s="2"/>
      <c r="J33" s="6">
        <f t="shared" si="22"/>
        <v>0.570151602788323</v>
      </c>
      <c r="K33" s="2"/>
      <c r="L33" s="7">
        <f t="shared" si="23"/>
        <v>-8940.61</v>
      </c>
      <c r="M33" s="2"/>
      <c r="N33" s="6">
        <f t="shared" si="24"/>
        <v>-1</v>
      </c>
      <c r="O33" s="11"/>
      <c r="P33" s="7">
        <v>97485.84</v>
      </c>
      <c r="Q33" s="2"/>
      <c r="R33" s="6">
        <f t="shared" si="25"/>
        <v>0.13514517198813034</v>
      </c>
      <c r="S33" s="2"/>
      <c r="T33" s="7">
        <v>104346.16</v>
      </c>
      <c r="U33" s="2"/>
      <c r="V33" s="6">
        <f t="shared" si="26"/>
        <v>0.10832700745040051</v>
      </c>
      <c r="W33" s="2"/>
      <c r="X33" s="7">
        <f t="shared" si="27"/>
        <v>-6860.320000000007</v>
      </c>
      <c r="Y33" s="2"/>
      <c r="Z33" s="6">
        <f t="shared" si="28"/>
        <v>-6.5745783074336483E-2</v>
      </c>
    </row>
    <row r="34" spans="1:26" s="24" customFormat="1" hidden="1" outlineLevel="2" x14ac:dyDescent="0.3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1"/>
        <v>0</v>
      </c>
      <c r="G34" s="2"/>
      <c r="H34" s="7"/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>
        <v>45.5</v>
      </c>
      <c r="Q34" s="2"/>
      <c r="R34" s="6">
        <f t="shared" si="25"/>
        <v>6.3076907635610771E-5</v>
      </c>
      <c r="S34" s="2"/>
      <c r="T34" s="7"/>
      <c r="U34" s="2"/>
      <c r="V34" s="6">
        <f t="shared" si="26"/>
        <v>0</v>
      </c>
      <c r="W34" s="2"/>
      <c r="X34" s="7">
        <f t="shared" si="27"/>
        <v>45.5</v>
      </c>
      <c r="Y34" s="2"/>
      <c r="Z34" s="6">
        <f t="shared" si="28"/>
        <v>0</v>
      </c>
    </row>
    <row r="35" spans="1:26" s="24" customFormat="1" hidden="1" outlineLevel="2" x14ac:dyDescent="0.3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1"/>
        <v>0</v>
      </c>
      <c r="G35" s="2"/>
      <c r="H35" s="7"/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4166.08</v>
      </c>
      <c r="U35" s="2"/>
      <c r="V35" s="6">
        <f t="shared" si="26"/>
        <v>4.3250176067711988E-3</v>
      </c>
      <c r="W35" s="2"/>
      <c r="X35" s="7">
        <f t="shared" si="27"/>
        <v>-4166.08</v>
      </c>
      <c r="Y35" s="2"/>
      <c r="Z35" s="6">
        <f t="shared" si="28"/>
        <v>-1</v>
      </c>
    </row>
    <row r="36" spans="1:26" s="24" customFormat="1" hidden="1" outlineLevel="2" x14ac:dyDescent="0.3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1"/>
        <v>0</v>
      </c>
      <c r="G36" s="2"/>
      <c r="H36" s="7">
        <v>5055.25</v>
      </c>
      <c r="I36" s="2"/>
      <c r="J36" s="6">
        <f t="shared" si="22"/>
        <v>0.32237832653428233</v>
      </c>
      <c r="K36" s="2"/>
      <c r="L36" s="7">
        <f t="shared" si="23"/>
        <v>-5055.25</v>
      </c>
      <c r="M36" s="2"/>
      <c r="N36" s="6">
        <f t="shared" si="24"/>
        <v>-1</v>
      </c>
      <c r="O36" s="11"/>
      <c r="P36" s="7">
        <v>142995.32</v>
      </c>
      <c r="Q36" s="2"/>
      <c r="R36" s="6">
        <f t="shared" si="25"/>
        <v>0.19823522180141992</v>
      </c>
      <c r="S36" s="2"/>
      <c r="T36" s="7">
        <v>177639.45</v>
      </c>
      <c r="U36" s="2"/>
      <c r="V36" s="6">
        <f t="shared" si="26"/>
        <v>0.18441646557606961</v>
      </c>
      <c r="W36" s="2"/>
      <c r="X36" s="7">
        <f t="shared" si="27"/>
        <v>-34644.130000000005</v>
      </c>
      <c r="Y36" s="2"/>
      <c r="Z36" s="6">
        <f t="shared" si="28"/>
        <v>-0.19502497896722829</v>
      </c>
    </row>
    <row r="37" spans="1:26" s="24" customFormat="1" hidden="1" outlineLevel="2" x14ac:dyDescent="0.3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1"/>
        <v>0</v>
      </c>
      <c r="G37" s="2"/>
      <c r="H37" s="7"/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>
        <v>7264.85</v>
      </c>
      <c r="Q37" s="2"/>
      <c r="R37" s="6">
        <f t="shared" si="25"/>
        <v>1.007130269091356E-2</v>
      </c>
      <c r="S37" s="2"/>
      <c r="T37" s="7">
        <v>7334.06</v>
      </c>
      <c r="U37" s="2"/>
      <c r="V37" s="6">
        <f t="shared" si="26"/>
        <v>7.613857302096066E-3</v>
      </c>
      <c r="W37" s="2"/>
      <c r="X37" s="7">
        <f t="shared" si="27"/>
        <v>-69.210000000000036</v>
      </c>
      <c r="Y37" s="2"/>
      <c r="Z37" s="6">
        <f t="shared" si="28"/>
        <v>-9.4367921724120112E-3</v>
      </c>
    </row>
    <row r="38" spans="1:26" s="25" customFormat="1" outlineLevel="1" collapsed="1" x14ac:dyDescent="0.35">
      <c r="A38" s="26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46" si="29">IF(D$12=0,0,D38/D$12)</f>
        <v>0</v>
      </c>
      <c r="G38" s="1"/>
      <c r="H38" s="1">
        <f>SUM(OSRRefH22_2x_0)</f>
        <v>435.16</v>
      </c>
      <c r="I38" s="1"/>
      <c r="J38" s="5">
        <f t="shared" ref="J38:J46" si="30">IF(H$12=0,0,H38/H$12)</f>
        <v>2.7750586533733902E-2</v>
      </c>
      <c r="K38" s="1"/>
      <c r="L38" s="1">
        <f t="shared" ref="L38:L46" si="31">+D38-H38</f>
        <v>-435.16</v>
      </c>
      <c r="M38" s="1"/>
      <c r="N38" s="5">
        <f t="shared" ref="N38:N46" si="32">IF(H38=0,0,L38/H38)</f>
        <v>-1</v>
      </c>
      <c r="O38" s="12"/>
      <c r="P38" s="1">
        <f>SUM(OSRRefP22_2x_0)</f>
        <v>1426.98</v>
      </c>
      <c r="Q38" s="1"/>
      <c r="R38" s="5">
        <f t="shared" ref="R38:R46" si="33">IF(P$12=0,0,P38/P$12)</f>
        <v>1.9782304540189861E-3</v>
      </c>
      <c r="S38" s="1"/>
      <c r="T38" s="1">
        <f>SUM(OSRRefT22_2x_0)</f>
        <v>3366.03</v>
      </c>
      <c r="U38" s="1"/>
      <c r="V38" s="5">
        <f t="shared" ref="V38:V46" si="34">IF(T$12=0,0,T38/T$12)</f>
        <v>3.4944453814905281E-3</v>
      </c>
      <c r="W38" s="1"/>
      <c r="X38" s="1">
        <f t="shared" ref="X38:X46" si="35">+P38-T38</f>
        <v>-1939.0500000000002</v>
      </c>
      <c r="Y38" s="1"/>
      <c r="Z38" s="5">
        <f t="shared" ref="Z38:Z46" si="36">IF(T38=0,0,X38/T38)</f>
        <v>-0.57606438445290153</v>
      </c>
    </row>
    <row r="39" spans="1:26" s="24" customFormat="1" hidden="1" outlineLevel="2" x14ac:dyDescent="0.35">
      <c r="A39" s="27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29"/>
        <v>0</v>
      </c>
      <c r="G39" s="2"/>
      <c r="H39" s="7">
        <v>435.16</v>
      </c>
      <c r="I39" s="2"/>
      <c r="J39" s="6">
        <f t="shared" si="30"/>
        <v>2.7750586533733902E-2</v>
      </c>
      <c r="K39" s="2"/>
      <c r="L39" s="7">
        <f t="shared" si="31"/>
        <v>-435.16</v>
      </c>
      <c r="M39" s="2"/>
      <c r="N39" s="6">
        <f t="shared" si="32"/>
        <v>-1</v>
      </c>
      <c r="O39" s="11"/>
      <c r="P39" s="7">
        <v>1426.98</v>
      </c>
      <c r="Q39" s="2"/>
      <c r="R39" s="6">
        <f t="shared" si="33"/>
        <v>1.9782304540189861E-3</v>
      </c>
      <c r="S39" s="2"/>
      <c r="T39" s="7">
        <v>3366.03</v>
      </c>
      <c r="U39" s="2"/>
      <c r="V39" s="6">
        <f t="shared" si="34"/>
        <v>3.4944453814905281E-3</v>
      </c>
      <c r="W39" s="2"/>
      <c r="X39" s="7">
        <f t="shared" si="35"/>
        <v>-1939.0500000000002</v>
      </c>
      <c r="Y39" s="2"/>
      <c r="Z39" s="6">
        <f t="shared" si="36"/>
        <v>-0.57606438445290153</v>
      </c>
    </row>
    <row r="40" spans="1:26" s="25" customFormat="1" outlineLevel="1" collapsed="1" x14ac:dyDescent="0.35">
      <c r="A40" s="26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859.98</v>
      </c>
      <c r="I40" s="1"/>
      <c r="J40" s="5">
        <f t="shared" si="30"/>
        <v>5.484178097086239E-2</v>
      </c>
      <c r="K40" s="1"/>
      <c r="L40" s="1">
        <f t="shared" si="31"/>
        <v>-859.98</v>
      </c>
      <c r="M40" s="1"/>
      <c r="N40" s="5">
        <f t="shared" si="32"/>
        <v>-1</v>
      </c>
      <c r="O40" s="12"/>
      <c r="P40" s="1">
        <f>SUM(OSRRefP22_3x_0)</f>
        <v>195.92</v>
      </c>
      <c r="Q40" s="1"/>
      <c r="R40" s="5">
        <f t="shared" si="33"/>
        <v>2.7160500536195303E-4</v>
      </c>
      <c r="S40" s="1"/>
      <c r="T40" s="1">
        <f>SUM(OSRRefT22_3x_0)</f>
        <v>932.2</v>
      </c>
      <c r="U40" s="1"/>
      <c r="V40" s="5">
        <f t="shared" si="34"/>
        <v>9.6776380027078493E-4</v>
      </c>
      <c r="W40" s="1"/>
      <c r="X40" s="1">
        <f t="shared" si="35"/>
        <v>-736.28000000000009</v>
      </c>
      <c r="Y40" s="1"/>
      <c r="Z40" s="5">
        <f t="shared" si="36"/>
        <v>-0.78983050847457636</v>
      </c>
    </row>
    <row r="41" spans="1:26" s="24" customFormat="1" hidden="1" outlineLevel="2" x14ac:dyDescent="0.35">
      <c r="A41" s="27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29"/>
        <v>0</v>
      </c>
      <c r="G41" s="2"/>
      <c r="H41" s="7">
        <v>859.98</v>
      </c>
      <c r="I41" s="2"/>
      <c r="J41" s="6">
        <f t="shared" si="30"/>
        <v>5.484178097086239E-2</v>
      </c>
      <c r="K41" s="2"/>
      <c r="L41" s="7">
        <f t="shared" si="31"/>
        <v>-859.98</v>
      </c>
      <c r="M41" s="2"/>
      <c r="N41" s="6">
        <f t="shared" si="32"/>
        <v>-1</v>
      </c>
      <c r="O41" s="11"/>
      <c r="P41" s="7">
        <v>195.92</v>
      </c>
      <c r="Q41" s="2"/>
      <c r="R41" s="6">
        <f t="shared" si="33"/>
        <v>2.7160500536195303E-4</v>
      </c>
      <c r="S41" s="2"/>
      <c r="T41" s="7">
        <v>932.2</v>
      </c>
      <c r="U41" s="2"/>
      <c r="V41" s="6">
        <f t="shared" si="34"/>
        <v>9.6776380027078493E-4</v>
      </c>
      <c r="W41" s="2"/>
      <c r="X41" s="7">
        <f t="shared" si="35"/>
        <v>-736.28000000000009</v>
      </c>
      <c r="Y41" s="2"/>
      <c r="Z41" s="6">
        <f t="shared" si="36"/>
        <v>-0.78983050847457636</v>
      </c>
    </row>
    <row r="42" spans="1:26" s="25" customFormat="1" outlineLevel="1" collapsed="1" x14ac:dyDescent="0.35">
      <c r="A42" s="26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29"/>
        <v>0</v>
      </c>
      <c r="G42" s="1"/>
      <c r="H42" s="1">
        <f>SUM(OSRRefH22_4x_0)</f>
        <v>1566.29</v>
      </c>
      <c r="I42" s="1"/>
      <c r="J42" s="5">
        <f t="shared" si="30"/>
        <v>9.9883873016642311E-2</v>
      </c>
      <c r="K42" s="1"/>
      <c r="L42" s="1">
        <f t="shared" si="31"/>
        <v>-1566.29</v>
      </c>
      <c r="M42" s="1"/>
      <c r="N42" s="5">
        <f t="shared" si="32"/>
        <v>-1</v>
      </c>
      <c r="O42" s="12"/>
      <c r="P42" s="1">
        <f>SUM(OSRRefP22_4x_0)</f>
        <v>25022.129999999997</v>
      </c>
      <c r="Q42" s="1"/>
      <c r="R42" s="5">
        <f t="shared" si="33"/>
        <v>3.4688320502335064E-2</v>
      </c>
      <c r="S42" s="1"/>
      <c r="T42" s="1">
        <f>SUM(OSRRefT22_4x_0)</f>
        <v>34741.78</v>
      </c>
      <c r="U42" s="1"/>
      <c r="V42" s="5">
        <f t="shared" si="34"/>
        <v>3.6067192706470227E-2</v>
      </c>
      <c r="W42" s="1"/>
      <c r="X42" s="1">
        <f t="shared" si="35"/>
        <v>-9719.6500000000015</v>
      </c>
      <c r="Y42" s="1"/>
      <c r="Z42" s="5">
        <f t="shared" si="36"/>
        <v>-0.27976833656767158</v>
      </c>
    </row>
    <row r="43" spans="1:26" s="24" customFormat="1" hidden="1" outlineLevel="2" x14ac:dyDescent="0.35">
      <c r="A43" s="27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29"/>
        <v>0</v>
      </c>
      <c r="G43" s="2"/>
      <c r="H43" s="7">
        <v>1566.29</v>
      </c>
      <c r="I43" s="2"/>
      <c r="J43" s="6">
        <f t="shared" si="30"/>
        <v>9.9883873016642311E-2</v>
      </c>
      <c r="K43" s="2"/>
      <c r="L43" s="7">
        <f t="shared" si="31"/>
        <v>-1566.29</v>
      </c>
      <c r="M43" s="2"/>
      <c r="N43" s="6">
        <f t="shared" si="32"/>
        <v>-1</v>
      </c>
      <c r="O43" s="11"/>
      <c r="P43" s="7">
        <v>25022.129999999997</v>
      </c>
      <c r="Q43" s="2"/>
      <c r="R43" s="6">
        <f t="shared" si="33"/>
        <v>3.4688320502335064E-2</v>
      </c>
      <c r="S43" s="2"/>
      <c r="T43" s="7">
        <v>34741.78</v>
      </c>
      <c r="U43" s="2"/>
      <c r="V43" s="6">
        <f t="shared" si="34"/>
        <v>3.6067192706470227E-2</v>
      </c>
      <c r="W43" s="2"/>
      <c r="X43" s="7">
        <f t="shared" si="35"/>
        <v>-9719.6500000000015</v>
      </c>
      <c r="Y43" s="2"/>
      <c r="Z43" s="6">
        <f t="shared" si="36"/>
        <v>-0.27976833656767158</v>
      </c>
    </row>
    <row r="44" spans="1:26" s="25" customFormat="1" outlineLevel="1" collapsed="1" x14ac:dyDescent="0.35">
      <c r="A44" s="26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5330.02</v>
      </c>
      <c r="E44" s="1"/>
      <c r="F44" s="5">
        <f t="shared" si="29"/>
        <v>0</v>
      </c>
      <c r="G44" s="1"/>
      <c r="H44" s="1">
        <f>SUM(OSRRefH22_5x_0)</f>
        <v>5651.26</v>
      </c>
      <c r="I44" s="1"/>
      <c r="J44" s="5">
        <f t="shared" si="30"/>
        <v>0.36038647774296589</v>
      </c>
      <c r="K44" s="1"/>
      <c r="L44" s="1">
        <f t="shared" si="31"/>
        <v>-321.23999999999978</v>
      </c>
      <c r="M44" s="1"/>
      <c r="N44" s="5">
        <f t="shared" si="32"/>
        <v>-5.6843960461914644E-2</v>
      </c>
      <c r="O44" s="12"/>
      <c r="P44" s="1">
        <f>SUM(OSRRefP22_5x_0)</f>
        <v>66609.78</v>
      </c>
      <c r="Q44" s="1"/>
      <c r="R44" s="5">
        <f t="shared" si="33"/>
        <v>9.2341515179963821E-2</v>
      </c>
      <c r="S44" s="1"/>
      <c r="T44" s="1">
        <f>SUM(OSRRefT22_5x_0)</f>
        <v>38652.720000000001</v>
      </c>
      <c r="U44" s="1"/>
      <c r="V44" s="5">
        <f t="shared" si="34"/>
        <v>4.012733662089956E-2</v>
      </c>
      <c r="W44" s="1"/>
      <c r="X44" s="1">
        <f t="shared" si="35"/>
        <v>27957.059999999998</v>
      </c>
      <c r="Y44" s="1"/>
      <c r="Z44" s="5">
        <f t="shared" si="36"/>
        <v>0.72328829639932191</v>
      </c>
    </row>
    <row r="45" spans="1:26" s="24" customFormat="1" hidden="1" outlineLevel="2" x14ac:dyDescent="0.35">
      <c r="A45" s="27"/>
      <c r="B45" s="11" t="str">
        <f>CONCATENATE("          ", "6321", " - ", "BUILDING DEPRECIATION")</f>
        <v xml:space="preserve">          6321 - BUILDING DEPRECIATION</v>
      </c>
      <c r="C45" s="11"/>
      <c r="D45" s="7">
        <v>4626.5</v>
      </c>
      <c r="E45" s="2"/>
      <c r="F45" s="6">
        <f t="shared" si="29"/>
        <v>0</v>
      </c>
      <c r="G45" s="2"/>
      <c r="H45" s="7">
        <v>4665.2</v>
      </c>
      <c r="I45" s="2"/>
      <c r="J45" s="6">
        <f t="shared" si="30"/>
        <v>0.29750444962123213</v>
      </c>
      <c r="K45" s="2"/>
      <c r="L45" s="7">
        <f t="shared" si="31"/>
        <v>-38.699999999999818</v>
      </c>
      <c r="M45" s="2"/>
      <c r="N45" s="6">
        <f t="shared" si="32"/>
        <v>-8.295464288776434E-3</v>
      </c>
      <c r="O45" s="11"/>
      <c r="P45" s="7">
        <v>55518</v>
      </c>
      <c r="Q45" s="2"/>
      <c r="R45" s="6">
        <f t="shared" si="33"/>
        <v>7.6964917760743712E-2</v>
      </c>
      <c r="S45" s="2"/>
      <c r="T45" s="7">
        <v>26819.89</v>
      </c>
      <c r="U45" s="2"/>
      <c r="V45" s="6">
        <f t="shared" si="34"/>
        <v>2.784307945638749E-2</v>
      </c>
      <c r="W45" s="2"/>
      <c r="X45" s="7">
        <f t="shared" si="35"/>
        <v>28698.11</v>
      </c>
      <c r="Y45" s="2"/>
      <c r="Z45" s="6">
        <f t="shared" si="36"/>
        <v>1.0700308614241147</v>
      </c>
    </row>
    <row r="46" spans="1:26" s="24" customFormat="1" hidden="1" outlineLevel="2" x14ac:dyDescent="0.3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703.52</v>
      </c>
      <c r="E46" s="2"/>
      <c r="F46" s="6">
        <f t="shared" si="29"/>
        <v>0</v>
      </c>
      <c r="G46" s="2"/>
      <c r="H46" s="7">
        <v>986.06</v>
      </c>
      <c r="I46" s="2"/>
      <c r="J46" s="6">
        <f t="shared" si="30"/>
        <v>6.2882028121733727E-2</v>
      </c>
      <c r="K46" s="2"/>
      <c r="L46" s="7">
        <f t="shared" si="31"/>
        <v>-282.53999999999996</v>
      </c>
      <c r="M46" s="2"/>
      <c r="N46" s="6">
        <f t="shared" si="32"/>
        <v>-0.28653428797436259</v>
      </c>
      <c r="O46" s="11"/>
      <c r="P46" s="7">
        <v>11091.78</v>
      </c>
      <c r="Q46" s="2"/>
      <c r="R46" s="6">
        <f t="shared" si="33"/>
        <v>1.5376597419220109E-2</v>
      </c>
      <c r="S46" s="2"/>
      <c r="T46" s="7">
        <v>11832.83</v>
      </c>
      <c r="U46" s="2"/>
      <c r="V46" s="6">
        <f t="shared" si="34"/>
        <v>1.2284257164512069E-2</v>
      </c>
      <c r="W46" s="2"/>
      <c r="X46" s="7">
        <f t="shared" si="35"/>
        <v>-741.04999999999927</v>
      </c>
      <c r="Y46" s="2"/>
      <c r="Z46" s="6">
        <f t="shared" si="36"/>
        <v>-6.2626607497952666E-2</v>
      </c>
    </row>
    <row r="47" spans="1:26" s="25" customFormat="1" outlineLevel="1" collapsed="1" x14ac:dyDescent="0.35">
      <c r="A47" s="26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ref="F47:F57" si="37">IF(D$12=0,0,D47/D$12)</f>
        <v>0</v>
      </c>
      <c r="G47" s="1"/>
      <c r="H47" s="1">
        <f>SUM(OSRRefH22_6x_0)</f>
        <v>0</v>
      </c>
      <c r="I47" s="1"/>
      <c r="J47" s="5">
        <f t="shared" ref="J47:J57" si="38">IF(H$12=0,0,H47/H$12)</f>
        <v>0</v>
      </c>
      <c r="K47" s="1"/>
      <c r="L47" s="1">
        <f t="shared" ref="L47:L57" si="39">+D47-H47</f>
        <v>0</v>
      </c>
      <c r="M47" s="1"/>
      <c r="N47" s="5">
        <f t="shared" ref="N47:N57" si="40">IF(H47=0,0,L47/H47)</f>
        <v>0</v>
      </c>
      <c r="O47" s="12"/>
      <c r="P47" s="1">
        <f>SUM(OSRRefP22_6x_0)</f>
        <v>186.48</v>
      </c>
      <c r="Q47" s="1"/>
      <c r="R47" s="5">
        <f t="shared" ref="R47:R57" si="41">IF(P$12=0,0,P47/P$12)</f>
        <v>2.585182799096417E-4</v>
      </c>
      <c r="S47" s="1"/>
      <c r="T47" s="1">
        <f>SUM(OSRRefT22_6x_0)</f>
        <v>258.82</v>
      </c>
      <c r="U47" s="1"/>
      <c r="V47" s="5">
        <f t="shared" ref="V47:V57" si="42">IF(T$12=0,0,T47/T$12)</f>
        <v>2.6869408580356633E-4</v>
      </c>
      <c r="W47" s="1"/>
      <c r="X47" s="1">
        <f t="shared" ref="X47:X57" si="43">+P47-T47</f>
        <v>-72.34</v>
      </c>
      <c r="Y47" s="1"/>
      <c r="Z47" s="5">
        <f t="shared" ref="Z47:Z57" si="44">IF(T47=0,0,X47/T47)</f>
        <v>-0.27949926589908047</v>
      </c>
    </row>
    <row r="48" spans="1:26" s="24" customFormat="1" hidden="1" outlineLevel="2" x14ac:dyDescent="0.35">
      <c r="A48" s="27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7"/>
        <v>0</v>
      </c>
      <c r="G48" s="2"/>
      <c r="H48" s="7"/>
      <c r="I48" s="2"/>
      <c r="J48" s="6">
        <f t="shared" si="38"/>
        <v>0</v>
      </c>
      <c r="K48" s="2"/>
      <c r="L48" s="7">
        <f t="shared" si="39"/>
        <v>0</v>
      </c>
      <c r="M48" s="2"/>
      <c r="N48" s="6">
        <f t="shared" si="40"/>
        <v>0</v>
      </c>
      <c r="O48" s="11"/>
      <c r="P48" s="7">
        <v>186.48</v>
      </c>
      <c r="Q48" s="2"/>
      <c r="R48" s="6">
        <f t="shared" si="41"/>
        <v>2.585182799096417E-4</v>
      </c>
      <c r="S48" s="2"/>
      <c r="T48" s="7">
        <v>258.82</v>
      </c>
      <c r="U48" s="2"/>
      <c r="V48" s="6">
        <f t="shared" si="42"/>
        <v>2.6869408580356633E-4</v>
      </c>
      <c r="W48" s="2"/>
      <c r="X48" s="7">
        <f t="shared" si="43"/>
        <v>-72.34</v>
      </c>
      <c r="Y48" s="2"/>
      <c r="Z48" s="6">
        <f t="shared" si="44"/>
        <v>-0.27949926589908047</v>
      </c>
    </row>
    <row r="49" spans="1:26" s="25" customFormat="1" outlineLevel="1" collapsed="1" x14ac:dyDescent="0.35">
      <c r="A49" s="26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7"/>
        <v>0</v>
      </c>
      <c r="G49" s="1"/>
      <c r="H49" s="1">
        <f>SUM(OSRRefH22_7x_0)</f>
        <v>339.23</v>
      </c>
      <c r="I49" s="1"/>
      <c r="J49" s="5">
        <f t="shared" si="38"/>
        <v>2.1633034906329972E-2</v>
      </c>
      <c r="K49" s="1"/>
      <c r="L49" s="1">
        <f t="shared" si="39"/>
        <v>-339.23</v>
      </c>
      <c r="M49" s="1"/>
      <c r="N49" s="5">
        <f t="shared" si="40"/>
        <v>-1</v>
      </c>
      <c r="O49" s="12"/>
      <c r="P49" s="1">
        <f>SUM(OSRRefP22_7x_0)</f>
        <v>3521.32</v>
      </c>
      <c r="Q49" s="1"/>
      <c r="R49" s="5">
        <f t="shared" si="41"/>
        <v>4.8816258548445924E-3</v>
      </c>
      <c r="S49" s="1"/>
      <c r="T49" s="1">
        <f>SUM(OSRRefT22_7x_0)</f>
        <v>3004.49</v>
      </c>
      <c r="U49" s="1"/>
      <c r="V49" s="5">
        <f t="shared" si="42"/>
        <v>3.1191124868864733E-3</v>
      </c>
      <c r="W49" s="1"/>
      <c r="X49" s="1">
        <f t="shared" si="43"/>
        <v>516.83000000000038</v>
      </c>
      <c r="Y49" s="1"/>
      <c r="Z49" s="5">
        <f t="shared" si="44"/>
        <v>0.17201921124716688</v>
      </c>
    </row>
    <row r="50" spans="1:26" s="24" customFormat="1" hidden="1" outlineLevel="2" x14ac:dyDescent="0.35">
      <c r="A50" s="27"/>
      <c r="B50" s="11" t="str">
        <f>CONCATENATE("          ", "6351", " - ", "EQUIPMENT RENTAL")</f>
        <v xml:space="preserve">          6351 - EQUIPMENT RENTAL</v>
      </c>
      <c r="C50" s="11"/>
      <c r="D50" s="7"/>
      <c r="E50" s="2"/>
      <c r="F50" s="6">
        <f t="shared" si="37"/>
        <v>0</v>
      </c>
      <c r="G50" s="2"/>
      <c r="H50" s="7">
        <v>339.23</v>
      </c>
      <c r="I50" s="2"/>
      <c r="J50" s="6">
        <f t="shared" si="38"/>
        <v>2.1633034906329972E-2</v>
      </c>
      <c r="K50" s="2"/>
      <c r="L50" s="7">
        <f t="shared" si="39"/>
        <v>-339.23</v>
      </c>
      <c r="M50" s="2"/>
      <c r="N50" s="6">
        <f t="shared" si="40"/>
        <v>-1</v>
      </c>
      <c r="O50" s="11"/>
      <c r="P50" s="7">
        <v>3521.32</v>
      </c>
      <c r="Q50" s="2"/>
      <c r="R50" s="6">
        <f t="shared" si="41"/>
        <v>4.8816258548445924E-3</v>
      </c>
      <c r="S50" s="2"/>
      <c r="T50" s="7">
        <v>3004.49</v>
      </c>
      <c r="U50" s="2"/>
      <c r="V50" s="6">
        <f t="shared" si="42"/>
        <v>3.1191124868864733E-3</v>
      </c>
      <c r="W50" s="2"/>
      <c r="X50" s="7">
        <f t="shared" si="43"/>
        <v>516.83000000000038</v>
      </c>
      <c r="Y50" s="2"/>
      <c r="Z50" s="6">
        <f t="shared" si="44"/>
        <v>0.17201921124716688</v>
      </c>
    </row>
    <row r="51" spans="1:26" s="25" customFormat="1" outlineLevel="1" collapsed="1" x14ac:dyDescent="0.35">
      <c r="A51" s="26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7"/>
        <v>0</v>
      </c>
      <c r="G51" s="1"/>
      <c r="H51" s="1">
        <f>SUM(OSRRefH22_8x_0)</f>
        <v>967.23</v>
      </c>
      <c r="I51" s="1"/>
      <c r="J51" s="5">
        <f t="shared" si="38"/>
        <v>6.1681220270758889E-2</v>
      </c>
      <c r="K51" s="1"/>
      <c r="L51" s="1">
        <f t="shared" si="39"/>
        <v>-967.23</v>
      </c>
      <c r="M51" s="1"/>
      <c r="N51" s="5">
        <f t="shared" si="40"/>
        <v>-1</v>
      </c>
      <c r="O51" s="12"/>
      <c r="P51" s="1">
        <f>SUM(OSRRefP22_8x_0)</f>
        <v>9308.4599999999991</v>
      </c>
      <c r="Q51" s="1"/>
      <c r="R51" s="5">
        <f t="shared" si="41"/>
        <v>1.2904370805489614E-2</v>
      </c>
      <c r="S51" s="1"/>
      <c r="T51" s="1">
        <f>SUM(OSRRefT22_8x_0)</f>
        <v>13160.01</v>
      </c>
      <c r="U51" s="1"/>
      <c r="V51" s="5">
        <f t="shared" si="42"/>
        <v>1.366206960866931E-2</v>
      </c>
      <c r="W51" s="1"/>
      <c r="X51" s="1">
        <f t="shared" si="43"/>
        <v>-3851.5500000000011</v>
      </c>
      <c r="Y51" s="1"/>
      <c r="Z51" s="5">
        <f t="shared" si="44"/>
        <v>-0.29267075025018985</v>
      </c>
    </row>
    <row r="52" spans="1:26" s="24" customFormat="1" hidden="1" outlineLevel="2" x14ac:dyDescent="0.35">
      <c r="A52" s="27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37"/>
        <v>0</v>
      </c>
      <c r="G52" s="2"/>
      <c r="H52" s="7">
        <v>967.23</v>
      </c>
      <c r="I52" s="2"/>
      <c r="J52" s="6">
        <f t="shared" si="38"/>
        <v>6.1681220270758889E-2</v>
      </c>
      <c r="K52" s="2"/>
      <c r="L52" s="7">
        <f t="shared" si="39"/>
        <v>-967.23</v>
      </c>
      <c r="M52" s="2"/>
      <c r="N52" s="6">
        <f t="shared" si="40"/>
        <v>-1</v>
      </c>
      <c r="O52" s="11"/>
      <c r="P52" s="7">
        <v>9308.4599999999991</v>
      </c>
      <c r="Q52" s="2"/>
      <c r="R52" s="6">
        <f t="shared" si="41"/>
        <v>1.2904370805489614E-2</v>
      </c>
      <c r="S52" s="2"/>
      <c r="T52" s="7">
        <v>13160.01</v>
      </c>
      <c r="U52" s="2"/>
      <c r="V52" s="6">
        <f t="shared" si="42"/>
        <v>1.366206960866931E-2</v>
      </c>
      <c r="W52" s="2"/>
      <c r="X52" s="7">
        <f t="shared" si="43"/>
        <v>-3851.5500000000011</v>
      </c>
      <c r="Y52" s="2"/>
      <c r="Z52" s="6">
        <f t="shared" si="44"/>
        <v>-0.29267075025018985</v>
      </c>
    </row>
    <row r="53" spans="1:26" s="25" customFormat="1" outlineLevel="1" collapsed="1" x14ac:dyDescent="0.35">
      <c r="A53" s="26"/>
      <c r="B53" s="12" t="str">
        <f>CONCATENATE("     ","Rent                                              ")</f>
        <v xml:space="preserve">     Rent                                              </v>
      </c>
      <c r="C53" s="12"/>
      <c r="D53" s="1">
        <f>SUM(OSRRefD22_9x_0)</f>
        <v>1850</v>
      </c>
      <c r="E53" s="1"/>
      <c r="F53" s="5">
        <f t="shared" si="37"/>
        <v>0</v>
      </c>
      <c r="G53" s="1"/>
      <c r="H53" s="1">
        <f>SUM(OSRRefH22_9x_0)</f>
        <v>1850</v>
      </c>
      <c r="I53" s="1"/>
      <c r="J53" s="5">
        <f t="shared" si="38"/>
        <v>0.11797634223597692</v>
      </c>
      <c r="K53" s="1"/>
      <c r="L53" s="1">
        <f t="shared" si="39"/>
        <v>0</v>
      </c>
      <c r="M53" s="1"/>
      <c r="N53" s="5">
        <f t="shared" si="40"/>
        <v>0</v>
      </c>
      <c r="O53" s="12"/>
      <c r="P53" s="1">
        <f>SUM(OSRRefP22_9x_0)</f>
        <v>22200</v>
      </c>
      <c r="Q53" s="1"/>
      <c r="R53" s="5">
        <f t="shared" si="41"/>
        <v>3.0775985703528772E-2</v>
      </c>
      <c r="S53" s="1"/>
      <c r="T53" s="1">
        <f>SUM(OSRRefT22_9x_0)</f>
        <v>22200</v>
      </c>
      <c r="U53" s="1"/>
      <c r="V53" s="5">
        <f t="shared" si="42"/>
        <v>2.3046938817862503E-2</v>
      </c>
      <c r="W53" s="1"/>
      <c r="X53" s="1">
        <f t="shared" si="43"/>
        <v>0</v>
      </c>
      <c r="Y53" s="1"/>
      <c r="Z53" s="5">
        <f t="shared" si="44"/>
        <v>0</v>
      </c>
    </row>
    <row r="54" spans="1:26" s="24" customFormat="1" hidden="1" outlineLevel="2" x14ac:dyDescent="0.35">
      <c r="A54" s="27"/>
      <c r="B54" s="11" t="str">
        <f>CONCATENATE("          ", "6273", " - ", "RENT")</f>
        <v xml:space="preserve">          6273 - RENT</v>
      </c>
      <c r="C54" s="11"/>
      <c r="D54" s="7">
        <v>1850</v>
      </c>
      <c r="E54" s="2"/>
      <c r="F54" s="6">
        <f t="shared" si="37"/>
        <v>0</v>
      </c>
      <c r="G54" s="2"/>
      <c r="H54" s="7">
        <v>1850</v>
      </c>
      <c r="I54" s="2"/>
      <c r="J54" s="6">
        <f t="shared" si="38"/>
        <v>0.11797634223597692</v>
      </c>
      <c r="K54" s="2"/>
      <c r="L54" s="7">
        <f t="shared" si="39"/>
        <v>0</v>
      </c>
      <c r="M54" s="2"/>
      <c r="N54" s="6">
        <f t="shared" si="40"/>
        <v>0</v>
      </c>
      <c r="O54" s="11"/>
      <c r="P54" s="7">
        <v>22200</v>
      </c>
      <c r="Q54" s="2"/>
      <c r="R54" s="6">
        <f t="shared" si="41"/>
        <v>3.0775985703528772E-2</v>
      </c>
      <c r="S54" s="2"/>
      <c r="T54" s="7">
        <v>22200</v>
      </c>
      <c r="U54" s="2"/>
      <c r="V54" s="6">
        <f t="shared" si="42"/>
        <v>2.3046938817862503E-2</v>
      </c>
      <c r="W54" s="2"/>
      <c r="X54" s="7">
        <f t="shared" si="43"/>
        <v>0</v>
      </c>
      <c r="Y54" s="2"/>
      <c r="Z54" s="6">
        <f t="shared" si="44"/>
        <v>0</v>
      </c>
    </row>
    <row r="55" spans="1:26" s="25" customFormat="1" outlineLevel="1" collapsed="1" x14ac:dyDescent="0.35">
      <c r="A55" s="26"/>
      <c r="B55" s="12" t="str">
        <f>CONCATENATE("     ","Repair and Maintenance                            ")</f>
        <v xml:space="preserve">     Repair and Maintenance                            </v>
      </c>
      <c r="C55" s="12"/>
      <c r="D55" s="1">
        <f>SUM(OSRRefD22_10x_0)</f>
        <v>1870.35</v>
      </c>
      <c r="E55" s="1"/>
      <c r="F55" s="5">
        <f t="shared" si="37"/>
        <v>0</v>
      </c>
      <c r="G55" s="1"/>
      <c r="H55" s="1">
        <f>SUM(OSRRefH22_10x_0)</f>
        <v>3271.9</v>
      </c>
      <c r="I55" s="1"/>
      <c r="J55" s="5">
        <f t="shared" si="38"/>
        <v>0.20865232116859075</v>
      </c>
      <c r="K55" s="1"/>
      <c r="L55" s="1">
        <f t="shared" si="39"/>
        <v>-1401.5500000000002</v>
      </c>
      <c r="M55" s="1"/>
      <c r="N55" s="5">
        <f t="shared" si="40"/>
        <v>-0.42835966869403103</v>
      </c>
      <c r="O55" s="12"/>
      <c r="P55" s="1">
        <f>SUM(OSRRefP22_10x_0)</f>
        <v>31084.47</v>
      </c>
      <c r="Q55" s="1"/>
      <c r="R55" s="5">
        <f t="shared" si="41"/>
        <v>4.3092576771250862E-2</v>
      </c>
      <c r="S55" s="1"/>
      <c r="T55" s="1">
        <f>SUM(OSRRefT22_10x_0)</f>
        <v>42237.950000000004</v>
      </c>
      <c r="U55" s="1"/>
      <c r="V55" s="5">
        <f t="shared" si="42"/>
        <v>4.3849344569456557E-2</v>
      </c>
      <c r="W55" s="1"/>
      <c r="X55" s="1">
        <f t="shared" si="43"/>
        <v>-11153.480000000003</v>
      </c>
      <c r="Y55" s="1"/>
      <c r="Z55" s="5">
        <f t="shared" si="44"/>
        <v>-0.26406300495170815</v>
      </c>
    </row>
    <row r="56" spans="1:26" s="24" customFormat="1" hidden="1" outlineLevel="2" x14ac:dyDescent="0.35">
      <c r="A56" s="27"/>
      <c r="B56" s="11" t="str">
        <f>CONCATENATE("          ", "6373", " - ", "MAINTENANCE CONTRACTS")</f>
        <v xml:space="preserve">          6373 - MAINTENANCE CONTRACTS</v>
      </c>
      <c r="C56" s="11"/>
      <c r="D56" s="7">
        <v>1870.35</v>
      </c>
      <c r="E56" s="2"/>
      <c r="F56" s="6">
        <f t="shared" si="37"/>
        <v>0</v>
      </c>
      <c r="G56" s="2"/>
      <c r="H56" s="7">
        <v>1855.22</v>
      </c>
      <c r="I56" s="2"/>
      <c r="J56" s="6">
        <f t="shared" si="38"/>
        <v>0.11830922683406978</v>
      </c>
      <c r="K56" s="2"/>
      <c r="L56" s="7">
        <f t="shared" si="39"/>
        <v>15.129999999999882</v>
      </c>
      <c r="M56" s="2"/>
      <c r="N56" s="6">
        <f t="shared" si="40"/>
        <v>8.1553670184667491E-3</v>
      </c>
      <c r="O56" s="11"/>
      <c r="P56" s="7">
        <v>21857.11</v>
      </c>
      <c r="Q56" s="2"/>
      <c r="R56" s="6">
        <f t="shared" si="41"/>
        <v>3.0300635354975486E-2</v>
      </c>
      <c r="S56" s="2"/>
      <c r="T56" s="7">
        <v>21812.880000000001</v>
      </c>
      <c r="U56" s="2"/>
      <c r="V56" s="6">
        <f t="shared" si="42"/>
        <v>2.2645050036098045E-2</v>
      </c>
      <c r="W56" s="2"/>
      <c r="X56" s="7">
        <f t="shared" si="43"/>
        <v>44.229999999999563</v>
      </c>
      <c r="Y56" s="2"/>
      <c r="Z56" s="6">
        <f t="shared" si="44"/>
        <v>2.0277010646920332E-3</v>
      </c>
    </row>
    <row r="57" spans="1:26" s="24" customFormat="1" hidden="1" outlineLevel="2" x14ac:dyDescent="0.3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37"/>
        <v>0</v>
      </c>
      <c r="G57" s="2"/>
      <c r="H57" s="7">
        <v>1416.68</v>
      </c>
      <c r="I57" s="2"/>
      <c r="J57" s="6">
        <f t="shared" si="38"/>
        <v>9.0343094334520965E-2</v>
      </c>
      <c r="K57" s="2"/>
      <c r="L57" s="7">
        <f t="shared" si="39"/>
        <v>-1416.68</v>
      </c>
      <c r="M57" s="2"/>
      <c r="N57" s="6">
        <f t="shared" si="40"/>
        <v>-1</v>
      </c>
      <c r="O57" s="11"/>
      <c r="P57" s="7">
        <v>9227.36</v>
      </c>
      <c r="Q57" s="2"/>
      <c r="R57" s="6">
        <f t="shared" si="41"/>
        <v>1.2791941416275373E-2</v>
      </c>
      <c r="S57" s="2"/>
      <c r="T57" s="7">
        <v>20425.070000000003</v>
      </c>
      <c r="U57" s="2"/>
      <c r="V57" s="6">
        <f t="shared" si="42"/>
        <v>2.1204294533358509E-2</v>
      </c>
      <c r="W57" s="2"/>
      <c r="X57" s="7">
        <f t="shared" si="43"/>
        <v>-11197.710000000003</v>
      </c>
      <c r="Y57" s="2"/>
      <c r="Z57" s="6">
        <f t="shared" si="44"/>
        <v>-0.54823361682481386</v>
      </c>
    </row>
    <row r="58" spans="1:26" s="25" customFormat="1" outlineLevel="1" collapsed="1" x14ac:dyDescent="0.35">
      <c r="A58" s="26"/>
      <c r="B58" s="12" t="str">
        <f>CONCATENATE("     ","Royalty &amp; Commissions                             ")</f>
        <v xml:space="preserve">     Royalty &amp; Commissions                             </v>
      </c>
      <c r="C58" s="12"/>
      <c r="D58" s="1">
        <f>SUM(OSRRefD22_11x_0)</f>
        <v>0</v>
      </c>
      <c r="E58" s="1"/>
      <c r="F58" s="5">
        <f t="shared" ref="F58:F63" si="45">IF(D$12=0,0,D58/D$12)</f>
        <v>0</v>
      </c>
      <c r="G58" s="1"/>
      <c r="H58" s="1">
        <f>SUM(OSRRefH22_11x_0)</f>
        <v>1254.48</v>
      </c>
      <c r="I58" s="1"/>
      <c r="J58" s="5">
        <f t="shared" ref="J58:J63" si="46">IF(H$12=0,0,H58/H$12)</f>
        <v>7.9999438815236926E-2</v>
      </c>
      <c r="K58" s="1"/>
      <c r="L58" s="1">
        <f t="shared" ref="L58:L63" si="47">+D58-H58</f>
        <v>-1254.48</v>
      </c>
      <c r="M58" s="1"/>
      <c r="N58" s="5">
        <f t="shared" ref="N58:N63" si="48">IF(H58=0,0,L58/H58)</f>
        <v>-1</v>
      </c>
      <c r="O58" s="12"/>
      <c r="P58" s="1">
        <f>SUM(OSRRefP22_11x_0)</f>
        <v>60535.320000000007</v>
      </c>
      <c r="Q58" s="1"/>
      <c r="R58" s="5">
        <f t="shared" ref="R58:R63" si="49">IF(P$12=0,0,P58/P$12)</f>
        <v>8.3920456886420705E-2</v>
      </c>
      <c r="S58" s="1"/>
      <c r="T58" s="1">
        <f>SUM(OSRRefT22_11x_0)</f>
        <v>77250.16</v>
      </c>
      <c r="U58" s="1"/>
      <c r="V58" s="5">
        <f t="shared" ref="V58:V63" si="50">IF(T$12=0,0,T58/T$12)</f>
        <v>8.0197284287841855E-2</v>
      </c>
      <c r="W58" s="1"/>
      <c r="X58" s="1">
        <f t="shared" ref="X58:X63" si="51">+P58-T58</f>
        <v>-16714.839999999997</v>
      </c>
      <c r="Y58" s="1"/>
      <c r="Z58" s="5">
        <f t="shared" ref="Z58:Z63" si="52">IF(T58=0,0,X58/T58)</f>
        <v>-0.21637288518237369</v>
      </c>
    </row>
    <row r="59" spans="1:26" s="24" customFormat="1" hidden="1" outlineLevel="2" x14ac:dyDescent="0.35">
      <c r="A59" s="27"/>
      <c r="B59" s="11" t="str">
        <f>CONCATENATE("          ", "6259", " - ", "ROYALTY &amp; COMMISSIONS")</f>
        <v xml:space="preserve">          6259 - ROYALTY &amp; COMMISSIONS</v>
      </c>
      <c r="C59" s="11"/>
      <c r="D59" s="7"/>
      <c r="E59" s="2"/>
      <c r="F59" s="6">
        <f t="shared" si="45"/>
        <v>0</v>
      </c>
      <c r="G59" s="2"/>
      <c r="H59" s="7">
        <v>1254.48</v>
      </c>
      <c r="I59" s="2"/>
      <c r="J59" s="6">
        <f t="shared" si="46"/>
        <v>7.9999438815236926E-2</v>
      </c>
      <c r="K59" s="2"/>
      <c r="L59" s="7">
        <f t="shared" si="47"/>
        <v>-1254.48</v>
      </c>
      <c r="M59" s="2"/>
      <c r="N59" s="6">
        <f t="shared" si="48"/>
        <v>-1</v>
      </c>
      <c r="O59" s="11"/>
      <c r="P59" s="7">
        <v>60535.320000000007</v>
      </c>
      <c r="Q59" s="2"/>
      <c r="R59" s="6">
        <f t="shared" si="49"/>
        <v>8.3920456886420705E-2</v>
      </c>
      <c r="S59" s="2"/>
      <c r="T59" s="7">
        <v>77250.16</v>
      </c>
      <c r="U59" s="2"/>
      <c r="V59" s="6">
        <f t="shared" si="50"/>
        <v>8.0197284287841855E-2</v>
      </c>
      <c r="W59" s="2"/>
      <c r="X59" s="7">
        <f t="shared" si="51"/>
        <v>-16714.839999999997</v>
      </c>
      <c r="Y59" s="2"/>
      <c r="Z59" s="6">
        <f t="shared" si="52"/>
        <v>-0.21637288518237369</v>
      </c>
    </row>
    <row r="60" spans="1:26" s="25" customFormat="1" outlineLevel="1" collapsed="1" x14ac:dyDescent="0.35">
      <c r="A60" s="26"/>
      <c r="B60" s="12" t="str">
        <f>CONCATENATE("     ","Services                                          ")</f>
        <v xml:space="preserve">     Services                                          </v>
      </c>
      <c r="C60" s="12"/>
      <c r="D60" s="1">
        <f>SUM(OSRRefD22_12x_0)</f>
        <v>115</v>
      </c>
      <c r="E60" s="1"/>
      <c r="F60" s="5">
        <f t="shared" si="45"/>
        <v>0</v>
      </c>
      <c r="G60" s="1"/>
      <c r="H60" s="1">
        <f>SUM(OSRRefH22_12x_0)</f>
        <v>316.36</v>
      </c>
      <c r="I60" s="1"/>
      <c r="J60" s="5">
        <f t="shared" si="46"/>
        <v>2.0174592232310086E-2</v>
      </c>
      <c r="K60" s="1"/>
      <c r="L60" s="1">
        <f t="shared" si="47"/>
        <v>-201.36</v>
      </c>
      <c r="M60" s="1"/>
      <c r="N60" s="5">
        <f t="shared" si="48"/>
        <v>-0.63649007459855866</v>
      </c>
      <c r="O60" s="12"/>
      <c r="P60" s="1">
        <f>SUM(OSRRefP22_12x_0)</f>
        <v>4023.39</v>
      </c>
      <c r="Q60" s="1"/>
      <c r="R60" s="5">
        <f t="shared" si="49"/>
        <v>5.5776483387261549E-3</v>
      </c>
      <c r="S60" s="1"/>
      <c r="T60" s="1">
        <f>SUM(OSRRefT22_12x_0)</f>
        <v>3865.31</v>
      </c>
      <c r="U60" s="1"/>
      <c r="V60" s="5">
        <f t="shared" si="50"/>
        <v>4.0127731118050495E-3</v>
      </c>
      <c r="W60" s="1"/>
      <c r="X60" s="1">
        <f t="shared" si="51"/>
        <v>158.07999999999993</v>
      </c>
      <c r="Y60" s="1"/>
      <c r="Z60" s="5">
        <f t="shared" si="52"/>
        <v>4.0897107864569703E-2</v>
      </c>
    </row>
    <row r="61" spans="1:26" s="24" customFormat="1" hidden="1" outlineLevel="2" x14ac:dyDescent="0.35">
      <c r="A61" s="27"/>
      <c r="B61" s="11" t="str">
        <f>CONCATENATE("          ", "6282", " - ", "JANITORIAL/EXTERMINATOR EXPENS")</f>
        <v xml:space="preserve">          6282 - JANITORIAL/EXTERMINATOR EXPENS</v>
      </c>
      <c r="C61" s="11"/>
      <c r="D61" s="7"/>
      <c r="E61" s="2"/>
      <c r="F61" s="6">
        <f t="shared" si="45"/>
        <v>0</v>
      </c>
      <c r="G61" s="2"/>
      <c r="H61" s="7"/>
      <c r="I61" s="2"/>
      <c r="J61" s="6">
        <f t="shared" si="46"/>
        <v>0</v>
      </c>
      <c r="K61" s="2"/>
      <c r="L61" s="7">
        <f t="shared" si="47"/>
        <v>0</v>
      </c>
      <c r="M61" s="2"/>
      <c r="N61" s="6">
        <f t="shared" si="48"/>
        <v>0</v>
      </c>
      <c r="O61" s="11"/>
      <c r="P61" s="7">
        <v>872.64</v>
      </c>
      <c r="Q61" s="2"/>
      <c r="R61" s="6">
        <f t="shared" si="49"/>
        <v>1.2097457731678985E-3</v>
      </c>
      <c r="S61" s="2"/>
      <c r="T61" s="7">
        <v>872.64</v>
      </c>
      <c r="U61" s="2"/>
      <c r="V61" s="6">
        <f t="shared" si="50"/>
        <v>9.0593156261349248E-4</v>
      </c>
      <c r="W61" s="2"/>
      <c r="X61" s="7">
        <f t="shared" si="51"/>
        <v>0</v>
      </c>
      <c r="Y61" s="2"/>
      <c r="Z61" s="6">
        <f t="shared" si="52"/>
        <v>0</v>
      </c>
    </row>
    <row r="62" spans="1:26" s="24" customFormat="1" hidden="1" outlineLevel="2" x14ac:dyDescent="0.35">
      <c r="A62" s="27"/>
      <c r="B62" s="11" t="str">
        <f>CONCATENATE("          ", "6284", " - ", "TRASH REMOVAL EXPENSE")</f>
        <v xml:space="preserve">          6284 - TRASH REMOVAL EXPENSE</v>
      </c>
      <c r="C62" s="11"/>
      <c r="D62" s="7">
        <v>115</v>
      </c>
      <c r="E62" s="2"/>
      <c r="F62" s="6">
        <f t="shared" si="45"/>
        <v>0</v>
      </c>
      <c r="G62" s="2"/>
      <c r="H62" s="7">
        <v>94</v>
      </c>
      <c r="I62" s="2"/>
      <c r="J62" s="6">
        <f t="shared" si="46"/>
        <v>5.9944736055036916E-3</v>
      </c>
      <c r="K62" s="2"/>
      <c r="L62" s="7">
        <f t="shared" si="47"/>
        <v>21</v>
      </c>
      <c r="M62" s="2"/>
      <c r="N62" s="6">
        <f t="shared" si="48"/>
        <v>0.22340425531914893</v>
      </c>
      <c r="O62" s="11"/>
      <c r="P62" s="7">
        <v>1284</v>
      </c>
      <c r="Q62" s="2"/>
      <c r="R62" s="6">
        <f t="shared" si="49"/>
        <v>1.7800164704203129E-3</v>
      </c>
      <c r="S62" s="2"/>
      <c r="T62" s="7">
        <v>1260.46</v>
      </c>
      <c r="U62" s="2"/>
      <c r="V62" s="6">
        <f t="shared" si="50"/>
        <v>1.3085470496559896E-3</v>
      </c>
      <c r="W62" s="2"/>
      <c r="X62" s="7">
        <f t="shared" si="51"/>
        <v>23.539999999999964</v>
      </c>
      <c r="Y62" s="2"/>
      <c r="Z62" s="6">
        <f t="shared" si="52"/>
        <v>1.8675721561969411E-2</v>
      </c>
    </row>
    <row r="63" spans="1:26" s="24" customFormat="1" hidden="1" outlineLevel="2" x14ac:dyDescent="0.35">
      <c r="A63" s="27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45"/>
        <v>0</v>
      </c>
      <c r="G63" s="2"/>
      <c r="H63" s="7">
        <v>222.36</v>
      </c>
      <c r="I63" s="2"/>
      <c r="J63" s="6">
        <f t="shared" si="46"/>
        <v>1.4180118626806393E-2</v>
      </c>
      <c r="K63" s="2"/>
      <c r="L63" s="7">
        <f t="shared" si="47"/>
        <v>-222.36</v>
      </c>
      <c r="M63" s="2"/>
      <c r="N63" s="6">
        <f t="shared" si="48"/>
        <v>-1</v>
      </c>
      <c r="O63" s="11"/>
      <c r="P63" s="7">
        <v>1866.75</v>
      </c>
      <c r="Q63" s="2"/>
      <c r="R63" s="6">
        <f t="shared" si="49"/>
        <v>2.5878860951379433E-3</v>
      </c>
      <c r="S63" s="2"/>
      <c r="T63" s="7">
        <v>1732.21</v>
      </c>
      <c r="U63" s="2"/>
      <c r="V63" s="6">
        <f t="shared" si="50"/>
        <v>1.7982944995355678E-3</v>
      </c>
      <c r="W63" s="2"/>
      <c r="X63" s="7">
        <f t="shared" si="51"/>
        <v>134.53999999999996</v>
      </c>
      <c r="Y63" s="2"/>
      <c r="Z63" s="6">
        <f t="shared" si="52"/>
        <v>7.7669566622984493E-2</v>
      </c>
    </row>
    <row r="64" spans="1:26" s="25" customFormat="1" outlineLevel="1" collapsed="1" x14ac:dyDescent="0.35">
      <c r="A64" s="26"/>
      <c r="B64" s="12" t="str">
        <f>CONCATENATE("     ","Subscriptions &amp; Dues                              ")</f>
        <v xml:space="preserve">     Subscriptions &amp; Dues                              </v>
      </c>
      <c r="C64" s="12"/>
      <c r="D64" s="1">
        <f>SUM(OSRRefD22_13x_0)</f>
        <v>0</v>
      </c>
      <c r="E64" s="1"/>
      <c r="F64" s="5">
        <f t="shared" ref="F64:F66" si="53">IF(D$12=0,0,D64/D$12)</f>
        <v>0</v>
      </c>
      <c r="G64" s="1"/>
      <c r="H64" s="1">
        <f>SUM(OSRRefH22_13x_0)</f>
        <v>0</v>
      </c>
      <c r="I64" s="1"/>
      <c r="J64" s="5">
        <f t="shared" ref="J64:J66" si="54">IF(H$12=0,0,H64/H$12)</f>
        <v>0</v>
      </c>
      <c r="K64" s="1"/>
      <c r="L64" s="1">
        <f t="shared" ref="L64:L66" si="55">+D64-H64</f>
        <v>0</v>
      </c>
      <c r="M64" s="1"/>
      <c r="N64" s="5">
        <f t="shared" ref="N64:N66" si="56">IF(H64=0,0,L64/H64)</f>
        <v>0</v>
      </c>
      <c r="O64" s="12"/>
      <c r="P64" s="1">
        <f>SUM(OSRRefP22_13x_0)</f>
        <v>1101.72</v>
      </c>
      <c r="Q64" s="1"/>
      <c r="R64" s="5">
        <f t="shared" ref="R64:R66" si="57">IF(P$12=0,0,P64/P$12)</f>
        <v>1.5273206742924198E-3</v>
      </c>
      <c r="S64" s="1"/>
      <c r="T64" s="1">
        <f>SUM(OSRRefT22_13x_0)</f>
        <v>153.4</v>
      </c>
      <c r="U64" s="1"/>
      <c r="V64" s="5">
        <f t="shared" ref="V64:V66" si="58">IF(T$12=0,0,T64/T$12)</f>
        <v>1.5925227093063548E-4</v>
      </c>
      <c r="W64" s="1"/>
      <c r="X64" s="1">
        <f t="shared" ref="X64:X66" si="59">+P64-T64</f>
        <v>948.32</v>
      </c>
      <c r="Y64" s="1"/>
      <c r="Z64" s="5">
        <f t="shared" ref="Z64:Z66" si="60">IF(T64=0,0,X64/T64)</f>
        <v>6.1820078226857893</v>
      </c>
    </row>
    <row r="65" spans="1:26" s="24" customFormat="1" hidden="1" outlineLevel="2" x14ac:dyDescent="0.35">
      <c r="A65" s="27"/>
      <c r="B65" s="11" t="str">
        <f>CONCATENATE("          ", "6258", " - ", "MEMBERSHIP DUES")</f>
        <v xml:space="preserve">          6258 - MEMBERSHIP DUES</v>
      </c>
      <c r="C65" s="11"/>
      <c r="D65" s="7"/>
      <c r="E65" s="2"/>
      <c r="F65" s="6">
        <f t="shared" si="53"/>
        <v>0</v>
      </c>
      <c r="G65" s="2"/>
      <c r="H65" s="7"/>
      <c r="I65" s="2"/>
      <c r="J65" s="6">
        <f t="shared" si="54"/>
        <v>0</v>
      </c>
      <c r="K65" s="2"/>
      <c r="L65" s="7">
        <f t="shared" si="55"/>
        <v>0</v>
      </c>
      <c r="M65" s="2"/>
      <c r="N65" s="6">
        <f t="shared" si="56"/>
        <v>0</v>
      </c>
      <c r="O65" s="11"/>
      <c r="P65" s="7">
        <v>979</v>
      </c>
      <c r="Q65" s="2"/>
      <c r="R65" s="6">
        <f t="shared" si="57"/>
        <v>1.3571932434123725E-3</v>
      </c>
      <c r="S65" s="2"/>
      <c r="T65" s="7"/>
      <c r="U65" s="2"/>
      <c r="V65" s="6">
        <f t="shared" si="58"/>
        <v>0</v>
      </c>
      <c r="W65" s="2"/>
      <c r="X65" s="7">
        <f t="shared" si="59"/>
        <v>979</v>
      </c>
      <c r="Y65" s="2"/>
      <c r="Z65" s="6">
        <f t="shared" si="60"/>
        <v>0</v>
      </c>
    </row>
    <row r="66" spans="1:26" s="24" customFormat="1" hidden="1" outlineLevel="2" x14ac:dyDescent="0.35">
      <c r="A66" s="27"/>
      <c r="B66" s="11" t="str">
        <f>CONCATENATE("          ", "6275", " - ", "SUBSCRIPTIONS")</f>
        <v xml:space="preserve">          6275 - SUBSCRIPTIONS</v>
      </c>
      <c r="C66" s="11"/>
      <c r="D66" s="7"/>
      <c r="E66" s="2"/>
      <c r="F66" s="6">
        <f t="shared" si="53"/>
        <v>0</v>
      </c>
      <c r="G66" s="2"/>
      <c r="H66" s="7"/>
      <c r="I66" s="2"/>
      <c r="J66" s="6">
        <f t="shared" si="54"/>
        <v>0</v>
      </c>
      <c r="K66" s="2"/>
      <c r="L66" s="7">
        <f t="shared" si="55"/>
        <v>0</v>
      </c>
      <c r="M66" s="2"/>
      <c r="N66" s="6">
        <f t="shared" si="56"/>
        <v>0</v>
      </c>
      <c r="O66" s="11"/>
      <c r="P66" s="7">
        <v>122.72</v>
      </c>
      <c r="Q66" s="2"/>
      <c r="R66" s="6">
        <f t="shared" si="57"/>
        <v>1.7012743088004736E-4</v>
      </c>
      <c r="S66" s="2"/>
      <c r="T66" s="7">
        <v>153.4</v>
      </c>
      <c r="U66" s="2"/>
      <c r="V66" s="6">
        <f t="shared" si="58"/>
        <v>1.5925227093063548E-4</v>
      </c>
      <c r="W66" s="2"/>
      <c r="X66" s="7">
        <f t="shared" si="59"/>
        <v>-30.680000000000007</v>
      </c>
      <c r="Y66" s="2"/>
      <c r="Z66" s="6">
        <f t="shared" si="60"/>
        <v>-0.20000000000000004</v>
      </c>
    </row>
    <row r="67" spans="1:26" s="25" customFormat="1" outlineLevel="1" collapsed="1" x14ac:dyDescent="0.35">
      <c r="A67" s="26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SUM(OSRRefD22_14x_0)</f>
        <v>0</v>
      </c>
      <c r="E67" s="1"/>
      <c r="F67" s="5">
        <f t="shared" ref="F67:F74" si="61">IF(D$12=0,0,D67/D$12)</f>
        <v>0</v>
      </c>
      <c r="G67" s="1"/>
      <c r="H67" s="1">
        <f>SUM(OSRRefH22_14x_0)</f>
        <v>2938.84</v>
      </c>
      <c r="I67" s="1"/>
      <c r="J67" s="5">
        <f t="shared" ref="J67:J74" si="62">IF(H$12=0,0,H67/H$12)</f>
        <v>0.1874127533063667</v>
      </c>
      <c r="K67" s="1"/>
      <c r="L67" s="1">
        <f t="shared" ref="L67:L74" si="63">+D67-H67</f>
        <v>-2938.84</v>
      </c>
      <c r="M67" s="1"/>
      <c r="N67" s="5">
        <f t="shared" ref="N67:N74" si="64">IF(H67=0,0,L67/H67)</f>
        <v>-1</v>
      </c>
      <c r="O67" s="12"/>
      <c r="P67" s="1">
        <f>SUM(OSRRefP22_14x_0)</f>
        <v>11997.33</v>
      </c>
      <c r="Q67" s="1"/>
      <c r="R67" s="5">
        <f t="shared" ref="R67:R74" si="65">IF(P$12=0,0,P67/P$12)</f>
        <v>1.6631966511734993E-2</v>
      </c>
      <c r="S67" s="1"/>
      <c r="T67" s="1">
        <f>SUM(OSRRefT22_14x_0)</f>
        <v>24703.56</v>
      </c>
      <c r="U67" s="1"/>
      <c r="V67" s="5">
        <f t="shared" ref="V67:V74" si="66">IF(T$12=0,0,T67/T$12)</f>
        <v>2.5646010626279071E-2</v>
      </c>
      <c r="W67" s="1"/>
      <c r="X67" s="1">
        <f t="shared" ref="X67:X74" si="67">+P67-T67</f>
        <v>-12706.230000000001</v>
      </c>
      <c r="Y67" s="1"/>
      <c r="Z67" s="5">
        <f t="shared" ref="Z67:Z74" si="68">IF(T67=0,0,X67/T67)</f>
        <v>-0.51434813443892302</v>
      </c>
    </row>
    <row r="68" spans="1:26" s="24" customFormat="1" hidden="1" outlineLevel="2" x14ac:dyDescent="0.35">
      <c r="A68" s="27"/>
      <c r="B68" s="11" t="str">
        <f>CONCATENATE("          ", "6237", " - ", "JANITORIAL SUPPLIES")</f>
        <v xml:space="preserve">          6237 - JANITORIAL SUPPLIES</v>
      </c>
      <c r="C68" s="11"/>
      <c r="D68" s="7"/>
      <c r="E68" s="2"/>
      <c r="F68" s="6">
        <f t="shared" si="61"/>
        <v>0</v>
      </c>
      <c r="G68" s="2"/>
      <c r="H68" s="7">
        <v>331.1</v>
      </c>
      <c r="I68" s="2"/>
      <c r="J68" s="6">
        <f t="shared" si="62"/>
        <v>2.1114576710449709E-2</v>
      </c>
      <c r="K68" s="2"/>
      <c r="L68" s="7">
        <f t="shared" si="63"/>
        <v>-331.1</v>
      </c>
      <c r="M68" s="2"/>
      <c r="N68" s="6">
        <f t="shared" si="64"/>
        <v>-1</v>
      </c>
      <c r="O68" s="11"/>
      <c r="P68" s="7">
        <v>2140.12</v>
      </c>
      <c r="Q68" s="2"/>
      <c r="R68" s="6">
        <f t="shared" si="65"/>
        <v>2.9668604740466665E-3</v>
      </c>
      <c r="S68" s="2"/>
      <c r="T68" s="7">
        <v>2297.12</v>
      </c>
      <c r="U68" s="2"/>
      <c r="V68" s="6">
        <f t="shared" si="66"/>
        <v>2.3847560404183922E-3</v>
      </c>
      <c r="W68" s="2"/>
      <c r="X68" s="7">
        <f t="shared" si="67"/>
        <v>-157</v>
      </c>
      <c r="Y68" s="2"/>
      <c r="Z68" s="6">
        <f t="shared" si="68"/>
        <v>-6.8346451208469744E-2</v>
      </c>
    </row>
    <row r="69" spans="1:26" s="24" customFormat="1" hidden="1" outlineLevel="2" x14ac:dyDescent="0.35">
      <c r="A69" s="27"/>
      <c r="B69" s="11" t="str">
        <f>CONCATENATE("          ", "6239", " - ", "KITCHEN SUPPLIES")</f>
        <v xml:space="preserve">          6239 - KITCHEN SUPPLIES</v>
      </c>
      <c r="C69" s="11"/>
      <c r="D69" s="7"/>
      <c r="E69" s="2"/>
      <c r="F69" s="6">
        <f t="shared" si="61"/>
        <v>0</v>
      </c>
      <c r="G69" s="2"/>
      <c r="H69" s="7">
        <v>2165.0500000000002</v>
      </c>
      <c r="I69" s="2"/>
      <c r="J69" s="6">
        <f t="shared" si="62"/>
        <v>0.13806739446378477</v>
      </c>
      <c r="K69" s="2"/>
      <c r="L69" s="7">
        <f t="shared" si="63"/>
        <v>-2165.0500000000002</v>
      </c>
      <c r="M69" s="2"/>
      <c r="N69" s="6">
        <f t="shared" si="64"/>
        <v>-1</v>
      </c>
      <c r="O69" s="11"/>
      <c r="P69" s="7">
        <v>4435.24</v>
      </c>
      <c r="Q69" s="2"/>
      <c r="R69" s="6">
        <f t="shared" si="65"/>
        <v>6.1485983257531058E-3</v>
      </c>
      <c r="S69" s="2"/>
      <c r="T69" s="7">
        <v>12674.34</v>
      </c>
      <c r="U69" s="2"/>
      <c r="V69" s="6">
        <f t="shared" si="66"/>
        <v>1.3157871105260694E-2</v>
      </c>
      <c r="W69" s="2"/>
      <c r="X69" s="7">
        <f t="shared" si="67"/>
        <v>-8239.1</v>
      </c>
      <c r="Y69" s="2"/>
      <c r="Z69" s="6">
        <f t="shared" si="68"/>
        <v>-0.65006146276650301</v>
      </c>
    </row>
    <row r="70" spans="1:26" s="24" customFormat="1" hidden="1" outlineLevel="2" x14ac:dyDescent="0.35">
      <c r="A70" s="27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61"/>
        <v>0</v>
      </c>
      <c r="G70" s="2"/>
      <c r="H70" s="7">
        <v>162.43</v>
      </c>
      <c r="I70" s="2"/>
      <c r="J70" s="6">
        <f t="shared" si="62"/>
        <v>1.0358322848318773E-2</v>
      </c>
      <c r="K70" s="2"/>
      <c r="L70" s="7">
        <f t="shared" si="63"/>
        <v>-162.43</v>
      </c>
      <c r="M70" s="2"/>
      <c r="N70" s="6">
        <f t="shared" si="64"/>
        <v>-1</v>
      </c>
      <c r="O70" s="11"/>
      <c r="P70" s="7">
        <v>1415.33</v>
      </c>
      <c r="Q70" s="2"/>
      <c r="R70" s="6">
        <f t="shared" si="65"/>
        <v>1.9620799930529448E-3</v>
      </c>
      <c r="S70" s="2"/>
      <c r="T70" s="7">
        <v>1732.13</v>
      </c>
      <c r="U70" s="2"/>
      <c r="V70" s="6">
        <f t="shared" si="66"/>
        <v>1.7982114475037917E-3</v>
      </c>
      <c r="W70" s="2"/>
      <c r="X70" s="7">
        <f t="shared" si="67"/>
        <v>-316.80000000000018</v>
      </c>
      <c r="Y70" s="2"/>
      <c r="Z70" s="6">
        <f t="shared" si="68"/>
        <v>-0.1828962029408879</v>
      </c>
    </row>
    <row r="71" spans="1:26" s="24" customFormat="1" hidden="1" outlineLevel="2" x14ac:dyDescent="0.35">
      <c r="A71" s="27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61"/>
        <v>0</v>
      </c>
      <c r="G71" s="2"/>
      <c r="H71" s="7">
        <v>226.44</v>
      </c>
      <c r="I71" s="2"/>
      <c r="J71" s="6">
        <f t="shared" si="62"/>
        <v>1.4440304289683573E-2</v>
      </c>
      <c r="K71" s="2"/>
      <c r="L71" s="7">
        <f t="shared" si="63"/>
        <v>-226.44</v>
      </c>
      <c r="M71" s="2"/>
      <c r="N71" s="6">
        <f t="shared" si="64"/>
        <v>-1</v>
      </c>
      <c r="O71" s="11"/>
      <c r="P71" s="7">
        <v>5057.43</v>
      </c>
      <c r="Q71" s="2"/>
      <c r="R71" s="6">
        <f t="shared" si="65"/>
        <v>7.0111438457926816E-3</v>
      </c>
      <c r="S71" s="2"/>
      <c r="T71" s="7">
        <v>6768.2</v>
      </c>
      <c r="U71" s="2"/>
      <c r="V71" s="6">
        <f t="shared" si="66"/>
        <v>7.0264095183359002E-3</v>
      </c>
      <c r="W71" s="2"/>
      <c r="X71" s="7">
        <f t="shared" si="67"/>
        <v>-1710.7699999999995</v>
      </c>
      <c r="Y71" s="2"/>
      <c r="Z71" s="6">
        <f t="shared" si="68"/>
        <v>-0.25276587571289261</v>
      </c>
    </row>
    <row r="72" spans="1:26" s="24" customFormat="1" hidden="1" outlineLevel="2" x14ac:dyDescent="0.35">
      <c r="A72" s="27"/>
      <c r="B72" s="11" t="str">
        <f>CONCATENATE("          ", "6245", " - ", "PRINTING")</f>
        <v xml:space="preserve">          6245 - PRINTING</v>
      </c>
      <c r="C72" s="11"/>
      <c r="D72" s="7"/>
      <c r="E72" s="2"/>
      <c r="F72" s="6">
        <f t="shared" si="61"/>
        <v>0</v>
      </c>
      <c r="G72" s="2"/>
      <c r="H72" s="7">
        <v>28.54</v>
      </c>
      <c r="I72" s="2"/>
      <c r="J72" s="6">
        <f t="shared" si="62"/>
        <v>1.820024220224206E-3</v>
      </c>
      <c r="K72" s="2"/>
      <c r="L72" s="7">
        <f t="shared" si="63"/>
        <v>-28.54</v>
      </c>
      <c r="M72" s="2"/>
      <c r="N72" s="6">
        <f t="shared" si="64"/>
        <v>-1</v>
      </c>
      <c r="O72" s="11"/>
      <c r="P72" s="7">
        <v>66.930000000000007</v>
      </c>
      <c r="Q72" s="2"/>
      <c r="R72" s="6">
        <f t="shared" si="65"/>
        <v>9.2785437979152295E-5</v>
      </c>
      <c r="S72" s="2"/>
      <c r="T72" s="7">
        <v>189.94</v>
      </c>
      <c r="U72" s="2"/>
      <c r="V72" s="6">
        <f t="shared" si="66"/>
        <v>1.9718628644436052E-4</v>
      </c>
      <c r="W72" s="2"/>
      <c r="X72" s="7">
        <f t="shared" si="67"/>
        <v>-123.00999999999999</v>
      </c>
      <c r="Y72" s="2"/>
      <c r="Z72" s="6">
        <f t="shared" si="68"/>
        <v>-0.64762556596820042</v>
      </c>
    </row>
    <row r="73" spans="1:26" s="24" customFormat="1" hidden="1" outlineLevel="2" x14ac:dyDescent="0.35">
      <c r="A73" s="27"/>
      <c r="B73" s="11" t="str">
        <f>CONCATENATE("          ", "6247", " - ", "STORE SUPPLIES")</f>
        <v xml:space="preserve">          6247 - STORE SUPPLIES</v>
      </c>
      <c r="C73" s="11"/>
      <c r="D73" s="7"/>
      <c r="E73" s="2"/>
      <c r="F73" s="6">
        <f t="shared" si="61"/>
        <v>0</v>
      </c>
      <c r="G73" s="2"/>
      <c r="H73" s="7">
        <v>25.28</v>
      </c>
      <c r="I73" s="2"/>
      <c r="J73" s="6">
        <f t="shared" si="62"/>
        <v>1.6121307739056737E-3</v>
      </c>
      <c r="K73" s="2"/>
      <c r="L73" s="7">
        <f t="shared" si="63"/>
        <v>-25.28</v>
      </c>
      <c r="M73" s="2"/>
      <c r="N73" s="6">
        <f t="shared" si="64"/>
        <v>-1</v>
      </c>
      <c r="O73" s="11"/>
      <c r="P73" s="7">
        <v>-1251.8</v>
      </c>
      <c r="Q73" s="2"/>
      <c r="R73" s="6">
        <f t="shared" si="65"/>
        <v>-1.7353774280935729E-3</v>
      </c>
      <c r="S73" s="2"/>
      <c r="T73" s="7">
        <v>645.72</v>
      </c>
      <c r="U73" s="2"/>
      <c r="V73" s="6">
        <f t="shared" si="66"/>
        <v>6.7035447448063855E-4</v>
      </c>
      <c r="W73" s="2"/>
      <c r="X73" s="7">
        <f t="shared" si="67"/>
        <v>-1897.52</v>
      </c>
      <c r="Y73" s="2"/>
      <c r="Z73" s="6">
        <f t="shared" si="68"/>
        <v>-2.9386111627330731</v>
      </c>
    </row>
    <row r="74" spans="1:26" s="24" customFormat="1" hidden="1" outlineLevel="2" x14ac:dyDescent="0.35">
      <c r="A74" s="27"/>
      <c r="B74" s="11" t="str">
        <f>CONCATENATE("          ", "6248", " - ", "UNIFORMS")</f>
        <v xml:space="preserve">          6248 - UNIFORMS</v>
      </c>
      <c r="C74" s="11"/>
      <c r="D74" s="7"/>
      <c r="E74" s="2"/>
      <c r="F74" s="6">
        <f t="shared" si="61"/>
        <v>0</v>
      </c>
      <c r="G74" s="2"/>
      <c r="H74" s="7"/>
      <c r="I74" s="2"/>
      <c r="J74" s="6">
        <f t="shared" si="62"/>
        <v>0</v>
      </c>
      <c r="K74" s="2"/>
      <c r="L74" s="7">
        <f t="shared" si="63"/>
        <v>0</v>
      </c>
      <c r="M74" s="2"/>
      <c r="N74" s="6">
        <f t="shared" si="64"/>
        <v>0</v>
      </c>
      <c r="O74" s="11"/>
      <c r="P74" s="7">
        <v>134.08000000000001</v>
      </c>
      <c r="Q74" s="2"/>
      <c r="R74" s="6">
        <f t="shared" si="65"/>
        <v>1.8587586320401524E-4</v>
      </c>
      <c r="S74" s="2"/>
      <c r="T74" s="7">
        <v>396.11</v>
      </c>
      <c r="U74" s="2"/>
      <c r="V74" s="6">
        <f t="shared" si="66"/>
        <v>4.1122175383529348E-4</v>
      </c>
      <c r="W74" s="2"/>
      <c r="X74" s="7">
        <f t="shared" si="67"/>
        <v>-262.02999999999997</v>
      </c>
      <c r="Y74" s="2"/>
      <c r="Z74" s="6">
        <f t="shared" si="68"/>
        <v>-0.66150816692332925</v>
      </c>
    </row>
    <row r="75" spans="1:26" s="25" customFormat="1" outlineLevel="1" collapsed="1" x14ac:dyDescent="0.35">
      <c r="A75" s="26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SUM(OSRRefD22_15x_0)</f>
        <v>-3.95</v>
      </c>
      <c r="E75" s="1"/>
      <c r="F75" s="5">
        <f t="shared" ref="F75:F82" si="69">IF(D$12=0,0,D75/D$12)</f>
        <v>0</v>
      </c>
      <c r="G75" s="1"/>
      <c r="H75" s="1">
        <f>SUM(OSRRefH22_15x_0)</f>
        <v>90.6</v>
      </c>
      <c r="I75" s="1"/>
      <c r="J75" s="5">
        <f t="shared" ref="J75:J82" si="70">IF(H$12=0,0,H75/H$12)</f>
        <v>5.7776522197727064E-3</v>
      </c>
      <c r="K75" s="1"/>
      <c r="L75" s="1">
        <f t="shared" ref="L75:L82" si="71">+D75-H75</f>
        <v>-94.55</v>
      </c>
      <c r="M75" s="1"/>
      <c r="N75" s="5">
        <f t="shared" ref="N75:N82" si="72">IF(H75=0,0,L75/H75)</f>
        <v>-1.0435982339955849</v>
      </c>
      <c r="O75" s="12"/>
      <c r="P75" s="1">
        <f>SUM(OSRRefP22_15x_0)</f>
        <v>1504.85</v>
      </c>
      <c r="Q75" s="1"/>
      <c r="R75" s="5">
        <f t="shared" ref="R75:R82" si="73">IF(P$12=0,0,P75/P$12)</f>
        <v>2.0861820759439311E-3</v>
      </c>
      <c r="S75" s="1"/>
      <c r="T75" s="1">
        <f>SUM(OSRRefT22_15x_0)</f>
        <v>1033.55</v>
      </c>
      <c r="U75" s="1"/>
      <c r="V75" s="5">
        <f t="shared" ref="V75:V82" si="74">IF(T$12=0,0,T75/T$12)</f>
        <v>1.0729803430271074E-3</v>
      </c>
      <c r="W75" s="1"/>
      <c r="X75" s="1">
        <f t="shared" ref="X75:X82" si="75">+P75-T75</f>
        <v>471.29999999999995</v>
      </c>
      <c r="Y75" s="1"/>
      <c r="Z75" s="5">
        <f t="shared" ref="Z75:Z82" si="76">IF(T75=0,0,X75/T75)</f>
        <v>0.45600116104687727</v>
      </c>
    </row>
    <row r="76" spans="1:26" s="24" customFormat="1" hidden="1" outlineLevel="2" x14ac:dyDescent="0.35">
      <c r="A76" s="27"/>
      <c r="B76" s="11" t="str">
        <f>CONCATENATE("          ", "6309", " - ", "TELEPHONE")</f>
        <v xml:space="preserve">          6309 - TELEPHONE</v>
      </c>
      <c r="C76" s="11"/>
      <c r="D76" s="7">
        <v>-3.95</v>
      </c>
      <c r="E76" s="2"/>
      <c r="F76" s="6">
        <f t="shared" si="69"/>
        <v>0</v>
      </c>
      <c r="G76" s="2"/>
      <c r="H76" s="7">
        <v>90.6</v>
      </c>
      <c r="I76" s="2"/>
      <c r="J76" s="6">
        <f t="shared" si="70"/>
        <v>5.7776522197727064E-3</v>
      </c>
      <c r="K76" s="2"/>
      <c r="L76" s="7">
        <f t="shared" si="71"/>
        <v>-94.55</v>
      </c>
      <c r="M76" s="2"/>
      <c r="N76" s="6">
        <f t="shared" si="72"/>
        <v>-1.0435982339955849</v>
      </c>
      <c r="O76" s="11"/>
      <c r="P76" s="7">
        <v>1504.85</v>
      </c>
      <c r="Q76" s="2"/>
      <c r="R76" s="6">
        <f t="shared" si="73"/>
        <v>2.0861820759439311E-3</v>
      </c>
      <c r="S76" s="2"/>
      <c r="T76" s="7">
        <v>1033.55</v>
      </c>
      <c r="U76" s="2"/>
      <c r="V76" s="6">
        <f t="shared" si="74"/>
        <v>1.0729803430271074E-3</v>
      </c>
      <c r="W76" s="2"/>
      <c r="X76" s="7">
        <f t="shared" si="75"/>
        <v>471.29999999999995</v>
      </c>
      <c r="Y76" s="2"/>
      <c r="Z76" s="6">
        <f t="shared" si="76"/>
        <v>0.45600116104687727</v>
      </c>
    </row>
    <row r="77" spans="1:26" s="25" customFormat="1" outlineLevel="1" collapsed="1" x14ac:dyDescent="0.35">
      <c r="A77" s="26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SUM(OSRRefD22_16x_0)</f>
        <v>0</v>
      </c>
      <c r="E77" s="1"/>
      <c r="F77" s="5">
        <f t="shared" si="69"/>
        <v>0</v>
      </c>
      <c r="G77" s="1"/>
      <c r="H77" s="1">
        <f>SUM(OSRRefH22_16x_0)</f>
        <v>0</v>
      </c>
      <c r="I77" s="1"/>
      <c r="J77" s="5">
        <f t="shared" si="70"/>
        <v>0</v>
      </c>
      <c r="K77" s="1"/>
      <c r="L77" s="1">
        <f t="shared" si="71"/>
        <v>0</v>
      </c>
      <c r="M77" s="1"/>
      <c r="N77" s="5">
        <f t="shared" si="72"/>
        <v>0</v>
      </c>
      <c r="O77" s="12"/>
      <c r="P77" s="1">
        <f>SUM(OSRRefP22_16x_0)</f>
        <v>585.65</v>
      </c>
      <c r="Q77" s="1"/>
      <c r="R77" s="5">
        <f t="shared" si="73"/>
        <v>8.1188991113836147E-4</v>
      </c>
      <c r="S77" s="1"/>
      <c r="T77" s="1">
        <f>SUM(OSRRefT22_16x_0)</f>
        <v>361.14</v>
      </c>
      <c r="U77" s="1"/>
      <c r="V77" s="5">
        <f t="shared" si="74"/>
        <v>3.7491763444517402E-4</v>
      </c>
      <c r="W77" s="1"/>
      <c r="X77" s="1">
        <f t="shared" si="75"/>
        <v>224.51</v>
      </c>
      <c r="Y77" s="1"/>
      <c r="Z77" s="5">
        <f t="shared" si="76"/>
        <v>0.62167026637868972</v>
      </c>
    </row>
    <row r="78" spans="1:26" s="24" customFormat="1" hidden="1" outlineLevel="2" x14ac:dyDescent="0.35">
      <c r="A78" s="27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69"/>
        <v>0</v>
      </c>
      <c r="G78" s="2"/>
      <c r="H78" s="7"/>
      <c r="I78" s="2"/>
      <c r="J78" s="6">
        <f t="shared" si="70"/>
        <v>0</v>
      </c>
      <c r="K78" s="2"/>
      <c r="L78" s="7">
        <f t="shared" si="71"/>
        <v>0</v>
      </c>
      <c r="M78" s="2"/>
      <c r="N78" s="6">
        <f t="shared" si="72"/>
        <v>0</v>
      </c>
      <c r="O78" s="11"/>
      <c r="P78" s="7">
        <v>585.65</v>
      </c>
      <c r="Q78" s="2"/>
      <c r="R78" s="6">
        <f t="shared" si="73"/>
        <v>8.1188991113836147E-4</v>
      </c>
      <c r="S78" s="2"/>
      <c r="T78" s="7">
        <v>361.14</v>
      </c>
      <c r="U78" s="2"/>
      <c r="V78" s="6">
        <f t="shared" si="74"/>
        <v>3.7491763444517402E-4</v>
      </c>
      <c r="W78" s="2"/>
      <c r="X78" s="7">
        <f t="shared" si="75"/>
        <v>224.51</v>
      </c>
      <c r="Y78" s="2"/>
      <c r="Z78" s="6">
        <f t="shared" si="76"/>
        <v>0.62167026637868972</v>
      </c>
    </row>
    <row r="79" spans="1:26" s="25" customFormat="1" outlineLevel="1" collapsed="1" x14ac:dyDescent="0.35">
      <c r="A79" s="26"/>
      <c r="B79" s="12" t="str">
        <f>CONCATENATE("     ","Travel                                            ")</f>
        <v xml:space="preserve">     Travel                                            </v>
      </c>
      <c r="C79" s="12"/>
      <c r="D79" s="1">
        <f>SUM(OSRRefD22_17x_0)</f>
        <v>0</v>
      </c>
      <c r="E79" s="1"/>
      <c r="F79" s="5">
        <f t="shared" si="69"/>
        <v>0</v>
      </c>
      <c r="G79" s="1"/>
      <c r="H79" s="1">
        <f>SUM(OSRRefH22_17x_0)</f>
        <v>0</v>
      </c>
      <c r="I79" s="1"/>
      <c r="J79" s="5">
        <f t="shared" si="70"/>
        <v>0</v>
      </c>
      <c r="K79" s="1"/>
      <c r="L79" s="1">
        <f t="shared" si="71"/>
        <v>0</v>
      </c>
      <c r="M79" s="1"/>
      <c r="N79" s="5">
        <f t="shared" si="72"/>
        <v>0</v>
      </c>
      <c r="O79" s="12"/>
      <c r="P79" s="1">
        <f>SUM(OSRRefP22_17x_0)</f>
        <v>0</v>
      </c>
      <c r="Q79" s="1"/>
      <c r="R79" s="5">
        <f t="shared" si="73"/>
        <v>0</v>
      </c>
      <c r="S79" s="1"/>
      <c r="T79" s="1">
        <f>SUM(OSRRefT22_17x_0)</f>
        <v>6.78</v>
      </c>
      <c r="U79" s="1"/>
      <c r="V79" s="5">
        <f t="shared" si="74"/>
        <v>7.0386596930228727E-6</v>
      </c>
      <c r="W79" s="1"/>
      <c r="X79" s="1">
        <f t="shared" si="75"/>
        <v>-6.78</v>
      </c>
      <c r="Y79" s="1"/>
      <c r="Z79" s="5">
        <f t="shared" si="76"/>
        <v>-1</v>
      </c>
    </row>
    <row r="80" spans="1:26" s="24" customFormat="1" hidden="1" outlineLevel="2" x14ac:dyDescent="0.35">
      <c r="A80" s="27"/>
      <c r="B80" s="11" t="str">
        <f>CONCATENATE("          ", "6292", " - ", "TRAVEL/CONFERENCE")</f>
        <v xml:space="preserve">          6292 - TRAVEL/CONFERENCE</v>
      </c>
      <c r="C80" s="11"/>
      <c r="D80" s="7"/>
      <c r="E80" s="2"/>
      <c r="F80" s="6">
        <f t="shared" si="69"/>
        <v>0</v>
      </c>
      <c r="G80" s="2"/>
      <c r="H80" s="7"/>
      <c r="I80" s="2"/>
      <c r="J80" s="6">
        <f t="shared" si="70"/>
        <v>0</v>
      </c>
      <c r="K80" s="2"/>
      <c r="L80" s="7">
        <f t="shared" si="71"/>
        <v>0</v>
      </c>
      <c r="M80" s="2"/>
      <c r="N80" s="6">
        <f t="shared" si="72"/>
        <v>0</v>
      </c>
      <c r="O80" s="11"/>
      <c r="P80" s="7"/>
      <c r="Q80" s="2"/>
      <c r="R80" s="6">
        <f t="shared" si="73"/>
        <v>0</v>
      </c>
      <c r="S80" s="2"/>
      <c r="T80" s="7">
        <v>6.78</v>
      </c>
      <c r="U80" s="2"/>
      <c r="V80" s="6">
        <f t="shared" si="74"/>
        <v>7.0386596930228727E-6</v>
      </c>
      <c r="W80" s="2"/>
      <c r="X80" s="7">
        <f t="shared" si="75"/>
        <v>-6.78</v>
      </c>
      <c r="Y80" s="2"/>
      <c r="Z80" s="6">
        <f t="shared" si="76"/>
        <v>-1</v>
      </c>
    </row>
    <row r="81" spans="1:26" s="25" customFormat="1" outlineLevel="1" collapsed="1" x14ac:dyDescent="0.35">
      <c r="A81" s="26"/>
      <c r="B81" s="12" t="str">
        <f>CONCATENATE("     ","Utilities                                         ")</f>
        <v xml:space="preserve">     Utilities                                         </v>
      </c>
      <c r="C81" s="12"/>
      <c r="D81" s="1">
        <f>SUM(OSRRefD22_18x_0)</f>
        <v>348</v>
      </c>
      <c r="E81" s="1"/>
      <c r="F81" s="5">
        <f t="shared" si="69"/>
        <v>0</v>
      </c>
      <c r="G81" s="1"/>
      <c r="H81" s="1">
        <f>SUM(OSRRefH22_18x_0)</f>
        <v>306</v>
      </c>
      <c r="I81" s="1"/>
      <c r="J81" s="5">
        <f t="shared" si="70"/>
        <v>1.9513924715788614E-2</v>
      </c>
      <c r="K81" s="1"/>
      <c r="L81" s="1">
        <f t="shared" si="71"/>
        <v>42</v>
      </c>
      <c r="M81" s="1"/>
      <c r="N81" s="5">
        <f t="shared" si="72"/>
        <v>0.13725490196078433</v>
      </c>
      <c r="O81" s="12"/>
      <c r="P81" s="1">
        <f>SUM(OSRRefP22_18x_0)</f>
        <v>4172</v>
      </c>
      <c r="Q81" s="1"/>
      <c r="R81" s="5">
        <f t="shared" si="73"/>
        <v>5.7836672232036961E-3</v>
      </c>
      <c r="S81" s="1"/>
      <c r="T81" s="1">
        <f>SUM(OSRRefT22_18x_0)</f>
        <v>3219.9</v>
      </c>
      <c r="U81" s="1"/>
      <c r="V81" s="5">
        <f t="shared" si="74"/>
        <v>3.3427404639475439E-3</v>
      </c>
      <c r="W81" s="1"/>
      <c r="X81" s="1">
        <f t="shared" si="75"/>
        <v>952.09999999999991</v>
      </c>
      <c r="Y81" s="1"/>
      <c r="Z81" s="5">
        <f t="shared" si="76"/>
        <v>0.29569241280785113</v>
      </c>
    </row>
    <row r="82" spans="1:26" s="24" customFormat="1" hidden="1" outlineLevel="2" x14ac:dyDescent="0.35">
      <c r="A82" s="27"/>
      <c r="B82" s="11" t="str">
        <f>CONCATENATE("          ", "6274", " - ", "UTILITIES")</f>
        <v xml:space="preserve">          6274 - UTILITIES</v>
      </c>
      <c r="C82" s="11"/>
      <c r="D82" s="7">
        <v>348</v>
      </c>
      <c r="E82" s="2"/>
      <c r="F82" s="6">
        <f t="shared" si="69"/>
        <v>0</v>
      </c>
      <c r="G82" s="2"/>
      <c r="H82" s="7">
        <v>306</v>
      </c>
      <c r="I82" s="2"/>
      <c r="J82" s="6">
        <f t="shared" si="70"/>
        <v>1.9513924715788614E-2</v>
      </c>
      <c r="K82" s="2"/>
      <c r="L82" s="7">
        <f t="shared" si="71"/>
        <v>42</v>
      </c>
      <c r="M82" s="2"/>
      <c r="N82" s="6">
        <f t="shared" si="72"/>
        <v>0.13725490196078433</v>
      </c>
      <c r="O82" s="11"/>
      <c r="P82" s="7">
        <v>4172</v>
      </c>
      <c r="Q82" s="2"/>
      <c r="R82" s="6">
        <f t="shared" si="73"/>
        <v>5.7836672232036961E-3</v>
      </c>
      <c r="S82" s="2"/>
      <c r="T82" s="7">
        <v>3219.9</v>
      </c>
      <c r="U82" s="2"/>
      <c r="V82" s="6">
        <f t="shared" si="74"/>
        <v>3.3427404639475439E-3</v>
      </c>
      <c r="W82" s="2"/>
      <c r="X82" s="7">
        <f t="shared" si="75"/>
        <v>952.09999999999991</v>
      </c>
      <c r="Y82" s="2"/>
      <c r="Z82" s="6">
        <f t="shared" si="76"/>
        <v>0.29569241280785113</v>
      </c>
    </row>
    <row r="83" spans="1:26" s="56" customFormat="1" x14ac:dyDescent="0.3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5">
      <c r="A84" s="10"/>
      <c r="B84" s="29" t="s">
        <v>0</v>
      </c>
      <c r="C84" s="10"/>
      <c r="D84" s="4">
        <f>SUM(0)</f>
        <v>0</v>
      </c>
      <c r="E84" s="4"/>
      <c r="F84" s="13">
        <f>IF(D$12=0,0,D84/D$12)</f>
        <v>0</v>
      </c>
      <c r="G84" s="4"/>
      <c r="H84" s="4">
        <f>SUM(0)</f>
        <v>0</v>
      </c>
      <c r="I84" s="4"/>
      <c r="J84" s="13">
        <f>IF(H$12=0,0,H84/H$12)</f>
        <v>0</v>
      </c>
      <c r="K84" s="4"/>
      <c r="L84" s="4">
        <f>+D84-H84</f>
        <v>0</v>
      </c>
      <c r="M84" s="4"/>
      <c r="N84" s="13">
        <f>IF(H84=0,0,L84/H84)</f>
        <v>0</v>
      </c>
      <c r="O84" s="10"/>
      <c r="P84" s="4">
        <f>SUM(0)</f>
        <v>0</v>
      </c>
      <c r="Q84" s="4"/>
      <c r="R84" s="13">
        <f>IF(P$12=0,0,P84/P$12)</f>
        <v>0</v>
      </c>
      <c r="S84" s="4"/>
      <c r="T84" s="4">
        <f>SUM(0)</f>
        <v>0</v>
      </c>
      <c r="U84" s="4"/>
      <c r="V84" s="13">
        <f>IF(T$12=0,0,T84/T$12)</f>
        <v>0</v>
      </c>
      <c r="W84" s="4"/>
      <c r="X84" s="4">
        <f>+P84-T84</f>
        <v>0</v>
      </c>
      <c r="Y84" s="4"/>
      <c r="Z84" s="13">
        <f>IF(T84=0,0,X84/T84)</f>
        <v>0</v>
      </c>
    </row>
    <row r="85" spans="1:26" x14ac:dyDescent="0.3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5">
      <c r="A86" s="10"/>
      <c r="B86" s="28" t="s">
        <v>3</v>
      </c>
      <c r="C86" s="28"/>
      <c r="D86" s="22">
        <f>+D20-D22+D84</f>
        <v>-16929.939999999999</v>
      </c>
      <c r="E86" s="14"/>
      <c r="F86" s="21">
        <f>IF(D$12=0,0,D86/D$12)</f>
        <v>0</v>
      </c>
      <c r="G86" s="14"/>
      <c r="H86" s="22">
        <f>+H20-H22+H84</f>
        <v>-33276.840000000011</v>
      </c>
      <c r="I86" s="14"/>
      <c r="J86" s="21">
        <f>IF(H$12=0,0,H86/H$12)</f>
        <v>-2.1220972239847824</v>
      </c>
      <c r="K86" s="15"/>
      <c r="L86" s="22">
        <f>+D86-H86</f>
        <v>16346.900000000012</v>
      </c>
      <c r="M86" s="15"/>
      <c r="N86" s="21">
        <f>IF(H86=0,0,L86/H86)</f>
        <v>-0.49123955279407561</v>
      </c>
      <c r="O86" s="29"/>
      <c r="P86" s="22">
        <f>+P20-P22+P84</f>
        <v>-116061.29999999993</v>
      </c>
      <c r="Q86" s="14"/>
      <c r="R86" s="21">
        <f>IF(P$12=0,0,P86/P$12)</f>
        <v>-0.16089643736634965</v>
      </c>
      <c r="S86" s="14"/>
      <c r="T86" s="22">
        <f>+T20-T22+T84</f>
        <v>5355.2800000000279</v>
      </c>
      <c r="U86" s="14"/>
      <c r="V86" s="21">
        <f>IF(T$12=0,0,T86/T$12)</f>
        <v>5.5595860591226729E-3</v>
      </c>
      <c r="W86" s="15"/>
      <c r="X86" s="22">
        <f>+P86-T86</f>
        <v>-121416.57999999996</v>
      </c>
      <c r="Y86" s="15"/>
      <c r="Z86" s="21">
        <f>IF(T86=0,0,X86/T86)</f>
        <v>-22.672312185357129</v>
      </c>
    </row>
    <row r="87" spans="1:26" x14ac:dyDescent="0.3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5">
      <c r="A88" s="51"/>
      <c r="B88" s="10" t="s">
        <v>13</v>
      </c>
      <c r="C88" s="10"/>
      <c r="D88" s="4">
        <v>23817.390000000003</v>
      </c>
      <c r="E88" s="4"/>
      <c r="F88" s="13">
        <f>IF(D$12=0,0,D88/D$12)</f>
        <v>0</v>
      </c>
      <c r="G88" s="4"/>
      <c r="H88" s="4">
        <v>-29903.37</v>
      </c>
      <c r="I88" s="4"/>
      <c r="J88" s="13">
        <f>IF(H$12=0,0,H88/H$12)</f>
        <v>-1.9069676827724567</v>
      </c>
      <c r="K88" s="4"/>
      <c r="L88" s="4">
        <f>+D88-H88</f>
        <v>53720.76</v>
      </c>
      <c r="M88" s="4"/>
      <c r="N88" s="13">
        <f>IF(H88=0,0,L88/H88)</f>
        <v>-1.7964784571103525</v>
      </c>
      <c r="O88" s="10"/>
      <c r="P88" s="4">
        <v>109239.07999999999</v>
      </c>
      <c r="Q88" s="4"/>
      <c r="R88" s="13">
        <f>IF(P$12=0,0,P88/P$12)</f>
        <v>0.15143875515074937</v>
      </c>
      <c r="S88" s="4"/>
      <c r="T88" s="4">
        <v>68657.77</v>
      </c>
      <c r="U88" s="4"/>
      <c r="V88" s="13">
        <f>IF(T$12=0,0,T88/T$12)</f>
        <v>7.1277091196435841E-2</v>
      </c>
      <c r="W88" s="4"/>
      <c r="X88" s="4">
        <f>+P88-T88</f>
        <v>40581.309999999983</v>
      </c>
      <c r="Y88" s="4"/>
      <c r="Z88" s="13">
        <f>IF(T88=0,0,X88/T88)</f>
        <v>0.59106653187250302</v>
      </c>
    </row>
    <row r="89" spans="1:26" x14ac:dyDescent="0.3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4">
      <c r="A90" s="10"/>
      <c r="B90" s="28" t="s">
        <v>4</v>
      </c>
      <c r="C90" s="28"/>
      <c r="D90" s="34">
        <f>+D86-D88</f>
        <v>-40747.33</v>
      </c>
      <c r="E90" s="14"/>
      <c r="F90" s="32">
        <f>IF(D$12=0,0,D90/D$12)</f>
        <v>0</v>
      </c>
      <c r="G90" s="14"/>
      <c r="H90" s="34">
        <f>+H86-H88</f>
        <v>-3373.4700000000121</v>
      </c>
      <c r="I90" s="14"/>
      <c r="J90" s="32">
        <f>IF(H$12=0,0,H90/H$12)</f>
        <v>-0.21512954121232566</v>
      </c>
      <c r="K90" s="15"/>
      <c r="L90" s="34">
        <f>D90-H90</f>
        <v>-37373.859999999986</v>
      </c>
      <c r="M90" s="15"/>
      <c r="N90" s="32">
        <f>IF(H90=0,0,L90/H90)</f>
        <v>11.078758666891909</v>
      </c>
      <c r="O90" s="29"/>
      <c r="P90" s="34">
        <f>+P86-P88</f>
        <v>-225300.37999999992</v>
      </c>
      <c r="Q90" s="14"/>
      <c r="R90" s="32">
        <f>IF(P$12=0,0,P90/P$12)</f>
        <v>-0.31233519251709901</v>
      </c>
      <c r="S90" s="14"/>
      <c r="T90" s="34">
        <f>+T86-T88</f>
        <v>-63302.489999999976</v>
      </c>
      <c r="U90" s="14"/>
      <c r="V90" s="32">
        <f>IF(T$12=0,0,T90/T$12)</f>
        <v>-6.571750513731317E-2</v>
      </c>
      <c r="W90" s="15"/>
      <c r="X90" s="34">
        <f>P90-T90</f>
        <v>-161997.88999999996</v>
      </c>
      <c r="Y90" s="15"/>
      <c r="Z90" s="32">
        <f>IF(T90=0,0,X90/T90)</f>
        <v>2.5591077065057002</v>
      </c>
    </row>
    <row r="91" spans="1:26" ht="15" thickTop="1" x14ac:dyDescent="0.3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4">
      <c r="A93" s="10"/>
      <c r="B93" s="28" t="s">
        <v>5</v>
      </c>
      <c r="C93" s="28"/>
      <c r="D93" s="35">
        <f>SUM(D90:D92)</f>
        <v>-40747.33</v>
      </c>
      <c r="E93" s="14"/>
      <c r="F93" s="33">
        <f>IF(D$12=0,0,D93/D$12)</f>
        <v>0</v>
      </c>
      <c r="G93" s="14"/>
      <c r="H93" s="35">
        <f>SUM(H90:H92)</f>
        <v>-3373.4700000000121</v>
      </c>
      <c r="I93" s="14"/>
      <c r="J93" s="33">
        <f>IF(H$12=0,0,H93/H$12)</f>
        <v>-0.21512954121232566</v>
      </c>
      <c r="K93" s="15"/>
      <c r="L93" s="35">
        <f>+D93-H93</f>
        <v>-37373.859999999986</v>
      </c>
      <c r="M93" s="15"/>
      <c r="N93" s="33">
        <f>IF(H93=0,0,L93/H93)</f>
        <v>11.078758666891909</v>
      </c>
      <c r="O93" s="29"/>
      <c r="P93" s="35">
        <f>SUM(P90:P92)</f>
        <v>-225300.37999999992</v>
      </c>
      <c r="Q93" s="14"/>
      <c r="R93" s="33">
        <f>IF(P$12=0,0,P93/P$12)</f>
        <v>-0.31233519251709901</v>
      </c>
      <c r="S93" s="14"/>
      <c r="T93" s="35">
        <f>SUM(T90:T92)</f>
        <v>-63302.489999999976</v>
      </c>
      <c r="U93" s="14"/>
      <c r="V93" s="33">
        <f>IF(T$12=0,0,T93/T$12)</f>
        <v>-6.571750513731317E-2</v>
      </c>
      <c r="W93" s="15"/>
      <c r="X93" s="35">
        <f>+P93-T93</f>
        <v>-161997.88999999996</v>
      </c>
      <c r="Y93" s="15"/>
      <c r="Z93" s="33">
        <f>IF(T93=0,0,X93/T93)</f>
        <v>2.5591077065057002</v>
      </c>
    </row>
    <row r="94" spans="1:26" ht="15" thickTop="1" x14ac:dyDescent="0.3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5">
      <c r="A95" s="9"/>
      <c r="B95" s="52">
        <v>44043.523123842591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5">
      <c r="A96" s="9"/>
      <c r="B96" s="61" t="s">
        <v>313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5">
      <c r="A97" s="9"/>
      <c r="B97" s="54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","406", " - ", "OPA! Greek")</f>
        <v>Department 406 - OPA! Greek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0"/>
      <c r="P12" s="4">
        <f>SUM(OSRRefP13x_0)</f>
        <v>189965.58000000002</v>
      </c>
      <c r="Q12" s="4"/>
      <c r="R12" s="13"/>
      <c r="S12" s="4"/>
      <c r="T12" s="4">
        <f>SUM(OSRRefT13x_0)</f>
        <v>238803.84</v>
      </c>
      <c r="U12" s="4"/>
      <c r="V12" s="13"/>
      <c r="W12" s="4"/>
      <c r="X12" s="4">
        <f t="shared" ref="X12:X14" si="2">+P12-T12</f>
        <v>-48838.25999999998</v>
      </c>
      <c r="Y12" s="4"/>
      <c r="Z12" s="13">
        <f t="shared" ref="Z12:Z14" si="3">IF(T12=0,0,X12/T12)</f>
        <v>-0.20451203799737885</v>
      </c>
    </row>
    <row r="13" spans="1:26" s="24" customFormat="1" hidden="1" outlineLevel="1" x14ac:dyDescent="0.3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--43841.85</f>
        <v>43841.85</v>
      </c>
      <c r="Q13" s="2"/>
      <c r="R13" s="19"/>
      <c r="S13" s="2"/>
      <c r="T13" s="2">
        <f>--60093.47</f>
        <v>60093.47</v>
      </c>
      <c r="U13" s="2"/>
      <c r="V13" s="19"/>
      <c r="W13" s="2"/>
      <c r="X13" s="2">
        <f t="shared" si="2"/>
        <v>-16251.620000000003</v>
      </c>
      <c r="Y13" s="2"/>
      <c r="Z13" s="19">
        <f t="shared" si="3"/>
        <v>-0.2704390343909247</v>
      </c>
    </row>
    <row r="14" spans="1:26" s="24" customFormat="1" hidden="1" outlineLevel="1" x14ac:dyDescent="0.3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--146123.73</f>
        <v>146123.73000000001</v>
      </c>
      <c r="Q14" s="2"/>
      <c r="R14" s="19"/>
      <c r="S14" s="2"/>
      <c r="T14" s="2">
        <f>--178710.37</f>
        <v>178710.37</v>
      </c>
      <c r="U14" s="2"/>
      <c r="V14" s="19"/>
      <c r="W14" s="2"/>
      <c r="X14" s="2">
        <f t="shared" si="2"/>
        <v>-32586.639999999985</v>
      </c>
      <c r="Y14" s="2"/>
      <c r="Z14" s="19">
        <f t="shared" si="3"/>
        <v>-0.18234330777783062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9" t="s">
        <v>8</v>
      </c>
      <c r="C16" s="10"/>
      <c r="D16" s="4">
        <f>SUM(OSRRefD16x_0)</f>
        <v>3474</v>
      </c>
      <c r="E16" s="4"/>
      <c r="F16" s="13">
        <f t="shared" ref="F16:F18" si="6">IF(D$12=0,0,D16/D$12)</f>
        <v>0</v>
      </c>
      <c r="G16" s="4"/>
      <c r="H16" s="4">
        <f>SUM(OSRRefH16x_0)</f>
        <v>1339</v>
      </c>
      <c r="I16" s="4"/>
      <c r="J16" s="13">
        <f t="shared" ref="J16:J18" si="7">IF(H$12=0,0,H16/H$12)</f>
        <v>0</v>
      </c>
      <c r="K16" s="4"/>
      <c r="L16" s="4">
        <f t="shared" ref="L16:L18" si="8">+D16-H16</f>
        <v>2135</v>
      </c>
      <c r="M16" s="4"/>
      <c r="N16" s="13">
        <f t="shared" ref="N16:N18" si="9">IF(H16=0,0,L16/H16)</f>
        <v>1.5944734876773712</v>
      </c>
      <c r="O16" s="10"/>
      <c r="P16" s="4">
        <f>SUM(OSRRefP16x_0)</f>
        <v>74645.56</v>
      </c>
      <c r="Q16" s="4"/>
      <c r="R16" s="13">
        <f t="shared" ref="R16:R18" si="10">IF(P$12=0,0,P16/P$12)</f>
        <v>0.39294255306671866</v>
      </c>
      <c r="S16" s="4"/>
      <c r="T16" s="4">
        <f>SUM(OSRRefT16x_0)</f>
        <v>80093.450000000012</v>
      </c>
      <c r="U16" s="4"/>
      <c r="V16" s="13">
        <f t="shared" ref="V16:V18" si="11">IF(T$12=0,0,T16/T$12)</f>
        <v>0.33539431359227728</v>
      </c>
      <c r="W16" s="4"/>
      <c r="X16" s="4">
        <f t="shared" ref="X16:X18" si="12">+P16-T16</f>
        <v>-5447.890000000014</v>
      </c>
      <c r="Y16" s="4"/>
      <c r="Z16" s="13">
        <f t="shared" ref="Z16:Z18" si="13">IF(T16=0,0,X16/T16)</f>
        <v>-6.8019170106919019E-2</v>
      </c>
    </row>
    <row r="17" spans="1:26" s="24" customFormat="1" hidden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/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>
        <v>69616.179999999993</v>
      </c>
      <c r="Q17" s="2"/>
      <c r="R17" s="19">
        <f t="shared" si="10"/>
        <v>0.36646733581946783</v>
      </c>
      <c r="S17" s="2"/>
      <c r="T17" s="2">
        <v>81442.450000000012</v>
      </c>
      <c r="U17" s="2"/>
      <c r="V17" s="19">
        <f t="shared" si="11"/>
        <v>0.34104330148124928</v>
      </c>
      <c r="W17" s="2"/>
      <c r="X17" s="2">
        <f t="shared" si="12"/>
        <v>-11826.270000000019</v>
      </c>
      <c r="Y17" s="2"/>
      <c r="Z17" s="19">
        <f t="shared" si="13"/>
        <v>-0.14521014532347709</v>
      </c>
    </row>
    <row r="18" spans="1:26" s="24" customFormat="1" hidden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3474</v>
      </c>
      <c r="E18" s="2"/>
      <c r="F18" s="19">
        <f t="shared" si="6"/>
        <v>0</v>
      </c>
      <c r="G18" s="2"/>
      <c r="H18" s="2">
        <v>1339</v>
      </c>
      <c r="I18" s="2"/>
      <c r="J18" s="19">
        <f t="shared" si="7"/>
        <v>0</v>
      </c>
      <c r="K18" s="2"/>
      <c r="L18" s="2">
        <f t="shared" si="8"/>
        <v>2135</v>
      </c>
      <c r="M18" s="2"/>
      <c r="N18" s="19">
        <f t="shared" si="9"/>
        <v>1.5944734876773712</v>
      </c>
      <c r="O18" s="11"/>
      <c r="P18" s="2">
        <v>5029.38</v>
      </c>
      <c r="Q18" s="2"/>
      <c r="R18" s="19">
        <f t="shared" si="10"/>
        <v>2.6475217247250788E-2</v>
      </c>
      <c r="S18" s="2"/>
      <c r="T18" s="2">
        <v>-1349</v>
      </c>
      <c r="U18" s="2"/>
      <c r="V18" s="19">
        <f t="shared" si="11"/>
        <v>-5.6489878889719701E-3</v>
      </c>
      <c r="W18" s="2"/>
      <c r="X18" s="2">
        <f t="shared" si="12"/>
        <v>6378.38</v>
      </c>
      <c r="Y18" s="2"/>
      <c r="Z18" s="19">
        <f t="shared" si="13"/>
        <v>-4.7282283172720536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-3474</v>
      </c>
      <c r="E20" s="14"/>
      <c r="F20" s="21">
        <f>IF(D$12=0,0,D20/D$12)</f>
        <v>0</v>
      </c>
      <c r="G20" s="14"/>
      <c r="H20" s="22">
        <f>H12-H16</f>
        <v>-1339</v>
      </c>
      <c r="I20" s="14"/>
      <c r="J20" s="21">
        <f>IF(H$12=0,0,H20/H$12)</f>
        <v>0</v>
      </c>
      <c r="K20" s="15"/>
      <c r="L20" s="22">
        <f>+D20-H20</f>
        <v>-2135</v>
      </c>
      <c r="M20" s="15"/>
      <c r="N20" s="21">
        <f>IF(H20=0,0,L20/H20)</f>
        <v>1.5944734876773712</v>
      </c>
      <c r="O20" s="29"/>
      <c r="P20" s="22">
        <f>P12-P16</f>
        <v>115320.02000000002</v>
      </c>
      <c r="Q20" s="14"/>
      <c r="R20" s="21">
        <f>IF(P$12=0,0,P20/P$12)</f>
        <v>0.60705744693328134</v>
      </c>
      <c r="S20" s="14"/>
      <c r="T20" s="22">
        <f>T12-T16</f>
        <v>158710.38999999998</v>
      </c>
      <c r="U20" s="14"/>
      <c r="V20" s="21">
        <f>IF(T$12=0,0,T20/T$12)</f>
        <v>0.66460568640772266</v>
      </c>
      <c r="W20" s="15"/>
      <c r="X20" s="22">
        <f>+P20-T20</f>
        <v>-43390.369999999966</v>
      </c>
      <c r="Y20" s="15"/>
      <c r="Z20" s="21">
        <f>IF(T20=0,0,X20/T20)</f>
        <v>-0.27339338023175402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620.99999999999989</v>
      </c>
      <c r="E22" s="20"/>
      <c r="F22" s="36">
        <f t="shared" ref="F22:F31" si="14">IF(D$12=0,0,D22/D$12)</f>
        <v>0</v>
      </c>
      <c r="G22" s="20"/>
      <c r="H22" s="20">
        <f>SUM(OSRRefH22x_0)</f>
        <v>9416.4</v>
      </c>
      <c r="I22" s="20"/>
      <c r="J22" s="36">
        <f t="shared" ref="J22:J31" si="15">IF(H$12=0,0,H22/H$12)</f>
        <v>0</v>
      </c>
      <c r="K22" s="4"/>
      <c r="L22" s="20">
        <f t="shared" ref="L22:L31" si="16">+D22-H22</f>
        <v>-8795.4</v>
      </c>
      <c r="M22" s="4"/>
      <c r="N22" s="36">
        <f t="shared" ref="N22:N31" si="17">IF(H22=0,0,L22/H22)</f>
        <v>-0.93405122976933863</v>
      </c>
      <c r="O22" s="10"/>
      <c r="P22" s="20">
        <f>SUM(OSRRefP22x_0)</f>
        <v>186226.26000000007</v>
      </c>
      <c r="Q22" s="20"/>
      <c r="R22" s="36">
        <f t="shared" ref="R22:R31" si="18">IF(P$12=0,0,P22/P$12)</f>
        <v>0.98031580247326933</v>
      </c>
      <c r="S22" s="20"/>
      <c r="T22" s="20">
        <f>SUM(OSRRefT22x_0)</f>
        <v>208784.84000000003</v>
      </c>
      <c r="U22" s="20"/>
      <c r="V22" s="36">
        <f t="shared" ref="V22:V31" si="19">IF(T$12=0,0,T22/T$12)</f>
        <v>0.87429431620530063</v>
      </c>
      <c r="W22" s="4"/>
      <c r="X22" s="20">
        <f t="shared" ref="X22:X31" si="20">+P22-T22</f>
        <v>-22558.579999999958</v>
      </c>
      <c r="Y22" s="4"/>
      <c r="Z22" s="36">
        <f t="shared" ref="Z22:Z31" si="21">IF(T22=0,0,X22/T22)</f>
        <v>-0.10804702103850047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341.15999999999997</v>
      </c>
      <c r="E23" s="1"/>
      <c r="F23" s="5">
        <f t="shared" si="14"/>
        <v>0</v>
      </c>
      <c r="G23" s="1"/>
      <c r="H23" s="1">
        <f>SUM(OSRRefH22_0x_0)</f>
        <v>1307.02</v>
      </c>
      <c r="I23" s="1"/>
      <c r="J23" s="5">
        <f t="shared" si="15"/>
        <v>0</v>
      </c>
      <c r="K23" s="1"/>
      <c r="L23" s="1">
        <f t="shared" si="16"/>
        <v>-965.86</v>
      </c>
      <c r="M23" s="1"/>
      <c r="N23" s="5">
        <f t="shared" si="17"/>
        <v>-0.73897874554329701</v>
      </c>
      <c r="O23" s="12"/>
      <c r="P23" s="1">
        <f>SUM(OSRRefP22_0x_0)</f>
        <v>21100.66</v>
      </c>
      <c r="Q23" s="1"/>
      <c r="R23" s="5">
        <f t="shared" si="18"/>
        <v>0.11107622759870497</v>
      </c>
      <c r="S23" s="1"/>
      <c r="T23" s="1">
        <f>SUM(OSRRefT22_0x_0)</f>
        <v>22864.46</v>
      </c>
      <c r="U23" s="1"/>
      <c r="V23" s="5">
        <f t="shared" si="19"/>
        <v>9.5745780302360292E-2</v>
      </c>
      <c r="W23" s="1"/>
      <c r="X23" s="1">
        <f t="shared" si="20"/>
        <v>-1763.7999999999993</v>
      </c>
      <c r="Y23" s="1"/>
      <c r="Z23" s="5">
        <f t="shared" si="21"/>
        <v>-7.7141555059686492E-2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359.09</v>
      </c>
      <c r="I24" s="2"/>
      <c r="J24" s="6">
        <f t="shared" si="15"/>
        <v>0</v>
      </c>
      <c r="K24" s="2"/>
      <c r="L24" s="7">
        <f t="shared" si="16"/>
        <v>-359.09</v>
      </c>
      <c r="M24" s="2"/>
      <c r="N24" s="6">
        <f t="shared" si="17"/>
        <v>-1</v>
      </c>
      <c r="O24" s="11"/>
      <c r="P24" s="7">
        <v>6831.57</v>
      </c>
      <c r="Q24" s="2"/>
      <c r="R24" s="6">
        <f t="shared" si="18"/>
        <v>3.5962146405680434E-2</v>
      </c>
      <c r="S24" s="2"/>
      <c r="T24" s="7">
        <v>6673.29</v>
      </c>
      <c r="U24" s="2"/>
      <c r="V24" s="6">
        <f t="shared" si="19"/>
        <v>2.794465114128818E-2</v>
      </c>
      <c r="W24" s="2"/>
      <c r="X24" s="7">
        <f t="shared" si="20"/>
        <v>158.27999999999975</v>
      </c>
      <c r="Y24" s="2"/>
      <c r="Z24" s="6">
        <f t="shared" si="21"/>
        <v>2.3718435734098136E-2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370.89</v>
      </c>
      <c r="I25" s="2"/>
      <c r="J25" s="6">
        <f t="shared" si="15"/>
        <v>0</v>
      </c>
      <c r="K25" s="2"/>
      <c r="L25" s="7">
        <f t="shared" si="16"/>
        <v>-370.89</v>
      </c>
      <c r="M25" s="2"/>
      <c r="N25" s="6">
        <f t="shared" si="17"/>
        <v>-1</v>
      </c>
      <c r="O25" s="11"/>
      <c r="P25" s="7">
        <v>4016.54</v>
      </c>
      <c r="Q25" s="2"/>
      <c r="R25" s="6">
        <f t="shared" si="18"/>
        <v>2.1143514525105021E-2</v>
      </c>
      <c r="S25" s="2"/>
      <c r="T25" s="7">
        <v>4869.6899999999996</v>
      </c>
      <c r="U25" s="2"/>
      <c r="V25" s="6">
        <f t="shared" si="19"/>
        <v>2.0392008771718241E-2</v>
      </c>
      <c r="W25" s="2"/>
      <c r="X25" s="7">
        <f t="shared" si="20"/>
        <v>-853.14999999999964</v>
      </c>
      <c r="Y25" s="2"/>
      <c r="Z25" s="6">
        <f t="shared" si="21"/>
        <v>-0.17519595703217242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>
        <v>660.8</v>
      </c>
      <c r="E26" s="2"/>
      <c r="F26" s="6">
        <f t="shared" si="14"/>
        <v>0</v>
      </c>
      <c r="G26" s="2"/>
      <c r="H26" s="7">
        <v>34.97</v>
      </c>
      <c r="I26" s="2"/>
      <c r="J26" s="6">
        <f t="shared" si="15"/>
        <v>0</v>
      </c>
      <c r="K26" s="2"/>
      <c r="L26" s="7">
        <f t="shared" si="16"/>
        <v>625.82999999999993</v>
      </c>
      <c r="M26" s="2"/>
      <c r="N26" s="6">
        <f t="shared" si="17"/>
        <v>17.896196740062909</v>
      </c>
      <c r="O26" s="11"/>
      <c r="P26" s="7">
        <v>2264.3200000000002</v>
      </c>
      <c r="Q26" s="2"/>
      <c r="R26" s="6">
        <f t="shared" si="18"/>
        <v>1.1919633019834435E-2</v>
      </c>
      <c r="S26" s="2"/>
      <c r="T26" s="7">
        <v>399.24</v>
      </c>
      <c r="U26" s="2"/>
      <c r="V26" s="6">
        <f t="shared" si="19"/>
        <v>1.6718324127451218E-3</v>
      </c>
      <c r="W26" s="2"/>
      <c r="X26" s="7">
        <f t="shared" si="20"/>
        <v>1865.0800000000002</v>
      </c>
      <c r="Y26" s="2"/>
      <c r="Z26" s="6">
        <f t="shared" si="21"/>
        <v>4.6715759943893405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-319.64</v>
      </c>
      <c r="E27" s="2"/>
      <c r="F27" s="6">
        <f t="shared" si="14"/>
        <v>0</v>
      </c>
      <c r="G27" s="2"/>
      <c r="H27" s="7">
        <v>27.55</v>
      </c>
      <c r="I27" s="2"/>
      <c r="J27" s="6">
        <f t="shared" si="15"/>
        <v>0</v>
      </c>
      <c r="K27" s="2"/>
      <c r="L27" s="7">
        <f t="shared" si="16"/>
        <v>-347.19</v>
      </c>
      <c r="M27" s="2"/>
      <c r="N27" s="6">
        <f t="shared" si="17"/>
        <v>-12.602177858439202</v>
      </c>
      <c r="O27" s="11"/>
      <c r="P27" s="7">
        <v>0</v>
      </c>
      <c r="Q27" s="2"/>
      <c r="R27" s="6">
        <f t="shared" si="18"/>
        <v>0</v>
      </c>
      <c r="S27" s="2"/>
      <c r="T27" s="7">
        <v>394.87</v>
      </c>
      <c r="U27" s="2"/>
      <c r="V27" s="6">
        <f t="shared" si="19"/>
        <v>1.6535328745132408E-3</v>
      </c>
      <c r="W27" s="2"/>
      <c r="X27" s="7">
        <f t="shared" si="20"/>
        <v>-394.87</v>
      </c>
      <c r="Y27" s="2"/>
      <c r="Z27" s="6">
        <f t="shared" si="21"/>
        <v>-1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/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>
        <v>2839.06</v>
      </c>
      <c r="Q28" s="2"/>
      <c r="R28" s="6">
        <f t="shared" si="18"/>
        <v>1.4945128480643702E-2</v>
      </c>
      <c r="S28" s="2"/>
      <c r="T28" s="7">
        <v>3480.24</v>
      </c>
      <c r="U28" s="2"/>
      <c r="V28" s="6">
        <f t="shared" si="19"/>
        <v>1.457363499682417E-2</v>
      </c>
      <c r="W28" s="2"/>
      <c r="X28" s="7">
        <f t="shared" si="20"/>
        <v>-641.17999999999984</v>
      </c>
      <c r="Y28" s="2"/>
      <c r="Z28" s="6">
        <f t="shared" si="21"/>
        <v>-0.18423442061467021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168.8</v>
      </c>
      <c r="I29" s="2"/>
      <c r="J29" s="6">
        <f t="shared" si="15"/>
        <v>0</v>
      </c>
      <c r="K29" s="2"/>
      <c r="L29" s="7">
        <f t="shared" si="16"/>
        <v>-168.8</v>
      </c>
      <c r="M29" s="2"/>
      <c r="N29" s="6">
        <f t="shared" si="17"/>
        <v>-1</v>
      </c>
      <c r="O29" s="11"/>
      <c r="P29" s="7">
        <v>1634.87</v>
      </c>
      <c r="Q29" s="2"/>
      <c r="R29" s="6">
        <f t="shared" si="18"/>
        <v>8.6061380172134331E-3</v>
      </c>
      <c r="S29" s="2"/>
      <c r="T29" s="7">
        <v>2245.87</v>
      </c>
      <c r="U29" s="2"/>
      <c r="V29" s="6">
        <f t="shared" si="19"/>
        <v>9.4046645146074696E-3</v>
      </c>
      <c r="W29" s="2"/>
      <c r="X29" s="7">
        <f t="shared" si="20"/>
        <v>-611</v>
      </c>
      <c r="Y29" s="2"/>
      <c r="Z29" s="6">
        <f t="shared" si="21"/>
        <v>-0.27205492748912452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202.24</v>
      </c>
      <c r="I30" s="2"/>
      <c r="J30" s="6">
        <f t="shared" si="15"/>
        <v>0</v>
      </c>
      <c r="K30" s="2"/>
      <c r="L30" s="7">
        <f t="shared" si="16"/>
        <v>-202.24</v>
      </c>
      <c r="M30" s="2"/>
      <c r="N30" s="6">
        <f t="shared" si="17"/>
        <v>-1</v>
      </c>
      <c r="O30" s="11"/>
      <c r="P30" s="7">
        <v>1996.53</v>
      </c>
      <c r="Q30" s="2"/>
      <c r="R30" s="6">
        <f t="shared" si="18"/>
        <v>1.0509956593189144E-2</v>
      </c>
      <c r="S30" s="2"/>
      <c r="T30" s="7">
        <v>3047.25</v>
      </c>
      <c r="U30" s="2"/>
      <c r="V30" s="6">
        <f t="shared" si="19"/>
        <v>1.276047319842093E-2</v>
      </c>
      <c r="W30" s="2"/>
      <c r="X30" s="7">
        <f t="shared" si="20"/>
        <v>-1050.72</v>
      </c>
      <c r="Y30" s="2"/>
      <c r="Z30" s="6">
        <f t="shared" si="21"/>
        <v>-0.3448092542456313</v>
      </c>
    </row>
    <row r="31" spans="1:26" s="24" customFormat="1" hidden="1" outlineLevel="2" x14ac:dyDescent="0.3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143.47999999999999</v>
      </c>
      <c r="I31" s="2"/>
      <c r="J31" s="6">
        <f t="shared" si="15"/>
        <v>0</v>
      </c>
      <c r="K31" s="2"/>
      <c r="L31" s="7">
        <f t="shared" si="16"/>
        <v>-143.47999999999999</v>
      </c>
      <c r="M31" s="2"/>
      <c r="N31" s="6">
        <f t="shared" si="17"/>
        <v>-1</v>
      </c>
      <c r="O31" s="11"/>
      <c r="P31" s="7">
        <v>1517.77</v>
      </c>
      <c r="Q31" s="2"/>
      <c r="R31" s="6">
        <f t="shared" si="18"/>
        <v>7.9897105570388063E-3</v>
      </c>
      <c r="S31" s="2"/>
      <c r="T31" s="7">
        <v>1754.01</v>
      </c>
      <c r="U31" s="2"/>
      <c r="V31" s="6">
        <f t="shared" si="19"/>
        <v>7.3449823922429386E-3</v>
      </c>
      <c r="W31" s="2"/>
      <c r="X31" s="7">
        <f t="shared" si="20"/>
        <v>-236.24</v>
      </c>
      <c r="Y31" s="2"/>
      <c r="Z31" s="6">
        <f t="shared" si="21"/>
        <v>-0.13468566313761041</v>
      </c>
    </row>
    <row r="32" spans="1:26" s="25" customFormat="1" outlineLevel="1" collapsed="1" x14ac:dyDescent="0.3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4036.17</v>
      </c>
      <c r="I32" s="1"/>
      <c r="J32" s="5">
        <f t="shared" ref="J32:J38" si="23">IF(H$12=0,0,H32/H$12)</f>
        <v>0</v>
      </c>
      <c r="K32" s="1"/>
      <c r="L32" s="1">
        <f t="shared" ref="L32:L38" si="24">+D32-H32</f>
        <v>-4036.17</v>
      </c>
      <c r="M32" s="1"/>
      <c r="N32" s="5">
        <f t="shared" ref="N32:N38" si="25">IF(H32=0,0,L32/H32)</f>
        <v>-1</v>
      </c>
      <c r="O32" s="12"/>
      <c r="P32" s="1">
        <f>SUM(OSRRefP22_1x_0)</f>
        <v>112168.78</v>
      </c>
      <c r="Q32" s="1"/>
      <c r="R32" s="5">
        <f t="shared" ref="R32:R38" si="26">IF(P$12=0,0,P32/P$12)</f>
        <v>0.59046896811517113</v>
      </c>
      <c r="S32" s="1"/>
      <c r="T32" s="1">
        <f>SUM(OSRRefT22_1x_0)</f>
        <v>126147.51</v>
      </c>
      <c r="U32" s="1"/>
      <c r="V32" s="5">
        <f t="shared" ref="V32:V38" si="27">IF(T$12=0,0,T32/T$12)</f>
        <v>0.52824741009189802</v>
      </c>
      <c r="W32" s="1"/>
      <c r="X32" s="1">
        <f t="shared" ref="X32:X38" si="28">+P32-T32</f>
        <v>-13978.729999999996</v>
      </c>
      <c r="Y32" s="1"/>
      <c r="Z32" s="5">
        <f t="shared" ref="Z32:Z38" si="29">IF(T32=0,0,X32/T32)</f>
        <v>-0.11081257172654456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3856.17</v>
      </c>
      <c r="I33" s="2"/>
      <c r="J33" s="6">
        <f t="shared" si="23"/>
        <v>0</v>
      </c>
      <c r="K33" s="2"/>
      <c r="L33" s="7">
        <f t="shared" si="24"/>
        <v>-3856.17</v>
      </c>
      <c r="M33" s="2"/>
      <c r="N33" s="6">
        <f t="shared" si="25"/>
        <v>-1</v>
      </c>
      <c r="O33" s="11"/>
      <c r="P33" s="7">
        <v>37546.44</v>
      </c>
      <c r="Q33" s="2"/>
      <c r="R33" s="6">
        <f t="shared" si="26"/>
        <v>0.19764864771818136</v>
      </c>
      <c r="S33" s="2"/>
      <c r="T33" s="7">
        <v>54037.85</v>
      </c>
      <c r="U33" s="2"/>
      <c r="V33" s="6">
        <f t="shared" si="27"/>
        <v>0.22628551534179683</v>
      </c>
      <c r="W33" s="2"/>
      <c r="X33" s="7">
        <f t="shared" si="28"/>
        <v>-16491.409999999996</v>
      </c>
      <c r="Y33" s="2"/>
      <c r="Z33" s="6">
        <f t="shared" si="29"/>
        <v>-0.30518257110525304</v>
      </c>
    </row>
    <row r="34" spans="1:26" s="24" customFormat="1" hidden="1" outlineLevel="2" x14ac:dyDescent="0.3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2"/>
        <v>0</v>
      </c>
      <c r="G34" s="2"/>
      <c r="H34" s="7"/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2484.31</v>
      </c>
      <c r="Q34" s="2"/>
      <c r="R34" s="6">
        <f t="shared" si="26"/>
        <v>1.3077684915340978E-2</v>
      </c>
      <c r="S34" s="2"/>
      <c r="T34" s="7"/>
      <c r="U34" s="2"/>
      <c r="V34" s="6">
        <f t="shared" si="27"/>
        <v>0</v>
      </c>
      <c r="W34" s="2"/>
      <c r="X34" s="7">
        <f t="shared" si="28"/>
        <v>2484.31</v>
      </c>
      <c r="Y34" s="2"/>
      <c r="Z34" s="6">
        <f t="shared" si="29"/>
        <v>0</v>
      </c>
    </row>
    <row r="35" spans="1:26" s="24" customFormat="1" hidden="1" outlineLevel="2" x14ac:dyDescent="0.3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2"/>
        <v>0</v>
      </c>
      <c r="G35" s="2"/>
      <c r="H35" s="7">
        <v>180</v>
      </c>
      <c r="I35" s="2"/>
      <c r="J35" s="6">
        <f t="shared" si="23"/>
        <v>0</v>
      </c>
      <c r="K35" s="2"/>
      <c r="L35" s="7">
        <f t="shared" si="24"/>
        <v>-180</v>
      </c>
      <c r="M35" s="2"/>
      <c r="N35" s="6">
        <f t="shared" si="25"/>
        <v>-1</v>
      </c>
      <c r="O35" s="11"/>
      <c r="P35" s="7">
        <v>40119.120000000003</v>
      </c>
      <c r="Q35" s="2"/>
      <c r="R35" s="6">
        <f t="shared" si="26"/>
        <v>0.21119152216943721</v>
      </c>
      <c r="S35" s="2"/>
      <c r="T35" s="7">
        <v>25193.75</v>
      </c>
      <c r="U35" s="2"/>
      <c r="V35" s="6">
        <f t="shared" si="27"/>
        <v>0.10549976918294111</v>
      </c>
      <c r="W35" s="2"/>
      <c r="X35" s="7">
        <f t="shared" si="28"/>
        <v>14925.370000000003</v>
      </c>
      <c r="Y35" s="2"/>
      <c r="Z35" s="6">
        <f t="shared" si="29"/>
        <v>0.59242351773753421</v>
      </c>
    </row>
    <row r="36" spans="1:26" s="24" customFormat="1" hidden="1" outlineLevel="2" x14ac:dyDescent="0.3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2"/>
        <v>0</v>
      </c>
      <c r="G36" s="2"/>
      <c r="H36" s="7"/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>
        <v>1294.4100000000001</v>
      </c>
      <c r="Q36" s="2"/>
      <c r="R36" s="6">
        <f t="shared" si="26"/>
        <v>6.8139186056758285E-3</v>
      </c>
      <c r="S36" s="2"/>
      <c r="T36" s="7"/>
      <c r="U36" s="2"/>
      <c r="V36" s="6">
        <f t="shared" si="27"/>
        <v>0</v>
      </c>
      <c r="W36" s="2"/>
      <c r="X36" s="7">
        <f t="shared" si="28"/>
        <v>1294.4100000000001</v>
      </c>
      <c r="Y36" s="2"/>
      <c r="Z36" s="6">
        <f t="shared" si="29"/>
        <v>0</v>
      </c>
    </row>
    <row r="37" spans="1:26" s="24" customFormat="1" hidden="1" outlineLevel="2" x14ac:dyDescent="0.3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2"/>
        <v>0</v>
      </c>
      <c r="G37" s="2"/>
      <c r="H37" s="7"/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>
        <v>28126.86</v>
      </c>
      <c r="Q37" s="2"/>
      <c r="R37" s="6">
        <f t="shared" si="26"/>
        <v>0.14806292803148866</v>
      </c>
      <c r="S37" s="2"/>
      <c r="T37" s="7">
        <v>38043.46</v>
      </c>
      <c r="U37" s="2"/>
      <c r="V37" s="6">
        <f t="shared" si="27"/>
        <v>0.15930840978101524</v>
      </c>
      <c r="W37" s="2"/>
      <c r="X37" s="7">
        <f t="shared" si="28"/>
        <v>-9916.5999999999985</v>
      </c>
      <c r="Y37" s="2"/>
      <c r="Z37" s="6">
        <f t="shared" si="29"/>
        <v>-0.26066503940493319</v>
      </c>
    </row>
    <row r="38" spans="1:26" s="24" customFormat="1" hidden="1" outlineLevel="2" x14ac:dyDescent="0.3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2"/>
        <v>0</v>
      </c>
      <c r="G38" s="2"/>
      <c r="H38" s="7"/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>
        <v>2597.64</v>
      </c>
      <c r="Q38" s="2"/>
      <c r="R38" s="6">
        <f t="shared" si="26"/>
        <v>1.367426667504713E-2</v>
      </c>
      <c r="S38" s="2"/>
      <c r="T38" s="7">
        <v>8872.4500000000007</v>
      </c>
      <c r="U38" s="2"/>
      <c r="V38" s="6">
        <f t="shared" si="27"/>
        <v>3.7153715786144813E-2</v>
      </c>
      <c r="W38" s="2"/>
      <c r="X38" s="7">
        <f t="shared" si="28"/>
        <v>-6274.8100000000013</v>
      </c>
      <c r="Y38" s="2"/>
      <c r="Z38" s="6">
        <f t="shared" si="29"/>
        <v>-0.7072240474727951</v>
      </c>
    </row>
    <row r="39" spans="1:26" s="25" customFormat="1" outlineLevel="1" collapsed="1" x14ac:dyDescent="0.3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6" si="30">IF(D$12=0,0,D39/D$12)</f>
        <v>0</v>
      </c>
      <c r="G39" s="1"/>
      <c r="H39" s="1">
        <f>SUM(OSRRefH22_2x_0)</f>
        <v>182.5</v>
      </c>
      <c r="I39" s="1"/>
      <c r="J39" s="5">
        <f t="shared" ref="J39:J56" si="31">IF(H$12=0,0,H39/H$12)</f>
        <v>0</v>
      </c>
      <c r="K39" s="1"/>
      <c r="L39" s="1">
        <f t="shared" ref="L39:L56" si="32">+D39-H39</f>
        <v>-182.5</v>
      </c>
      <c r="M39" s="1"/>
      <c r="N39" s="5">
        <f t="shared" ref="N39:N56" si="33">IF(H39=0,0,L39/H39)</f>
        <v>-1</v>
      </c>
      <c r="O39" s="12"/>
      <c r="P39" s="1">
        <f>SUM(OSRRefP22_2x_0)</f>
        <v>3228.7</v>
      </c>
      <c r="Q39" s="1"/>
      <c r="R39" s="5">
        <f t="shared" ref="R39:R56" si="34">IF(P$12=0,0,P39/P$12)</f>
        <v>1.6996236897231592E-2</v>
      </c>
      <c r="S39" s="1"/>
      <c r="T39" s="1">
        <f>SUM(OSRRefT22_2x_0)</f>
        <v>2992.32</v>
      </c>
      <c r="U39" s="1"/>
      <c r="V39" s="5">
        <f t="shared" ref="V39:V56" si="35">IF(T$12=0,0,T39/T$12)</f>
        <v>1.2530451771629803E-2</v>
      </c>
      <c r="W39" s="1"/>
      <c r="X39" s="1">
        <f t="shared" ref="X39:X56" si="36">+P39-T39</f>
        <v>236.37999999999965</v>
      </c>
      <c r="Y39" s="1"/>
      <c r="Z39" s="5">
        <f t="shared" ref="Z39:Z56" si="37">IF(T39=0,0,X39/T39)</f>
        <v>7.8995561971981487E-2</v>
      </c>
    </row>
    <row r="40" spans="1:26" s="24" customFormat="1" hidden="1" outlineLevel="2" x14ac:dyDescent="0.35">
      <c r="A40" s="27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30"/>
        <v>0</v>
      </c>
      <c r="G40" s="2"/>
      <c r="H40" s="7">
        <v>182.5</v>
      </c>
      <c r="I40" s="2"/>
      <c r="J40" s="6">
        <f t="shared" si="31"/>
        <v>0</v>
      </c>
      <c r="K40" s="2"/>
      <c r="L40" s="7">
        <f t="shared" si="32"/>
        <v>-182.5</v>
      </c>
      <c r="M40" s="2"/>
      <c r="N40" s="6">
        <f t="shared" si="33"/>
        <v>-1</v>
      </c>
      <c r="O40" s="11"/>
      <c r="P40" s="7">
        <v>3228.7</v>
      </c>
      <c r="Q40" s="2"/>
      <c r="R40" s="6">
        <f t="shared" si="34"/>
        <v>1.6996236897231592E-2</v>
      </c>
      <c r="S40" s="2"/>
      <c r="T40" s="7">
        <v>2992.32</v>
      </c>
      <c r="U40" s="2"/>
      <c r="V40" s="6">
        <f t="shared" si="35"/>
        <v>1.2530451771629803E-2</v>
      </c>
      <c r="W40" s="2"/>
      <c r="X40" s="7">
        <f t="shared" si="36"/>
        <v>236.37999999999965</v>
      </c>
      <c r="Y40" s="2"/>
      <c r="Z40" s="6">
        <f t="shared" si="37"/>
        <v>7.8995561971981487E-2</v>
      </c>
    </row>
    <row r="41" spans="1:26" s="25" customFormat="1" outlineLevel="1" collapsed="1" x14ac:dyDescent="0.3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404.49</v>
      </c>
      <c r="I41" s="1"/>
      <c r="J41" s="5">
        <f t="shared" si="31"/>
        <v>0</v>
      </c>
      <c r="K41" s="1"/>
      <c r="L41" s="1">
        <f t="shared" si="32"/>
        <v>-404.49</v>
      </c>
      <c r="M41" s="1"/>
      <c r="N41" s="5">
        <f t="shared" si="33"/>
        <v>-1</v>
      </c>
      <c r="O41" s="12"/>
      <c r="P41" s="1">
        <f>SUM(OSRRefP22_3x_0)</f>
        <v>-42.37</v>
      </c>
      <c r="Q41" s="1"/>
      <c r="R41" s="5">
        <f t="shared" si="34"/>
        <v>-2.2304040553030709E-4</v>
      </c>
      <c r="S41" s="1"/>
      <c r="T41" s="1">
        <f>SUM(OSRRefT22_3x_0)</f>
        <v>512.79</v>
      </c>
      <c r="U41" s="1"/>
      <c r="V41" s="5">
        <f t="shared" si="35"/>
        <v>2.1473272791593299E-3</v>
      </c>
      <c r="W41" s="1"/>
      <c r="X41" s="1">
        <f t="shared" si="36"/>
        <v>-555.16</v>
      </c>
      <c r="Y41" s="1"/>
      <c r="Z41" s="5">
        <f t="shared" si="37"/>
        <v>-1.0826264162717683</v>
      </c>
    </row>
    <row r="42" spans="1:26" s="24" customFormat="1" hidden="1" outlineLevel="2" x14ac:dyDescent="0.35">
      <c r="A42" s="27"/>
      <c r="B42" s="11" t="str">
        <f>CONCATENATE("          ", "6272", " - ", "CASH (OVER/SHORT)")</f>
        <v xml:space="preserve">          6272 - CASH (OVER/SHORT)</v>
      </c>
      <c r="C42" s="11"/>
      <c r="D42" s="7"/>
      <c r="E42" s="2"/>
      <c r="F42" s="6">
        <f t="shared" si="30"/>
        <v>0</v>
      </c>
      <c r="G42" s="2"/>
      <c r="H42" s="7">
        <v>404.49</v>
      </c>
      <c r="I42" s="2"/>
      <c r="J42" s="6">
        <f t="shared" si="31"/>
        <v>0</v>
      </c>
      <c r="K42" s="2"/>
      <c r="L42" s="7">
        <f t="shared" si="32"/>
        <v>-404.49</v>
      </c>
      <c r="M42" s="2"/>
      <c r="N42" s="6">
        <f t="shared" si="33"/>
        <v>-1</v>
      </c>
      <c r="O42" s="11"/>
      <c r="P42" s="7">
        <v>-42.37</v>
      </c>
      <c r="Q42" s="2"/>
      <c r="R42" s="6">
        <f t="shared" si="34"/>
        <v>-2.2304040553030709E-4</v>
      </c>
      <c r="S42" s="2"/>
      <c r="T42" s="7">
        <v>512.79</v>
      </c>
      <c r="U42" s="2"/>
      <c r="V42" s="6">
        <f t="shared" si="35"/>
        <v>2.1473272791593299E-3</v>
      </c>
      <c r="W42" s="2"/>
      <c r="X42" s="7">
        <f t="shared" si="36"/>
        <v>-555.16</v>
      </c>
      <c r="Y42" s="2"/>
      <c r="Z42" s="6">
        <f t="shared" si="37"/>
        <v>-1.0826264162717683</v>
      </c>
    </row>
    <row r="43" spans="1:26" s="25" customFormat="1" outlineLevel="1" collapsed="1" x14ac:dyDescent="0.3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134.94</v>
      </c>
      <c r="I43" s="1"/>
      <c r="J43" s="5">
        <f t="shared" si="31"/>
        <v>0</v>
      </c>
      <c r="K43" s="1"/>
      <c r="L43" s="1">
        <f t="shared" si="32"/>
        <v>-134.94</v>
      </c>
      <c r="M43" s="1"/>
      <c r="N43" s="5">
        <f t="shared" si="33"/>
        <v>-1</v>
      </c>
      <c r="O43" s="12"/>
      <c r="P43" s="1">
        <f>SUM(OSRRefP22_4x_0)</f>
        <v>7084.51</v>
      </c>
      <c r="Q43" s="1"/>
      <c r="R43" s="5">
        <f t="shared" si="34"/>
        <v>3.7293650776103755E-2</v>
      </c>
      <c r="S43" s="1"/>
      <c r="T43" s="1">
        <f>SUM(OSRRefT22_4x_0)</f>
        <v>9380.76</v>
      </c>
      <c r="U43" s="1"/>
      <c r="V43" s="5">
        <f t="shared" si="35"/>
        <v>3.9282282897963448E-2</v>
      </c>
      <c r="W43" s="1"/>
      <c r="X43" s="1">
        <f t="shared" si="36"/>
        <v>-2296.25</v>
      </c>
      <c r="Y43" s="1"/>
      <c r="Z43" s="5">
        <f t="shared" si="37"/>
        <v>-0.24478293869579862</v>
      </c>
    </row>
    <row r="44" spans="1:26" s="24" customFormat="1" hidden="1" outlineLevel="2" x14ac:dyDescent="0.35">
      <c r="A44" s="27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30"/>
        <v>0</v>
      </c>
      <c r="G44" s="2"/>
      <c r="H44" s="7">
        <v>134.94</v>
      </c>
      <c r="I44" s="2"/>
      <c r="J44" s="6">
        <f t="shared" si="31"/>
        <v>0</v>
      </c>
      <c r="K44" s="2"/>
      <c r="L44" s="7">
        <f t="shared" si="32"/>
        <v>-134.94</v>
      </c>
      <c r="M44" s="2"/>
      <c r="N44" s="6">
        <f t="shared" si="33"/>
        <v>-1</v>
      </c>
      <c r="O44" s="11"/>
      <c r="P44" s="7">
        <v>7084.51</v>
      </c>
      <c r="Q44" s="2"/>
      <c r="R44" s="6">
        <f t="shared" si="34"/>
        <v>3.7293650776103755E-2</v>
      </c>
      <c r="S44" s="2"/>
      <c r="T44" s="7">
        <v>9380.76</v>
      </c>
      <c r="U44" s="2"/>
      <c r="V44" s="6">
        <f t="shared" si="35"/>
        <v>3.9282282897963448E-2</v>
      </c>
      <c r="W44" s="2"/>
      <c r="X44" s="7">
        <f t="shared" si="36"/>
        <v>-2296.25</v>
      </c>
      <c r="Y44" s="2"/>
      <c r="Z44" s="6">
        <f t="shared" si="37"/>
        <v>-0.24478293869579862</v>
      </c>
    </row>
    <row r="45" spans="1:26" s="25" customFormat="1" outlineLevel="1" collapsed="1" x14ac:dyDescent="0.3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119.53</v>
      </c>
      <c r="E45" s="1"/>
      <c r="F45" s="5">
        <f t="shared" si="30"/>
        <v>0</v>
      </c>
      <c r="G45" s="1"/>
      <c r="H45" s="1">
        <f>SUM(OSRRefH22_5x_0)</f>
        <v>2776.02</v>
      </c>
      <c r="I45" s="1"/>
      <c r="J45" s="5">
        <f t="shared" si="31"/>
        <v>0</v>
      </c>
      <c r="K45" s="1"/>
      <c r="L45" s="1">
        <f t="shared" si="32"/>
        <v>-2656.49</v>
      </c>
      <c r="M45" s="1"/>
      <c r="N45" s="5">
        <f t="shared" si="33"/>
        <v>-0.95694195286777461</v>
      </c>
      <c r="O45" s="12"/>
      <c r="P45" s="1">
        <f>SUM(OSRRefP22_5x_0)</f>
        <v>25336.48</v>
      </c>
      <c r="Q45" s="1"/>
      <c r="R45" s="5">
        <f t="shared" si="34"/>
        <v>0.13337405650013018</v>
      </c>
      <c r="S45" s="1"/>
      <c r="T45" s="1">
        <f>SUM(OSRRefT22_5x_0)</f>
        <v>33312.129999999997</v>
      </c>
      <c r="U45" s="1"/>
      <c r="V45" s="5">
        <f t="shared" si="35"/>
        <v>0.13949578867743501</v>
      </c>
      <c r="W45" s="1"/>
      <c r="X45" s="1">
        <f t="shared" si="36"/>
        <v>-7975.6499999999978</v>
      </c>
      <c r="Y45" s="1"/>
      <c r="Z45" s="5">
        <f t="shared" si="37"/>
        <v>-0.23942179620456569</v>
      </c>
    </row>
    <row r="46" spans="1:26" s="24" customFormat="1" hidden="1" outlineLevel="2" x14ac:dyDescent="0.3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119.53</v>
      </c>
      <c r="E46" s="2"/>
      <c r="F46" s="6">
        <f t="shared" si="30"/>
        <v>0</v>
      </c>
      <c r="G46" s="2"/>
      <c r="H46" s="7">
        <v>2776.02</v>
      </c>
      <c r="I46" s="2"/>
      <c r="J46" s="6">
        <f t="shared" si="31"/>
        <v>0</v>
      </c>
      <c r="K46" s="2"/>
      <c r="L46" s="7">
        <f t="shared" si="32"/>
        <v>-2656.49</v>
      </c>
      <c r="M46" s="2"/>
      <c r="N46" s="6">
        <f t="shared" si="33"/>
        <v>-0.95694195286777461</v>
      </c>
      <c r="O46" s="11"/>
      <c r="P46" s="7">
        <v>25336.48</v>
      </c>
      <c r="Q46" s="2"/>
      <c r="R46" s="6">
        <f t="shared" si="34"/>
        <v>0.13337405650013018</v>
      </c>
      <c r="S46" s="2"/>
      <c r="T46" s="7">
        <v>33312.129999999997</v>
      </c>
      <c r="U46" s="2"/>
      <c r="V46" s="6">
        <f t="shared" si="35"/>
        <v>0.13949578867743501</v>
      </c>
      <c r="W46" s="2"/>
      <c r="X46" s="7">
        <f t="shared" si="36"/>
        <v>-7975.6499999999978</v>
      </c>
      <c r="Y46" s="2"/>
      <c r="Z46" s="6">
        <f t="shared" si="37"/>
        <v>-0.23942179620456569</v>
      </c>
    </row>
    <row r="47" spans="1:26" s="25" customFormat="1" outlineLevel="1" collapsed="1" x14ac:dyDescent="0.35">
      <c r="A47" s="26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0"/>
        <v>0</v>
      </c>
      <c r="G47" s="1"/>
      <c r="H47" s="1">
        <f>SUM(OSRRefH22_6x_0)</f>
        <v>24.85</v>
      </c>
      <c r="I47" s="1"/>
      <c r="J47" s="5">
        <f t="shared" si="31"/>
        <v>0</v>
      </c>
      <c r="K47" s="1"/>
      <c r="L47" s="1">
        <f t="shared" si="32"/>
        <v>-24.85</v>
      </c>
      <c r="M47" s="1"/>
      <c r="N47" s="5">
        <f t="shared" si="33"/>
        <v>-1</v>
      </c>
      <c r="O47" s="12"/>
      <c r="P47" s="1">
        <f>SUM(OSRRefP22_6x_0)</f>
        <v>107.51</v>
      </c>
      <c r="Q47" s="1"/>
      <c r="R47" s="5">
        <f t="shared" si="34"/>
        <v>5.6594463060097517E-4</v>
      </c>
      <c r="S47" s="1"/>
      <c r="T47" s="1">
        <f>SUM(OSRRefT22_6x_0)</f>
        <v>133.54</v>
      </c>
      <c r="U47" s="1"/>
      <c r="V47" s="5">
        <f t="shared" si="35"/>
        <v>5.5920373809734386E-4</v>
      </c>
      <c r="W47" s="1"/>
      <c r="X47" s="1">
        <f t="shared" si="36"/>
        <v>-26.029999999999987</v>
      </c>
      <c r="Y47" s="1"/>
      <c r="Z47" s="5">
        <f t="shared" si="37"/>
        <v>-0.19492286955219401</v>
      </c>
    </row>
    <row r="48" spans="1:26" s="24" customFormat="1" hidden="1" outlineLevel="2" x14ac:dyDescent="0.35">
      <c r="A48" s="27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0"/>
        <v>0</v>
      </c>
      <c r="G48" s="2"/>
      <c r="H48" s="7">
        <v>24.85</v>
      </c>
      <c r="I48" s="2"/>
      <c r="J48" s="6">
        <f t="shared" si="31"/>
        <v>0</v>
      </c>
      <c r="K48" s="2"/>
      <c r="L48" s="7">
        <f t="shared" si="32"/>
        <v>-24.85</v>
      </c>
      <c r="M48" s="2"/>
      <c r="N48" s="6">
        <f t="shared" si="33"/>
        <v>-1</v>
      </c>
      <c r="O48" s="11"/>
      <c r="P48" s="7">
        <v>107.51</v>
      </c>
      <c r="Q48" s="2"/>
      <c r="R48" s="6">
        <f t="shared" si="34"/>
        <v>5.6594463060097517E-4</v>
      </c>
      <c r="S48" s="2"/>
      <c r="T48" s="7">
        <v>133.54</v>
      </c>
      <c r="U48" s="2"/>
      <c r="V48" s="6">
        <f t="shared" si="35"/>
        <v>5.5920373809734386E-4</v>
      </c>
      <c r="W48" s="2"/>
      <c r="X48" s="7">
        <f t="shared" si="36"/>
        <v>-26.029999999999987</v>
      </c>
      <c r="Y48" s="2"/>
      <c r="Z48" s="6">
        <f t="shared" si="37"/>
        <v>-0.19492286955219401</v>
      </c>
    </row>
    <row r="49" spans="1:26" s="25" customFormat="1" outlineLevel="1" collapsed="1" x14ac:dyDescent="0.35">
      <c r="A49" s="26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64.02</v>
      </c>
      <c r="E49" s="1"/>
      <c r="F49" s="5">
        <f t="shared" si="30"/>
        <v>0</v>
      </c>
      <c r="G49" s="1"/>
      <c r="H49" s="1">
        <f>SUM(OSRRefH22_7x_0)</f>
        <v>0</v>
      </c>
      <c r="I49" s="1"/>
      <c r="J49" s="5">
        <f t="shared" si="31"/>
        <v>0</v>
      </c>
      <c r="K49" s="1"/>
      <c r="L49" s="1">
        <f t="shared" si="32"/>
        <v>64.02</v>
      </c>
      <c r="M49" s="1"/>
      <c r="N49" s="5">
        <f t="shared" si="33"/>
        <v>0</v>
      </c>
      <c r="O49" s="12"/>
      <c r="P49" s="1">
        <f>SUM(OSRRefP22_7x_0)</f>
        <v>1712.78</v>
      </c>
      <c r="Q49" s="1"/>
      <c r="R49" s="5">
        <f t="shared" si="34"/>
        <v>9.0162649465234685E-3</v>
      </c>
      <c r="S49" s="1"/>
      <c r="T49" s="1">
        <f>SUM(OSRRefT22_7x_0)</f>
        <v>0</v>
      </c>
      <c r="U49" s="1"/>
      <c r="V49" s="5">
        <f t="shared" si="35"/>
        <v>0</v>
      </c>
      <c r="W49" s="1"/>
      <c r="X49" s="1">
        <f t="shared" si="36"/>
        <v>1712.78</v>
      </c>
      <c r="Y49" s="1"/>
      <c r="Z49" s="5">
        <f t="shared" si="37"/>
        <v>0</v>
      </c>
    </row>
    <row r="50" spans="1:26" s="24" customFormat="1" hidden="1" outlineLevel="2" x14ac:dyDescent="0.35">
      <c r="A50" s="27"/>
      <c r="B50" s="11" t="str">
        <f>CONCATENATE("          ", "6351", " - ", "EQUIPMENT RENTAL")</f>
        <v xml:space="preserve">          6351 - EQUIPMENT RENTAL</v>
      </c>
      <c r="C50" s="11"/>
      <c r="D50" s="7">
        <v>64.02</v>
      </c>
      <c r="E50" s="2"/>
      <c r="F50" s="6">
        <f t="shared" si="30"/>
        <v>0</v>
      </c>
      <c r="G50" s="2"/>
      <c r="H50" s="7"/>
      <c r="I50" s="2"/>
      <c r="J50" s="6">
        <f t="shared" si="31"/>
        <v>0</v>
      </c>
      <c r="K50" s="2"/>
      <c r="L50" s="7">
        <f t="shared" si="32"/>
        <v>64.02</v>
      </c>
      <c r="M50" s="2"/>
      <c r="N50" s="6">
        <f t="shared" si="33"/>
        <v>0</v>
      </c>
      <c r="O50" s="11"/>
      <c r="P50" s="7">
        <v>1712.78</v>
      </c>
      <c r="Q50" s="2"/>
      <c r="R50" s="6">
        <f t="shared" si="34"/>
        <v>9.0162649465234685E-3</v>
      </c>
      <c r="S50" s="2"/>
      <c r="T50" s="7"/>
      <c r="U50" s="2"/>
      <c r="V50" s="6">
        <f t="shared" si="35"/>
        <v>0</v>
      </c>
      <c r="W50" s="2"/>
      <c r="X50" s="7">
        <f t="shared" si="36"/>
        <v>1712.78</v>
      </c>
      <c r="Y50" s="2"/>
      <c r="Z50" s="6">
        <f t="shared" si="37"/>
        <v>0</v>
      </c>
    </row>
    <row r="51" spans="1:26" s="25" customFormat="1" outlineLevel="1" collapsed="1" x14ac:dyDescent="0.35">
      <c r="A51" s="26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0"/>
        <v>0</v>
      </c>
      <c r="G51" s="1"/>
      <c r="H51" s="1">
        <f>SUM(OSRRefH22_8x_0)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2"/>
      <c r="P51" s="1">
        <f>SUM(OSRRefP22_8x_0)</f>
        <v>768.15</v>
      </c>
      <c r="Q51" s="1"/>
      <c r="R51" s="5">
        <f t="shared" si="34"/>
        <v>4.0436272718457726E-3</v>
      </c>
      <c r="S51" s="1"/>
      <c r="T51" s="1">
        <f>SUM(OSRRefT22_8x_0)</f>
        <v>769.2</v>
      </c>
      <c r="U51" s="1"/>
      <c r="V51" s="5">
        <f t="shared" si="35"/>
        <v>3.221053731799288E-3</v>
      </c>
      <c r="W51" s="1"/>
      <c r="X51" s="1">
        <f t="shared" si="36"/>
        <v>-1.0500000000000682</v>
      </c>
      <c r="Y51" s="1"/>
      <c r="Z51" s="5">
        <f t="shared" si="37"/>
        <v>-1.3650546021841759E-3</v>
      </c>
    </row>
    <row r="52" spans="1:26" s="24" customFormat="1" hidden="1" outlineLevel="2" x14ac:dyDescent="0.35">
      <c r="A52" s="27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>
        <v>768.15</v>
      </c>
      <c r="Q52" s="2"/>
      <c r="R52" s="6">
        <f t="shared" si="34"/>
        <v>4.0436272718457726E-3</v>
      </c>
      <c r="S52" s="2"/>
      <c r="T52" s="7">
        <v>769.2</v>
      </c>
      <c r="U52" s="2"/>
      <c r="V52" s="6">
        <f t="shared" si="35"/>
        <v>3.221053731799288E-3</v>
      </c>
      <c r="W52" s="2"/>
      <c r="X52" s="7">
        <f t="shared" si="36"/>
        <v>-1.0500000000000682</v>
      </c>
      <c r="Y52" s="2"/>
      <c r="Z52" s="6">
        <f t="shared" si="37"/>
        <v>-1.3650546021841759E-3</v>
      </c>
    </row>
    <row r="53" spans="1:26" s="25" customFormat="1" outlineLevel="1" collapsed="1" x14ac:dyDescent="0.35">
      <c r="A53" s="26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69.290000000000006</v>
      </c>
      <c r="E53" s="1"/>
      <c r="F53" s="5">
        <f t="shared" si="30"/>
        <v>0</v>
      </c>
      <c r="G53" s="1"/>
      <c r="H53" s="1">
        <f>SUM(OSRRefH22_9x_0)</f>
        <v>65.989999999999995</v>
      </c>
      <c r="I53" s="1"/>
      <c r="J53" s="5">
        <f t="shared" si="31"/>
        <v>0</v>
      </c>
      <c r="K53" s="1"/>
      <c r="L53" s="1">
        <f t="shared" si="32"/>
        <v>3.3000000000000114</v>
      </c>
      <c r="M53" s="1"/>
      <c r="N53" s="5">
        <f t="shared" si="33"/>
        <v>5.0007576905591933E-2</v>
      </c>
      <c r="O53" s="12"/>
      <c r="P53" s="1">
        <f>SUM(OSRRefP22_9x_0)</f>
        <v>5563.88</v>
      </c>
      <c r="Q53" s="1"/>
      <c r="R53" s="5">
        <f t="shared" si="34"/>
        <v>2.9288884860088862E-2</v>
      </c>
      <c r="S53" s="1"/>
      <c r="T53" s="1">
        <f>SUM(OSRRefT22_9x_0)</f>
        <v>4842.8999999999996</v>
      </c>
      <c r="U53" s="1"/>
      <c r="V53" s="5">
        <f t="shared" si="35"/>
        <v>2.0279824646035841E-2</v>
      </c>
      <c r="W53" s="1"/>
      <c r="X53" s="1">
        <f t="shared" si="36"/>
        <v>720.98000000000047</v>
      </c>
      <c r="Y53" s="1"/>
      <c r="Z53" s="5">
        <f t="shared" si="37"/>
        <v>0.14887360878812292</v>
      </c>
    </row>
    <row r="54" spans="1:26" s="24" customFormat="1" hidden="1" outlineLevel="2" x14ac:dyDescent="0.3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>
        <v>2186.54</v>
      </c>
      <c r="Q54" s="2"/>
      <c r="R54" s="6">
        <f t="shared" si="34"/>
        <v>1.1510190425023312E-2</v>
      </c>
      <c r="S54" s="2"/>
      <c r="T54" s="7"/>
      <c r="U54" s="2"/>
      <c r="V54" s="6">
        <f t="shared" si="35"/>
        <v>0</v>
      </c>
      <c r="W54" s="2"/>
      <c r="X54" s="7">
        <f t="shared" si="36"/>
        <v>2186.54</v>
      </c>
      <c r="Y54" s="2"/>
      <c r="Z54" s="6">
        <f t="shared" si="37"/>
        <v>0</v>
      </c>
    </row>
    <row r="55" spans="1:26" s="24" customFormat="1" hidden="1" outlineLevel="2" x14ac:dyDescent="0.35">
      <c r="A55" s="27"/>
      <c r="B55" s="11" t="str">
        <f>CONCATENATE("          ", "6373", " - ", "MAINTENANCE CONTRACTS")</f>
        <v xml:space="preserve">          6373 - MAINTENANCE CONTRACTS</v>
      </c>
      <c r="C55" s="11"/>
      <c r="D55" s="7">
        <v>69.290000000000006</v>
      </c>
      <c r="E55" s="2"/>
      <c r="F55" s="6">
        <f t="shared" si="30"/>
        <v>0</v>
      </c>
      <c r="G55" s="2"/>
      <c r="H55" s="7">
        <v>65.989999999999995</v>
      </c>
      <c r="I55" s="2"/>
      <c r="J55" s="6">
        <f t="shared" si="31"/>
        <v>0</v>
      </c>
      <c r="K55" s="2"/>
      <c r="L55" s="7">
        <f t="shared" si="32"/>
        <v>3.3000000000000114</v>
      </c>
      <c r="M55" s="2"/>
      <c r="N55" s="6">
        <f t="shared" si="33"/>
        <v>5.0007576905591933E-2</v>
      </c>
      <c r="O55" s="11"/>
      <c r="P55" s="7">
        <v>978.86</v>
      </c>
      <c r="Q55" s="2"/>
      <c r="R55" s="6">
        <f t="shared" si="34"/>
        <v>5.1528282123529954E-3</v>
      </c>
      <c r="S55" s="2"/>
      <c r="T55" s="7">
        <v>663.96</v>
      </c>
      <c r="U55" s="2"/>
      <c r="V55" s="6">
        <f t="shared" si="35"/>
        <v>2.7803573007871233E-3</v>
      </c>
      <c r="W55" s="2"/>
      <c r="X55" s="7">
        <f t="shared" si="36"/>
        <v>314.89999999999998</v>
      </c>
      <c r="Y55" s="2"/>
      <c r="Z55" s="6">
        <f t="shared" si="37"/>
        <v>0.47427555876860045</v>
      </c>
    </row>
    <row r="56" spans="1:26" s="24" customFormat="1" hidden="1" outlineLevel="2" x14ac:dyDescent="0.3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>
        <v>2398.48</v>
      </c>
      <c r="Q56" s="2"/>
      <c r="R56" s="6">
        <f t="shared" si="34"/>
        <v>1.2625866222712556E-2</v>
      </c>
      <c r="S56" s="2"/>
      <c r="T56" s="7">
        <v>4178.9399999999996</v>
      </c>
      <c r="U56" s="2"/>
      <c r="V56" s="6">
        <f t="shared" si="35"/>
        <v>1.749946734524872E-2</v>
      </c>
      <c r="W56" s="2"/>
      <c r="X56" s="7">
        <f t="shared" si="36"/>
        <v>-1780.4599999999996</v>
      </c>
      <c r="Y56" s="2"/>
      <c r="Z56" s="6">
        <f t="shared" si="37"/>
        <v>-0.42605541118082568</v>
      </c>
    </row>
    <row r="57" spans="1:26" s="25" customFormat="1" outlineLevel="1" collapsed="1" x14ac:dyDescent="0.35">
      <c r="A57" s="26"/>
      <c r="B57" s="12" t="str">
        <f>CONCATENATE("     ","Services                                          ")</f>
        <v xml:space="preserve">     Services                                          </v>
      </c>
      <c r="C57" s="12"/>
      <c r="D57" s="1">
        <f>SUM(OSRRefD22_10x_0)</f>
        <v>0</v>
      </c>
      <c r="E57" s="1"/>
      <c r="F57" s="5">
        <f t="shared" ref="F57:F59" si="38">IF(D$12=0,0,D57/D$12)</f>
        <v>0</v>
      </c>
      <c r="G57" s="1"/>
      <c r="H57" s="1">
        <f>SUM(OSRRefH22_10x_0)</f>
        <v>0</v>
      </c>
      <c r="I57" s="1"/>
      <c r="J57" s="5">
        <f t="shared" ref="J57:J59" si="39">IF(H$12=0,0,H57/H$12)</f>
        <v>0</v>
      </c>
      <c r="K57" s="1"/>
      <c r="L57" s="1">
        <f t="shared" ref="L57:L59" si="40">+D57-H57</f>
        <v>0</v>
      </c>
      <c r="M57" s="1"/>
      <c r="N57" s="5">
        <f t="shared" ref="N57:N59" si="41">IF(H57=0,0,L57/H57)</f>
        <v>0</v>
      </c>
      <c r="O57" s="12"/>
      <c r="P57" s="1">
        <f>SUM(OSRRefP22_10x_0)</f>
        <v>1739.62</v>
      </c>
      <c r="Q57" s="1"/>
      <c r="R57" s="5">
        <f t="shared" ref="R57:R59" si="42">IF(P$12=0,0,P57/P$12)</f>
        <v>9.1575536999913346E-3</v>
      </c>
      <c r="S57" s="1"/>
      <c r="T57" s="1">
        <f>SUM(OSRRefT22_10x_0)</f>
        <v>1981.58</v>
      </c>
      <c r="U57" s="1"/>
      <c r="V57" s="5">
        <f t="shared" ref="V57:V59" si="43">IF(T$12=0,0,T57/T$12)</f>
        <v>8.2979402676271862E-3</v>
      </c>
      <c r="W57" s="1"/>
      <c r="X57" s="1">
        <f t="shared" ref="X57:X59" si="44">+P57-T57</f>
        <v>-241.96000000000004</v>
      </c>
      <c r="Y57" s="1"/>
      <c r="Z57" s="5">
        <f t="shared" ref="Z57:Z59" si="45">IF(T57=0,0,X57/T57)</f>
        <v>-0.12210458321137681</v>
      </c>
    </row>
    <row r="58" spans="1:26" s="24" customFormat="1" hidden="1" outlineLevel="2" x14ac:dyDescent="0.35">
      <c r="A58" s="27"/>
      <c r="B58" s="11" t="str">
        <f>CONCATENATE("          ", "6285", " - ", "JANITORIAL SERVICES")</f>
        <v xml:space="preserve">          6285 - JANITORIAL SERVICES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1305.25</v>
      </c>
      <c r="Q58" s="2"/>
      <c r="R58" s="6">
        <f t="shared" si="42"/>
        <v>6.8709815746621043E-3</v>
      </c>
      <c r="S58" s="2"/>
      <c r="T58" s="7">
        <v>1256</v>
      </c>
      <c r="U58" s="2"/>
      <c r="V58" s="6">
        <f t="shared" si="43"/>
        <v>5.2595469151584832E-3</v>
      </c>
      <c r="W58" s="2"/>
      <c r="X58" s="7">
        <f t="shared" si="44"/>
        <v>49.25</v>
      </c>
      <c r="Y58" s="2"/>
      <c r="Z58" s="6">
        <f t="shared" si="45"/>
        <v>3.9211783439490444E-2</v>
      </c>
    </row>
    <row r="59" spans="1:26" s="24" customFormat="1" hidden="1" outlineLevel="2" x14ac:dyDescent="0.35">
      <c r="A59" s="27"/>
      <c r="B59" s="11" t="str">
        <f>CONCATENATE("          ", "6286", " - ", "LAUNDRY EXPENSE")</f>
        <v xml:space="preserve">          6286 - LAUNDRY EXPENSE</v>
      </c>
      <c r="C59" s="11"/>
      <c r="D59" s="7"/>
      <c r="E59" s="2"/>
      <c r="F59" s="6">
        <f t="shared" si="38"/>
        <v>0</v>
      </c>
      <c r="G59" s="2"/>
      <c r="H59" s="7"/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>
        <v>434.37</v>
      </c>
      <c r="Q59" s="2"/>
      <c r="R59" s="6">
        <f t="shared" si="42"/>
        <v>2.2865721253292307E-3</v>
      </c>
      <c r="S59" s="2"/>
      <c r="T59" s="7">
        <v>725.58</v>
      </c>
      <c r="U59" s="2"/>
      <c r="V59" s="6">
        <f t="shared" si="43"/>
        <v>3.0383933524687043E-3</v>
      </c>
      <c r="W59" s="2"/>
      <c r="X59" s="7">
        <f t="shared" si="44"/>
        <v>-291.21000000000004</v>
      </c>
      <c r="Y59" s="2"/>
      <c r="Z59" s="6">
        <f t="shared" si="45"/>
        <v>-0.40134788720747544</v>
      </c>
    </row>
    <row r="60" spans="1:26" s="25" customFormat="1" outlineLevel="1" collapsed="1" x14ac:dyDescent="0.35">
      <c r="A60" s="26"/>
      <c r="B60" s="12" t="str">
        <f>CONCATENATE("     ","Supplies                                          ")</f>
        <v xml:space="preserve">     Supplies                                          </v>
      </c>
      <c r="C60" s="12"/>
      <c r="D60" s="1">
        <f>SUM(OSRRefD22_11x_0)</f>
        <v>0</v>
      </c>
      <c r="E60" s="1"/>
      <c r="F60" s="5">
        <f t="shared" ref="F60:F66" si="46">IF(D$12=0,0,D60/D$12)</f>
        <v>0</v>
      </c>
      <c r="G60" s="1"/>
      <c r="H60" s="1">
        <f>SUM(OSRRefH22_11x_0)</f>
        <v>0</v>
      </c>
      <c r="I60" s="1"/>
      <c r="J60" s="5">
        <f t="shared" ref="J60:J66" si="47">IF(H$12=0,0,H60/H$12)</f>
        <v>0</v>
      </c>
      <c r="K60" s="1"/>
      <c r="L60" s="1">
        <f t="shared" ref="L60:L66" si="48">+D60-H60</f>
        <v>0</v>
      </c>
      <c r="M60" s="1"/>
      <c r="N60" s="5">
        <f t="shared" ref="N60:N66" si="49">IF(H60=0,0,L60/H60)</f>
        <v>0</v>
      </c>
      <c r="O60" s="12"/>
      <c r="P60" s="1">
        <f>SUM(OSRRefP22_11x_0)</f>
        <v>6296.61</v>
      </c>
      <c r="Q60" s="1"/>
      <c r="R60" s="5">
        <f t="shared" ref="R60:R66" si="50">IF(P$12=0,0,P60/P$12)</f>
        <v>3.3146057301538516E-2</v>
      </c>
      <c r="S60" s="1"/>
      <c r="T60" s="1">
        <f>SUM(OSRRefT22_11x_0)</f>
        <v>4164.1000000000004</v>
      </c>
      <c r="U60" s="1"/>
      <c r="V60" s="5">
        <f t="shared" ref="V60:V66" si="51">IF(T$12=0,0,T60/T$12)</f>
        <v>1.7437324290932678E-2</v>
      </c>
      <c r="W60" s="1"/>
      <c r="X60" s="1">
        <f t="shared" ref="X60:X66" si="52">+P60-T60</f>
        <v>2132.5099999999993</v>
      </c>
      <c r="Y60" s="1"/>
      <c r="Z60" s="5">
        <f t="shared" ref="Z60:Z66" si="53">IF(T60=0,0,X60/T60)</f>
        <v>0.51211786460459618</v>
      </c>
    </row>
    <row r="61" spans="1:26" s="24" customFormat="1" hidden="1" outlineLevel="2" x14ac:dyDescent="0.35">
      <c r="A61" s="27"/>
      <c r="B61" s="11" t="str">
        <f>CONCATENATE("          ", "6237", " - ", "JANITORIAL SUPPLIES")</f>
        <v xml:space="preserve">          6237 - JANITORIAL SUPPLIES</v>
      </c>
      <c r="C61" s="11"/>
      <c r="D61" s="7"/>
      <c r="E61" s="2"/>
      <c r="F61" s="6">
        <f t="shared" si="46"/>
        <v>0</v>
      </c>
      <c r="G61" s="2"/>
      <c r="H61" s="7"/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>
        <v>10.95</v>
      </c>
      <c r="Q61" s="2"/>
      <c r="R61" s="6">
        <f t="shared" si="50"/>
        <v>5.7642021254587271E-5</v>
      </c>
      <c r="S61" s="2"/>
      <c r="T61" s="7">
        <v>11.08</v>
      </c>
      <c r="U61" s="2"/>
      <c r="V61" s="6">
        <f t="shared" si="51"/>
        <v>4.6397913869391717E-5</v>
      </c>
      <c r="W61" s="2"/>
      <c r="X61" s="7">
        <f t="shared" si="52"/>
        <v>-0.13000000000000078</v>
      </c>
      <c r="Y61" s="2"/>
      <c r="Z61" s="6">
        <f t="shared" si="53"/>
        <v>-1.1732851985559638E-2</v>
      </c>
    </row>
    <row r="62" spans="1:26" s="24" customFormat="1" hidden="1" outlineLevel="2" x14ac:dyDescent="0.35">
      <c r="A62" s="27"/>
      <c r="B62" s="11" t="str">
        <f>CONCATENATE("          ", "6239", " - ", "KITCHEN SUPPLIES")</f>
        <v xml:space="preserve">          6239 - KITCHEN SUPPLIES</v>
      </c>
      <c r="C62" s="11"/>
      <c r="D62" s="7"/>
      <c r="E62" s="2"/>
      <c r="F62" s="6">
        <f t="shared" si="46"/>
        <v>0</v>
      </c>
      <c r="G62" s="2"/>
      <c r="H62" s="7"/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>
        <v>2898.22</v>
      </c>
      <c r="Q62" s="2"/>
      <c r="R62" s="6">
        <f t="shared" si="50"/>
        <v>1.5256553318764375E-2</v>
      </c>
      <c r="S62" s="2"/>
      <c r="T62" s="7">
        <v>61.49</v>
      </c>
      <c r="U62" s="2"/>
      <c r="V62" s="6">
        <f t="shared" si="51"/>
        <v>2.5749167182571267E-4</v>
      </c>
      <c r="W62" s="2"/>
      <c r="X62" s="7">
        <f t="shared" si="52"/>
        <v>2836.73</v>
      </c>
      <c r="Y62" s="2"/>
      <c r="Z62" s="6">
        <f t="shared" si="53"/>
        <v>46.133192389006339</v>
      </c>
    </row>
    <row r="63" spans="1:26" s="24" customFormat="1" hidden="1" outlineLevel="2" x14ac:dyDescent="0.35">
      <c r="A63" s="27"/>
      <c r="B63" s="11" t="str">
        <f>CONCATENATE("          ", "6241", " - ", "OFFICE EXPENSE")</f>
        <v xml:space="preserve">          6241 - OFFICE EXPENSE</v>
      </c>
      <c r="C63" s="11"/>
      <c r="D63" s="7"/>
      <c r="E63" s="2"/>
      <c r="F63" s="6">
        <f t="shared" si="46"/>
        <v>0</v>
      </c>
      <c r="G63" s="2"/>
      <c r="H63" s="7"/>
      <c r="I63" s="2"/>
      <c r="J63" s="6">
        <f t="shared" si="47"/>
        <v>0</v>
      </c>
      <c r="K63" s="2"/>
      <c r="L63" s="7">
        <f t="shared" si="48"/>
        <v>0</v>
      </c>
      <c r="M63" s="2"/>
      <c r="N63" s="6">
        <f t="shared" si="49"/>
        <v>0</v>
      </c>
      <c r="O63" s="11"/>
      <c r="P63" s="7">
        <v>788.91</v>
      </c>
      <c r="Q63" s="2"/>
      <c r="R63" s="6">
        <f t="shared" si="50"/>
        <v>4.1529102272106341E-3</v>
      </c>
      <c r="S63" s="2"/>
      <c r="T63" s="7">
        <v>318.02999999999997</v>
      </c>
      <c r="U63" s="2"/>
      <c r="V63" s="6">
        <f t="shared" si="51"/>
        <v>1.3317625043215385E-3</v>
      </c>
      <c r="W63" s="2"/>
      <c r="X63" s="7">
        <f t="shared" si="52"/>
        <v>470.88</v>
      </c>
      <c r="Y63" s="2"/>
      <c r="Z63" s="6">
        <f t="shared" si="53"/>
        <v>1.4806150363173287</v>
      </c>
    </row>
    <row r="64" spans="1:26" s="24" customFormat="1" hidden="1" outlineLevel="2" x14ac:dyDescent="0.35">
      <c r="A64" s="27"/>
      <c r="B64" s="11" t="str">
        <f>CONCATENATE("          ", "6243", " - ", "PAPER SUPPLIES")</f>
        <v xml:space="preserve">          6243 - PAPER SUPPLIES</v>
      </c>
      <c r="C64" s="11"/>
      <c r="D64" s="7"/>
      <c r="E64" s="2"/>
      <c r="F64" s="6">
        <f t="shared" si="46"/>
        <v>0</v>
      </c>
      <c r="G64" s="2"/>
      <c r="H64" s="7"/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>
        <v>1858.86</v>
      </c>
      <c r="Q64" s="2"/>
      <c r="R64" s="6">
        <f t="shared" si="50"/>
        <v>9.7852463588403733E-3</v>
      </c>
      <c r="S64" s="2"/>
      <c r="T64" s="7">
        <v>2263.17</v>
      </c>
      <c r="U64" s="2"/>
      <c r="V64" s="6">
        <f t="shared" si="51"/>
        <v>9.477108910811485E-3</v>
      </c>
      <c r="W64" s="2"/>
      <c r="X64" s="7">
        <f t="shared" si="52"/>
        <v>-404.31000000000017</v>
      </c>
      <c r="Y64" s="2"/>
      <c r="Z64" s="6">
        <f t="shared" si="53"/>
        <v>-0.17864764909397005</v>
      </c>
    </row>
    <row r="65" spans="1:26" s="24" customFormat="1" hidden="1" outlineLevel="2" x14ac:dyDescent="0.35">
      <c r="A65" s="27"/>
      <c r="B65" s="11" t="str">
        <f>CONCATENATE("          ", "6247", " - ", "STORE SUPPLIES")</f>
        <v xml:space="preserve">          6247 - STORE SUPPLIES</v>
      </c>
      <c r="C65" s="11"/>
      <c r="D65" s="7"/>
      <c r="E65" s="2"/>
      <c r="F65" s="6">
        <f t="shared" si="46"/>
        <v>0</v>
      </c>
      <c r="G65" s="2"/>
      <c r="H65" s="7"/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>
        <v>102.64</v>
      </c>
      <c r="Q65" s="2"/>
      <c r="R65" s="6">
        <f t="shared" si="50"/>
        <v>5.4030840744939159E-4</v>
      </c>
      <c r="S65" s="2"/>
      <c r="T65" s="7">
        <v>771.1</v>
      </c>
      <c r="U65" s="2"/>
      <c r="V65" s="6">
        <f t="shared" si="51"/>
        <v>3.2290100527696711E-3</v>
      </c>
      <c r="W65" s="2"/>
      <c r="X65" s="7">
        <f t="shared" si="52"/>
        <v>-668.46</v>
      </c>
      <c r="Y65" s="2"/>
      <c r="Z65" s="6">
        <f t="shared" si="53"/>
        <v>-0.86689145376734533</v>
      </c>
    </row>
    <row r="66" spans="1:26" s="24" customFormat="1" hidden="1" outlineLevel="2" x14ac:dyDescent="0.35">
      <c r="A66" s="27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46"/>
        <v>0</v>
      </c>
      <c r="G66" s="2"/>
      <c r="H66" s="7"/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>
        <v>637.03</v>
      </c>
      <c r="Q66" s="2"/>
      <c r="R66" s="6">
        <f t="shared" si="50"/>
        <v>3.3533969680191534E-3</v>
      </c>
      <c r="S66" s="2"/>
      <c r="T66" s="7">
        <v>739.23</v>
      </c>
      <c r="U66" s="2"/>
      <c r="V66" s="6">
        <f t="shared" si="51"/>
        <v>3.095553237334877E-3</v>
      </c>
      <c r="W66" s="2"/>
      <c r="X66" s="7">
        <f t="shared" si="52"/>
        <v>-102.20000000000005</v>
      </c>
      <c r="Y66" s="2"/>
      <c r="Z66" s="6">
        <f t="shared" si="53"/>
        <v>-0.13825196488237768</v>
      </c>
    </row>
    <row r="67" spans="1:26" s="25" customFormat="1" outlineLevel="1" collapsed="1" x14ac:dyDescent="0.35">
      <c r="A67" s="26"/>
      <c r="B67" s="12" t="str">
        <f>CONCATENATE("     ","Telephone/Data Lines                              ")</f>
        <v xml:space="preserve">     Telephone/Data Lines                              </v>
      </c>
      <c r="C67" s="12"/>
      <c r="D67" s="1">
        <f>SUM(OSRRefD22_12x_0)</f>
        <v>27</v>
      </c>
      <c r="E67" s="1"/>
      <c r="F67" s="5">
        <f t="shared" ref="F67:F73" si="54">IF(D$12=0,0,D67/D$12)</f>
        <v>0</v>
      </c>
      <c r="G67" s="1"/>
      <c r="H67" s="1">
        <f>SUM(OSRRefH22_12x_0)</f>
        <v>86.2</v>
      </c>
      <c r="I67" s="1"/>
      <c r="J67" s="5">
        <f t="shared" ref="J67:J73" si="55">IF(H$12=0,0,H67/H$12)</f>
        <v>0</v>
      </c>
      <c r="K67" s="1"/>
      <c r="L67" s="1">
        <f t="shared" ref="L67:L73" si="56">+D67-H67</f>
        <v>-59.2</v>
      </c>
      <c r="M67" s="1"/>
      <c r="N67" s="5">
        <f t="shared" ref="N67:N73" si="57">IF(H67=0,0,L67/H67)</f>
        <v>-0.6867749419953596</v>
      </c>
      <c r="O67" s="12"/>
      <c r="P67" s="1">
        <f>SUM(OSRRefP22_12x_0)</f>
        <v>978.5</v>
      </c>
      <c r="Q67" s="1"/>
      <c r="R67" s="5">
        <f t="shared" ref="R67:R73" si="58">IF(P$12=0,0,P67/P$12)</f>
        <v>5.1509331322021597E-3</v>
      </c>
      <c r="S67" s="1"/>
      <c r="T67" s="1">
        <f>SUM(OSRRefT22_12x_0)</f>
        <v>1278.55</v>
      </c>
      <c r="U67" s="1"/>
      <c r="V67" s="5">
        <f t="shared" ref="V67:V73" si="59">IF(T$12=0,0,T67/T$12)</f>
        <v>5.3539758824648715E-3</v>
      </c>
      <c r="W67" s="1"/>
      <c r="X67" s="1">
        <f t="shared" ref="X67:X73" si="60">+P67-T67</f>
        <v>-300.04999999999995</v>
      </c>
      <c r="Y67" s="1"/>
      <c r="Z67" s="5">
        <f t="shared" ref="Z67:Z73" si="61">IF(T67=0,0,X67/T67)</f>
        <v>-0.23467991083649445</v>
      </c>
    </row>
    <row r="68" spans="1:26" s="24" customFormat="1" hidden="1" outlineLevel="2" x14ac:dyDescent="0.35">
      <c r="A68" s="27"/>
      <c r="B68" s="11" t="str">
        <f>CONCATENATE("          ", "6309", " - ", "TELEPHONE")</f>
        <v xml:space="preserve">          6309 - TELEPHONE</v>
      </c>
      <c r="C68" s="11"/>
      <c r="D68" s="7">
        <v>27</v>
      </c>
      <c r="E68" s="2"/>
      <c r="F68" s="6">
        <f t="shared" si="54"/>
        <v>0</v>
      </c>
      <c r="G68" s="2"/>
      <c r="H68" s="7">
        <v>86.2</v>
      </c>
      <c r="I68" s="2"/>
      <c r="J68" s="6">
        <f t="shared" si="55"/>
        <v>0</v>
      </c>
      <c r="K68" s="2"/>
      <c r="L68" s="7">
        <f t="shared" si="56"/>
        <v>-59.2</v>
      </c>
      <c r="M68" s="2"/>
      <c r="N68" s="6">
        <f t="shared" si="57"/>
        <v>-0.6867749419953596</v>
      </c>
      <c r="O68" s="11"/>
      <c r="P68" s="7">
        <v>978.5</v>
      </c>
      <c r="Q68" s="2"/>
      <c r="R68" s="6">
        <f t="shared" si="58"/>
        <v>5.1509331322021597E-3</v>
      </c>
      <c r="S68" s="2"/>
      <c r="T68" s="7">
        <v>1278.55</v>
      </c>
      <c r="U68" s="2"/>
      <c r="V68" s="6">
        <f t="shared" si="59"/>
        <v>5.3539758824648715E-3</v>
      </c>
      <c r="W68" s="2"/>
      <c r="X68" s="7">
        <f t="shared" si="60"/>
        <v>-300.04999999999995</v>
      </c>
      <c r="Y68" s="2"/>
      <c r="Z68" s="6">
        <f t="shared" si="61"/>
        <v>-0.23467991083649445</v>
      </c>
    </row>
    <row r="69" spans="1:26" s="25" customFormat="1" outlineLevel="1" collapsed="1" x14ac:dyDescent="0.35">
      <c r="A69" s="26"/>
      <c r="B69" s="12" t="str">
        <f>CONCATENATE("     ","Training                                          ")</f>
        <v xml:space="preserve">     Training                                          </v>
      </c>
      <c r="C69" s="12"/>
      <c r="D69" s="1">
        <f>SUM(OSRRefD22_13x_0)</f>
        <v>0</v>
      </c>
      <c r="E69" s="1"/>
      <c r="F69" s="5">
        <f t="shared" si="54"/>
        <v>0</v>
      </c>
      <c r="G69" s="1"/>
      <c r="H69" s="1">
        <f>SUM(OSRRefH22_13x_0)</f>
        <v>398.22</v>
      </c>
      <c r="I69" s="1"/>
      <c r="J69" s="5">
        <f t="shared" si="55"/>
        <v>0</v>
      </c>
      <c r="K69" s="1"/>
      <c r="L69" s="1">
        <f t="shared" si="56"/>
        <v>-398.22</v>
      </c>
      <c r="M69" s="1"/>
      <c r="N69" s="5">
        <f t="shared" si="57"/>
        <v>-1</v>
      </c>
      <c r="O69" s="12"/>
      <c r="P69" s="1">
        <f>SUM(OSRRefP22_13x_0)</f>
        <v>170.95</v>
      </c>
      <c r="Q69" s="1"/>
      <c r="R69" s="5">
        <f t="shared" si="58"/>
        <v>8.9989986607047435E-4</v>
      </c>
      <c r="S69" s="1"/>
      <c r="T69" s="1">
        <f>SUM(OSRRefT22_13x_0)</f>
        <v>398.22</v>
      </c>
      <c r="U69" s="1"/>
      <c r="V69" s="5">
        <f t="shared" si="59"/>
        <v>1.667561124645232E-3</v>
      </c>
      <c r="W69" s="1"/>
      <c r="X69" s="1">
        <f t="shared" si="60"/>
        <v>-227.27000000000004</v>
      </c>
      <c r="Y69" s="1"/>
      <c r="Z69" s="5">
        <f t="shared" si="61"/>
        <v>-0.5707146803274572</v>
      </c>
    </row>
    <row r="70" spans="1:26" s="24" customFormat="1" hidden="1" outlineLevel="2" x14ac:dyDescent="0.35">
      <c r="A70" s="27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54"/>
        <v>0</v>
      </c>
      <c r="G70" s="2"/>
      <c r="H70" s="7">
        <v>398.22</v>
      </c>
      <c r="I70" s="2"/>
      <c r="J70" s="6">
        <f t="shared" si="55"/>
        <v>0</v>
      </c>
      <c r="K70" s="2"/>
      <c r="L70" s="7">
        <f t="shared" si="56"/>
        <v>-398.22</v>
      </c>
      <c r="M70" s="2"/>
      <c r="N70" s="6">
        <f t="shared" si="57"/>
        <v>-1</v>
      </c>
      <c r="O70" s="11"/>
      <c r="P70" s="7">
        <v>170.95</v>
      </c>
      <c r="Q70" s="2"/>
      <c r="R70" s="6">
        <f t="shared" si="58"/>
        <v>8.9989986607047435E-4</v>
      </c>
      <c r="S70" s="2"/>
      <c r="T70" s="7">
        <v>398.22</v>
      </c>
      <c r="U70" s="2"/>
      <c r="V70" s="6">
        <f t="shared" si="59"/>
        <v>1.667561124645232E-3</v>
      </c>
      <c r="W70" s="2"/>
      <c r="X70" s="7">
        <f t="shared" si="60"/>
        <v>-227.27000000000004</v>
      </c>
      <c r="Y70" s="2"/>
      <c r="Z70" s="6">
        <f t="shared" si="61"/>
        <v>-0.5707146803274572</v>
      </c>
    </row>
    <row r="71" spans="1:26" s="25" customFormat="1" outlineLevel="1" collapsed="1" x14ac:dyDescent="0.35">
      <c r="A71" s="26"/>
      <c r="B71" s="12" t="str">
        <f>CONCATENATE("     ","Travel                                            ")</f>
        <v xml:space="preserve">     Travel                                            </v>
      </c>
      <c r="C71" s="12"/>
      <c r="D71" s="1">
        <f>SUM(OSRRefD22_14x_0)</f>
        <v>0</v>
      </c>
      <c r="E71" s="1"/>
      <c r="F71" s="5">
        <f t="shared" si="54"/>
        <v>0</v>
      </c>
      <c r="G71" s="1"/>
      <c r="H71" s="1">
        <f>SUM(OSRRefH22_14x_0)</f>
        <v>0</v>
      </c>
      <c r="I71" s="1"/>
      <c r="J71" s="5">
        <f t="shared" si="55"/>
        <v>0</v>
      </c>
      <c r="K71" s="1"/>
      <c r="L71" s="1">
        <f t="shared" si="56"/>
        <v>0</v>
      </c>
      <c r="M71" s="1"/>
      <c r="N71" s="5">
        <f t="shared" si="57"/>
        <v>0</v>
      </c>
      <c r="O71" s="12"/>
      <c r="P71" s="1">
        <f>SUM(OSRRefP22_14x_0)</f>
        <v>11.5</v>
      </c>
      <c r="Q71" s="1"/>
      <c r="R71" s="5">
        <f t="shared" si="58"/>
        <v>6.0537282596141888E-5</v>
      </c>
      <c r="S71" s="1"/>
      <c r="T71" s="1">
        <f>SUM(OSRRefT22_14x_0)</f>
        <v>6.78</v>
      </c>
      <c r="U71" s="1"/>
      <c r="V71" s="5">
        <f t="shared" si="59"/>
        <v>2.8391503252209012E-5</v>
      </c>
      <c r="W71" s="1"/>
      <c r="X71" s="1">
        <f t="shared" si="60"/>
        <v>4.72</v>
      </c>
      <c r="Y71" s="1"/>
      <c r="Z71" s="5">
        <f t="shared" si="61"/>
        <v>0.69616519174041291</v>
      </c>
    </row>
    <row r="72" spans="1:26" s="24" customFormat="1" hidden="1" outlineLevel="2" x14ac:dyDescent="0.35">
      <c r="A72" s="27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54"/>
        <v>0</v>
      </c>
      <c r="G72" s="2"/>
      <c r="H72" s="7"/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/>
      <c r="Q72" s="2"/>
      <c r="R72" s="6">
        <f t="shared" si="58"/>
        <v>0</v>
      </c>
      <c r="S72" s="2"/>
      <c r="T72" s="7">
        <v>6.78</v>
      </c>
      <c r="U72" s="2"/>
      <c r="V72" s="6">
        <f t="shared" si="59"/>
        <v>2.8391503252209012E-5</v>
      </c>
      <c r="W72" s="2"/>
      <c r="X72" s="7">
        <f t="shared" si="60"/>
        <v>-6.78</v>
      </c>
      <c r="Y72" s="2"/>
      <c r="Z72" s="6">
        <f t="shared" si="61"/>
        <v>-1</v>
      </c>
    </row>
    <row r="73" spans="1:26" s="24" customFormat="1" hidden="1" outlineLevel="2" x14ac:dyDescent="0.35">
      <c r="A73" s="27"/>
      <c r="B73" s="11" t="str">
        <f>CONCATENATE("          ", "6294", " - ", "TRAVEL OPERATIONAL")</f>
        <v xml:space="preserve">          6294 - TRAVEL OPERATIONAL</v>
      </c>
      <c r="C73" s="11"/>
      <c r="D73" s="7"/>
      <c r="E73" s="2"/>
      <c r="F73" s="6">
        <f t="shared" si="54"/>
        <v>0</v>
      </c>
      <c r="G73" s="2"/>
      <c r="H73" s="7"/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>
        <v>11.5</v>
      </c>
      <c r="Q73" s="2"/>
      <c r="R73" s="6">
        <f t="shared" si="58"/>
        <v>6.0537282596141888E-5</v>
      </c>
      <c r="S73" s="2"/>
      <c r="T73" s="7"/>
      <c r="U73" s="2"/>
      <c r="V73" s="6">
        <f t="shared" si="59"/>
        <v>0</v>
      </c>
      <c r="W73" s="2"/>
      <c r="X73" s="7">
        <f t="shared" si="60"/>
        <v>11.5</v>
      </c>
      <c r="Y73" s="2"/>
      <c r="Z73" s="6">
        <f t="shared" si="61"/>
        <v>0</v>
      </c>
    </row>
    <row r="74" spans="1:26" s="56" customFormat="1" x14ac:dyDescent="0.3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35">
      <c r="A75" s="10"/>
      <c r="B75" s="29" t="s">
        <v>0</v>
      </c>
      <c r="C75" s="10"/>
      <c r="D75" s="4">
        <f>SUM(0)</f>
        <v>0</v>
      </c>
      <c r="E75" s="4"/>
      <c r="F75" s="13">
        <f>IF(D$12=0,0,D75/D$12)</f>
        <v>0</v>
      </c>
      <c r="G75" s="4"/>
      <c r="H75" s="4">
        <f>SUM(0)</f>
        <v>0</v>
      </c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0"/>
      <c r="P75" s="4">
        <f>SUM(0)</f>
        <v>0</v>
      </c>
      <c r="Q75" s="4"/>
      <c r="R75" s="13">
        <f>IF(P$12=0,0,P75/P$12)</f>
        <v>0</v>
      </c>
      <c r="S75" s="4"/>
      <c r="T75" s="4">
        <f>SUM(0)</f>
        <v>0</v>
      </c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3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5">
      <c r="A77" s="10"/>
      <c r="B77" s="28" t="s">
        <v>3</v>
      </c>
      <c r="C77" s="28"/>
      <c r="D77" s="22">
        <f>+D20-D22+D75</f>
        <v>-4095</v>
      </c>
      <c r="E77" s="14"/>
      <c r="F77" s="21">
        <f>IF(D$12=0,0,D77/D$12)</f>
        <v>0</v>
      </c>
      <c r="G77" s="14"/>
      <c r="H77" s="22">
        <f>+H20-H22+H75</f>
        <v>-10755.4</v>
      </c>
      <c r="I77" s="14"/>
      <c r="J77" s="21">
        <f>IF(H$12=0,0,H77/H$12)</f>
        <v>0</v>
      </c>
      <c r="K77" s="15"/>
      <c r="L77" s="22">
        <f>+D77-H77</f>
        <v>6660.4</v>
      </c>
      <c r="M77" s="15"/>
      <c r="N77" s="21">
        <f>IF(H77=0,0,L77/H77)</f>
        <v>-0.61926102237015823</v>
      </c>
      <c r="O77" s="29"/>
      <c r="P77" s="22">
        <f>+P20-P22+P75</f>
        <v>-70906.240000000049</v>
      </c>
      <c r="Q77" s="14"/>
      <c r="R77" s="21">
        <f>IF(P$12=0,0,P77/P$12)</f>
        <v>-0.37325835553998804</v>
      </c>
      <c r="S77" s="14"/>
      <c r="T77" s="22">
        <f>+T20-T22+T75</f>
        <v>-50074.450000000041</v>
      </c>
      <c r="U77" s="14"/>
      <c r="V77" s="21">
        <f>IF(T$12=0,0,T77/T$12)</f>
        <v>-0.20968862979757796</v>
      </c>
      <c r="W77" s="15"/>
      <c r="X77" s="22">
        <f>+P77-T77</f>
        <v>-20831.790000000008</v>
      </c>
      <c r="Y77" s="15"/>
      <c r="Z77" s="21">
        <f>IF(T77=0,0,X77/T77)</f>
        <v>0.41601635165238943</v>
      </c>
    </row>
    <row r="78" spans="1:26" x14ac:dyDescent="0.3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5">
      <c r="A79" s="51"/>
      <c r="B79" s="10" t="s">
        <v>13</v>
      </c>
      <c r="C79" s="10"/>
      <c r="D79" s="4">
        <v>6272.32</v>
      </c>
      <c r="E79" s="4"/>
      <c r="F79" s="13">
        <f>IF(D$12=0,0,D79/D$12)</f>
        <v>0</v>
      </c>
      <c r="G79" s="4"/>
      <c r="H79" s="4">
        <v>-7817.84</v>
      </c>
      <c r="I79" s="4"/>
      <c r="J79" s="13">
        <f>IF(H$12=0,0,H79/H$12)</f>
        <v>0</v>
      </c>
      <c r="K79" s="4"/>
      <c r="L79" s="4">
        <f>+D79-H79</f>
        <v>14090.16</v>
      </c>
      <c r="M79" s="4"/>
      <c r="N79" s="13">
        <f>IF(H79=0,0,L79/H79)</f>
        <v>-1.8023085660489342</v>
      </c>
      <c r="O79" s="10"/>
      <c r="P79" s="4">
        <v>28768.15</v>
      </c>
      <c r="Q79" s="4"/>
      <c r="R79" s="13">
        <f>IF(P$12=0,0,P79/P$12)</f>
        <v>0.15143875011462601</v>
      </c>
      <c r="S79" s="4"/>
      <c r="T79" s="4">
        <v>17021.240000000002</v>
      </c>
      <c r="U79" s="4"/>
      <c r="V79" s="13">
        <f>IF(T$12=0,0,T79/T$12)</f>
        <v>7.127707829153837E-2</v>
      </c>
      <c r="W79" s="4"/>
      <c r="X79" s="4">
        <f>+P79-T79</f>
        <v>11746.91</v>
      </c>
      <c r="Y79" s="4"/>
      <c r="Z79" s="13">
        <f>IF(T79=0,0,X79/T79)</f>
        <v>0.69013244628475945</v>
      </c>
    </row>
    <row r="80" spans="1:26" x14ac:dyDescent="0.3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" thickBot="1" x14ac:dyDescent="0.4">
      <c r="A81" s="10"/>
      <c r="B81" s="28" t="s">
        <v>4</v>
      </c>
      <c r="C81" s="28"/>
      <c r="D81" s="34">
        <f>+D77-D79</f>
        <v>-10367.32</v>
      </c>
      <c r="E81" s="14"/>
      <c r="F81" s="32">
        <f>IF(D$12=0,0,D81/D$12)</f>
        <v>0</v>
      </c>
      <c r="G81" s="14"/>
      <c r="H81" s="34">
        <f>+H77-H79</f>
        <v>-2937.5599999999995</v>
      </c>
      <c r="I81" s="14"/>
      <c r="J81" s="32">
        <f>IF(H$12=0,0,H81/H$12)</f>
        <v>0</v>
      </c>
      <c r="K81" s="15"/>
      <c r="L81" s="34">
        <f>D81-H81</f>
        <v>-7429.76</v>
      </c>
      <c r="M81" s="15"/>
      <c r="N81" s="32">
        <f>IF(H81=0,0,L81/H81)</f>
        <v>2.5292283391658388</v>
      </c>
      <c r="O81" s="29"/>
      <c r="P81" s="34">
        <f>+P77-P79</f>
        <v>-99674.390000000043</v>
      </c>
      <c r="Q81" s="14"/>
      <c r="R81" s="32">
        <f>IF(P$12=0,0,P81/P$12)</f>
        <v>-0.52469710565461403</v>
      </c>
      <c r="S81" s="14"/>
      <c r="T81" s="34">
        <f>+T77-T79</f>
        <v>-67095.690000000046</v>
      </c>
      <c r="U81" s="14"/>
      <c r="V81" s="32">
        <f>IF(T$12=0,0,T81/T$12)</f>
        <v>-0.28096570808911636</v>
      </c>
      <c r="W81" s="15"/>
      <c r="X81" s="34">
        <f>P81-T81</f>
        <v>-32578.699999999997</v>
      </c>
      <c r="Y81" s="15"/>
      <c r="Z81" s="32">
        <f>IF(T81=0,0,X81/T81)</f>
        <v>0.48555577862005705</v>
      </c>
    </row>
    <row r="82" spans="1:26" ht="15" thickTop="1" x14ac:dyDescent="0.3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3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4">
      <c r="A84" s="10"/>
      <c r="B84" s="28" t="s">
        <v>5</v>
      </c>
      <c r="C84" s="28"/>
      <c r="D84" s="35">
        <f>SUM(D81:D83)</f>
        <v>-10367.32</v>
      </c>
      <c r="E84" s="14"/>
      <c r="F84" s="33">
        <f>IF(D$12=0,0,D84/D$12)</f>
        <v>0</v>
      </c>
      <c r="G84" s="14"/>
      <c r="H84" s="35">
        <f>SUM(H81:H83)</f>
        <v>-2937.5599999999995</v>
      </c>
      <c r="I84" s="14"/>
      <c r="J84" s="33">
        <f>IF(H$12=0,0,H84/H$12)</f>
        <v>0</v>
      </c>
      <c r="K84" s="15"/>
      <c r="L84" s="35">
        <f>+D84-H84</f>
        <v>-7429.76</v>
      </c>
      <c r="M84" s="15"/>
      <c r="N84" s="33">
        <f>IF(H84=0,0,L84/H84)</f>
        <v>2.5292283391658388</v>
      </c>
      <c r="O84" s="29"/>
      <c r="P84" s="35">
        <f>SUM(P81:P83)</f>
        <v>-99674.390000000043</v>
      </c>
      <c r="Q84" s="14"/>
      <c r="R84" s="33">
        <f>IF(P$12=0,0,P84/P$12)</f>
        <v>-0.52469710565461403</v>
      </c>
      <c r="S84" s="14"/>
      <c r="T84" s="35">
        <f>SUM(T81:T83)</f>
        <v>-67095.690000000046</v>
      </c>
      <c r="U84" s="14"/>
      <c r="V84" s="33">
        <f>IF(T$12=0,0,T84/T$12)</f>
        <v>-0.28096570808911636</v>
      </c>
      <c r="W84" s="15"/>
      <c r="X84" s="35">
        <f>+P84-T84</f>
        <v>-32578.699999999997</v>
      </c>
      <c r="Y84" s="15"/>
      <c r="Z84" s="33">
        <f>IF(T84=0,0,X84/T84)</f>
        <v>0.48555577862005705</v>
      </c>
    </row>
    <row r="85" spans="1:26" ht="15" thickTop="1" x14ac:dyDescent="0.3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5">
      <c r="A86" s="9"/>
      <c r="B86" s="52">
        <v>44043.523142627317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5">
      <c r="A87" s="9"/>
      <c r="B87" s="61" t="s">
        <v>313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5">
      <c r="A88" s="9"/>
      <c r="B88" s="54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297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","411", " - ", "University Dining")</f>
        <v>Department 411 - University Dining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43578.04</v>
      </c>
      <c r="E18" s="20"/>
      <c r="F18" s="36">
        <f t="shared" ref="F18:F28" si="0">IF(D$12=0,0,D18/D$12)</f>
        <v>0</v>
      </c>
      <c r="G18" s="20"/>
      <c r="H18" s="20">
        <f>SUM(OSRRefH22x_0)</f>
        <v>88502.219999999987</v>
      </c>
      <c r="I18" s="20"/>
      <c r="J18" s="36">
        <f t="shared" ref="J18:J28" si="1">IF(H$12=0,0,H18/H$12)</f>
        <v>0</v>
      </c>
      <c r="K18" s="4"/>
      <c r="L18" s="20">
        <f t="shared" ref="L18:L28" si="2">+D18-H18</f>
        <v>-44924.179999999986</v>
      </c>
      <c r="M18" s="4"/>
      <c r="N18" s="36">
        <f t="shared" ref="N18:N28" si="3">IF(H18=0,0,L18/H18)</f>
        <v>-0.50760511996196245</v>
      </c>
      <c r="O18" s="10"/>
      <c r="P18" s="20">
        <f>SUM(OSRRefP22x_0)</f>
        <v>1014961.63</v>
      </c>
      <c r="Q18" s="20"/>
      <c r="R18" s="36">
        <f t="shared" ref="R18:R28" si="4">IF(P$12=0,0,P18/P$12)</f>
        <v>0</v>
      </c>
      <c r="S18" s="20"/>
      <c r="T18" s="20">
        <f>SUM(OSRRefT22x_0)</f>
        <v>1112416.7</v>
      </c>
      <c r="U18" s="20"/>
      <c r="V18" s="36">
        <f t="shared" ref="V18:V28" si="5">IF(T$12=0,0,T18/T$12)</f>
        <v>0</v>
      </c>
      <c r="W18" s="4"/>
      <c r="X18" s="20">
        <f t="shared" ref="X18:X28" si="6">+P18-T18</f>
        <v>-97455.069999999949</v>
      </c>
      <c r="Y18" s="4"/>
      <c r="Z18" s="36">
        <f t="shared" ref="Z18:Z28" si="7">IF(T18=0,0,X18/T18)</f>
        <v>-8.7606622590257727E-2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1714.81</v>
      </c>
      <c r="E19" s="1"/>
      <c r="F19" s="5">
        <f t="shared" si="0"/>
        <v>0</v>
      </c>
      <c r="G19" s="1"/>
      <c r="H19" s="1">
        <f>SUM(OSRRefH22_0x_0)</f>
        <v>7868.5400000000009</v>
      </c>
      <c r="I19" s="1"/>
      <c r="J19" s="5">
        <f t="shared" si="1"/>
        <v>0</v>
      </c>
      <c r="K19" s="1"/>
      <c r="L19" s="1">
        <f t="shared" si="2"/>
        <v>-6153.7300000000014</v>
      </c>
      <c r="M19" s="1"/>
      <c r="N19" s="5">
        <f t="shared" si="3"/>
        <v>-0.78206757543330796</v>
      </c>
      <c r="O19" s="12"/>
      <c r="P19" s="1">
        <f>SUM(OSRRefP22_0x_0)</f>
        <v>73387.12</v>
      </c>
      <c r="Q19" s="1"/>
      <c r="R19" s="5">
        <f t="shared" si="4"/>
        <v>0</v>
      </c>
      <c r="S19" s="1"/>
      <c r="T19" s="1">
        <f>SUM(OSRRefT22_0x_0)</f>
        <v>119304.02</v>
      </c>
      <c r="U19" s="1"/>
      <c r="V19" s="5">
        <f t="shared" si="5"/>
        <v>0</v>
      </c>
      <c r="W19" s="1"/>
      <c r="X19" s="1">
        <f t="shared" si="6"/>
        <v>-45916.900000000009</v>
      </c>
      <c r="Y19" s="1"/>
      <c r="Z19" s="5">
        <f t="shared" si="7"/>
        <v>-0.38487303277793999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>
        <v>318.24</v>
      </c>
      <c r="E20" s="2"/>
      <c r="F20" s="6">
        <f t="shared" si="0"/>
        <v>0</v>
      </c>
      <c r="G20" s="2"/>
      <c r="H20" s="7">
        <v>1726.95</v>
      </c>
      <c r="I20" s="2"/>
      <c r="J20" s="6">
        <f t="shared" si="1"/>
        <v>0</v>
      </c>
      <c r="K20" s="2"/>
      <c r="L20" s="7">
        <f t="shared" si="2"/>
        <v>-1408.71</v>
      </c>
      <c r="M20" s="2"/>
      <c r="N20" s="6">
        <f t="shared" si="3"/>
        <v>-0.81572135846434468</v>
      </c>
      <c r="O20" s="11"/>
      <c r="P20" s="7">
        <v>23963.66</v>
      </c>
      <c r="Q20" s="2"/>
      <c r="R20" s="6">
        <f t="shared" si="4"/>
        <v>0</v>
      </c>
      <c r="S20" s="2"/>
      <c r="T20" s="7">
        <v>21864.240000000002</v>
      </c>
      <c r="U20" s="2"/>
      <c r="V20" s="6">
        <f t="shared" si="5"/>
        <v>0</v>
      </c>
      <c r="W20" s="2"/>
      <c r="X20" s="7">
        <f t="shared" si="6"/>
        <v>2099.4199999999983</v>
      </c>
      <c r="Y20" s="2"/>
      <c r="Z20" s="6">
        <f t="shared" si="7"/>
        <v>9.6020716933220548E-2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161.41</v>
      </c>
      <c r="E21" s="2"/>
      <c r="F21" s="6">
        <f t="shared" si="0"/>
        <v>0</v>
      </c>
      <c r="G21" s="2"/>
      <c r="H21" s="7">
        <v>923.21</v>
      </c>
      <c r="I21" s="2"/>
      <c r="J21" s="6">
        <f t="shared" si="1"/>
        <v>0</v>
      </c>
      <c r="K21" s="2"/>
      <c r="L21" s="7">
        <f t="shared" si="2"/>
        <v>-761.80000000000007</v>
      </c>
      <c r="M21" s="2"/>
      <c r="N21" s="6">
        <f t="shared" si="3"/>
        <v>-0.82516437213635041</v>
      </c>
      <c r="O21" s="11"/>
      <c r="P21" s="7">
        <v>8956.14</v>
      </c>
      <c r="Q21" s="2"/>
      <c r="R21" s="6">
        <f t="shared" si="4"/>
        <v>0</v>
      </c>
      <c r="S21" s="2"/>
      <c r="T21" s="7">
        <v>8373.35</v>
      </c>
      <c r="U21" s="2"/>
      <c r="V21" s="6">
        <f t="shared" si="5"/>
        <v>0</v>
      </c>
      <c r="W21" s="2"/>
      <c r="X21" s="7">
        <f t="shared" si="6"/>
        <v>582.78999999999905</v>
      </c>
      <c r="Y21" s="2"/>
      <c r="Z21" s="6">
        <f t="shared" si="7"/>
        <v>6.9600578024327064E-2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>
        <v>734.18</v>
      </c>
      <c r="E22" s="2"/>
      <c r="F22" s="6">
        <f t="shared" si="0"/>
        <v>0</v>
      </c>
      <c r="G22" s="2"/>
      <c r="H22" s="7">
        <v>3524.52</v>
      </c>
      <c r="I22" s="2"/>
      <c r="J22" s="6">
        <f t="shared" si="1"/>
        <v>0</v>
      </c>
      <c r="K22" s="2"/>
      <c r="L22" s="7">
        <f t="shared" si="2"/>
        <v>-2790.34</v>
      </c>
      <c r="M22" s="2"/>
      <c r="N22" s="6">
        <f t="shared" si="3"/>
        <v>-0.79169362069161198</v>
      </c>
      <c r="O22" s="11"/>
      <c r="P22" s="7">
        <v>34608.81</v>
      </c>
      <c r="Q22" s="2"/>
      <c r="R22" s="6">
        <f t="shared" si="4"/>
        <v>0</v>
      </c>
      <c r="S22" s="2"/>
      <c r="T22" s="7">
        <v>40396.11</v>
      </c>
      <c r="U22" s="2"/>
      <c r="V22" s="6">
        <f t="shared" si="5"/>
        <v>0</v>
      </c>
      <c r="W22" s="2"/>
      <c r="X22" s="7">
        <f t="shared" si="6"/>
        <v>-5787.3000000000029</v>
      </c>
      <c r="Y22" s="2"/>
      <c r="Z22" s="6">
        <f t="shared" si="7"/>
        <v>-0.14326379445941709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-823.94</v>
      </c>
      <c r="E23" s="2"/>
      <c r="F23" s="6">
        <f t="shared" si="0"/>
        <v>0</v>
      </c>
      <c r="G23" s="2"/>
      <c r="H23" s="7">
        <v>77.5</v>
      </c>
      <c r="I23" s="2"/>
      <c r="J23" s="6">
        <f t="shared" si="1"/>
        <v>0</v>
      </c>
      <c r="K23" s="2"/>
      <c r="L23" s="7">
        <f t="shared" si="2"/>
        <v>-901.44</v>
      </c>
      <c r="M23" s="2"/>
      <c r="N23" s="6">
        <f t="shared" si="3"/>
        <v>-11.631483870967743</v>
      </c>
      <c r="O23" s="11"/>
      <c r="P23" s="7">
        <v>0</v>
      </c>
      <c r="Q23" s="2"/>
      <c r="R23" s="6">
        <f t="shared" si="4"/>
        <v>0</v>
      </c>
      <c r="S23" s="2"/>
      <c r="T23" s="7">
        <v>764.38</v>
      </c>
      <c r="U23" s="2"/>
      <c r="V23" s="6">
        <f t="shared" si="5"/>
        <v>0</v>
      </c>
      <c r="W23" s="2"/>
      <c r="X23" s="7">
        <f t="shared" si="6"/>
        <v>-764.38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>
        <v>604.76</v>
      </c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604.76</v>
      </c>
      <c r="M24" s="2"/>
      <c r="N24" s="6">
        <f t="shared" si="3"/>
        <v>0</v>
      </c>
      <c r="O24" s="11"/>
      <c r="P24" s="7">
        <v>16779.48</v>
      </c>
      <c r="Q24" s="2"/>
      <c r="R24" s="6">
        <f t="shared" si="4"/>
        <v>0</v>
      </c>
      <c r="S24" s="2"/>
      <c r="T24" s="7">
        <v>13677.69</v>
      </c>
      <c r="U24" s="2"/>
      <c r="V24" s="6">
        <f t="shared" si="5"/>
        <v>0</v>
      </c>
      <c r="W24" s="2"/>
      <c r="X24" s="7">
        <f t="shared" si="6"/>
        <v>3101.7899999999991</v>
      </c>
      <c r="Y24" s="2"/>
      <c r="Z24" s="6">
        <f t="shared" si="7"/>
        <v>0.22677732862786032</v>
      </c>
    </row>
    <row r="25" spans="1:26" s="24" customFormat="1" hidden="1" outlineLevel="2" x14ac:dyDescent="0.35">
      <c r="A25" s="27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>
        <v>56</v>
      </c>
      <c r="I25" s="2"/>
      <c r="J25" s="6">
        <f t="shared" si="1"/>
        <v>0</v>
      </c>
      <c r="K25" s="2"/>
      <c r="L25" s="7">
        <f t="shared" si="2"/>
        <v>-56</v>
      </c>
      <c r="M25" s="2"/>
      <c r="N25" s="6">
        <f t="shared" si="3"/>
        <v>-1</v>
      </c>
      <c r="O25" s="11"/>
      <c r="P25" s="7">
        <v>588</v>
      </c>
      <c r="Q25" s="2"/>
      <c r="R25" s="6">
        <f t="shared" si="4"/>
        <v>0</v>
      </c>
      <c r="S25" s="2"/>
      <c r="T25" s="7">
        <v>728</v>
      </c>
      <c r="U25" s="2"/>
      <c r="V25" s="6">
        <f t="shared" si="5"/>
        <v>0</v>
      </c>
      <c r="W25" s="2"/>
      <c r="X25" s="7">
        <f t="shared" si="6"/>
        <v>-140</v>
      </c>
      <c r="Y25" s="2"/>
      <c r="Z25" s="6">
        <f t="shared" si="7"/>
        <v>-0.19230769230769232</v>
      </c>
    </row>
    <row r="26" spans="1:26" s="24" customFormat="1" hidden="1" outlineLevel="2" x14ac:dyDescent="0.35">
      <c r="A26" s="27"/>
      <c r="B26" s="11" t="str">
        <f>CONCATENATE("          ", "6118", " - ", "VACATION")</f>
        <v xml:space="preserve">          6118 - VACATION</v>
      </c>
      <c r="C26" s="11"/>
      <c r="D26" s="7">
        <v>384.28</v>
      </c>
      <c r="E26" s="2"/>
      <c r="F26" s="6">
        <f t="shared" si="0"/>
        <v>0</v>
      </c>
      <c r="G26" s="2"/>
      <c r="H26" s="7">
        <v>568.22</v>
      </c>
      <c r="I26" s="2"/>
      <c r="J26" s="6">
        <f t="shared" si="1"/>
        <v>0</v>
      </c>
      <c r="K26" s="2"/>
      <c r="L26" s="7">
        <f t="shared" si="2"/>
        <v>-183.94000000000005</v>
      </c>
      <c r="M26" s="2"/>
      <c r="N26" s="6">
        <f t="shared" si="3"/>
        <v>-0.32371264651015458</v>
      </c>
      <c r="O26" s="11"/>
      <c r="P26" s="7">
        <v>16327.769999999999</v>
      </c>
      <c r="Q26" s="2"/>
      <c r="R26" s="6">
        <f t="shared" si="4"/>
        <v>0</v>
      </c>
      <c r="S26" s="2"/>
      <c r="T26" s="7">
        <v>15142.489999999998</v>
      </c>
      <c r="U26" s="2"/>
      <c r="V26" s="6">
        <f t="shared" si="5"/>
        <v>0</v>
      </c>
      <c r="W26" s="2"/>
      <c r="X26" s="7">
        <f t="shared" si="6"/>
        <v>1185.2800000000007</v>
      </c>
      <c r="Y26" s="2"/>
      <c r="Z26" s="6">
        <f t="shared" si="7"/>
        <v>7.8275105349252388E-2</v>
      </c>
    </row>
    <row r="27" spans="1:26" s="24" customFormat="1" hidden="1" outlineLevel="2" x14ac:dyDescent="0.35">
      <c r="A27" s="27"/>
      <c r="B27" s="11" t="str">
        <f>CONCATENATE("          ", "6119", " - ", "SICK LEAVE")</f>
        <v xml:space="preserve">          6119 - SICK LEAVE</v>
      </c>
      <c r="C27" s="11"/>
      <c r="D27" s="7">
        <v>191.88</v>
      </c>
      <c r="E27" s="2"/>
      <c r="F27" s="6">
        <f t="shared" si="0"/>
        <v>0</v>
      </c>
      <c r="G27" s="2"/>
      <c r="H27" s="7">
        <v>675.14</v>
      </c>
      <c r="I27" s="2"/>
      <c r="J27" s="6">
        <f t="shared" si="1"/>
        <v>0</v>
      </c>
      <c r="K27" s="2"/>
      <c r="L27" s="7">
        <f t="shared" si="2"/>
        <v>-483.26</v>
      </c>
      <c r="M27" s="2"/>
      <c r="N27" s="6">
        <f t="shared" si="3"/>
        <v>-0.71579228011967888</v>
      </c>
      <c r="O27" s="11"/>
      <c r="P27" s="7">
        <v>-31556.91</v>
      </c>
      <c r="Q27" s="2"/>
      <c r="R27" s="6">
        <f t="shared" si="4"/>
        <v>0</v>
      </c>
      <c r="S27" s="2"/>
      <c r="T27" s="7">
        <v>12915.97</v>
      </c>
      <c r="U27" s="2"/>
      <c r="V27" s="6">
        <f t="shared" si="5"/>
        <v>0</v>
      </c>
      <c r="W27" s="2"/>
      <c r="X27" s="7">
        <f t="shared" si="6"/>
        <v>-44472.88</v>
      </c>
      <c r="Y27" s="2"/>
      <c r="Z27" s="6">
        <f t="shared" si="7"/>
        <v>-3.4432473906334562</v>
      </c>
    </row>
    <row r="28" spans="1:26" s="24" customFormat="1" hidden="1" outlineLevel="2" x14ac:dyDescent="0.35">
      <c r="A28" s="27"/>
      <c r="B28" s="11" t="str">
        <f>CONCATENATE("          ", "6156", " - ", "EMPLOYEE MEALS")</f>
        <v xml:space="preserve">          6156 - EMPLOYEE MEALS</v>
      </c>
      <c r="C28" s="11"/>
      <c r="D28" s="7">
        <v>144</v>
      </c>
      <c r="E28" s="2"/>
      <c r="F28" s="6">
        <f t="shared" si="0"/>
        <v>0</v>
      </c>
      <c r="G28" s="2"/>
      <c r="H28" s="7">
        <v>317</v>
      </c>
      <c r="I28" s="2"/>
      <c r="J28" s="6">
        <f t="shared" si="1"/>
        <v>0</v>
      </c>
      <c r="K28" s="2"/>
      <c r="L28" s="7">
        <f t="shared" si="2"/>
        <v>-173</v>
      </c>
      <c r="M28" s="2"/>
      <c r="N28" s="6">
        <f t="shared" si="3"/>
        <v>-0.5457413249211357</v>
      </c>
      <c r="O28" s="11"/>
      <c r="P28" s="7">
        <v>3720.17</v>
      </c>
      <c r="Q28" s="2"/>
      <c r="R28" s="6">
        <f t="shared" si="4"/>
        <v>0</v>
      </c>
      <c r="S28" s="2"/>
      <c r="T28" s="7">
        <v>5441.79</v>
      </c>
      <c r="U28" s="2"/>
      <c r="V28" s="6">
        <f t="shared" si="5"/>
        <v>0</v>
      </c>
      <c r="W28" s="2"/>
      <c r="X28" s="7">
        <f t="shared" si="6"/>
        <v>-1721.62</v>
      </c>
      <c r="Y28" s="2"/>
      <c r="Z28" s="6">
        <f t="shared" si="7"/>
        <v>-0.31637016496410186</v>
      </c>
    </row>
    <row r="29" spans="1:26" s="25" customFormat="1" outlineLevel="1" collapsed="1" x14ac:dyDescent="0.3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3744</v>
      </c>
      <c r="E29" s="1"/>
      <c r="F29" s="5">
        <f t="shared" ref="F29:F35" si="8">IF(D$12=0,0,D29/D$12)</f>
        <v>0</v>
      </c>
      <c r="G29" s="1"/>
      <c r="H29" s="1">
        <f>SUM(OSRRefH22_1x_0)</f>
        <v>22311.97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-18567.97</v>
      </c>
      <c r="M29" s="1"/>
      <c r="N29" s="5">
        <f t="shared" ref="N29:N35" si="11">IF(H29=0,0,L29/H29)</f>
        <v>-0.83219769477997685</v>
      </c>
      <c r="O29" s="12"/>
      <c r="P29" s="1">
        <f>SUM(OSRRefP22_1x_0)</f>
        <v>259949.05000000002</v>
      </c>
      <c r="Q29" s="1"/>
      <c r="R29" s="5">
        <f t="shared" ref="R29:R35" si="12">IF(P$12=0,0,P29/P$12)</f>
        <v>0</v>
      </c>
      <c r="S29" s="1"/>
      <c r="T29" s="1">
        <f>SUM(OSRRefT22_1x_0)</f>
        <v>259626.23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322.82000000000698</v>
      </c>
      <c r="Y29" s="1"/>
      <c r="Z29" s="5">
        <f t="shared" ref="Z29:Z35" si="15">IF(T29=0,0,X29/T29)</f>
        <v>1.2434028718901282E-3</v>
      </c>
    </row>
    <row r="30" spans="1:26" s="24" customFormat="1" hidden="1" outlineLevel="2" x14ac:dyDescent="0.3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8557.16</v>
      </c>
      <c r="I30" s="2"/>
      <c r="J30" s="6">
        <f t="shared" si="9"/>
        <v>0</v>
      </c>
      <c r="K30" s="2"/>
      <c r="L30" s="7">
        <f t="shared" si="10"/>
        <v>-8557.16</v>
      </c>
      <c r="M30" s="2"/>
      <c r="N30" s="6">
        <f t="shared" si="11"/>
        <v>-1</v>
      </c>
      <c r="O30" s="11"/>
      <c r="P30" s="7">
        <v>67427.61</v>
      </c>
      <c r="Q30" s="2"/>
      <c r="R30" s="6">
        <f t="shared" si="12"/>
        <v>0</v>
      </c>
      <c r="S30" s="2"/>
      <c r="T30" s="7">
        <v>101830.20000000001</v>
      </c>
      <c r="U30" s="2"/>
      <c r="V30" s="6">
        <f t="shared" si="13"/>
        <v>0</v>
      </c>
      <c r="W30" s="2"/>
      <c r="X30" s="7">
        <f t="shared" si="14"/>
        <v>-34402.590000000011</v>
      </c>
      <c r="Y30" s="2"/>
      <c r="Z30" s="6">
        <f t="shared" si="15"/>
        <v>-0.33784270285239554</v>
      </c>
    </row>
    <row r="31" spans="1:26" s="24" customFormat="1" hidden="1" outlineLevel="2" x14ac:dyDescent="0.35">
      <c r="A31" s="27"/>
      <c r="B31" s="11" t="str">
        <f>CONCATENATE("          ", "6002", " - ", "STAFF SALARIES")</f>
        <v xml:space="preserve">          6002 - STAFF SALARIES</v>
      </c>
      <c r="C31" s="11"/>
      <c r="D31" s="7">
        <v>3744</v>
      </c>
      <c r="E31" s="2"/>
      <c r="F31" s="6">
        <f t="shared" si="8"/>
        <v>0</v>
      </c>
      <c r="G31" s="2"/>
      <c r="H31" s="7">
        <v>3456</v>
      </c>
      <c r="I31" s="2"/>
      <c r="J31" s="6">
        <f t="shared" si="9"/>
        <v>0</v>
      </c>
      <c r="K31" s="2"/>
      <c r="L31" s="7">
        <f t="shared" si="10"/>
        <v>288</v>
      </c>
      <c r="M31" s="2"/>
      <c r="N31" s="6">
        <f t="shared" si="11"/>
        <v>8.3333333333333329E-2</v>
      </c>
      <c r="O31" s="11"/>
      <c r="P31" s="7">
        <v>56248.86</v>
      </c>
      <c r="Q31" s="2"/>
      <c r="R31" s="6">
        <f t="shared" si="12"/>
        <v>0</v>
      </c>
      <c r="S31" s="2"/>
      <c r="T31" s="7">
        <v>45188.32</v>
      </c>
      <c r="U31" s="2"/>
      <c r="V31" s="6">
        <f t="shared" si="13"/>
        <v>0</v>
      </c>
      <c r="W31" s="2"/>
      <c r="X31" s="7">
        <f t="shared" si="14"/>
        <v>11060.54</v>
      </c>
      <c r="Y31" s="2"/>
      <c r="Z31" s="6">
        <f t="shared" si="15"/>
        <v>0.24476546151748949</v>
      </c>
    </row>
    <row r="32" spans="1:26" s="24" customFormat="1" hidden="1" outlineLevel="2" x14ac:dyDescent="0.35">
      <c r="A32" s="27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2240</v>
      </c>
      <c r="I32" s="2"/>
      <c r="J32" s="6">
        <f t="shared" si="9"/>
        <v>0</v>
      </c>
      <c r="K32" s="2"/>
      <c r="L32" s="7">
        <f t="shared" si="10"/>
        <v>-2240</v>
      </c>
      <c r="M32" s="2"/>
      <c r="N32" s="6">
        <f t="shared" si="11"/>
        <v>-1</v>
      </c>
      <c r="O32" s="11"/>
      <c r="P32" s="7">
        <v>23599.230000000003</v>
      </c>
      <c r="Q32" s="2"/>
      <c r="R32" s="6">
        <f t="shared" si="12"/>
        <v>0</v>
      </c>
      <c r="S32" s="2"/>
      <c r="T32" s="7">
        <v>24296.63</v>
      </c>
      <c r="U32" s="2"/>
      <c r="V32" s="6">
        <f t="shared" si="13"/>
        <v>0</v>
      </c>
      <c r="W32" s="2"/>
      <c r="X32" s="7">
        <f t="shared" si="14"/>
        <v>-697.39999999999782</v>
      </c>
      <c r="Y32" s="2"/>
      <c r="Z32" s="6">
        <f t="shared" si="15"/>
        <v>-2.8703569178112263E-2</v>
      </c>
    </row>
    <row r="33" spans="1:26" s="24" customFormat="1" hidden="1" outlineLevel="2" x14ac:dyDescent="0.3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4756.57</v>
      </c>
      <c r="I33" s="2"/>
      <c r="J33" s="6">
        <f t="shared" si="9"/>
        <v>0</v>
      </c>
      <c r="K33" s="2"/>
      <c r="L33" s="7">
        <f t="shared" si="10"/>
        <v>-4756.57</v>
      </c>
      <c r="M33" s="2"/>
      <c r="N33" s="6">
        <f t="shared" si="11"/>
        <v>-1</v>
      </c>
      <c r="O33" s="11"/>
      <c r="P33" s="7">
        <v>94654.75</v>
      </c>
      <c r="Q33" s="2"/>
      <c r="R33" s="6">
        <f t="shared" si="12"/>
        <v>0</v>
      </c>
      <c r="S33" s="2"/>
      <c r="T33" s="7">
        <v>81132.59</v>
      </c>
      <c r="U33" s="2"/>
      <c r="V33" s="6">
        <f t="shared" si="13"/>
        <v>0</v>
      </c>
      <c r="W33" s="2"/>
      <c r="X33" s="7">
        <f t="shared" si="14"/>
        <v>13522.160000000003</v>
      </c>
      <c r="Y33" s="2"/>
      <c r="Z33" s="6">
        <f t="shared" si="15"/>
        <v>0.16666742673936583</v>
      </c>
    </row>
    <row r="34" spans="1:26" s="24" customFormat="1" hidden="1" outlineLevel="2" x14ac:dyDescent="0.35">
      <c r="A34" s="27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633.75</v>
      </c>
      <c r="I34" s="2"/>
      <c r="J34" s="6">
        <f t="shared" si="9"/>
        <v>0</v>
      </c>
      <c r="K34" s="2"/>
      <c r="L34" s="7">
        <f t="shared" si="10"/>
        <v>-633.75</v>
      </c>
      <c r="M34" s="2"/>
      <c r="N34" s="6">
        <f t="shared" si="11"/>
        <v>-1</v>
      </c>
      <c r="O34" s="11"/>
      <c r="P34" s="7">
        <v>1236.8800000000001</v>
      </c>
      <c r="Q34" s="2"/>
      <c r="R34" s="6">
        <f t="shared" si="12"/>
        <v>0</v>
      </c>
      <c r="S34" s="2"/>
      <c r="T34" s="7">
        <v>1810.5</v>
      </c>
      <c r="U34" s="2"/>
      <c r="V34" s="6">
        <f t="shared" si="13"/>
        <v>0</v>
      </c>
      <c r="W34" s="2"/>
      <c r="X34" s="7">
        <f t="shared" si="14"/>
        <v>-573.61999999999989</v>
      </c>
      <c r="Y34" s="2"/>
      <c r="Z34" s="6">
        <f t="shared" si="15"/>
        <v>-0.31682960508146912</v>
      </c>
    </row>
    <row r="35" spans="1:26" s="24" customFormat="1" hidden="1" outlineLevel="2" x14ac:dyDescent="0.3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2668.49</v>
      </c>
      <c r="I35" s="2"/>
      <c r="J35" s="6">
        <f t="shared" si="9"/>
        <v>0</v>
      </c>
      <c r="K35" s="2"/>
      <c r="L35" s="7">
        <f t="shared" si="10"/>
        <v>-2668.49</v>
      </c>
      <c r="M35" s="2"/>
      <c r="N35" s="6">
        <f t="shared" si="11"/>
        <v>-1</v>
      </c>
      <c r="O35" s="11"/>
      <c r="P35" s="7">
        <v>16781.72</v>
      </c>
      <c r="Q35" s="2"/>
      <c r="R35" s="6">
        <f t="shared" si="12"/>
        <v>0</v>
      </c>
      <c r="S35" s="2"/>
      <c r="T35" s="7">
        <v>5367.99</v>
      </c>
      <c r="U35" s="2"/>
      <c r="V35" s="6">
        <f t="shared" si="13"/>
        <v>0</v>
      </c>
      <c r="W35" s="2"/>
      <c r="X35" s="7">
        <f t="shared" si="14"/>
        <v>11413.730000000001</v>
      </c>
      <c r="Y35" s="2"/>
      <c r="Z35" s="6">
        <f t="shared" si="15"/>
        <v>2.1262576867691636</v>
      </c>
    </row>
    <row r="36" spans="1:26" s="25" customFormat="1" outlineLevel="1" collapsed="1" x14ac:dyDescent="0.3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210.94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-210.94</v>
      </c>
      <c r="M36" s="1"/>
      <c r="N36" s="5">
        <f t="shared" ref="N36:N43" si="19">IF(H36=0,0,L36/H36)</f>
        <v>-1</v>
      </c>
      <c r="O36" s="12"/>
      <c r="P36" s="1">
        <f>SUM(OSRRefP22_2x_0)</f>
        <v>3780.74</v>
      </c>
      <c r="Q36" s="1"/>
      <c r="R36" s="5">
        <f t="shared" ref="R36:R43" si="20">IF(P$12=0,0,P36/P$12)</f>
        <v>0</v>
      </c>
      <c r="S36" s="1"/>
      <c r="T36" s="1">
        <f>SUM(OSRRefT22_2x_0)</f>
        <v>3600.47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180.26999999999998</v>
      </c>
      <c r="Y36" s="1"/>
      <c r="Z36" s="5">
        <f t="shared" ref="Z36:Z43" si="23">IF(T36=0,0,X36/T36)</f>
        <v>5.0068463283960148E-2</v>
      </c>
    </row>
    <row r="37" spans="1:26" s="24" customFormat="1" hidden="1" outlineLevel="2" x14ac:dyDescent="0.3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>
        <v>210.94</v>
      </c>
      <c r="I37" s="2"/>
      <c r="J37" s="6">
        <f t="shared" si="17"/>
        <v>0</v>
      </c>
      <c r="K37" s="2"/>
      <c r="L37" s="7">
        <f t="shared" si="18"/>
        <v>-210.94</v>
      </c>
      <c r="M37" s="2"/>
      <c r="N37" s="6">
        <f t="shared" si="19"/>
        <v>-1</v>
      </c>
      <c r="O37" s="11"/>
      <c r="P37" s="7">
        <v>3780.74</v>
      </c>
      <c r="Q37" s="2"/>
      <c r="R37" s="6">
        <f t="shared" si="20"/>
        <v>0</v>
      </c>
      <c r="S37" s="2"/>
      <c r="T37" s="7">
        <v>3600.47</v>
      </c>
      <c r="U37" s="2"/>
      <c r="V37" s="6">
        <f t="shared" si="21"/>
        <v>0</v>
      </c>
      <c r="W37" s="2"/>
      <c r="X37" s="7">
        <f t="shared" si="22"/>
        <v>180.26999999999998</v>
      </c>
      <c r="Y37" s="2"/>
      <c r="Z37" s="6">
        <f t="shared" si="23"/>
        <v>5.0068463283960148E-2</v>
      </c>
    </row>
    <row r="38" spans="1:26" s="25" customFormat="1" outlineLevel="1" collapsed="1" x14ac:dyDescent="0.35">
      <c r="A38" s="26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279.08999999999997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279.08999999999997</v>
      </c>
      <c r="M38" s="1"/>
      <c r="N38" s="5">
        <f t="shared" si="19"/>
        <v>0</v>
      </c>
      <c r="O38" s="12"/>
      <c r="P38" s="1">
        <f>SUM(OSRRefP22_3x_0)</f>
        <v>536.59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536.59</v>
      </c>
      <c r="Y38" s="1"/>
      <c r="Z38" s="5">
        <f t="shared" si="23"/>
        <v>0</v>
      </c>
    </row>
    <row r="39" spans="1:26" s="24" customFormat="1" hidden="1" outlineLevel="2" x14ac:dyDescent="0.35">
      <c r="A39" s="27"/>
      <c r="B39" s="11" t="str">
        <f>CONCATENATE("          ", "6381", " - ", "BANK/CREDIT CARD FEES")</f>
        <v xml:space="preserve">          6381 - BANK/CREDIT CARD FEES</v>
      </c>
      <c r="C39" s="11"/>
      <c r="D39" s="7">
        <v>279.08999999999997</v>
      </c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279.08999999999997</v>
      </c>
      <c r="M39" s="2"/>
      <c r="N39" s="6">
        <f t="shared" si="19"/>
        <v>0</v>
      </c>
      <c r="O39" s="11"/>
      <c r="P39" s="7">
        <v>536.59</v>
      </c>
      <c r="Q39" s="2"/>
      <c r="R39" s="6">
        <f t="shared" si="20"/>
        <v>0</v>
      </c>
      <c r="S39" s="2"/>
      <c r="T39" s="7"/>
      <c r="U39" s="2"/>
      <c r="V39" s="6">
        <f t="shared" si="21"/>
        <v>0</v>
      </c>
      <c r="W39" s="2"/>
      <c r="X39" s="7">
        <f t="shared" si="22"/>
        <v>536.59</v>
      </c>
      <c r="Y39" s="2"/>
      <c r="Z39" s="6">
        <f t="shared" si="23"/>
        <v>0</v>
      </c>
    </row>
    <row r="40" spans="1:26" s="25" customFormat="1" outlineLevel="1" collapsed="1" x14ac:dyDescent="0.35">
      <c r="A40" s="26"/>
      <c r="B40" s="12" t="str">
        <f>CONCATENATE("     ","Depreciation                                      ")</f>
        <v xml:space="preserve">     Depreciation                                      </v>
      </c>
      <c r="C40" s="12"/>
      <c r="D40" s="1">
        <f>SUM(OSRRefD22_4x_0)</f>
        <v>7224.33</v>
      </c>
      <c r="E40" s="1"/>
      <c r="F40" s="5">
        <f t="shared" si="16"/>
        <v>0</v>
      </c>
      <c r="G40" s="1"/>
      <c r="H40" s="1">
        <f>SUM(OSRRefH22_4x_0)</f>
        <v>9399.69</v>
      </c>
      <c r="I40" s="1"/>
      <c r="J40" s="5">
        <f t="shared" si="17"/>
        <v>0</v>
      </c>
      <c r="K40" s="1"/>
      <c r="L40" s="1">
        <f t="shared" si="18"/>
        <v>-2175.3600000000006</v>
      </c>
      <c r="M40" s="1"/>
      <c r="N40" s="5">
        <f t="shared" si="19"/>
        <v>-0.23142890882571665</v>
      </c>
      <c r="O40" s="12"/>
      <c r="P40" s="1">
        <f>SUM(OSRRefP22_4x_0)</f>
        <v>85610.599999999991</v>
      </c>
      <c r="Q40" s="1"/>
      <c r="R40" s="5">
        <f t="shared" si="20"/>
        <v>0</v>
      </c>
      <c r="S40" s="1"/>
      <c r="T40" s="1">
        <f>SUM(OSRRefT22_4x_0)</f>
        <v>110978.61</v>
      </c>
      <c r="U40" s="1"/>
      <c r="V40" s="5">
        <f t="shared" si="21"/>
        <v>0</v>
      </c>
      <c r="W40" s="1"/>
      <c r="X40" s="1">
        <f t="shared" si="22"/>
        <v>-25368.010000000009</v>
      </c>
      <c r="Y40" s="1"/>
      <c r="Z40" s="5">
        <f t="shared" si="23"/>
        <v>-0.2285846795161699</v>
      </c>
    </row>
    <row r="41" spans="1:26" s="24" customFormat="1" hidden="1" outlineLevel="2" x14ac:dyDescent="0.35">
      <c r="A41" s="27"/>
      <c r="B41" s="11" t="str">
        <f>CONCATENATE("          ", "6321", " - ", "BUILDING DEPRECIATION")</f>
        <v xml:space="preserve">          6321 - BUILDING DEPRECIATION</v>
      </c>
      <c r="C41" s="11"/>
      <c r="D41" s="7">
        <v>2267.06</v>
      </c>
      <c r="E41" s="2"/>
      <c r="F41" s="6">
        <f t="shared" si="16"/>
        <v>0</v>
      </c>
      <c r="G41" s="2"/>
      <c r="H41" s="7">
        <v>4849.0600000000004</v>
      </c>
      <c r="I41" s="2"/>
      <c r="J41" s="6">
        <f t="shared" si="17"/>
        <v>0</v>
      </c>
      <c r="K41" s="2"/>
      <c r="L41" s="7">
        <f t="shared" si="18"/>
        <v>-2582.0000000000005</v>
      </c>
      <c r="M41" s="2"/>
      <c r="N41" s="6">
        <f t="shared" si="19"/>
        <v>-0.53247433523198318</v>
      </c>
      <c r="O41" s="11"/>
      <c r="P41" s="7">
        <v>27203.510000000002</v>
      </c>
      <c r="Q41" s="2"/>
      <c r="R41" s="6">
        <f t="shared" si="20"/>
        <v>0</v>
      </c>
      <c r="S41" s="2"/>
      <c r="T41" s="7">
        <v>70848.909999999989</v>
      </c>
      <c r="U41" s="2"/>
      <c r="V41" s="6">
        <f t="shared" si="21"/>
        <v>0</v>
      </c>
      <c r="W41" s="2"/>
      <c r="X41" s="7">
        <f t="shared" si="22"/>
        <v>-43645.399999999987</v>
      </c>
      <c r="Y41" s="2"/>
      <c r="Z41" s="6">
        <f t="shared" si="23"/>
        <v>-0.61603488324661582</v>
      </c>
    </row>
    <row r="42" spans="1:26" s="24" customFormat="1" hidden="1" outlineLevel="2" x14ac:dyDescent="0.35">
      <c r="A42" s="27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4957.2700000000004</v>
      </c>
      <c r="E42" s="2"/>
      <c r="F42" s="6">
        <f t="shared" si="16"/>
        <v>0</v>
      </c>
      <c r="G42" s="2"/>
      <c r="H42" s="7">
        <v>4126.3900000000003</v>
      </c>
      <c r="I42" s="2"/>
      <c r="J42" s="6">
        <f t="shared" si="17"/>
        <v>0</v>
      </c>
      <c r="K42" s="2"/>
      <c r="L42" s="7">
        <f t="shared" si="18"/>
        <v>830.88000000000011</v>
      </c>
      <c r="M42" s="2"/>
      <c r="N42" s="6">
        <f t="shared" si="19"/>
        <v>0.20135760313494364</v>
      </c>
      <c r="O42" s="11"/>
      <c r="P42" s="7">
        <v>54164.61</v>
      </c>
      <c r="Q42" s="2"/>
      <c r="R42" s="6">
        <f t="shared" si="20"/>
        <v>0</v>
      </c>
      <c r="S42" s="2"/>
      <c r="T42" s="7">
        <v>35038.71</v>
      </c>
      <c r="U42" s="2"/>
      <c r="V42" s="6">
        <f t="shared" si="21"/>
        <v>0</v>
      </c>
      <c r="W42" s="2"/>
      <c r="X42" s="7">
        <f t="shared" si="22"/>
        <v>19125.900000000001</v>
      </c>
      <c r="Y42" s="2"/>
      <c r="Z42" s="6">
        <f t="shared" si="23"/>
        <v>0.54585057497835965</v>
      </c>
    </row>
    <row r="43" spans="1:26" s="24" customFormat="1" hidden="1" outlineLevel="2" x14ac:dyDescent="0.35">
      <c r="A43" s="27"/>
      <c r="B43" s="11" t="str">
        <f>CONCATENATE("          ", "6326", " - ", "VEHICLES DEPRECIATION EXPENSE")</f>
        <v xml:space="preserve">          6326 - VEHICLES DEPRECIATION EXPENSE</v>
      </c>
      <c r="C43" s="11"/>
      <c r="D43" s="7"/>
      <c r="E43" s="2"/>
      <c r="F43" s="6">
        <f t="shared" si="16"/>
        <v>0</v>
      </c>
      <c r="G43" s="2"/>
      <c r="H43" s="7">
        <v>424.24</v>
      </c>
      <c r="I43" s="2"/>
      <c r="J43" s="6">
        <f t="shared" si="17"/>
        <v>0</v>
      </c>
      <c r="K43" s="2"/>
      <c r="L43" s="7">
        <f t="shared" si="18"/>
        <v>-424.24</v>
      </c>
      <c r="M43" s="2"/>
      <c r="N43" s="6">
        <f t="shared" si="19"/>
        <v>-1</v>
      </c>
      <c r="O43" s="11"/>
      <c r="P43" s="7">
        <v>4242.4799999999996</v>
      </c>
      <c r="Q43" s="2"/>
      <c r="R43" s="6">
        <f t="shared" si="20"/>
        <v>0</v>
      </c>
      <c r="S43" s="2"/>
      <c r="T43" s="7">
        <v>5090.99</v>
      </c>
      <c r="U43" s="2"/>
      <c r="V43" s="6">
        <f t="shared" si="21"/>
        <v>0</v>
      </c>
      <c r="W43" s="2"/>
      <c r="X43" s="7">
        <f t="shared" si="22"/>
        <v>-848.51000000000022</v>
      </c>
      <c r="Y43" s="2"/>
      <c r="Z43" s="6">
        <f t="shared" si="23"/>
        <v>-0.16666895829691283</v>
      </c>
    </row>
    <row r="44" spans="1:26" s="25" customFormat="1" outlineLevel="1" collapsed="1" x14ac:dyDescent="0.35">
      <c r="A44" s="26"/>
      <c r="B44" s="12" t="str">
        <f>CONCATENATE("     ","Donations                                         ")</f>
        <v xml:space="preserve">     Donations                                         </v>
      </c>
      <c r="C44" s="12"/>
      <c r="D44" s="1">
        <f>SUM(OSRRefD22_5x_0)</f>
        <v>0</v>
      </c>
      <c r="E44" s="1"/>
      <c r="F44" s="5">
        <f t="shared" ref="F44:F62" si="24">IF(D$12=0,0,D44/D$12)</f>
        <v>0</v>
      </c>
      <c r="G44" s="1"/>
      <c r="H44" s="1">
        <f>SUM(OSRRefH22_5x_0)</f>
        <v>0</v>
      </c>
      <c r="I44" s="1"/>
      <c r="J44" s="5">
        <f t="shared" ref="J44:J62" si="25">IF(H$12=0,0,H44/H$12)</f>
        <v>0</v>
      </c>
      <c r="K44" s="1"/>
      <c r="L44" s="1">
        <f t="shared" ref="L44:L62" si="26">+D44-H44</f>
        <v>0</v>
      </c>
      <c r="M44" s="1"/>
      <c r="N44" s="5">
        <f t="shared" ref="N44:N62" si="27">IF(H44=0,0,L44/H44)</f>
        <v>0</v>
      </c>
      <c r="O44" s="12"/>
      <c r="P44" s="1">
        <f>SUM(OSRRefP22_5x_0)</f>
        <v>163.68</v>
      </c>
      <c r="Q44" s="1"/>
      <c r="R44" s="5">
        <f t="shared" ref="R44:R62" si="28">IF(P$12=0,0,P44/P$12)</f>
        <v>0</v>
      </c>
      <c r="S44" s="1"/>
      <c r="T44" s="1">
        <f>SUM(OSRRefT22_5x_0)</f>
        <v>876.48</v>
      </c>
      <c r="U44" s="1"/>
      <c r="V44" s="5">
        <f t="shared" ref="V44:V62" si="29">IF(T$12=0,0,T44/T$12)</f>
        <v>0</v>
      </c>
      <c r="W44" s="1"/>
      <c r="X44" s="1">
        <f t="shared" ref="X44:X62" si="30">+P44-T44</f>
        <v>-712.8</v>
      </c>
      <c r="Y44" s="1"/>
      <c r="Z44" s="5">
        <f t="shared" ref="Z44:Z62" si="31">IF(T44=0,0,X44/T44)</f>
        <v>-0.81325301204819267</v>
      </c>
    </row>
    <row r="45" spans="1:26" s="24" customFormat="1" hidden="1" outlineLevel="2" x14ac:dyDescent="0.35">
      <c r="A45" s="27"/>
      <c r="B45" s="11" t="str">
        <f>CONCATENATE("          ", "6399", " - ", "DONATION-ON CAMPUS")</f>
        <v xml:space="preserve">          6399 - DONATION-ON CAMPUS</v>
      </c>
      <c r="C45" s="11"/>
      <c r="D45" s="7"/>
      <c r="E45" s="2"/>
      <c r="F45" s="6">
        <f t="shared" si="24"/>
        <v>0</v>
      </c>
      <c r="G45" s="2"/>
      <c r="H45" s="7"/>
      <c r="I45" s="2"/>
      <c r="J45" s="6">
        <f t="shared" si="25"/>
        <v>0</v>
      </c>
      <c r="K45" s="2"/>
      <c r="L45" s="7">
        <f t="shared" si="26"/>
        <v>0</v>
      </c>
      <c r="M45" s="2"/>
      <c r="N45" s="6">
        <f t="shared" si="27"/>
        <v>0</v>
      </c>
      <c r="O45" s="11"/>
      <c r="P45" s="7">
        <v>163.68</v>
      </c>
      <c r="Q45" s="2"/>
      <c r="R45" s="6">
        <f t="shared" si="28"/>
        <v>0</v>
      </c>
      <c r="S45" s="2"/>
      <c r="T45" s="7">
        <v>876.48</v>
      </c>
      <c r="U45" s="2"/>
      <c r="V45" s="6">
        <f t="shared" si="29"/>
        <v>0</v>
      </c>
      <c r="W45" s="2"/>
      <c r="X45" s="7">
        <f t="shared" si="30"/>
        <v>-712.8</v>
      </c>
      <c r="Y45" s="2"/>
      <c r="Z45" s="6">
        <f t="shared" si="31"/>
        <v>-0.81325301204819267</v>
      </c>
    </row>
    <row r="46" spans="1:26" s="25" customFormat="1" outlineLevel="1" collapsed="1" x14ac:dyDescent="0.35">
      <c r="A46" s="26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319.88</v>
      </c>
      <c r="I46" s="1"/>
      <c r="J46" s="5">
        <f t="shared" si="25"/>
        <v>0</v>
      </c>
      <c r="K46" s="1"/>
      <c r="L46" s="1">
        <f t="shared" si="26"/>
        <v>-319.88</v>
      </c>
      <c r="M46" s="1"/>
      <c r="N46" s="5">
        <f t="shared" si="27"/>
        <v>-1</v>
      </c>
      <c r="O46" s="12"/>
      <c r="P46" s="1">
        <f>SUM(OSRRefP22_6x_0)</f>
        <v>502.38</v>
      </c>
      <c r="Q46" s="1"/>
      <c r="R46" s="5">
        <f t="shared" si="28"/>
        <v>0</v>
      </c>
      <c r="S46" s="1"/>
      <c r="T46" s="1">
        <f>SUM(OSRRefT22_6x_0)</f>
        <v>2346.0300000000002</v>
      </c>
      <c r="U46" s="1"/>
      <c r="V46" s="5">
        <f t="shared" si="29"/>
        <v>0</v>
      </c>
      <c r="W46" s="1"/>
      <c r="X46" s="1">
        <f t="shared" si="30"/>
        <v>-1843.65</v>
      </c>
      <c r="Y46" s="1"/>
      <c r="Z46" s="5">
        <f t="shared" si="31"/>
        <v>-0.78585951586296843</v>
      </c>
    </row>
    <row r="47" spans="1:26" s="24" customFormat="1" hidden="1" outlineLevel="2" x14ac:dyDescent="0.3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4"/>
        <v>0</v>
      </c>
      <c r="G47" s="2"/>
      <c r="H47" s="7">
        <v>319.88</v>
      </c>
      <c r="I47" s="2"/>
      <c r="J47" s="6">
        <f t="shared" si="25"/>
        <v>0</v>
      </c>
      <c r="K47" s="2"/>
      <c r="L47" s="7">
        <f t="shared" si="26"/>
        <v>-319.88</v>
      </c>
      <c r="M47" s="2"/>
      <c r="N47" s="6">
        <f t="shared" si="27"/>
        <v>-1</v>
      </c>
      <c r="O47" s="11"/>
      <c r="P47" s="7">
        <v>502.38</v>
      </c>
      <c r="Q47" s="2"/>
      <c r="R47" s="6">
        <f t="shared" si="28"/>
        <v>0</v>
      </c>
      <c r="S47" s="2"/>
      <c r="T47" s="7">
        <v>2346.0300000000002</v>
      </c>
      <c r="U47" s="2"/>
      <c r="V47" s="6">
        <f t="shared" si="29"/>
        <v>0</v>
      </c>
      <c r="W47" s="2"/>
      <c r="X47" s="7">
        <f t="shared" si="30"/>
        <v>-1843.65</v>
      </c>
      <c r="Y47" s="2"/>
      <c r="Z47" s="6">
        <f t="shared" si="31"/>
        <v>-0.78585951586296843</v>
      </c>
    </row>
    <row r="48" spans="1:26" s="25" customFormat="1" outlineLevel="1" collapsed="1" x14ac:dyDescent="0.35">
      <c r="A48" s="26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1412.74</v>
      </c>
      <c r="E48" s="1"/>
      <c r="F48" s="5">
        <f t="shared" si="24"/>
        <v>0</v>
      </c>
      <c r="G48" s="1"/>
      <c r="H48" s="1">
        <f>SUM(OSRRefH22_7x_0)</f>
        <v>1139.48</v>
      </c>
      <c r="I48" s="1"/>
      <c r="J48" s="5">
        <f t="shared" si="25"/>
        <v>0</v>
      </c>
      <c r="K48" s="1"/>
      <c r="L48" s="1">
        <f t="shared" si="26"/>
        <v>273.26</v>
      </c>
      <c r="M48" s="1"/>
      <c r="N48" s="5">
        <f t="shared" si="27"/>
        <v>0.23981114192438654</v>
      </c>
      <c r="O48" s="12"/>
      <c r="P48" s="1">
        <f>SUM(OSRRefP22_7x_0)</f>
        <v>12510.09</v>
      </c>
      <c r="Q48" s="1"/>
      <c r="R48" s="5">
        <f t="shared" si="28"/>
        <v>0</v>
      </c>
      <c r="S48" s="1"/>
      <c r="T48" s="1">
        <f>SUM(OSRRefT22_7x_0)</f>
        <v>12095.65</v>
      </c>
      <c r="U48" s="1"/>
      <c r="V48" s="5">
        <f t="shared" si="29"/>
        <v>0</v>
      </c>
      <c r="W48" s="1"/>
      <c r="X48" s="1">
        <f t="shared" si="30"/>
        <v>414.44000000000051</v>
      </c>
      <c r="Y48" s="1"/>
      <c r="Z48" s="5">
        <f t="shared" si="31"/>
        <v>3.4263557559949281E-2</v>
      </c>
    </row>
    <row r="49" spans="1:26" s="24" customFormat="1" hidden="1" outlineLevel="2" x14ac:dyDescent="0.35">
      <c r="A49" s="27"/>
      <c r="B49" s="11" t="str">
        <f>CONCATENATE("          ", "6351", " - ", "EQUIPMENT RENTAL")</f>
        <v xml:space="preserve">          6351 - EQUIPMENT RENTAL</v>
      </c>
      <c r="C49" s="11"/>
      <c r="D49" s="7">
        <v>1412.74</v>
      </c>
      <c r="E49" s="2"/>
      <c r="F49" s="6">
        <f t="shared" si="24"/>
        <v>0</v>
      </c>
      <c r="G49" s="2"/>
      <c r="H49" s="7">
        <v>1139.48</v>
      </c>
      <c r="I49" s="2"/>
      <c r="J49" s="6">
        <f t="shared" si="25"/>
        <v>0</v>
      </c>
      <c r="K49" s="2"/>
      <c r="L49" s="7">
        <f t="shared" si="26"/>
        <v>273.26</v>
      </c>
      <c r="M49" s="2"/>
      <c r="N49" s="6">
        <f t="shared" si="27"/>
        <v>0.23981114192438654</v>
      </c>
      <c r="O49" s="11"/>
      <c r="P49" s="7">
        <v>12510.09</v>
      </c>
      <c r="Q49" s="2"/>
      <c r="R49" s="6">
        <f t="shared" si="28"/>
        <v>0</v>
      </c>
      <c r="S49" s="2"/>
      <c r="T49" s="7">
        <v>12095.65</v>
      </c>
      <c r="U49" s="2"/>
      <c r="V49" s="6">
        <f t="shared" si="29"/>
        <v>0</v>
      </c>
      <c r="W49" s="2"/>
      <c r="X49" s="7">
        <f t="shared" si="30"/>
        <v>414.44000000000051</v>
      </c>
      <c r="Y49" s="2"/>
      <c r="Z49" s="6">
        <f t="shared" si="31"/>
        <v>3.4263557559949281E-2</v>
      </c>
    </row>
    <row r="50" spans="1:26" s="25" customFormat="1" outlineLevel="1" collapsed="1" x14ac:dyDescent="0.35">
      <c r="A50" s="26"/>
      <c r="B50" s="12" t="str">
        <f>CONCATENATE("     ","Freight out/Postage                               ")</f>
        <v xml:space="preserve">     Freight out/Postage                               </v>
      </c>
      <c r="C50" s="12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2"/>
      <c r="P50" s="1">
        <f>SUM(OSRRefP22_8x_0)</f>
        <v>0.57999999999999996</v>
      </c>
      <c r="Q50" s="1"/>
      <c r="R50" s="5">
        <f t="shared" si="28"/>
        <v>0</v>
      </c>
      <c r="S50" s="1"/>
      <c r="T50" s="1">
        <f>SUM(OSRRefT22_8x_0)</f>
        <v>9.01</v>
      </c>
      <c r="U50" s="1"/>
      <c r="V50" s="5">
        <f t="shared" si="29"/>
        <v>0</v>
      </c>
      <c r="W50" s="1"/>
      <c r="X50" s="1">
        <f t="shared" si="30"/>
        <v>-8.43</v>
      </c>
      <c r="Y50" s="1"/>
      <c r="Z50" s="5">
        <f t="shared" si="31"/>
        <v>-0.93562708102108771</v>
      </c>
    </row>
    <row r="51" spans="1:26" s="24" customFormat="1" hidden="1" outlineLevel="2" x14ac:dyDescent="0.35">
      <c r="A51" s="27"/>
      <c r="B51" s="11" t="str">
        <f>CONCATENATE("          ", "6307", " - ", "POSTAGE")</f>
        <v xml:space="preserve">          6307 - POSTAGE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0.57999999999999996</v>
      </c>
      <c r="Q51" s="2"/>
      <c r="R51" s="6">
        <f t="shared" si="28"/>
        <v>0</v>
      </c>
      <c r="S51" s="2"/>
      <c r="T51" s="7">
        <v>9.01</v>
      </c>
      <c r="U51" s="2"/>
      <c r="V51" s="6">
        <f t="shared" si="29"/>
        <v>0</v>
      </c>
      <c r="W51" s="2"/>
      <c r="X51" s="7">
        <f t="shared" si="30"/>
        <v>-8.43</v>
      </c>
      <c r="Y51" s="2"/>
      <c r="Z51" s="6">
        <f t="shared" si="31"/>
        <v>-0.93562708102108771</v>
      </c>
    </row>
    <row r="52" spans="1:26" s="25" customFormat="1" outlineLevel="1" collapsed="1" x14ac:dyDescent="0.35">
      <c r="A52" s="26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SUM(OSRRefD22_9x_0)</f>
        <v>0</v>
      </c>
      <c r="E52" s="1"/>
      <c r="F52" s="5">
        <f t="shared" si="24"/>
        <v>0</v>
      </c>
      <c r="G52" s="1"/>
      <c r="H52" s="1">
        <f>SUM(OSRRefH22_9x_0)</f>
        <v>0</v>
      </c>
      <c r="I52" s="1"/>
      <c r="J52" s="5">
        <f t="shared" si="25"/>
        <v>0</v>
      </c>
      <c r="K52" s="1"/>
      <c r="L52" s="1">
        <f t="shared" si="26"/>
        <v>0</v>
      </c>
      <c r="M52" s="1"/>
      <c r="N52" s="5">
        <f t="shared" si="27"/>
        <v>0</v>
      </c>
      <c r="O52" s="12"/>
      <c r="P52" s="1">
        <f>SUM(OSRRefP22_9x_0)</f>
        <v>23322.710000000003</v>
      </c>
      <c r="Q52" s="1"/>
      <c r="R52" s="5">
        <f t="shared" si="28"/>
        <v>0</v>
      </c>
      <c r="S52" s="1"/>
      <c r="T52" s="1">
        <f>SUM(OSRRefT22_9x_0)</f>
        <v>5080.82</v>
      </c>
      <c r="U52" s="1"/>
      <c r="V52" s="5">
        <f t="shared" si="29"/>
        <v>0</v>
      </c>
      <c r="W52" s="1"/>
      <c r="X52" s="1">
        <f t="shared" si="30"/>
        <v>18241.890000000003</v>
      </c>
      <c r="Y52" s="1"/>
      <c r="Z52" s="5">
        <f t="shared" si="31"/>
        <v>3.5903436846808199</v>
      </c>
    </row>
    <row r="53" spans="1:26" s="24" customFormat="1" hidden="1" outlineLevel="2" x14ac:dyDescent="0.35">
      <c r="A53" s="27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24"/>
        <v>0</v>
      </c>
      <c r="G53" s="2"/>
      <c r="H53" s="7"/>
      <c r="I53" s="2"/>
      <c r="J53" s="6">
        <f t="shared" si="25"/>
        <v>0</v>
      </c>
      <c r="K53" s="2"/>
      <c r="L53" s="7">
        <f t="shared" si="26"/>
        <v>0</v>
      </c>
      <c r="M53" s="2"/>
      <c r="N53" s="6">
        <f t="shared" si="27"/>
        <v>0</v>
      </c>
      <c r="O53" s="11"/>
      <c r="P53" s="7">
        <v>23322.710000000003</v>
      </c>
      <c r="Q53" s="2"/>
      <c r="R53" s="6">
        <f t="shared" si="28"/>
        <v>0</v>
      </c>
      <c r="S53" s="2"/>
      <c r="T53" s="7">
        <v>5080.82</v>
      </c>
      <c r="U53" s="2"/>
      <c r="V53" s="6">
        <f t="shared" si="29"/>
        <v>0</v>
      </c>
      <c r="W53" s="2"/>
      <c r="X53" s="7">
        <f t="shared" si="30"/>
        <v>18241.890000000003</v>
      </c>
      <c r="Y53" s="2"/>
      <c r="Z53" s="6">
        <f t="shared" si="31"/>
        <v>3.5903436846808199</v>
      </c>
    </row>
    <row r="54" spans="1:26" s="25" customFormat="1" outlineLevel="1" collapsed="1" x14ac:dyDescent="0.35">
      <c r="A54" s="26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SUM(OSRRefD22_10x_0)</f>
        <v>3598.85</v>
      </c>
      <c r="E54" s="1"/>
      <c r="F54" s="5">
        <f t="shared" si="24"/>
        <v>0</v>
      </c>
      <c r="G54" s="1"/>
      <c r="H54" s="1">
        <f>SUM(OSRRefH22_10x_0)</f>
        <v>3389.02</v>
      </c>
      <c r="I54" s="1"/>
      <c r="J54" s="5">
        <f t="shared" si="25"/>
        <v>0</v>
      </c>
      <c r="K54" s="1"/>
      <c r="L54" s="1">
        <f t="shared" si="26"/>
        <v>209.82999999999993</v>
      </c>
      <c r="M54" s="1"/>
      <c r="N54" s="5">
        <f t="shared" si="27"/>
        <v>6.191465379372206E-2</v>
      </c>
      <c r="O54" s="12"/>
      <c r="P54" s="1">
        <f>SUM(OSRRefP22_10x_0)</f>
        <v>48947.199999999997</v>
      </c>
      <c r="Q54" s="1"/>
      <c r="R54" s="5">
        <f t="shared" si="28"/>
        <v>0</v>
      </c>
      <c r="S54" s="1"/>
      <c r="T54" s="1">
        <f>SUM(OSRRefT22_10x_0)</f>
        <v>39230.899999999994</v>
      </c>
      <c r="U54" s="1"/>
      <c r="V54" s="5">
        <f t="shared" si="29"/>
        <v>0</v>
      </c>
      <c r="W54" s="1"/>
      <c r="X54" s="1">
        <f t="shared" si="30"/>
        <v>9716.3000000000029</v>
      </c>
      <c r="Y54" s="1"/>
      <c r="Z54" s="5">
        <f t="shared" si="31"/>
        <v>0.24766956659164088</v>
      </c>
    </row>
    <row r="55" spans="1:26" s="24" customFormat="1" hidden="1" outlineLevel="2" x14ac:dyDescent="0.35">
      <c r="A55" s="27"/>
      <c r="B55" s="11" t="str">
        <f>CONCATENATE("          ", "6314", " - ", "LIABILITY INSURANCE")</f>
        <v xml:space="preserve">          6314 - LIABILITY INSURANCE</v>
      </c>
      <c r="C55" s="11"/>
      <c r="D55" s="7">
        <v>3598.85</v>
      </c>
      <c r="E55" s="2"/>
      <c r="F55" s="6">
        <f t="shared" si="24"/>
        <v>0</v>
      </c>
      <c r="G55" s="2"/>
      <c r="H55" s="7">
        <v>3389.02</v>
      </c>
      <c r="I55" s="2"/>
      <c r="J55" s="6">
        <f t="shared" si="25"/>
        <v>0</v>
      </c>
      <c r="K55" s="2"/>
      <c r="L55" s="7">
        <f t="shared" si="26"/>
        <v>209.82999999999993</v>
      </c>
      <c r="M55" s="2"/>
      <c r="N55" s="6">
        <f t="shared" si="27"/>
        <v>6.191465379372206E-2</v>
      </c>
      <c r="O55" s="11"/>
      <c r="P55" s="7">
        <v>48947.199999999997</v>
      </c>
      <c r="Q55" s="2"/>
      <c r="R55" s="6">
        <f t="shared" si="28"/>
        <v>0</v>
      </c>
      <c r="S55" s="2"/>
      <c r="T55" s="7">
        <v>39230.899999999994</v>
      </c>
      <c r="U55" s="2"/>
      <c r="V55" s="6">
        <f t="shared" si="29"/>
        <v>0</v>
      </c>
      <c r="W55" s="2"/>
      <c r="X55" s="7">
        <f t="shared" si="30"/>
        <v>9716.3000000000029</v>
      </c>
      <c r="Y55" s="2"/>
      <c r="Z55" s="6">
        <f t="shared" si="31"/>
        <v>0.24766956659164088</v>
      </c>
    </row>
    <row r="56" spans="1:26" s="25" customFormat="1" outlineLevel="1" collapsed="1" x14ac:dyDescent="0.35">
      <c r="A56" s="26"/>
      <c r="B56" s="12" t="str">
        <f>CONCATENATE("     ","Professional Services                             ")</f>
        <v xml:space="preserve">     Professional Services                             </v>
      </c>
      <c r="C56" s="12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2"/>
      <c r="P56" s="1">
        <f>SUM(OSRRefP22_11x_0)</f>
        <v>125</v>
      </c>
      <c r="Q56" s="1"/>
      <c r="R56" s="5">
        <f t="shared" si="28"/>
        <v>0</v>
      </c>
      <c r="S56" s="1"/>
      <c r="T56" s="1">
        <f>SUM(OSRRefT22_11x_0)</f>
        <v>0</v>
      </c>
      <c r="U56" s="1"/>
      <c r="V56" s="5">
        <f t="shared" si="29"/>
        <v>0</v>
      </c>
      <c r="W56" s="1"/>
      <c r="X56" s="1">
        <f t="shared" si="30"/>
        <v>125</v>
      </c>
      <c r="Y56" s="1"/>
      <c r="Z56" s="5">
        <f t="shared" si="31"/>
        <v>0</v>
      </c>
    </row>
    <row r="57" spans="1:26" s="24" customFormat="1" hidden="1" outlineLevel="2" x14ac:dyDescent="0.35">
      <c r="A57" s="27"/>
      <c r="B57" s="11" t="str">
        <f>CONCATENATE("          ", "6336", " - ", "PROFESSIONAL SERVICES")</f>
        <v xml:space="preserve">          6336 - PROFESSIONAL SERVICES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>
        <v>125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125</v>
      </c>
      <c r="Y57" s="2"/>
      <c r="Z57" s="6">
        <f t="shared" si="31"/>
        <v>0</v>
      </c>
    </row>
    <row r="58" spans="1:26" s="25" customFormat="1" outlineLevel="1" collapsed="1" x14ac:dyDescent="0.35">
      <c r="A58" s="26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SUM(OSRRefD22_12x_0)</f>
        <v>5088.33</v>
      </c>
      <c r="E58" s="1"/>
      <c r="F58" s="5">
        <f t="shared" si="24"/>
        <v>0</v>
      </c>
      <c r="G58" s="1"/>
      <c r="H58" s="1">
        <f>SUM(OSRRefH22_12x_0)</f>
        <v>12417.279999999999</v>
      </c>
      <c r="I58" s="1"/>
      <c r="J58" s="5">
        <f t="shared" si="25"/>
        <v>0</v>
      </c>
      <c r="K58" s="1"/>
      <c r="L58" s="1">
        <f t="shared" si="26"/>
        <v>-7328.9499999999989</v>
      </c>
      <c r="M58" s="1"/>
      <c r="N58" s="5">
        <f t="shared" si="27"/>
        <v>-0.59022185212864653</v>
      </c>
      <c r="O58" s="12"/>
      <c r="P58" s="1">
        <f>SUM(OSRRefP22_12x_0)</f>
        <v>123729.67</v>
      </c>
      <c r="Q58" s="1"/>
      <c r="R58" s="5">
        <f t="shared" si="28"/>
        <v>0</v>
      </c>
      <c r="S58" s="1"/>
      <c r="T58" s="1">
        <f>SUM(OSRRefT22_12x_0)</f>
        <v>174404.15000000002</v>
      </c>
      <c r="U58" s="1"/>
      <c r="V58" s="5">
        <f t="shared" si="29"/>
        <v>0</v>
      </c>
      <c r="W58" s="1"/>
      <c r="X58" s="1">
        <f t="shared" si="30"/>
        <v>-50674.480000000025</v>
      </c>
      <c r="Y58" s="1"/>
      <c r="Z58" s="5">
        <f t="shared" si="31"/>
        <v>-0.29055776482383028</v>
      </c>
    </row>
    <row r="59" spans="1:26" s="24" customFormat="1" hidden="1" outlineLevel="2" x14ac:dyDescent="0.3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24"/>
        <v>0</v>
      </c>
      <c r="G59" s="2"/>
      <c r="H59" s="7"/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/>
      <c r="Q59" s="2"/>
      <c r="R59" s="6">
        <f t="shared" si="28"/>
        <v>0</v>
      </c>
      <c r="S59" s="2"/>
      <c r="T59" s="7">
        <v>16463.21</v>
      </c>
      <c r="U59" s="2"/>
      <c r="V59" s="6">
        <f t="shared" si="29"/>
        <v>0</v>
      </c>
      <c r="W59" s="2"/>
      <c r="X59" s="7">
        <f t="shared" si="30"/>
        <v>-16463.21</v>
      </c>
      <c r="Y59" s="2"/>
      <c r="Z59" s="6">
        <f t="shared" si="31"/>
        <v>-1</v>
      </c>
    </row>
    <row r="60" spans="1:26" s="24" customFormat="1" hidden="1" outlineLevel="2" x14ac:dyDescent="0.35">
      <c r="A60" s="27"/>
      <c r="B60" s="11" t="str">
        <f>CONCATENATE("          ", "6372", " - ", "COMPUTER HARDWARE MAINTENANCE")</f>
        <v xml:space="preserve">          6372 - COMPUTER HARDWARE MAINTENANCE</v>
      </c>
      <c r="C60" s="11"/>
      <c r="D60" s="7"/>
      <c r="E60" s="2"/>
      <c r="F60" s="6">
        <f t="shared" si="24"/>
        <v>0</v>
      </c>
      <c r="G60" s="2"/>
      <c r="H60" s="7"/>
      <c r="I60" s="2"/>
      <c r="J60" s="6">
        <f t="shared" si="25"/>
        <v>0</v>
      </c>
      <c r="K60" s="2"/>
      <c r="L60" s="7">
        <f t="shared" si="26"/>
        <v>0</v>
      </c>
      <c r="M60" s="2"/>
      <c r="N60" s="6">
        <f t="shared" si="27"/>
        <v>0</v>
      </c>
      <c r="O60" s="11"/>
      <c r="P60" s="7">
        <v>8142.88</v>
      </c>
      <c r="Q60" s="2"/>
      <c r="R60" s="6">
        <f t="shared" si="28"/>
        <v>0</v>
      </c>
      <c r="S60" s="2"/>
      <c r="T60" s="7"/>
      <c r="U60" s="2"/>
      <c r="V60" s="6">
        <f t="shared" si="29"/>
        <v>0</v>
      </c>
      <c r="W60" s="2"/>
      <c r="X60" s="7">
        <f t="shared" si="30"/>
        <v>8142.88</v>
      </c>
      <c r="Y60" s="2"/>
      <c r="Z60" s="6">
        <f t="shared" si="31"/>
        <v>0</v>
      </c>
    </row>
    <row r="61" spans="1:26" s="24" customFormat="1" hidden="1" outlineLevel="2" x14ac:dyDescent="0.35">
      <c r="A61" s="27"/>
      <c r="B61" s="11" t="str">
        <f>CONCATENATE("          ", "6373", " - ", "MAINTENANCE CONTRACTS")</f>
        <v xml:space="preserve">          6373 - MAINTENANCE CONTRACTS</v>
      </c>
      <c r="C61" s="11"/>
      <c r="D61" s="7">
        <v>5088.33</v>
      </c>
      <c r="E61" s="2"/>
      <c r="F61" s="6">
        <f t="shared" si="24"/>
        <v>0</v>
      </c>
      <c r="G61" s="2"/>
      <c r="H61" s="7">
        <v>5094.79</v>
      </c>
      <c r="I61" s="2"/>
      <c r="J61" s="6">
        <f t="shared" si="25"/>
        <v>0</v>
      </c>
      <c r="K61" s="2"/>
      <c r="L61" s="7">
        <f t="shared" si="26"/>
        <v>-6.4600000000000364</v>
      </c>
      <c r="M61" s="2"/>
      <c r="N61" s="6">
        <f t="shared" si="27"/>
        <v>-1.2679619768430175E-3</v>
      </c>
      <c r="O61" s="11"/>
      <c r="P61" s="7">
        <v>68724.569999999992</v>
      </c>
      <c r="Q61" s="2"/>
      <c r="R61" s="6">
        <f t="shared" si="28"/>
        <v>0</v>
      </c>
      <c r="S61" s="2"/>
      <c r="T61" s="7">
        <v>94563.61</v>
      </c>
      <c r="U61" s="2"/>
      <c r="V61" s="6">
        <f t="shared" si="29"/>
        <v>0</v>
      </c>
      <c r="W61" s="2"/>
      <c r="X61" s="7">
        <f t="shared" si="30"/>
        <v>-25839.040000000008</v>
      </c>
      <c r="Y61" s="2"/>
      <c r="Z61" s="6">
        <f t="shared" si="31"/>
        <v>-0.27324506752650418</v>
      </c>
    </row>
    <row r="62" spans="1:26" s="24" customFormat="1" hidden="1" outlineLevel="2" x14ac:dyDescent="0.3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24"/>
        <v>0</v>
      </c>
      <c r="G62" s="2"/>
      <c r="H62" s="7">
        <v>7322.49</v>
      </c>
      <c r="I62" s="2"/>
      <c r="J62" s="6">
        <f t="shared" si="25"/>
        <v>0</v>
      </c>
      <c r="K62" s="2"/>
      <c r="L62" s="7">
        <f t="shared" si="26"/>
        <v>-7322.49</v>
      </c>
      <c r="M62" s="2"/>
      <c r="N62" s="6">
        <f t="shared" si="27"/>
        <v>-1</v>
      </c>
      <c r="O62" s="11"/>
      <c r="P62" s="7">
        <v>46862.22</v>
      </c>
      <c r="Q62" s="2"/>
      <c r="R62" s="6">
        <f t="shared" si="28"/>
        <v>0</v>
      </c>
      <c r="S62" s="2"/>
      <c r="T62" s="7">
        <v>63377.33</v>
      </c>
      <c r="U62" s="2"/>
      <c r="V62" s="6">
        <f t="shared" si="29"/>
        <v>0</v>
      </c>
      <c r="W62" s="2"/>
      <c r="X62" s="7">
        <f t="shared" si="30"/>
        <v>-16515.11</v>
      </c>
      <c r="Y62" s="2"/>
      <c r="Z62" s="6">
        <f t="shared" si="31"/>
        <v>-0.26058387123597665</v>
      </c>
    </row>
    <row r="63" spans="1:26" s="25" customFormat="1" outlineLevel="1" collapsed="1" x14ac:dyDescent="0.35">
      <c r="A63" s="26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SUM(OSRRefD22_13x_0)</f>
        <v>7377.1600000000008</v>
      </c>
      <c r="E63" s="1"/>
      <c r="F63" s="5">
        <f t="shared" ref="F63:F68" si="32">IF(D$12=0,0,D63/D$12)</f>
        <v>0</v>
      </c>
      <c r="G63" s="1"/>
      <c r="H63" s="1">
        <f>SUM(OSRRefH22_13x_0)</f>
        <v>13456.830000000002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-6079.670000000001</v>
      </c>
      <c r="M63" s="1"/>
      <c r="N63" s="5">
        <f t="shared" ref="N63:N68" si="35">IF(H63=0,0,L63/H63)</f>
        <v>-0.45179065203320545</v>
      </c>
      <c r="O63" s="12"/>
      <c r="P63" s="1">
        <f>SUM(OSRRefP22_13x_0)</f>
        <v>146857.43</v>
      </c>
      <c r="Q63" s="1"/>
      <c r="R63" s="5">
        <f t="shared" ref="R63:R68" si="36">IF(P$12=0,0,P63/P$12)</f>
        <v>0</v>
      </c>
      <c r="S63" s="1"/>
      <c r="T63" s="1">
        <f>SUM(OSRRefT22_13x_0)</f>
        <v>176987.21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-30129.78</v>
      </c>
      <c r="Y63" s="1"/>
      <c r="Z63" s="5">
        <f t="shared" ref="Z63:Z68" si="39">IF(T63=0,0,X63/T63)</f>
        <v>-0.17023704707249751</v>
      </c>
    </row>
    <row r="64" spans="1:26" s="24" customFormat="1" hidden="1" outlineLevel="2" x14ac:dyDescent="0.3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1252.52</v>
      </c>
      <c r="E64" s="2"/>
      <c r="F64" s="6">
        <f t="shared" si="32"/>
        <v>0</v>
      </c>
      <c r="G64" s="2"/>
      <c r="H64" s="7"/>
      <c r="I64" s="2"/>
      <c r="J64" s="6">
        <f t="shared" si="33"/>
        <v>0</v>
      </c>
      <c r="K64" s="2"/>
      <c r="L64" s="7">
        <f t="shared" si="34"/>
        <v>1252.52</v>
      </c>
      <c r="M64" s="2"/>
      <c r="N64" s="6">
        <f t="shared" si="35"/>
        <v>0</v>
      </c>
      <c r="O64" s="11"/>
      <c r="P64" s="7">
        <v>7515.12</v>
      </c>
      <c r="Q64" s="2"/>
      <c r="R64" s="6">
        <f t="shared" si="36"/>
        <v>0</v>
      </c>
      <c r="S64" s="2"/>
      <c r="T64" s="7">
        <v>6888.86</v>
      </c>
      <c r="U64" s="2"/>
      <c r="V64" s="6">
        <f t="shared" si="37"/>
        <v>0</v>
      </c>
      <c r="W64" s="2"/>
      <c r="X64" s="7">
        <f t="shared" si="38"/>
        <v>626.26000000000022</v>
      </c>
      <c r="Y64" s="2"/>
      <c r="Z64" s="6">
        <f t="shared" si="39"/>
        <v>9.0909090909090939E-2</v>
      </c>
    </row>
    <row r="65" spans="1:26" s="24" customFormat="1" hidden="1" outlineLevel="2" x14ac:dyDescent="0.35">
      <c r="A65" s="27"/>
      <c r="B65" s="11" t="str">
        <f>CONCATENATE("          ", "6283", " - ", "PLANT SERVICE")</f>
        <v xml:space="preserve">          6283 - PLANT SERVICE</v>
      </c>
      <c r="C65" s="11"/>
      <c r="D65" s="7"/>
      <c r="E65" s="2"/>
      <c r="F65" s="6">
        <f t="shared" si="32"/>
        <v>0</v>
      </c>
      <c r="G65" s="2"/>
      <c r="H65" s="7">
        <v>35.53</v>
      </c>
      <c r="I65" s="2"/>
      <c r="J65" s="6">
        <f t="shared" si="33"/>
        <v>0</v>
      </c>
      <c r="K65" s="2"/>
      <c r="L65" s="7">
        <f t="shared" si="34"/>
        <v>-35.53</v>
      </c>
      <c r="M65" s="2"/>
      <c r="N65" s="6">
        <f t="shared" si="35"/>
        <v>-1</v>
      </c>
      <c r="O65" s="11"/>
      <c r="P65" s="7">
        <v>319.77</v>
      </c>
      <c r="Q65" s="2"/>
      <c r="R65" s="6">
        <f t="shared" si="36"/>
        <v>0</v>
      </c>
      <c r="S65" s="2"/>
      <c r="T65" s="7">
        <v>398.53</v>
      </c>
      <c r="U65" s="2"/>
      <c r="V65" s="6">
        <f t="shared" si="37"/>
        <v>0</v>
      </c>
      <c r="W65" s="2"/>
      <c r="X65" s="7">
        <f t="shared" si="38"/>
        <v>-78.759999999999991</v>
      </c>
      <c r="Y65" s="2"/>
      <c r="Z65" s="6">
        <f t="shared" si="39"/>
        <v>-0.19762627656638143</v>
      </c>
    </row>
    <row r="66" spans="1:26" s="24" customFormat="1" hidden="1" outlineLevel="2" x14ac:dyDescent="0.35">
      <c r="A66" s="27"/>
      <c r="B66" s="11" t="str">
        <f>CONCATENATE("          ", "6284", " - ", "TRASH REMOVAL EXPENSE")</f>
        <v xml:space="preserve">          6284 - TRASH REMOVAL EXPENSE</v>
      </c>
      <c r="C66" s="11"/>
      <c r="D66" s="7">
        <v>4252</v>
      </c>
      <c r="E66" s="2"/>
      <c r="F66" s="6">
        <f t="shared" si="32"/>
        <v>0</v>
      </c>
      <c r="G66" s="2"/>
      <c r="H66" s="7">
        <v>3482</v>
      </c>
      <c r="I66" s="2"/>
      <c r="J66" s="6">
        <f t="shared" si="33"/>
        <v>0</v>
      </c>
      <c r="K66" s="2"/>
      <c r="L66" s="7">
        <f t="shared" si="34"/>
        <v>770</v>
      </c>
      <c r="M66" s="2"/>
      <c r="N66" s="6">
        <f t="shared" si="35"/>
        <v>0.22113727742676623</v>
      </c>
      <c r="O66" s="11"/>
      <c r="P66" s="7">
        <v>43261</v>
      </c>
      <c r="Q66" s="2"/>
      <c r="R66" s="6">
        <f t="shared" si="36"/>
        <v>0</v>
      </c>
      <c r="S66" s="2"/>
      <c r="T66" s="7">
        <v>50183.990000000005</v>
      </c>
      <c r="U66" s="2"/>
      <c r="V66" s="6">
        <f t="shared" si="37"/>
        <v>0</v>
      </c>
      <c r="W66" s="2"/>
      <c r="X66" s="7">
        <f t="shared" si="38"/>
        <v>-6922.9900000000052</v>
      </c>
      <c r="Y66" s="2"/>
      <c r="Z66" s="6">
        <f t="shared" si="39"/>
        <v>-0.13795216362828075</v>
      </c>
    </row>
    <row r="67" spans="1:26" s="24" customFormat="1" hidden="1" outlineLevel="2" x14ac:dyDescent="0.35">
      <c r="A67" s="27"/>
      <c r="B67" s="11" t="str">
        <f>CONCATENATE("          ", "6285", " - ", "JANITORIAL SERVICES")</f>
        <v xml:space="preserve">          6285 - JANITORIAL SERVICES</v>
      </c>
      <c r="C67" s="11"/>
      <c r="D67" s="7">
        <v>1872.64</v>
      </c>
      <c r="E67" s="2"/>
      <c r="F67" s="6">
        <f t="shared" si="32"/>
        <v>0</v>
      </c>
      <c r="G67" s="2"/>
      <c r="H67" s="7">
        <v>9853.51</v>
      </c>
      <c r="I67" s="2"/>
      <c r="J67" s="6">
        <f t="shared" si="33"/>
        <v>0</v>
      </c>
      <c r="K67" s="2"/>
      <c r="L67" s="7">
        <f t="shared" si="34"/>
        <v>-7980.87</v>
      </c>
      <c r="M67" s="2"/>
      <c r="N67" s="6">
        <f t="shared" si="35"/>
        <v>-0.80995198665247203</v>
      </c>
      <c r="O67" s="11"/>
      <c r="P67" s="7">
        <v>95016.71</v>
      </c>
      <c r="Q67" s="2"/>
      <c r="R67" s="6">
        <f t="shared" si="36"/>
        <v>0</v>
      </c>
      <c r="S67" s="2"/>
      <c r="T67" s="7">
        <v>117362.72</v>
      </c>
      <c r="U67" s="2"/>
      <c r="V67" s="6">
        <f t="shared" si="37"/>
        <v>0</v>
      </c>
      <c r="W67" s="2"/>
      <c r="X67" s="7">
        <f t="shared" si="38"/>
        <v>-22346.009999999995</v>
      </c>
      <c r="Y67" s="2"/>
      <c r="Z67" s="6">
        <f t="shared" si="39"/>
        <v>-0.19040126200210761</v>
      </c>
    </row>
    <row r="68" spans="1:26" s="24" customFormat="1" hidden="1" outlineLevel="2" x14ac:dyDescent="0.35">
      <c r="A68" s="27"/>
      <c r="B68" s="11" t="str">
        <f>CONCATENATE("          ", "6286", " - ", "LAUNDRY EXPENSE")</f>
        <v xml:space="preserve">          6286 - LAUNDRY EXPENSE</v>
      </c>
      <c r="C68" s="11"/>
      <c r="D68" s="7"/>
      <c r="E68" s="2"/>
      <c r="F68" s="6">
        <f t="shared" si="32"/>
        <v>0</v>
      </c>
      <c r="G68" s="2"/>
      <c r="H68" s="7">
        <v>85.79</v>
      </c>
      <c r="I68" s="2"/>
      <c r="J68" s="6">
        <f t="shared" si="33"/>
        <v>0</v>
      </c>
      <c r="K68" s="2"/>
      <c r="L68" s="7">
        <f t="shared" si="34"/>
        <v>-85.79</v>
      </c>
      <c r="M68" s="2"/>
      <c r="N68" s="6">
        <f t="shared" si="35"/>
        <v>-1</v>
      </c>
      <c r="O68" s="11"/>
      <c r="P68" s="7">
        <v>744.83</v>
      </c>
      <c r="Q68" s="2"/>
      <c r="R68" s="6">
        <f t="shared" si="36"/>
        <v>0</v>
      </c>
      <c r="S68" s="2"/>
      <c r="T68" s="7">
        <v>2153.11</v>
      </c>
      <c r="U68" s="2"/>
      <c r="V68" s="6">
        <f t="shared" si="37"/>
        <v>0</v>
      </c>
      <c r="W68" s="2"/>
      <c r="X68" s="7">
        <f t="shared" si="38"/>
        <v>-1408.2800000000002</v>
      </c>
      <c r="Y68" s="2"/>
      <c r="Z68" s="6">
        <f t="shared" si="39"/>
        <v>-0.65406783675706315</v>
      </c>
    </row>
    <row r="69" spans="1:26" s="25" customFormat="1" outlineLevel="1" collapsed="1" x14ac:dyDescent="0.35">
      <c r="A69" s="26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SUM(OSRRefD22_14x_0)</f>
        <v>0</v>
      </c>
      <c r="E69" s="1"/>
      <c r="F69" s="5">
        <f t="shared" ref="F69:F71" si="40">IF(D$12=0,0,D69/D$12)</f>
        <v>0</v>
      </c>
      <c r="G69" s="1"/>
      <c r="H69" s="1">
        <f>SUM(OSRRefH22_14x_0)</f>
        <v>0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0</v>
      </c>
      <c r="M69" s="1"/>
      <c r="N69" s="5">
        <f t="shared" ref="N69:N71" si="43">IF(H69=0,0,L69/H69)</f>
        <v>0</v>
      </c>
      <c r="O69" s="12"/>
      <c r="P69" s="1">
        <f>SUM(OSRRefP22_14x_0)</f>
        <v>795</v>
      </c>
      <c r="Q69" s="1"/>
      <c r="R69" s="5">
        <f t="shared" ref="R69:R71" si="44">IF(P$12=0,0,P69/P$12)</f>
        <v>0</v>
      </c>
      <c r="S69" s="1"/>
      <c r="T69" s="1">
        <f>SUM(OSRRefT22_14x_0)</f>
        <v>1182.8399999999999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-387.83999999999992</v>
      </c>
      <c r="Y69" s="1"/>
      <c r="Z69" s="5">
        <f t="shared" ref="Z69:Z71" si="47">IF(T69=0,0,X69/T69)</f>
        <v>-0.32788880998275333</v>
      </c>
    </row>
    <row r="70" spans="1:26" s="24" customFormat="1" hidden="1" outlineLevel="2" x14ac:dyDescent="0.35">
      <c r="A70" s="27"/>
      <c r="B70" s="11" t="str">
        <f>CONCATENATE("          ", "6258", " - ", "MEMBERSHIP DUES")</f>
        <v xml:space="preserve">          6258 - MEMBERSHIP DUES</v>
      </c>
      <c r="C70" s="11"/>
      <c r="D70" s="7"/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>
        <v>795</v>
      </c>
      <c r="Q70" s="2"/>
      <c r="R70" s="6">
        <f t="shared" si="44"/>
        <v>0</v>
      </c>
      <c r="S70" s="2"/>
      <c r="T70" s="7"/>
      <c r="U70" s="2"/>
      <c r="V70" s="6">
        <f t="shared" si="45"/>
        <v>0</v>
      </c>
      <c r="W70" s="2"/>
      <c r="X70" s="7">
        <f t="shared" si="46"/>
        <v>795</v>
      </c>
      <c r="Y70" s="2"/>
      <c r="Z70" s="6">
        <f t="shared" si="47"/>
        <v>0</v>
      </c>
    </row>
    <row r="71" spans="1:26" s="24" customFormat="1" hidden="1" outlineLevel="2" x14ac:dyDescent="0.35">
      <c r="A71" s="27"/>
      <c r="B71" s="11" t="str">
        <f>CONCATENATE("          ", "6275", " - ", "SUBSCRIPTIONS")</f>
        <v xml:space="preserve">          6275 - SUBSCRIPTIONS</v>
      </c>
      <c r="C71" s="11"/>
      <c r="D71" s="7"/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/>
      <c r="Q71" s="2"/>
      <c r="R71" s="6">
        <f t="shared" si="44"/>
        <v>0</v>
      </c>
      <c r="S71" s="2"/>
      <c r="T71" s="7">
        <v>1182.8399999999999</v>
      </c>
      <c r="U71" s="2"/>
      <c r="V71" s="6">
        <f t="shared" si="45"/>
        <v>0</v>
      </c>
      <c r="W71" s="2"/>
      <c r="X71" s="7">
        <f t="shared" si="46"/>
        <v>-1182.8399999999999</v>
      </c>
      <c r="Y71" s="2"/>
      <c r="Z71" s="6">
        <f t="shared" si="47"/>
        <v>-1</v>
      </c>
    </row>
    <row r="72" spans="1:26" s="25" customFormat="1" outlineLevel="1" collapsed="1" x14ac:dyDescent="0.35">
      <c r="A72" s="26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SUM(OSRRefD22_15x_0)</f>
        <v>0</v>
      </c>
      <c r="E72" s="1"/>
      <c r="F72" s="5">
        <f t="shared" ref="F72:F81" si="48">IF(D$12=0,0,D72/D$12)</f>
        <v>0</v>
      </c>
      <c r="G72" s="1"/>
      <c r="H72" s="1">
        <f>SUM(OSRRefH22_15x_0)</f>
        <v>6064.41</v>
      </c>
      <c r="I72" s="1"/>
      <c r="J72" s="5">
        <f t="shared" ref="J72:J81" si="49">IF(H$12=0,0,H72/H$12)</f>
        <v>0</v>
      </c>
      <c r="K72" s="1"/>
      <c r="L72" s="1">
        <f t="shared" ref="L72:L81" si="50">+D72-H72</f>
        <v>-6064.41</v>
      </c>
      <c r="M72" s="1"/>
      <c r="N72" s="5">
        <f t="shared" ref="N72:N81" si="51">IF(H72=0,0,L72/H72)</f>
        <v>-1</v>
      </c>
      <c r="O72" s="12"/>
      <c r="P72" s="1">
        <f>SUM(OSRRefP22_15x_0)</f>
        <v>67950.259999999995</v>
      </c>
      <c r="Q72" s="1"/>
      <c r="R72" s="5">
        <f t="shared" ref="R72:R81" si="52">IF(P$12=0,0,P72/P$12)</f>
        <v>0</v>
      </c>
      <c r="S72" s="1"/>
      <c r="T72" s="1">
        <f>SUM(OSRRefT22_15x_0)</f>
        <v>82375.060000000012</v>
      </c>
      <c r="U72" s="1"/>
      <c r="V72" s="5">
        <f t="shared" ref="V72:V81" si="53">IF(T$12=0,0,T72/T$12)</f>
        <v>0</v>
      </c>
      <c r="W72" s="1"/>
      <c r="X72" s="1">
        <f t="shared" ref="X72:X81" si="54">+P72-T72</f>
        <v>-14424.800000000017</v>
      </c>
      <c r="Y72" s="1"/>
      <c r="Z72" s="5">
        <f t="shared" ref="Z72:Z81" si="55">IF(T72=0,0,X72/T72)</f>
        <v>-0.17511125333322994</v>
      </c>
    </row>
    <row r="73" spans="1:26" s="24" customFormat="1" hidden="1" outlineLevel="2" x14ac:dyDescent="0.35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48"/>
        <v>0</v>
      </c>
      <c r="G73" s="2"/>
      <c r="H73" s="7"/>
      <c r="I73" s="2"/>
      <c r="J73" s="6">
        <f t="shared" si="49"/>
        <v>0</v>
      </c>
      <c r="K73" s="2"/>
      <c r="L73" s="7">
        <f t="shared" si="50"/>
        <v>0</v>
      </c>
      <c r="M73" s="2"/>
      <c r="N73" s="6">
        <f t="shared" si="51"/>
        <v>0</v>
      </c>
      <c r="O73" s="11"/>
      <c r="P73" s="7">
        <v>8480.18</v>
      </c>
      <c r="Q73" s="2"/>
      <c r="R73" s="6">
        <f t="shared" si="52"/>
        <v>0</v>
      </c>
      <c r="S73" s="2"/>
      <c r="T73" s="7">
        <v>732.36</v>
      </c>
      <c r="U73" s="2"/>
      <c r="V73" s="6">
        <f t="shared" si="53"/>
        <v>0</v>
      </c>
      <c r="W73" s="2"/>
      <c r="X73" s="7">
        <f t="shared" si="54"/>
        <v>7747.8200000000006</v>
      </c>
      <c r="Y73" s="2"/>
      <c r="Z73" s="6">
        <f t="shared" si="55"/>
        <v>10.579250641760883</v>
      </c>
    </row>
    <row r="74" spans="1:26" s="24" customFormat="1" hidden="1" outlineLevel="2" x14ac:dyDescent="0.35">
      <c r="A74" s="27"/>
      <c r="B74" s="11" t="str">
        <f>CONCATENATE("          ", "6235", " - ", "COVID-19 EXPENSES")</f>
        <v xml:space="preserve">          6235 - COVID-19 EXPENSES</v>
      </c>
      <c r="C74" s="11"/>
      <c r="D74" s="7"/>
      <c r="E74" s="2"/>
      <c r="F74" s="6">
        <f t="shared" si="48"/>
        <v>0</v>
      </c>
      <c r="G74" s="2"/>
      <c r="H74" s="7"/>
      <c r="I74" s="2"/>
      <c r="J74" s="6">
        <f t="shared" si="49"/>
        <v>0</v>
      </c>
      <c r="K74" s="2"/>
      <c r="L74" s="7">
        <f t="shared" si="50"/>
        <v>0</v>
      </c>
      <c r="M74" s="2"/>
      <c r="N74" s="6">
        <f t="shared" si="51"/>
        <v>0</v>
      </c>
      <c r="O74" s="11"/>
      <c r="P74" s="7">
        <v>1095.08</v>
      </c>
      <c r="Q74" s="2"/>
      <c r="R74" s="6">
        <f t="shared" si="52"/>
        <v>0</v>
      </c>
      <c r="S74" s="2"/>
      <c r="T74" s="7"/>
      <c r="U74" s="2"/>
      <c r="V74" s="6">
        <f t="shared" si="53"/>
        <v>0</v>
      </c>
      <c r="W74" s="2"/>
      <c r="X74" s="7">
        <f t="shared" si="54"/>
        <v>1095.08</v>
      </c>
      <c r="Y74" s="2"/>
      <c r="Z74" s="6">
        <f t="shared" si="55"/>
        <v>0</v>
      </c>
    </row>
    <row r="75" spans="1:26" s="24" customFormat="1" hidden="1" outlineLevel="2" x14ac:dyDescent="0.35">
      <c r="A75" s="27"/>
      <c r="B75" s="11" t="str">
        <f>CONCATENATE("          ", "6237", " - ", "JANITORIAL SUPPLIES")</f>
        <v xml:space="preserve">          6237 - JANITORIAL SUPPLIES</v>
      </c>
      <c r="C75" s="11"/>
      <c r="D75" s="7"/>
      <c r="E75" s="2"/>
      <c r="F75" s="6">
        <f t="shared" si="48"/>
        <v>0</v>
      </c>
      <c r="G75" s="2"/>
      <c r="H75" s="7">
        <v>2823.86</v>
      </c>
      <c r="I75" s="2"/>
      <c r="J75" s="6">
        <f t="shared" si="49"/>
        <v>0</v>
      </c>
      <c r="K75" s="2"/>
      <c r="L75" s="7">
        <f t="shared" si="50"/>
        <v>-2823.86</v>
      </c>
      <c r="M75" s="2"/>
      <c r="N75" s="6">
        <f t="shared" si="51"/>
        <v>-1</v>
      </c>
      <c r="O75" s="11"/>
      <c r="P75" s="7">
        <v>35461.51</v>
      </c>
      <c r="Q75" s="2"/>
      <c r="R75" s="6">
        <f t="shared" si="52"/>
        <v>0</v>
      </c>
      <c r="S75" s="2"/>
      <c r="T75" s="7">
        <v>36101.100000000006</v>
      </c>
      <c r="U75" s="2"/>
      <c r="V75" s="6">
        <f t="shared" si="53"/>
        <v>0</v>
      </c>
      <c r="W75" s="2"/>
      <c r="X75" s="7">
        <f t="shared" si="54"/>
        <v>-639.59000000000378</v>
      </c>
      <c r="Y75" s="2"/>
      <c r="Z75" s="6">
        <f t="shared" si="55"/>
        <v>-1.7716634673181804E-2</v>
      </c>
    </row>
    <row r="76" spans="1:26" s="24" customFormat="1" hidden="1" outlineLevel="2" x14ac:dyDescent="0.35">
      <c r="A76" s="27"/>
      <c r="B76" s="11" t="str">
        <f>CONCATENATE("          ", "6239", " - ", "KITCHEN SUPPLIES")</f>
        <v xml:space="preserve">          6239 - KITCHEN SUPPLIES</v>
      </c>
      <c r="C76" s="11"/>
      <c r="D76" s="7"/>
      <c r="E76" s="2"/>
      <c r="F76" s="6">
        <f t="shared" si="48"/>
        <v>0</v>
      </c>
      <c r="G76" s="2"/>
      <c r="H76" s="7">
        <v>1753.93</v>
      </c>
      <c r="I76" s="2"/>
      <c r="J76" s="6">
        <f t="shared" si="49"/>
        <v>0</v>
      </c>
      <c r="K76" s="2"/>
      <c r="L76" s="7">
        <f t="shared" si="50"/>
        <v>-1753.93</v>
      </c>
      <c r="M76" s="2"/>
      <c r="N76" s="6">
        <f t="shared" si="51"/>
        <v>-1</v>
      </c>
      <c r="O76" s="11"/>
      <c r="P76" s="7">
        <v>18397.89</v>
      </c>
      <c r="Q76" s="2"/>
      <c r="R76" s="6">
        <f t="shared" si="52"/>
        <v>0</v>
      </c>
      <c r="S76" s="2"/>
      <c r="T76" s="7">
        <v>26297</v>
      </c>
      <c r="U76" s="2"/>
      <c r="V76" s="6">
        <f t="shared" si="53"/>
        <v>0</v>
      </c>
      <c r="W76" s="2"/>
      <c r="X76" s="7">
        <f t="shared" si="54"/>
        <v>-7899.1100000000006</v>
      </c>
      <c r="Y76" s="2"/>
      <c r="Z76" s="6">
        <f t="shared" si="55"/>
        <v>-0.30038065178537476</v>
      </c>
    </row>
    <row r="77" spans="1:26" s="24" customFormat="1" hidden="1" outlineLevel="2" x14ac:dyDescent="0.35">
      <c r="A77" s="27"/>
      <c r="B77" s="11" t="str">
        <f>CONCATENATE("          ", "6241", " - ", "OFFICE EXPENSE")</f>
        <v xml:space="preserve">          6241 - OFFICE EXPENSE</v>
      </c>
      <c r="C77" s="11"/>
      <c r="D77" s="7"/>
      <c r="E77" s="2"/>
      <c r="F77" s="6">
        <f t="shared" si="48"/>
        <v>0</v>
      </c>
      <c r="G77" s="2"/>
      <c r="H77" s="7">
        <v>1486.62</v>
      </c>
      <c r="I77" s="2"/>
      <c r="J77" s="6">
        <f t="shared" si="49"/>
        <v>0</v>
      </c>
      <c r="K77" s="2"/>
      <c r="L77" s="7">
        <f t="shared" si="50"/>
        <v>-1486.62</v>
      </c>
      <c r="M77" s="2"/>
      <c r="N77" s="6">
        <f t="shared" si="51"/>
        <v>-1</v>
      </c>
      <c r="O77" s="11"/>
      <c r="P77" s="7">
        <v>2858.28</v>
      </c>
      <c r="Q77" s="2"/>
      <c r="R77" s="6">
        <f t="shared" si="52"/>
        <v>0</v>
      </c>
      <c r="S77" s="2"/>
      <c r="T77" s="7">
        <v>13190.01</v>
      </c>
      <c r="U77" s="2"/>
      <c r="V77" s="6">
        <f t="shared" si="53"/>
        <v>0</v>
      </c>
      <c r="W77" s="2"/>
      <c r="X77" s="7">
        <f t="shared" si="54"/>
        <v>-10331.73</v>
      </c>
      <c r="Y77" s="2"/>
      <c r="Z77" s="6">
        <f t="shared" si="55"/>
        <v>-0.78329963358632781</v>
      </c>
    </row>
    <row r="78" spans="1:26" s="24" customFormat="1" hidden="1" outlineLevel="2" x14ac:dyDescent="0.35">
      <c r="A78" s="27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48"/>
        <v>0</v>
      </c>
      <c r="G78" s="2"/>
      <c r="H78" s="7"/>
      <c r="I78" s="2"/>
      <c r="J78" s="6">
        <f t="shared" si="49"/>
        <v>0</v>
      </c>
      <c r="K78" s="2"/>
      <c r="L78" s="7">
        <f t="shared" si="50"/>
        <v>0</v>
      </c>
      <c r="M78" s="2"/>
      <c r="N78" s="6">
        <f t="shared" si="51"/>
        <v>0</v>
      </c>
      <c r="O78" s="11"/>
      <c r="P78" s="7">
        <v>1027.17</v>
      </c>
      <c r="Q78" s="2"/>
      <c r="R78" s="6">
        <f t="shared" si="52"/>
        <v>0</v>
      </c>
      <c r="S78" s="2"/>
      <c r="T78" s="7">
        <v>4500.3</v>
      </c>
      <c r="U78" s="2"/>
      <c r="V78" s="6">
        <f t="shared" si="53"/>
        <v>0</v>
      </c>
      <c r="W78" s="2"/>
      <c r="X78" s="7">
        <f t="shared" si="54"/>
        <v>-3473.13</v>
      </c>
      <c r="Y78" s="2"/>
      <c r="Z78" s="6">
        <f t="shared" si="55"/>
        <v>-0.77175521631891209</v>
      </c>
    </row>
    <row r="79" spans="1:26" s="24" customFormat="1" hidden="1" outlineLevel="2" x14ac:dyDescent="0.35">
      <c r="A79" s="27"/>
      <c r="B79" s="11" t="str">
        <f>CONCATENATE("          ", "6245", " - ", "PRINTING")</f>
        <v xml:space="preserve">          6245 - PRINTING</v>
      </c>
      <c r="C79" s="11"/>
      <c r="D79" s="7"/>
      <c r="E79" s="2"/>
      <c r="F79" s="6">
        <f t="shared" si="48"/>
        <v>0</v>
      </c>
      <c r="G79" s="2"/>
      <c r="H79" s="7"/>
      <c r="I79" s="2"/>
      <c r="J79" s="6">
        <f t="shared" si="49"/>
        <v>0</v>
      </c>
      <c r="K79" s="2"/>
      <c r="L79" s="7">
        <f t="shared" si="50"/>
        <v>0</v>
      </c>
      <c r="M79" s="2"/>
      <c r="N79" s="6">
        <f t="shared" si="51"/>
        <v>0</v>
      </c>
      <c r="O79" s="11"/>
      <c r="P79" s="7">
        <v>15.99</v>
      </c>
      <c r="Q79" s="2"/>
      <c r="R79" s="6">
        <f t="shared" si="52"/>
        <v>0</v>
      </c>
      <c r="S79" s="2"/>
      <c r="T79" s="7">
        <v>87.11</v>
      </c>
      <c r="U79" s="2"/>
      <c r="V79" s="6">
        <f t="shared" si="53"/>
        <v>0</v>
      </c>
      <c r="W79" s="2"/>
      <c r="X79" s="7">
        <f t="shared" si="54"/>
        <v>-71.12</v>
      </c>
      <c r="Y79" s="2"/>
      <c r="Z79" s="6">
        <f t="shared" si="55"/>
        <v>-0.81643898519113767</v>
      </c>
    </row>
    <row r="80" spans="1:26" s="24" customFormat="1" hidden="1" outlineLevel="2" x14ac:dyDescent="0.35">
      <c r="A80" s="27"/>
      <c r="B80" s="11" t="str">
        <f>CONCATENATE("          ", "6247", " - ", "STORE SUPPLIES")</f>
        <v xml:space="preserve">          6247 - STORE SUPPLIES</v>
      </c>
      <c r="C80" s="11"/>
      <c r="D80" s="7"/>
      <c r="E80" s="2"/>
      <c r="F80" s="6">
        <f t="shared" si="48"/>
        <v>0</v>
      </c>
      <c r="G80" s="2"/>
      <c r="H80" s="7"/>
      <c r="I80" s="2"/>
      <c r="J80" s="6">
        <f t="shared" si="49"/>
        <v>0</v>
      </c>
      <c r="K80" s="2"/>
      <c r="L80" s="7">
        <f t="shared" si="50"/>
        <v>0</v>
      </c>
      <c r="M80" s="2"/>
      <c r="N80" s="6">
        <f t="shared" si="51"/>
        <v>0</v>
      </c>
      <c r="O80" s="11"/>
      <c r="P80" s="7">
        <v>123.68</v>
      </c>
      <c r="Q80" s="2"/>
      <c r="R80" s="6">
        <f t="shared" si="52"/>
        <v>0</v>
      </c>
      <c r="S80" s="2"/>
      <c r="T80" s="7">
        <v>191.55</v>
      </c>
      <c r="U80" s="2"/>
      <c r="V80" s="6">
        <f t="shared" si="53"/>
        <v>0</v>
      </c>
      <c r="W80" s="2"/>
      <c r="X80" s="7">
        <f t="shared" si="54"/>
        <v>-67.87</v>
      </c>
      <c r="Y80" s="2"/>
      <c r="Z80" s="6">
        <f t="shared" si="55"/>
        <v>-0.35432002088227615</v>
      </c>
    </row>
    <row r="81" spans="1:26" s="24" customFormat="1" hidden="1" outlineLevel="2" x14ac:dyDescent="0.35">
      <c r="A81" s="27"/>
      <c r="B81" s="11" t="str">
        <f>CONCATENATE("          ", "6248", " - ", "UNIFORMS")</f>
        <v xml:space="preserve">          6248 - UNIFORMS</v>
      </c>
      <c r="C81" s="11"/>
      <c r="D81" s="7"/>
      <c r="E81" s="2"/>
      <c r="F81" s="6">
        <f t="shared" si="48"/>
        <v>0</v>
      </c>
      <c r="G81" s="2"/>
      <c r="H81" s="7"/>
      <c r="I81" s="2"/>
      <c r="J81" s="6">
        <f t="shared" si="49"/>
        <v>0</v>
      </c>
      <c r="K81" s="2"/>
      <c r="L81" s="7">
        <f t="shared" si="50"/>
        <v>0</v>
      </c>
      <c r="M81" s="2"/>
      <c r="N81" s="6">
        <f t="shared" si="51"/>
        <v>0</v>
      </c>
      <c r="O81" s="11"/>
      <c r="P81" s="7">
        <v>490.48</v>
      </c>
      <c r="Q81" s="2"/>
      <c r="R81" s="6">
        <f t="shared" si="52"/>
        <v>0</v>
      </c>
      <c r="S81" s="2"/>
      <c r="T81" s="7">
        <v>1275.6300000000001</v>
      </c>
      <c r="U81" s="2"/>
      <c r="V81" s="6">
        <f t="shared" si="53"/>
        <v>0</v>
      </c>
      <c r="W81" s="2"/>
      <c r="X81" s="7">
        <f t="shared" si="54"/>
        <v>-785.15000000000009</v>
      </c>
      <c r="Y81" s="2"/>
      <c r="Z81" s="6">
        <f t="shared" si="55"/>
        <v>-0.61549979225951101</v>
      </c>
    </row>
    <row r="82" spans="1:26" s="25" customFormat="1" outlineLevel="1" collapsed="1" x14ac:dyDescent="0.35">
      <c r="A82" s="26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SUM(OSRRefD22_16x_0)</f>
        <v>215.73</v>
      </c>
      <c r="E82" s="1"/>
      <c r="F82" s="5">
        <f t="shared" ref="F82:F89" si="56">IF(D$12=0,0,D82/D$12)</f>
        <v>0</v>
      </c>
      <c r="G82" s="1"/>
      <c r="H82" s="1">
        <f>SUM(OSRRefH22_16x_0)</f>
        <v>498.1</v>
      </c>
      <c r="I82" s="1"/>
      <c r="J82" s="5">
        <f t="shared" ref="J82:J89" si="57">IF(H$12=0,0,H82/H$12)</f>
        <v>0</v>
      </c>
      <c r="K82" s="1"/>
      <c r="L82" s="1">
        <f t="shared" ref="L82:L89" si="58">+D82-H82</f>
        <v>-282.37</v>
      </c>
      <c r="M82" s="1"/>
      <c r="N82" s="5">
        <f t="shared" ref="N82:N89" si="59">IF(H82=0,0,L82/H82)</f>
        <v>-0.5668941979522184</v>
      </c>
      <c r="O82" s="12"/>
      <c r="P82" s="1">
        <f>SUM(OSRRefP22_16x_0)</f>
        <v>5123.67</v>
      </c>
      <c r="Q82" s="1"/>
      <c r="R82" s="5">
        <f t="shared" ref="R82:R89" si="60">IF(P$12=0,0,P82/P$12)</f>
        <v>0</v>
      </c>
      <c r="S82" s="1"/>
      <c r="T82" s="1">
        <f>SUM(OSRRefT22_16x_0)</f>
        <v>5292.55</v>
      </c>
      <c r="U82" s="1"/>
      <c r="V82" s="5">
        <f t="shared" ref="V82:V89" si="61">IF(T$12=0,0,T82/T$12)</f>
        <v>0</v>
      </c>
      <c r="W82" s="1"/>
      <c r="X82" s="1">
        <f t="shared" ref="X82:X89" si="62">+P82-T82</f>
        <v>-168.88000000000011</v>
      </c>
      <c r="Y82" s="1"/>
      <c r="Z82" s="5">
        <f t="shared" ref="Z82:Z89" si="63">IF(T82=0,0,X82/T82)</f>
        <v>-3.1909004166233684E-2</v>
      </c>
    </row>
    <row r="83" spans="1:26" s="24" customFormat="1" hidden="1" outlineLevel="2" x14ac:dyDescent="0.35">
      <c r="A83" s="27"/>
      <c r="B83" s="11" t="str">
        <f>CONCATENATE("          ", "6309", " - ", "TELEPHONE")</f>
        <v xml:space="preserve">          6309 - TELEPHONE</v>
      </c>
      <c r="C83" s="11"/>
      <c r="D83" s="7">
        <v>215.73</v>
      </c>
      <c r="E83" s="2"/>
      <c r="F83" s="6">
        <f t="shared" si="56"/>
        <v>0</v>
      </c>
      <c r="G83" s="2"/>
      <c r="H83" s="7">
        <v>498.1</v>
      </c>
      <c r="I83" s="2"/>
      <c r="J83" s="6">
        <f t="shared" si="57"/>
        <v>0</v>
      </c>
      <c r="K83" s="2"/>
      <c r="L83" s="7">
        <f t="shared" si="58"/>
        <v>-282.37</v>
      </c>
      <c r="M83" s="2"/>
      <c r="N83" s="6">
        <f t="shared" si="59"/>
        <v>-0.5668941979522184</v>
      </c>
      <c r="O83" s="11"/>
      <c r="P83" s="7">
        <v>5123.67</v>
      </c>
      <c r="Q83" s="2"/>
      <c r="R83" s="6">
        <f t="shared" si="60"/>
        <v>0</v>
      </c>
      <c r="S83" s="2"/>
      <c r="T83" s="7">
        <v>5292.55</v>
      </c>
      <c r="U83" s="2"/>
      <c r="V83" s="6">
        <f t="shared" si="61"/>
        <v>0</v>
      </c>
      <c r="W83" s="2"/>
      <c r="X83" s="7">
        <f t="shared" si="62"/>
        <v>-168.88000000000011</v>
      </c>
      <c r="Y83" s="2"/>
      <c r="Z83" s="6">
        <f t="shared" si="63"/>
        <v>-3.1909004166233684E-2</v>
      </c>
    </row>
    <row r="84" spans="1:26" s="25" customFormat="1" outlineLevel="1" collapsed="1" x14ac:dyDescent="0.35">
      <c r="A84" s="26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SUM(OSRRefD22_17x_0)</f>
        <v>0</v>
      </c>
      <c r="E84" s="1"/>
      <c r="F84" s="5">
        <f t="shared" si="56"/>
        <v>0</v>
      </c>
      <c r="G84" s="1"/>
      <c r="H84" s="1">
        <f>SUM(OSRRefH22_17x_0)</f>
        <v>0</v>
      </c>
      <c r="I84" s="1"/>
      <c r="J84" s="5">
        <f t="shared" si="57"/>
        <v>0</v>
      </c>
      <c r="K84" s="1"/>
      <c r="L84" s="1">
        <f t="shared" si="58"/>
        <v>0</v>
      </c>
      <c r="M84" s="1"/>
      <c r="N84" s="5">
        <f t="shared" si="59"/>
        <v>0</v>
      </c>
      <c r="O84" s="12"/>
      <c r="P84" s="1">
        <f>SUM(OSRRefP22_17x_0)</f>
        <v>240</v>
      </c>
      <c r="Q84" s="1"/>
      <c r="R84" s="5">
        <f t="shared" si="60"/>
        <v>0</v>
      </c>
      <c r="S84" s="1"/>
      <c r="T84" s="1">
        <f>SUM(OSRRefT22_17x_0)</f>
        <v>170</v>
      </c>
      <c r="U84" s="1"/>
      <c r="V84" s="5">
        <f t="shared" si="61"/>
        <v>0</v>
      </c>
      <c r="W84" s="1"/>
      <c r="X84" s="1">
        <f t="shared" si="62"/>
        <v>70</v>
      </c>
      <c r="Y84" s="1"/>
      <c r="Z84" s="5">
        <f t="shared" si="63"/>
        <v>0.41176470588235292</v>
      </c>
    </row>
    <row r="85" spans="1:26" s="24" customFormat="1" hidden="1" outlineLevel="2" x14ac:dyDescent="0.35">
      <c r="A85" s="27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56"/>
        <v>0</v>
      </c>
      <c r="G85" s="2"/>
      <c r="H85" s="7"/>
      <c r="I85" s="2"/>
      <c r="J85" s="6">
        <f t="shared" si="57"/>
        <v>0</v>
      </c>
      <c r="K85" s="2"/>
      <c r="L85" s="7">
        <f t="shared" si="58"/>
        <v>0</v>
      </c>
      <c r="M85" s="2"/>
      <c r="N85" s="6">
        <f t="shared" si="59"/>
        <v>0</v>
      </c>
      <c r="O85" s="11"/>
      <c r="P85" s="7">
        <v>240</v>
      </c>
      <c r="Q85" s="2"/>
      <c r="R85" s="6">
        <f t="shared" si="60"/>
        <v>0</v>
      </c>
      <c r="S85" s="2"/>
      <c r="T85" s="7">
        <v>170</v>
      </c>
      <c r="U85" s="2"/>
      <c r="V85" s="6">
        <f t="shared" si="61"/>
        <v>0</v>
      </c>
      <c r="W85" s="2"/>
      <c r="X85" s="7">
        <f t="shared" si="62"/>
        <v>70</v>
      </c>
      <c r="Y85" s="2"/>
      <c r="Z85" s="6">
        <f t="shared" si="63"/>
        <v>0.41176470588235292</v>
      </c>
    </row>
    <row r="86" spans="1:26" s="25" customFormat="1" outlineLevel="1" collapsed="1" x14ac:dyDescent="0.35">
      <c r="A86" s="26"/>
      <c r="B86" s="12" t="str">
        <f>CONCATENATE("     ","Travel                                            ")</f>
        <v xml:space="preserve">     Travel                                            </v>
      </c>
      <c r="C86" s="12"/>
      <c r="D86" s="1">
        <f>SUM(OSRRefD22_18x_0)</f>
        <v>0</v>
      </c>
      <c r="E86" s="1"/>
      <c r="F86" s="5">
        <f t="shared" si="56"/>
        <v>0</v>
      </c>
      <c r="G86" s="1"/>
      <c r="H86" s="1">
        <f>SUM(OSRRefH22_18x_0)</f>
        <v>70.08</v>
      </c>
      <c r="I86" s="1"/>
      <c r="J86" s="5">
        <f t="shared" si="57"/>
        <v>0</v>
      </c>
      <c r="K86" s="1"/>
      <c r="L86" s="1">
        <f t="shared" si="58"/>
        <v>-70.08</v>
      </c>
      <c r="M86" s="1"/>
      <c r="N86" s="5">
        <f t="shared" si="59"/>
        <v>-1</v>
      </c>
      <c r="O86" s="12"/>
      <c r="P86" s="1">
        <f>SUM(OSRRefP22_18x_0)</f>
        <v>2300.86</v>
      </c>
      <c r="Q86" s="1"/>
      <c r="R86" s="5">
        <f t="shared" si="60"/>
        <v>0</v>
      </c>
      <c r="S86" s="1"/>
      <c r="T86" s="1">
        <f>SUM(OSRRefT22_18x_0)</f>
        <v>2856.95</v>
      </c>
      <c r="U86" s="1"/>
      <c r="V86" s="5">
        <f t="shared" si="61"/>
        <v>0</v>
      </c>
      <c r="W86" s="1"/>
      <c r="X86" s="1">
        <f t="shared" si="62"/>
        <v>-556.08999999999969</v>
      </c>
      <c r="Y86" s="1"/>
      <c r="Z86" s="5">
        <f t="shared" si="63"/>
        <v>-0.19464463851309954</v>
      </c>
    </row>
    <row r="87" spans="1:26" s="24" customFormat="1" hidden="1" outlineLevel="2" x14ac:dyDescent="0.35">
      <c r="A87" s="27"/>
      <c r="B87" s="11" t="str">
        <f>CONCATENATE("          ", "6292", " - ", "TRAVEL/CONFERENCE")</f>
        <v xml:space="preserve">          6292 - TRAVEL/CONFERENCE</v>
      </c>
      <c r="C87" s="11"/>
      <c r="D87" s="7"/>
      <c r="E87" s="2"/>
      <c r="F87" s="6">
        <f t="shared" si="56"/>
        <v>0</v>
      </c>
      <c r="G87" s="2"/>
      <c r="H87" s="7"/>
      <c r="I87" s="2"/>
      <c r="J87" s="6">
        <f t="shared" si="57"/>
        <v>0</v>
      </c>
      <c r="K87" s="2"/>
      <c r="L87" s="7">
        <f t="shared" si="58"/>
        <v>0</v>
      </c>
      <c r="M87" s="2"/>
      <c r="N87" s="6">
        <f t="shared" si="59"/>
        <v>0</v>
      </c>
      <c r="O87" s="11"/>
      <c r="P87" s="7">
        <v>966.72</v>
      </c>
      <c r="Q87" s="2"/>
      <c r="R87" s="6">
        <f t="shared" si="60"/>
        <v>0</v>
      </c>
      <c r="S87" s="2"/>
      <c r="T87" s="7">
        <v>1466.67</v>
      </c>
      <c r="U87" s="2"/>
      <c r="V87" s="6">
        <f t="shared" si="61"/>
        <v>0</v>
      </c>
      <c r="W87" s="2"/>
      <c r="X87" s="7">
        <f t="shared" si="62"/>
        <v>-499.95000000000005</v>
      </c>
      <c r="Y87" s="2"/>
      <c r="Z87" s="6">
        <f t="shared" si="63"/>
        <v>-0.34087422528585165</v>
      </c>
    </row>
    <row r="88" spans="1:26" s="24" customFormat="1" hidden="1" outlineLevel="2" x14ac:dyDescent="0.35">
      <c r="A88" s="27"/>
      <c r="B88" s="11" t="str">
        <f>CONCATENATE("          ", "6294", " - ", "TRAVEL OPERATIONAL")</f>
        <v xml:space="preserve">          6294 - TRAVEL OPERATIONAL</v>
      </c>
      <c r="C88" s="11"/>
      <c r="D88" s="7"/>
      <c r="E88" s="2"/>
      <c r="F88" s="6">
        <f t="shared" si="56"/>
        <v>0</v>
      </c>
      <c r="G88" s="2"/>
      <c r="H88" s="7"/>
      <c r="I88" s="2"/>
      <c r="J88" s="6">
        <f t="shared" si="57"/>
        <v>0</v>
      </c>
      <c r="K88" s="2"/>
      <c r="L88" s="7">
        <f t="shared" si="58"/>
        <v>0</v>
      </c>
      <c r="M88" s="2"/>
      <c r="N88" s="6">
        <f t="shared" si="59"/>
        <v>0</v>
      </c>
      <c r="O88" s="11"/>
      <c r="P88" s="7">
        <v>45.49</v>
      </c>
      <c r="Q88" s="2"/>
      <c r="R88" s="6">
        <f t="shared" si="60"/>
        <v>0</v>
      </c>
      <c r="S88" s="2"/>
      <c r="T88" s="7">
        <v>29.49</v>
      </c>
      <c r="U88" s="2"/>
      <c r="V88" s="6">
        <f t="shared" si="61"/>
        <v>0</v>
      </c>
      <c r="W88" s="2"/>
      <c r="X88" s="7">
        <f t="shared" si="62"/>
        <v>16.000000000000004</v>
      </c>
      <c r="Y88" s="2"/>
      <c r="Z88" s="6">
        <f t="shared" si="63"/>
        <v>0.54255679891488651</v>
      </c>
    </row>
    <row r="89" spans="1:26" s="24" customFormat="1" hidden="1" outlineLevel="2" x14ac:dyDescent="0.35">
      <c r="A89" s="27"/>
      <c r="B89" s="11" t="str">
        <f>CONCATENATE("          ", "6298", " - ", "VEHICLE MILEAGE")</f>
        <v xml:space="preserve">          6298 - VEHICLE MILEAGE</v>
      </c>
      <c r="C89" s="11"/>
      <c r="D89" s="7"/>
      <c r="E89" s="2"/>
      <c r="F89" s="6">
        <f t="shared" si="56"/>
        <v>0</v>
      </c>
      <c r="G89" s="2"/>
      <c r="H89" s="7">
        <v>70.08</v>
      </c>
      <c r="I89" s="2"/>
      <c r="J89" s="6">
        <f t="shared" si="57"/>
        <v>0</v>
      </c>
      <c r="K89" s="2"/>
      <c r="L89" s="7">
        <f t="shared" si="58"/>
        <v>-70.08</v>
      </c>
      <c r="M89" s="2"/>
      <c r="N89" s="6">
        <f t="shared" si="59"/>
        <v>-1</v>
      </c>
      <c r="O89" s="11"/>
      <c r="P89" s="7">
        <v>1288.6500000000001</v>
      </c>
      <c r="Q89" s="2"/>
      <c r="R89" s="6">
        <f t="shared" si="60"/>
        <v>0</v>
      </c>
      <c r="S89" s="2"/>
      <c r="T89" s="7">
        <v>1360.79</v>
      </c>
      <c r="U89" s="2"/>
      <c r="V89" s="6">
        <f t="shared" si="61"/>
        <v>0</v>
      </c>
      <c r="W89" s="2"/>
      <c r="X89" s="7">
        <f t="shared" si="62"/>
        <v>-72.139999999999873</v>
      </c>
      <c r="Y89" s="2"/>
      <c r="Z89" s="6">
        <f t="shared" si="63"/>
        <v>-5.3013323143174092E-2</v>
      </c>
    </row>
    <row r="90" spans="1:26" s="25" customFormat="1" outlineLevel="1" collapsed="1" x14ac:dyDescent="0.35">
      <c r="A90" s="26"/>
      <c r="B90" s="12" t="str">
        <f>CONCATENATE("     ","Utilities                                         ")</f>
        <v xml:space="preserve">     Utilities                                         </v>
      </c>
      <c r="C90" s="12"/>
      <c r="D90" s="1">
        <f>SUM(OSRRefD22_19x_0)</f>
        <v>12923</v>
      </c>
      <c r="E90" s="1"/>
      <c r="F90" s="5">
        <f t="shared" ref="F90:F91" si="64">IF(D$12=0,0,D90/D$12)</f>
        <v>0</v>
      </c>
      <c r="G90" s="1"/>
      <c r="H90" s="1">
        <f>SUM(OSRRefH22_19x_0)</f>
        <v>11356</v>
      </c>
      <c r="I90" s="1"/>
      <c r="J90" s="5">
        <f t="shared" ref="J90:J91" si="65">IF(H$12=0,0,H90/H$12)</f>
        <v>0</v>
      </c>
      <c r="K90" s="1"/>
      <c r="L90" s="1">
        <f t="shared" ref="L90:L91" si="66">+D90-H90</f>
        <v>1567</v>
      </c>
      <c r="M90" s="1"/>
      <c r="N90" s="5">
        <f t="shared" ref="N90:N91" si="67">IF(H90=0,0,L90/H90)</f>
        <v>0.13798872842550194</v>
      </c>
      <c r="O90" s="12"/>
      <c r="P90" s="1">
        <f>SUM(OSRRefP22_19x_0)</f>
        <v>159129</v>
      </c>
      <c r="Q90" s="1"/>
      <c r="R90" s="5">
        <f t="shared" ref="R90:R91" si="68">IF(P$12=0,0,P90/P$12)</f>
        <v>0</v>
      </c>
      <c r="S90" s="1"/>
      <c r="T90" s="1">
        <f>SUM(OSRRefT22_19x_0)</f>
        <v>115999.71999999999</v>
      </c>
      <c r="U90" s="1"/>
      <c r="V90" s="5">
        <f t="shared" ref="V90:V91" si="69">IF(T$12=0,0,T90/T$12)</f>
        <v>0</v>
      </c>
      <c r="W90" s="1"/>
      <c r="X90" s="1">
        <f t="shared" ref="X90:X91" si="70">+P90-T90</f>
        <v>43129.280000000013</v>
      </c>
      <c r="Y90" s="1"/>
      <c r="Z90" s="5">
        <f t="shared" ref="Z90:Z91" si="71">IF(T90=0,0,X90/T90)</f>
        <v>0.37180503539146492</v>
      </c>
    </row>
    <row r="91" spans="1:26" s="24" customFormat="1" hidden="1" outlineLevel="2" x14ac:dyDescent="0.35">
      <c r="A91" s="27"/>
      <c r="B91" s="11" t="str">
        <f>CONCATENATE("          ", "6274", " - ", "UTILITIES")</f>
        <v xml:space="preserve">          6274 - UTILITIES</v>
      </c>
      <c r="C91" s="11"/>
      <c r="D91" s="7">
        <v>12923</v>
      </c>
      <c r="E91" s="2"/>
      <c r="F91" s="6">
        <f t="shared" si="64"/>
        <v>0</v>
      </c>
      <c r="G91" s="2"/>
      <c r="H91" s="7">
        <v>11356</v>
      </c>
      <c r="I91" s="2"/>
      <c r="J91" s="6">
        <f t="shared" si="65"/>
        <v>0</v>
      </c>
      <c r="K91" s="2"/>
      <c r="L91" s="7">
        <f t="shared" si="66"/>
        <v>1567</v>
      </c>
      <c r="M91" s="2"/>
      <c r="N91" s="6">
        <f t="shared" si="67"/>
        <v>0.13798872842550194</v>
      </c>
      <c r="O91" s="11"/>
      <c r="P91" s="7">
        <v>159129</v>
      </c>
      <c r="Q91" s="2"/>
      <c r="R91" s="6">
        <f t="shared" si="68"/>
        <v>0</v>
      </c>
      <c r="S91" s="2"/>
      <c r="T91" s="7">
        <v>115999.71999999999</v>
      </c>
      <c r="U91" s="2"/>
      <c r="V91" s="6">
        <f t="shared" si="69"/>
        <v>0</v>
      </c>
      <c r="W91" s="2"/>
      <c r="X91" s="7">
        <f t="shared" si="70"/>
        <v>43129.280000000013</v>
      </c>
      <c r="Y91" s="2"/>
      <c r="Z91" s="6">
        <f t="shared" si="71"/>
        <v>0.37180503539146492</v>
      </c>
    </row>
    <row r="92" spans="1:26" s="56" customFormat="1" x14ac:dyDescent="0.3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collapsed="1" x14ac:dyDescent="0.35">
      <c r="A93" s="10"/>
      <c r="B93" s="29" t="s">
        <v>0</v>
      </c>
      <c r="C93" s="10"/>
      <c r="D93" s="4">
        <f>SUM(OSRRefD25x_0)</f>
        <v>16951.849999999999</v>
      </c>
      <c r="E93" s="4"/>
      <c r="F93" s="13">
        <f t="shared" ref="F93:F95" si="72">IF(D$12=0,0,D93/D$12)</f>
        <v>0</v>
      </c>
      <c r="G93" s="4"/>
      <c r="H93" s="4">
        <f>SUM(OSRRefH25x_0)</f>
        <v>9984.0400000000009</v>
      </c>
      <c r="I93" s="4"/>
      <c r="J93" s="13">
        <f t="shared" ref="J93:J95" si="73">IF(H$12=0,0,H93/H$12)</f>
        <v>0</v>
      </c>
      <c r="K93" s="4"/>
      <c r="L93" s="4">
        <f t="shared" ref="L93:L95" si="74">+D93-H93</f>
        <v>6967.8099999999977</v>
      </c>
      <c r="M93" s="4"/>
      <c r="N93" s="13">
        <f t="shared" ref="N93:N95" si="75">IF(H93=0,0,L93/H93)</f>
        <v>0.69789484016490289</v>
      </c>
      <c r="O93" s="10"/>
      <c r="P93" s="4">
        <f>SUM(OSRRefP25x_0)</f>
        <v>128692.56999999999</v>
      </c>
      <c r="Q93" s="4"/>
      <c r="R93" s="13">
        <f t="shared" ref="R93:R95" si="76">IF(P$12=0,0,P93/P$12)</f>
        <v>0</v>
      </c>
      <c r="S93" s="4"/>
      <c r="T93" s="4">
        <f>SUM(OSRRefT25x_0)</f>
        <v>139931.76999999999</v>
      </c>
      <c r="U93" s="4"/>
      <c r="V93" s="13">
        <f t="shared" ref="V93:V95" si="77">IF(T$12=0,0,T93/T$12)</f>
        <v>0</v>
      </c>
      <c r="W93" s="4"/>
      <c r="X93" s="4">
        <f t="shared" ref="X93:X95" si="78">+P93-T93</f>
        <v>-11239.199999999997</v>
      </c>
      <c r="Y93" s="4"/>
      <c r="Z93" s="13">
        <f t="shared" ref="Z93:Z95" si="79">IF(T93=0,0,X93/T93)</f>
        <v>-8.031914410858948E-2</v>
      </c>
    </row>
    <row r="94" spans="1:26" s="24" customFormat="1" hidden="1" outlineLevel="1" x14ac:dyDescent="0.35">
      <c r="A94" s="44"/>
      <c r="B94" s="11" t="str">
        <f>CONCATENATE("          ", "9150", " - ", "MISC. INCOME")</f>
        <v xml:space="preserve">          9150 - MISC. INCOME</v>
      </c>
      <c r="C94" s="11"/>
      <c r="D94" s="2">
        <f>--16951.85</f>
        <v>16951.849999999999</v>
      </c>
      <c r="E94" s="2"/>
      <c r="F94" s="19">
        <f t="shared" si="72"/>
        <v>0</v>
      </c>
      <c r="G94" s="2"/>
      <c r="H94" s="2">
        <f>--9984.04</f>
        <v>9984.0400000000009</v>
      </c>
      <c r="I94" s="2"/>
      <c r="J94" s="19">
        <f t="shared" si="73"/>
        <v>0</v>
      </c>
      <c r="K94" s="2"/>
      <c r="L94" s="2">
        <f t="shared" si="74"/>
        <v>6967.8099999999977</v>
      </c>
      <c r="M94" s="2"/>
      <c r="N94" s="19">
        <f t="shared" si="75"/>
        <v>0.69789484016490289</v>
      </c>
      <c r="O94" s="11"/>
      <c r="P94" s="2">
        <f>--126642.54</f>
        <v>126642.54</v>
      </c>
      <c r="Q94" s="2"/>
      <c r="R94" s="19">
        <f t="shared" si="76"/>
        <v>0</v>
      </c>
      <c r="S94" s="2"/>
      <c r="T94" s="2">
        <f>--138145.08</f>
        <v>138145.07999999999</v>
      </c>
      <c r="U94" s="2"/>
      <c r="V94" s="19">
        <f t="shared" si="77"/>
        <v>0</v>
      </c>
      <c r="W94" s="2"/>
      <c r="X94" s="2">
        <f t="shared" si="78"/>
        <v>-11502.539999999994</v>
      </c>
      <c r="Y94" s="2"/>
      <c r="Z94" s="19">
        <f t="shared" si="79"/>
        <v>-8.3264203111685156E-2</v>
      </c>
    </row>
    <row r="95" spans="1:26" s="24" customFormat="1" hidden="1" outlineLevel="1" x14ac:dyDescent="0.35">
      <c r="A95" s="44"/>
      <c r="B95" s="11" t="str">
        <f>CONCATENATE("          ", "9160", " - ", "MISC. INCOME")</f>
        <v xml:space="preserve">          9160 - MISC. INCOME</v>
      </c>
      <c r="C95" s="11"/>
      <c r="D95" s="2">
        <f>0</f>
        <v>0</v>
      </c>
      <c r="E95" s="2"/>
      <c r="F95" s="19">
        <f t="shared" si="72"/>
        <v>0</v>
      </c>
      <c r="G95" s="2"/>
      <c r="H95" s="2">
        <f>0</f>
        <v>0</v>
      </c>
      <c r="I95" s="2"/>
      <c r="J95" s="19">
        <f t="shared" si="73"/>
        <v>0</v>
      </c>
      <c r="K95" s="2"/>
      <c r="L95" s="2">
        <f t="shared" si="74"/>
        <v>0</v>
      </c>
      <c r="M95" s="2"/>
      <c r="N95" s="19">
        <f t="shared" si="75"/>
        <v>0</v>
      </c>
      <c r="O95" s="11"/>
      <c r="P95" s="2">
        <f>--2050.03</f>
        <v>2050.0300000000002</v>
      </c>
      <c r="Q95" s="2"/>
      <c r="R95" s="19">
        <f t="shared" si="76"/>
        <v>0</v>
      </c>
      <c r="S95" s="2"/>
      <c r="T95" s="2">
        <f>--1786.69</f>
        <v>1786.69</v>
      </c>
      <c r="U95" s="2"/>
      <c r="V95" s="19">
        <f t="shared" si="77"/>
        <v>0</v>
      </c>
      <c r="W95" s="2"/>
      <c r="X95" s="2">
        <f t="shared" si="78"/>
        <v>263.34000000000015</v>
      </c>
      <c r="Y95" s="2"/>
      <c r="Z95" s="19">
        <f t="shared" si="79"/>
        <v>0.14738986617712091</v>
      </c>
    </row>
    <row r="96" spans="1:26" x14ac:dyDescent="0.3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35">
      <c r="A97" s="10"/>
      <c r="B97" s="28" t="s">
        <v>3</v>
      </c>
      <c r="C97" s="28"/>
      <c r="D97" s="22">
        <f>+D16-D18+D93</f>
        <v>-26626.190000000002</v>
      </c>
      <c r="E97" s="14"/>
      <c r="F97" s="21">
        <f>IF(D$12=0,0,D97/D$12)</f>
        <v>0</v>
      </c>
      <c r="G97" s="14"/>
      <c r="H97" s="22">
        <f>+H16-H18+H93</f>
        <v>-78518.179999999993</v>
      </c>
      <c r="I97" s="14"/>
      <c r="J97" s="21">
        <f>IF(H$12=0,0,H97/H$12)</f>
        <v>0</v>
      </c>
      <c r="K97" s="15"/>
      <c r="L97" s="22">
        <f>+D97-H97</f>
        <v>51891.989999999991</v>
      </c>
      <c r="M97" s="15"/>
      <c r="N97" s="21">
        <f>IF(H97=0,0,L97/H97)</f>
        <v>-0.66089140120160705</v>
      </c>
      <c r="O97" s="29"/>
      <c r="P97" s="22">
        <f>+P16-P18+P93</f>
        <v>-886269.06</v>
      </c>
      <c r="Q97" s="14"/>
      <c r="R97" s="21">
        <f>IF(P$12=0,0,P97/P$12)</f>
        <v>0</v>
      </c>
      <c r="S97" s="14"/>
      <c r="T97" s="22">
        <f>+T16-T18+T93</f>
        <v>-972484.92999999993</v>
      </c>
      <c r="U97" s="14"/>
      <c r="V97" s="21">
        <f>IF(T$12=0,0,T97/T$12)</f>
        <v>0</v>
      </c>
      <c r="W97" s="15"/>
      <c r="X97" s="22">
        <f>+P97-T97</f>
        <v>86215.869999999879</v>
      </c>
      <c r="Y97" s="15"/>
      <c r="Z97" s="21">
        <f>IF(T97=0,0,X97/T97)</f>
        <v>-8.8655224713867678E-2</v>
      </c>
    </row>
    <row r="98" spans="1:26" x14ac:dyDescent="0.3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35">
      <c r="A99" s="51"/>
      <c r="B99" s="10" t="s">
        <v>13</v>
      </c>
      <c r="C99" s="10"/>
      <c r="D99" s="4"/>
      <c r="E99" s="4"/>
      <c r="F99" s="13">
        <f>IF(D$12=0,0,D99/D$12)</f>
        <v>0</v>
      </c>
      <c r="G99" s="4"/>
      <c r="H99" s="4"/>
      <c r="I99" s="4"/>
      <c r="J99" s="13">
        <f>IF(H$12=0,0,H99/H$12)</f>
        <v>0</v>
      </c>
      <c r="K99" s="4"/>
      <c r="L99" s="4">
        <f>+D99-H99</f>
        <v>0</v>
      </c>
      <c r="M99" s="4"/>
      <c r="N99" s="13">
        <f>IF(H99=0,0,L99/H99)</f>
        <v>0</v>
      </c>
      <c r="O99" s="10"/>
      <c r="P99" s="4"/>
      <c r="Q99" s="4"/>
      <c r="R99" s="13">
        <f>IF(P$12=0,0,P99/P$12)</f>
        <v>0</v>
      </c>
      <c r="S99" s="4"/>
      <c r="T99" s="4"/>
      <c r="U99" s="4"/>
      <c r="V99" s="13">
        <f>IF(T$12=0,0,T99/T$12)</f>
        <v>0</v>
      </c>
      <c r="W99" s="4"/>
      <c r="X99" s="4">
        <f>+P99-T99</f>
        <v>0</v>
      </c>
      <c r="Y99" s="4"/>
      <c r="Z99" s="13">
        <f>IF(T99=0,0,X99/T99)</f>
        <v>0</v>
      </c>
    </row>
    <row r="100" spans="1:26" x14ac:dyDescent="0.3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" thickBot="1" x14ac:dyDescent="0.4">
      <c r="A101" s="10"/>
      <c r="B101" s="28" t="s">
        <v>4</v>
      </c>
      <c r="C101" s="28"/>
      <c r="D101" s="34">
        <f>+D97-D99</f>
        <v>-26626.190000000002</v>
      </c>
      <c r="E101" s="14"/>
      <c r="F101" s="32">
        <f>IF(D$12=0,0,D101/D$12)</f>
        <v>0</v>
      </c>
      <c r="G101" s="14"/>
      <c r="H101" s="34">
        <f>+H97-H99</f>
        <v>-78518.179999999993</v>
      </c>
      <c r="I101" s="14"/>
      <c r="J101" s="32">
        <f>IF(H$12=0,0,H101/H$12)</f>
        <v>0</v>
      </c>
      <c r="K101" s="15"/>
      <c r="L101" s="34">
        <f>D101-H101</f>
        <v>51891.989999999991</v>
      </c>
      <c r="M101" s="15"/>
      <c r="N101" s="32">
        <f>IF(H101=0,0,L101/H101)</f>
        <v>-0.66089140120160705</v>
      </c>
      <c r="O101" s="29"/>
      <c r="P101" s="34">
        <f>+P97-P99</f>
        <v>-886269.06</v>
      </c>
      <c r="Q101" s="14"/>
      <c r="R101" s="32">
        <f>IF(P$12=0,0,P101/P$12)</f>
        <v>0</v>
      </c>
      <c r="S101" s="14"/>
      <c r="T101" s="34">
        <f>+T97-T99</f>
        <v>-972484.92999999993</v>
      </c>
      <c r="U101" s="14"/>
      <c r="V101" s="32">
        <f>IF(T$12=0,0,T101/T$12)</f>
        <v>0</v>
      </c>
      <c r="W101" s="15"/>
      <c r="X101" s="34">
        <f>P101-T101</f>
        <v>86215.869999999879</v>
      </c>
      <c r="Y101" s="15"/>
      <c r="Z101" s="32">
        <f>IF(T101=0,0,X101/T101)</f>
        <v>-8.8655224713867678E-2</v>
      </c>
    </row>
    <row r="102" spans="1:26" ht="15" thickTop="1" x14ac:dyDescent="0.3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3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" thickBot="1" x14ac:dyDescent="0.4">
      <c r="A104" s="10"/>
      <c r="B104" s="28" t="s">
        <v>5</v>
      </c>
      <c r="C104" s="28"/>
      <c r="D104" s="35">
        <f>SUM(D101:D103)</f>
        <v>-26626.190000000002</v>
      </c>
      <c r="E104" s="14"/>
      <c r="F104" s="33">
        <f>IF(D$12=0,0,D104/D$12)</f>
        <v>0</v>
      </c>
      <c r="G104" s="14"/>
      <c r="H104" s="35">
        <f>SUM(H101:H103)</f>
        <v>-78518.179999999993</v>
      </c>
      <c r="I104" s="14"/>
      <c r="J104" s="33">
        <f>IF(H$12=0,0,H104/H$12)</f>
        <v>0</v>
      </c>
      <c r="K104" s="15"/>
      <c r="L104" s="35">
        <f>+D104-H104</f>
        <v>51891.989999999991</v>
      </c>
      <c r="M104" s="15"/>
      <c r="N104" s="33">
        <f>IF(H104=0,0,L104/H104)</f>
        <v>-0.66089140120160705</v>
      </c>
      <c r="O104" s="29"/>
      <c r="P104" s="35">
        <f>SUM(P101:P103)</f>
        <v>-886269.06</v>
      </c>
      <c r="Q104" s="14"/>
      <c r="R104" s="33">
        <f>IF(P$12=0,0,P104/P$12)</f>
        <v>0</v>
      </c>
      <c r="S104" s="14"/>
      <c r="T104" s="35">
        <f>SUM(T101:T103)</f>
        <v>-972484.92999999993</v>
      </c>
      <c r="U104" s="14"/>
      <c r="V104" s="33">
        <f>IF(T$12=0,0,T104/T$12)</f>
        <v>0</v>
      </c>
      <c r="W104" s="15"/>
      <c r="X104" s="35">
        <f>+P104-T104</f>
        <v>86215.869999999879</v>
      </c>
      <c r="Y104" s="15"/>
      <c r="Z104" s="33">
        <f>IF(T104=0,0,X104/T104)</f>
        <v>-8.8655224713867678E-2</v>
      </c>
    </row>
    <row r="105" spans="1:26" ht="15" thickTop="1" x14ac:dyDescent="0.35">
      <c r="A105" s="9"/>
      <c r="C105" s="9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35">
      <c r="A106" s="9"/>
      <c r="B106" s="52">
        <v>44043.523190428241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35">
      <c r="A107" s="9"/>
      <c r="B107" s="61" t="s">
        <v>313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35">
      <c r="A108" s="9"/>
      <c r="B108" s="54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35"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","412", " - ", "Chartroom")</f>
        <v>Department 412 - Chartroom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68638.790000000008</v>
      </c>
      <c r="I12" s="4"/>
      <c r="J12" s="13"/>
      <c r="K12" s="4"/>
      <c r="L12" s="4">
        <f t="shared" ref="L12:L15" si="0">+D12-H12</f>
        <v>-68638.790000000008</v>
      </c>
      <c r="M12" s="4"/>
      <c r="N12" s="13">
        <f t="shared" ref="N12:N15" si="1">IF(H12=0,0,L12/H12)</f>
        <v>-1</v>
      </c>
      <c r="O12" s="10"/>
      <c r="P12" s="4">
        <f>SUM(OSRRefP13x_0)</f>
        <v>379973.86</v>
      </c>
      <c r="Q12" s="4"/>
      <c r="R12" s="13"/>
      <c r="S12" s="4"/>
      <c r="T12" s="4">
        <f>SUM(OSRRefT13x_0)</f>
        <v>1111397.3499999999</v>
      </c>
      <c r="U12" s="4"/>
      <c r="V12" s="13"/>
      <c r="W12" s="4"/>
      <c r="X12" s="4">
        <f t="shared" ref="X12:X15" si="2">+P12-T12</f>
        <v>-731423.48999999987</v>
      </c>
      <c r="Y12" s="4"/>
      <c r="Z12" s="13">
        <f t="shared" ref="Z12:Z15" si="3">IF(T12=0,0,X12/T12)</f>
        <v>-0.65811160157975901</v>
      </c>
    </row>
    <row r="13" spans="1:26" s="24" customFormat="1" hidden="1" outlineLevel="1" x14ac:dyDescent="0.3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5" si="4">0</f>
        <v>0</v>
      </c>
      <c r="E13" s="2"/>
      <c r="F13" s="19"/>
      <c r="G13" s="2"/>
      <c r="H13" s="2">
        <f>--65615.88</f>
        <v>65615.88</v>
      </c>
      <c r="I13" s="2"/>
      <c r="J13" s="19"/>
      <c r="K13" s="2"/>
      <c r="L13" s="2">
        <f t="shared" si="0"/>
        <v>-65615.88</v>
      </c>
      <c r="M13" s="2"/>
      <c r="N13" s="19">
        <f t="shared" si="1"/>
        <v>-1</v>
      </c>
      <c r="O13" s="11"/>
      <c r="P13" s="2">
        <f>--329896.47</f>
        <v>329896.46999999997</v>
      </c>
      <c r="Q13" s="2"/>
      <c r="R13" s="19"/>
      <c r="S13" s="2"/>
      <c r="T13" s="2">
        <f>--1031703.81</f>
        <v>1031703.81</v>
      </c>
      <c r="U13" s="2"/>
      <c r="V13" s="19"/>
      <c r="W13" s="2"/>
      <c r="X13" s="2">
        <f t="shared" si="2"/>
        <v>-701807.34000000008</v>
      </c>
      <c r="Y13" s="2"/>
      <c r="Z13" s="19">
        <f t="shared" si="3"/>
        <v>-0.68024110524511883</v>
      </c>
    </row>
    <row r="14" spans="1:26" s="24" customFormat="1" hidden="1" outlineLevel="1" x14ac:dyDescent="0.3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>--3022.91</f>
        <v>3022.91</v>
      </c>
      <c r="I14" s="2"/>
      <c r="J14" s="19"/>
      <c r="K14" s="2"/>
      <c r="L14" s="2">
        <f t="shared" si="0"/>
        <v>-3022.91</v>
      </c>
      <c r="M14" s="2"/>
      <c r="N14" s="19">
        <f t="shared" si="1"/>
        <v>-1</v>
      </c>
      <c r="O14" s="11"/>
      <c r="P14" s="2">
        <f>--50077.39</f>
        <v>50077.39</v>
      </c>
      <c r="Q14" s="2"/>
      <c r="R14" s="19"/>
      <c r="S14" s="2"/>
      <c r="T14" s="2">
        <f>--79166.41</f>
        <v>79166.41</v>
      </c>
      <c r="U14" s="2"/>
      <c r="V14" s="19"/>
      <c r="W14" s="2"/>
      <c r="X14" s="2">
        <f t="shared" si="2"/>
        <v>-29089.020000000004</v>
      </c>
      <c r="Y14" s="2"/>
      <c r="Z14" s="19">
        <f t="shared" si="3"/>
        <v>-0.36744144391541822</v>
      </c>
    </row>
    <row r="15" spans="1:26" s="24" customFormat="1" hidden="1" outlineLevel="1" x14ac:dyDescent="0.3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--527.13</f>
        <v>527.13</v>
      </c>
      <c r="U15" s="2"/>
      <c r="V15" s="19"/>
      <c r="W15" s="2"/>
      <c r="X15" s="2">
        <f t="shared" si="2"/>
        <v>-527.13</v>
      </c>
      <c r="Y15" s="2"/>
      <c r="Z15" s="19">
        <f t="shared" si="3"/>
        <v>-1</v>
      </c>
    </row>
    <row r="16" spans="1:26" x14ac:dyDescent="0.3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5">
      <c r="A17" s="10"/>
      <c r="B17" s="29" t="s">
        <v>8</v>
      </c>
      <c r="C17" s="10"/>
      <c r="D17" s="4">
        <f>SUM(OSRRefD16x_0)</f>
        <v>1754</v>
      </c>
      <c r="E17" s="4"/>
      <c r="F17" s="13">
        <f t="shared" ref="F17:F19" si="5">IF(D$12=0,0,D17/D$12)</f>
        <v>0</v>
      </c>
      <c r="G17" s="4"/>
      <c r="H17" s="4">
        <f>SUM(OSRRefH16x_0)</f>
        <v>21098.53</v>
      </c>
      <c r="I17" s="4"/>
      <c r="J17" s="13">
        <f t="shared" ref="J17:J19" si="6">IF(H$12=0,0,H17/H$12)</f>
        <v>0.3073849349617031</v>
      </c>
      <c r="K17" s="4"/>
      <c r="L17" s="4">
        <f t="shared" ref="L17:L19" si="7">+D17-H17</f>
        <v>-19344.53</v>
      </c>
      <c r="M17" s="4"/>
      <c r="N17" s="13">
        <f t="shared" ref="N17:N19" si="8">IF(H17=0,0,L17/H17)</f>
        <v>-0.91686624613183954</v>
      </c>
      <c r="O17" s="10"/>
      <c r="P17" s="4">
        <f>SUM(OSRRefP16x_0)</f>
        <v>204085.49</v>
      </c>
      <c r="Q17" s="4"/>
      <c r="R17" s="13">
        <f t="shared" ref="R17:R19" si="9">IF(P$12=0,0,P17/P$12)</f>
        <v>0.53710402605063412</v>
      </c>
      <c r="S17" s="4"/>
      <c r="T17" s="4">
        <f>SUM(OSRRefT16x_0)</f>
        <v>334192.59000000003</v>
      </c>
      <c r="U17" s="4"/>
      <c r="V17" s="13">
        <f t="shared" ref="V17:V19" si="10">IF(T$12=0,0,T17/T$12)</f>
        <v>0.30069586723416253</v>
      </c>
      <c r="W17" s="4"/>
      <c r="X17" s="4">
        <f t="shared" ref="X17:X19" si="11">+P17-T17</f>
        <v>-130107.10000000003</v>
      </c>
      <c r="Y17" s="4"/>
      <c r="Z17" s="13">
        <f t="shared" ref="Z17:Z19" si="12">IF(T17=0,0,X17/T17)</f>
        <v>-0.38931772843916146</v>
      </c>
    </row>
    <row r="18" spans="1:26" s="24" customFormat="1" hidden="1" outlineLevel="1" x14ac:dyDescent="0.3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1754</v>
      </c>
      <c r="E18" s="2"/>
      <c r="F18" s="19">
        <f t="shared" si="5"/>
        <v>0</v>
      </c>
      <c r="G18" s="2"/>
      <c r="H18" s="2">
        <v>21098.53</v>
      </c>
      <c r="I18" s="2"/>
      <c r="J18" s="19">
        <f t="shared" si="6"/>
        <v>0.3073849349617031</v>
      </c>
      <c r="K18" s="2"/>
      <c r="L18" s="2">
        <f t="shared" si="7"/>
        <v>-19344.53</v>
      </c>
      <c r="M18" s="2"/>
      <c r="N18" s="19">
        <f t="shared" si="8"/>
        <v>-0.91686624613183954</v>
      </c>
      <c r="O18" s="11"/>
      <c r="P18" s="2">
        <v>218035.49</v>
      </c>
      <c r="Q18" s="2"/>
      <c r="R18" s="19">
        <f t="shared" si="9"/>
        <v>0.57381707783793334</v>
      </c>
      <c r="S18" s="2"/>
      <c r="T18" s="2">
        <v>334192.59000000003</v>
      </c>
      <c r="U18" s="2"/>
      <c r="V18" s="19">
        <f t="shared" si="10"/>
        <v>0.30069586723416253</v>
      </c>
      <c r="W18" s="2"/>
      <c r="X18" s="2">
        <f t="shared" si="11"/>
        <v>-116157.10000000003</v>
      </c>
      <c r="Y18" s="2"/>
      <c r="Z18" s="19">
        <f t="shared" si="12"/>
        <v>-0.34757533073967928</v>
      </c>
    </row>
    <row r="19" spans="1:26" s="24" customFormat="1" hidden="1" outlineLevel="1" x14ac:dyDescent="0.3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-13950</v>
      </c>
      <c r="Q19" s="2"/>
      <c r="R19" s="19">
        <f t="shared" si="9"/>
        <v>-3.6713051787299264E-2</v>
      </c>
      <c r="S19" s="2"/>
      <c r="T19" s="2"/>
      <c r="U19" s="2"/>
      <c r="V19" s="19">
        <f t="shared" si="10"/>
        <v>0</v>
      </c>
      <c r="W19" s="2"/>
      <c r="X19" s="2">
        <f t="shared" si="11"/>
        <v>-13950</v>
      </c>
      <c r="Y19" s="2"/>
      <c r="Z19" s="19">
        <f t="shared" si="12"/>
        <v>0</v>
      </c>
    </row>
    <row r="20" spans="1:26" x14ac:dyDescent="0.3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5">
      <c r="A21" s="10"/>
      <c r="B21" s="28" t="s">
        <v>6</v>
      </c>
      <c r="C21" s="28"/>
      <c r="D21" s="22">
        <f>D12-D17</f>
        <v>-1754</v>
      </c>
      <c r="E21" s="14"/>
      <c r="F21" s="21">
        <f>IF(D$12=0,0,D21/D$12)</f>
        <v>0</v>
      </c>
      <c r="G21" s="14"/>
      <c r="H21" s="22">
        <f>H12-H17</f>
        <v>47540.260000000009</v>
      </c>
      <c r="I21" s="14"/>
      <c r="J21" s="21">
        <f>IF(H$12=0,0,H21/H$12)</f>
        <v>0.69261506503829695</v>
      </c>
      <c r="K21" s="15"/>
      <c r="L21" s="22">
        <f>+D21-H21</f>
        <v>-49294.260000000009</v>
      </c>
      <c r="M21" s="15"/>
      <c r="N21" s="21">
        <f>IF(H21=0,0,L21/H21)</f>
        <v>-1.0368950443266403</v>
      </c>
      <c r="O21" s="29"/>
      <c r="P21" s="22">
        <f>P12-P17</f>
        <v>175888.37</v>
      </c>
      <c r="Q21" s="14"/>
      <c r="R21" s="21">
        <f>IF(P$12=0,0,P21/P$12)</f>
        <v>0.46289597394936588</v>
      </c>
      <c r="S21" s="14"/>
      <c r="T21" s="22">
        <f>T12-T17</f>
        <v>777204.75999999978</v>
      </c>
      <c r="U21" s="14"/>
      <c r="V21" s="21">
        <f>IF(T$12=0,0,T21/T$12)</f>
        <v>0.69930413276583736</v>
      </c>
      <c r="W21" s="15"/>
      <c r="X21" s="22">
        <f>+P21-T21</f>
        <v>-601316.38999999978</v>
      </c>
      <c r="Y21" s="15"/>
      <c r="Z21" s="21">
        <f>IF(T21=0,0,X21/T21)</f>
        <v>-0.7736910798127381</v>
      </c>
    </row>
    <row r="22" spans="1:26" x14ac:dyDescent="0.3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5">
      <c r="A23" s="10"/>
      <c r="B23" s="29" t="s">
        <v>9</v>
      </c>
      <c r="C23" s="10"/>
      <c r="D23" s="20">
        <f>SUM(OSRRefD22x_0)</f>
        <v>1269.48</v>
      </c>
      <c r="E23" s="20"/>
      <c r="F23" s="36">
        <f t="shared" ref="F23:F32" si="13">IF(D$12=0,0,D23/D$12)</f>
        <v>0</v>
      </c>
      <c r="G23" s="20"/>
      <c r="H23" s="20">
        <f>SUM(OSRRefH22x_0)</f>
        <v>55633.639999999992</v>
      </c>
      <c r="I23" s="20"/>
      <c r="J23" s="36">
        <f t="shared" ref="J23:J32" si="14">IF(H$12=0,0,H23/H$12)</f>
        <v>0.81052769141180936</v>
      </c>
      <c r="K23" s="4"/>
      <c r="L23" s="20">
        <f t="shared" ref="L23:L32" si="15">+D23-H23</f>
        <v>-54364.159999999989</v>
      </c>
      <c r="M23" s="4"/>
      <c r="N23" s="36">
        <f t="shared" ref="N23:N32" si="16">IF(H23=0,0,L23/H23)</f>
        <v>-0.97718143195376028</v>
      </c>
      <c r="O23" s="10"/>
      <c r="P23" s="20">
        <f>SUM(OSRRefP22x_0)</f>
        <v>341470.01999999996</v>
      </c>
      <c r="Q23" s="20"/>
      <c r="R23" s="36">
        <f t="shared" ref="R23:R32" si="17">IF(P$12=0,0,P23/P$12)</f>
        <v>0.89866713462868197</v>
      </c>
      <c r="S23" s="20"/>
      <c r="T23" s="20">
        <f>SUM(OSRRefT22x_0)</f>
        <v>725413.31999999972</v>
      </c>
      <c r="U23" s="20"/>
      <c r="V23" s="36">
        <f t="shared" ref="V23:V32" si="18">IF(T$12=0,0,T23/T$12)</f>
        <v>0.65270384169982032</v>
      </c>
      <c r="W23" s="4"/>
      <c r="X23" s="20">
        <f t="shared" ref="X23:X32" si="19">+P23-T23</f>
        <v>-383943.29999999976</v>
      </c>
      <c r="Y23" s="4"/>
      <c r="Z23" s="36">
        <f t="shared" ref="Z23:Z32" si="20">IF(T23=0,0,X23/T23)</f>
        <v>-0.52927522753511047</v>
      </c>
    </row>
    <row r="24" spans="1:26" s="25" customFormat="1" outlineLevel="1" collapsed="1" x14ac:dyDescent="0.35">
      <c r="A24" s="26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-552.04999999999995</v>
      </c>
      <c r="E24" s="1"/>
      <c r="F24" s="5">
        <f t="shared" si="13"/>
        <v>0</v>
      </c>
      <c r="G24" s="1"/>
      <c r="H24" s="1">
        <f>SUM(OSRRefH22_0x_0)</f>
        <v>12015.52</v>
      </c>
      <c r="I24" s="1"/>
      <c r="J24" s="5">
        <f t="shared" si="14"/>
        <v>0.17505436794558876</v>
      </c>
      <c r="K24" s="1"/>
      <c r="L24" s="1">
        <f t="shared" si="15"/>
        <v>-12567.57</v>
      </c>
      <c r="M24" s="1"/>
      <c r="N24" s="5">
        <f t="shared" si="16"/>
        <v>-1.0459447447967296</v>
      </c>
      <c r="O24" s="12"/>
      <c r="P24" s="1">
        <f>SUM(OSRRefP22_0x_0)</f>
        <v>76946.960000000021</v>
      </c>
      <c r="Q24" s="1"/>
      <c r="R24" s="5">
        <f t="shared" si="17"/>
        <v>0.20250593027636171</v>
      </c>
      <c r="S24" s="1"/>
      <c r="T24" s="1">
        <f>SUM(OSRRefT22_0x_0)</f>
        <v>152082.76</v>
      </c>
      <c r="U24" s="1"/>
      <c r="V24" s="5">
        <f t="shared" si="18"/>
        <v>0.1368392321612068</v>
      </c>
      <c r="W24" s="1"/>
      <c r="X24" s="1">
        <f t="shared" si="19"/>
        <v>-75135.799999999988</v>
      </c>
      <c r="Y24" s="1"/>
      <c r="Z24" s="5">
        <f t="shared" si="20"/>
        <v>-0.49404547892213413</v>
      </c>
    </row>
    <row r="25" spans="1:26" s="24" customFormat="1" hidden="1" outlineLevel="2" x14ac:dyDescent="0.35">
      <c r="A25" s="27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3"/>
        <v>0</v>
      </c>
      <c r="G25" s="2"/>
      <c r="H25" s="7">
        <v>2729.59</v>
      </c>
      <c r="I25" s="2"/>
      <c r="J25" s="6">
        <f t="shared" si="14"/>
        <v>3.9767455108110146E-2</v>
      </c>
      <c r="K25" s="2"/>
      <c r="L25" s="7">
        <f t="shared" si="15"/>
        <v>-2729.59</v>
      </c>
      <c r="M25" s="2"/>
      <c r="N25" s="6">
        <f t="shared" si="16"/>
        <v>-1</v>
      </c>
      <c r="O25" s="11"/>
      <c r="P25" s="7">
        <v>14871.7</v>
      </c>
      <c r="Q25" s="2"/>
      <c r="R25" s="6">
        <f t="shared" si="17"/>
        <v>3.9138744965245768E-2</v>
      </c>
      <c r="S25" s="2"/>
      <c r="T25" s="7">
        <v>31406.579999999998</v>
      </c>
      <c r="U25" s="2"/>
      <c r="V25" s="6">
        <f t="shared" si="18"/>
        <v>2.8258642149902556E-2</v>
      </c>
      <c r="W25" s="2"/>
      <c r="X25" s="7">
        <f t="shared" si="19"/>
        <v>-16534.879999999997</v>
      </c>
      <c r="Y25" s="2"/>
      <c r="Z25" s="6">
        <f t="shared" si="20"/>
        <v>-0.52647820934339229</v>
      </c>
    </row>
    <row r="26" spans="1:26" s="24" customFormat="1" hidden="1" outlineLevel="2" x14ac:dyDescent="0.3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3"/>
        <v>0</v>
      </c>
      <c r="G26" s="2"/>
      <c r="H26" s="7">
        <v>1647.51</v>
      </c>
      <c r="I26" s="2"/>
      <c r="J26" s="6">
        <f t="shared" si="14"/>
        <v>2.4002608437590462E-2</v>
      </c>
      <c r="K26" s="2"/>
      <c r="L26" s="7">
        <f t="shared" si="15"/>
        <v>-1647.51</v>
      </c>
      <c r="M26" s="2"/>
      <c r="N26" s="6">
        <f t="shared" si="16"/>
        <v>-1</v>
      </c>
      <c r="O26" s="11"/>
      <c r="P26" s="7">
        <v>5449.61</v>
      </c>
      <c r="Q26" s="2"/>
      <c r="R26" s="6">
        <f t="shared" si="17"/>
        <v>1.4342065530507809E-2</v>
      </c>
      <c r="S26" s="2"/>
      <c r="T26" s="7">
        <v>13691.01</v>
      </c>
      <c r="U26" s="2"/>
      <c r="V26" s="6">
        <f t="shared" si="18"/>
        <v>1.2318735508951862E-2</v>
      </c>
      <c r="W26" s="2"/>
      <c r="X26" s="7">
        <f t="shared" si="19"/>
        <v>-8241.4000000000015</v>
      </c>
      <c r="Y26" s="2"/>
      <c r="Z26" s="6">
        <f t="shared" si="20"/>
        <v>-0.60195705064856442</v>
      </c>
    </row>
    <row r="27" spans="1:26" s="24" customFormat="1" hidden="1" outlineLevel="2" x14ac:dyDescent="0.35">
      <c r="A27" s="27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3"/>
        <v>0</v>
      </c>
      <c r="G27" s="2"/>
      <c r="H27" s="7">
        <v>5334.36</v>
      </c>
      <c r="I27" s="2"/>
      <c r="J27" s="6">
        <f t="shared" si="14"/>
        <v>7.7716404965763514E-2</v>
      </c>
      <c r="K27" s="2"/>
      <c r="L27" s="7">
        <f t="shared" si="15"/>
        <v>-5334.36</v>
      </c>
      <c r="M27" s="2"/>
      <c r="N27" s="6">
        <f t="shared" si="16"/>
        <v>-1</v>
      </c>
      <c r="O27" s="11"/>
      <c r="P27" s="7">
        <v>36209.82</v>
      </c>
      <c r="Q27" s="2"/>
      <c r="R27" s="6">
        <f t="shared" si="17"/>
        <v>9.5295555331095669E-2</v>
      </c>
      <c r="S27" s="2"/>
      <c r="T27" s="7">
        <v>61376.920000000006</v>
      </c>
      <c r="U27" s="2"/>
      <c r="V27" s="6">
        <f t="shared" si="18"/>
        <v>5.5225001211312963E-2</v>
      </c>
      <c r="W27" s="2"/>
      <c r="X27" s="7">
        <f t="shared" si="19"/>
        <v>-25167.100000000006</v>
      </c>
      <c r="Y27" s="2"/>
      <c r="Z27" s="6">
        <f t="shared" si="20"/>
        <v>-0.41004175510924962</v>
      </c>
    </row>
    <row r="28" spans="1:26" s="24" customFormat="1" hidden="1" outlineLevel="2" x14ac:dyDescent="0.3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-552.04999999999995</v>
      </c>
      <c r="E28" s="2"/>
      <c r="F28" s="6">
        <f t="shared" si="13"/>
        <v>0</v>
      </c>
      <c r="G28" s="2"/>
      <c r="H28" s="7">
        <v>128.57</v>
      </c>
      <c r="I28" s="2"/>
      <c r="J28" s="6">
        <f t="shared" si="14"/>
        <v>1.8731390806860082E-3</v>
      </c>
      <c r="K28" s="2"/>
      <c r="L28" s="7">
        <f t="shared" si="15"/>
        <v>-680.61999999999989</v>
      </c>
      <c r="M28" s="2"/>
      <c r="N28" s="6">
        <f t="shared" si="16"/>
        <v>-5.2937699307770076</v>
      </c>
      <c r="O28" s="11"/>
      <c r="P28" s="7">
        <v>0</v>
      </c>
      <c r="Q28" s="2"/>
      <c r="R28" s="6">
        <f t="shared" si="17"/>
        <v>0</v>
      </c>
      <c r="S28" s="2"/>
      <c r="T28" s="7">
        <v>1186.3699999999999</v>
      </c>
      <c r="U28" s="2"/>
      <c r="V28" s="6">
        <f t="shared" si="18"/>
        <v>1.0674580068055768E-3</v>
      </c>
      <c r="W28" s="2"/>
      <c r="X28" s="7">
        <f t="shared" si="19"/>
        <v>-1186.3699999999999</v>
      </c>
      <c r="Y28" s="2"/>
      <c r="Z28" s="6">
        <f t="shared" si="20"/>
        <v>-1</v>
      </c>
    </row>
    <row r="29" spans="1:26" s="24" customFormat="1" hidden="1" outlineLevel="2" x14ac:dyDescent="0.35">
      <c r="A29" s="27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3"/>
        <v>0</v>
      </c>
      <c r="G29" s="2"/>
      <c r="H29" s="7"/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>
        <v>6215.55</v>
      </c>
      <c r="Q29" s="2"/>
      <c r="R29" s="6">
        <f t="shared" si="17"/>
        <v>1.6357835773229242E-2</v>
      </c>
      <c r="S29" s="2"/>
      <c r="T29" s="7">
        <v>13193.1</v>
      </c>
      <c r="U29" s="2"/>
      <c r="V29" s="6">
        <f t="shared" si="18"/>
        <v>1.1870731921396071E-2</v>
      </c>
      <c r="W29" s="2"/>
      <c r="X29" s="7">
        <f t="shared" si="19"/>
        <v>-6977.55</v>
      </c>
      <c r="Y29" s="2"/>
      <c r="Z29" s="6">
        <f t="shared" si="20"/>
        <v>-0.52887873206448821</v>
      </c>
    </row>
    <row r="30" spans="1:26" s="24" customFormat="1" hidden="1" outlineLevel="2" x14ac:dyDescent="0.35">
      <c r="A30" s="27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3"/>
        <v>0</v>
      </c>
      <c r="G30" s="2"/>
      <c r="H30" s="7">
        <v>927.54</v>
      </c>
      <c r="I30" s="2"/>
      <c r="J30" s="6">
        <f t="shared" si="14"/>
        <v>1.3513350104219493E-2</v>
      </c>
      <c r="K30" s="2"/>
      <c r="L30" s="7">
        <f t="shared" si="15"/>
        <v>-927.54</v>
      </c>
      <c r="M30" s="2"/>
      <c r="N30" s="6">
        <f t="shared" si="16"/>
        <v>-1</v>
      </c>
      <c r="O30" s="11"/>
      <c r="P30" s="7">
        <v>7805.68</v>
      </c>
      <c r="Q30" s="2"/>
      <c r="R30" s="6">
        <f t="shared" si="17"/>
        <v>2.0542676277783951E-2</v>
      </c>
      <c r="S30" s="2"/>
      <c r="T30" s="7">
        <v>12889.28</v>
      </c>
      <c r="U30" s="2"/>
      <c r="V30" s="6">
        <f t="shared" si="18"/>
        <v>1.1597364344984269E-2</v>
      </c>
      <c r="W30" s="2"/>
      <c r="X30" s="7">
        <f t="shared" si="19"/>
        <v>-5083.6000000000004</v>
      </c>
      <c r="Y30" s="2"/>
      <c r="Z30" s="6">
        <f t="shared" si="20"/>
        <v>-0.39440527321929542</v>
      </c>
    </row>
    <row r="31" spans="1:26" s="24" customFormat="1" hidden="1" outlineLevel="2" x14ac:dyDescent="0.35">
      <c r="A31" s="27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3"/>
        <v>0</v>
      </c>
      <c r="G31" s="2"/>
      <c r="H31" s="7">
        <v>779.02</v>
      </c>
      <c r="I31" s="2"/>
      <c r="J31" s="6">
        <f t="shared" si="14"/>
        <v>1.1349559046713963E-2</v>
      </c>
      <c r="K31" s="2"/>
      <c r="L31" s="7">
        <f t="shared" si="15"/>
        <v>-779.02</v>
      </c>
      <c r="M31" s="2"/>
      <c r="N31" s="6">
        <f t="shared" si="16"/>
        <v>-1</v>
      </c>
      <c r="O31" s="11"/>
      <c r="P31" s="7">
        <v>2660.64</v>
      </c>
      <c r="Q31" s="2"/>
      <c r="R31" s="6">
        <f t="shared" si="17"/>
        <v>7.0021658858322516E-3</v>
      </c>
      <c r="S31" s="2"/>
      <c r="T31" s="7">
        <v>12002.24</v>
      </c>
      <c r="U31" s="2"/>
      <c r="V31" s="6">
        <f t="shared" si="18"/>
        <v>1.0799233955344595E-2</v>
      </c>
      <c r="W31" s="2"/>
      <c r="X31" s="7">
        <f t="shared" si="19"/>
        <v>-9341.6</v>
      </c>
      <c r="Y31" s="2"/>
      <c r="Z31" s="6">
        <f t="shared" si="20"/>
        <v>-0.77832138000906503</v>
      </c>
    </row>
    <row r="32" spans="1:26" s="24" customFormat="1" hidden="1" outlineLevel="2" x14ac:dyDescent="0.35">
      <c r="A32" s="27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6">
        <f t="shared" si="13"/>
        <v>0</v>
      </c>
      <c r="G32" s="2"/>
      <c r="H32" s="7">
        <v>468.93</v>
      </c>
      <c r="I32" s="2"/>
      <c r="J32" s="6">
        <f t="shared" si="14"/>
        <v>6.8318512025051714E-3</v>
      </c>
      <c r="K32" s="2"/>
      <c r="L32" s="7">
        <f t="shared" si="15"/>
        <v>-468.93</v>
      </c>
      <c r="M32" s="2"/>
      <c r="N32" s="6">
        <f t="shared" si="16"/>
        <v>-1</v>
      </c>
      <c r="O32" s="11"/>
      <c r="P32" s="7">
        <v>3733.96</v>
      </c>
      <c r="Q32" s="2"/>
      <c r="R32" s="6">
        <f t="shared" si="17"/>
        <v>9.8268865126669505E-3</v>
      </c>
      <c r="S32" s="2"/>
      <c r="T32" s="7">
        <v>6337.26</v>
      </c>
      <c r="U32" s="2"/>
      <c r="V32" s="6">
        <f t="shared" si="18"/>
        <v>5.7020650625089226E-3</v>
      </c>
      <c r="W32" s="2"/>
      <c r="X32" s="7">
        <f t="shared" si="19"/>
        <v>-2603.3000000000002</v>
      </c>
      <c r="Y32" s="2"/>
      <c r="Z32" s="6">
        <f t="shared" si="20"/>
        <v>-0.41079267696133664</v>
      </c>
    </row>
    <row r="33" spans="1:26" s="25" customFormat="1" outlineLevel="1" collapsed="1" x14ac:dyDescent="0.35">
      <c r="A33" s="26"/>
      <c r="B33" s="12" t="str">
        <f>CONCATENATE("     ","*Payroll                                          ")</f>
        <v xml:space="preserve">     *Payroll                                          </v>
      </c>
      <c r="C33" s="12"/>
      <c r="D33" s="1">
        <f>SUM(OSRRefD22_1x_0)</f>
        <v>0</v>
      </c>
      <c r="E33" s="1"/>
      <c r="F33" s="5">
        <f t="shared" ref="F33:F39" si="21">IF(D$12=0,0,D33/D$12)</f>
        <v>0</v>
      </c>
      <c r="G33" s="1"/>
      <c r="H33" s="1">
        <f>SUM(OSRRefH22_1x_0)</f>
        <v>33622.620000000003</v>
      </c>
      <c r="I33" s="1"/>
      <c r="J33" s="5">
        <f t="shared" ref="J33:J39" si="22">IF(H$12=0,0,H33/H$12)</f>
        <v>0.48984867011787359</v>
      </c>
      <c r="K33" s="1"/>
      <c r="L33" s="1">
        <f t="shared" ref="L33:L39" si="23">+D33-H33</f>
        <v>-33622.620000000003</v>
      </c>
      <c r="M33" s="1"/>
      <c r="N33" s="5">
        <f t="shared" ref="N33:N39" si="24">IF(H33=0,0,L33/H33)</f>
        <v>-1</v>
      </c>
      <c r="O33" s="12"/>
      <c r="P33" s="1">
        <f>SUM(OSRRefP22_1x_0)</f>
        <v>208564.34</v>
      </c>
      <c r="Q33" s="1"/>
      <c r="R33" s="5">
        <f t="shared" ref="R33:R39" si="25">IF(P$12=0,0,P33/P$12)</f>
        <v>0.54889128425834344</v>
      </c>
      <c r="S33" s="1"/>
      <c r="T33" s="1">
        <f>SUM(OSRRefT22_1x_0)</f>
        <v>449340.43999999994</v>
      </c>
      <c r="U33" s="1"/>
      <c r="V33" s="5">
        <f t="shared" ref="V33:V39" si="26">IF(T$12=0,0,T33/T$12)</f>
        <v>0.4043022416780101</v>
      </c>
      <c r="W33" s="1"/>
      <c r="X33" s="1">
        <f t="shared" ref="X33:X39" si="27">+P33-T33</f>
        <v>-240776.09999999995</v>
      </c>
      <c r="Y33" s="1"/>
      <c r="Z33" s="5">
        <f t="shared" ref="Z33:Z39" si="28">IF(T33=0,0,X33/T33)</f>
        <v>-0.53584337968779305</v>
      </c>
    </row>
    <row r="34" spans="1:26" s="24" customFormat="1" hidden="1" outlineLevel="2" x14ac:dyDescent="0.35">
      <c r="A34" s="27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1"/>
        <v>0</v>
      </c>
      <c r="G34" s="2"/>
      <c r="H34" s="7">
        <v>11917.71</v>
      </c>
      <c r="I34" s="2"/>
      <c r="J34" s="6">
        <f t="shared" si="22"/>
        <v>0.17362937196299641</v>
      </c>
      <c r="K34" s="2"/>
      <c r="L34" s="7">
        <f t="shared" si="23"/>
        <v>-11917.71</v>
      </c>
      <c r="M34" s="2"/>
      <c r="N34" s="6">
        <f t="shared" si="24"/>
        <v>-1</v>
      </c>
      <c r="O34" s="11"/>
      <c r="P34" s="7">
        <v>60376.42</v>
      </c>
      <c r="Q34" s="2"/>
      <c r="R34" s="6">
        <f t="shared" si="25"/>
        <v>0.15889624617861872</v>
      </c>
      <c r="S34" s="2"/>
      <c r="T34" s="7">
        <v>163841.81</v>
      </c>
      <c r="U34" s="2"/>
      <c r="V34" s="6">
        <f t="shared" si="26"/>
        <v>0.14741965148648234</v>
      </c>
      <c r="W34" s="2"/>
      <c r="X34" s="7">
        <f t="shared" si="27"/>
        <v>-103465.39</v>
      </c>
      <c r="Y34" s="2"/>
      <c r="Z34" s="6">
        <f t="shared" si="28"/>
        <v>-0.63149564814988313</v>
      </c>
    </row>
    <row r="35" spans="1:26" s="24" customFormat="1" hidden="1" outlineLevel="2" x14ac:dyDescent="0.35">
      <c r="A35" s="27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1"/>
        <v>0</v>
      </c>
      <c r="G35" s="2"/>
      <c r="H35" s="7">
        <v>4417.16</v>
      </c>
      <c r="I35" s="2"/>
      <c r="J35" s="6">
        <f t="shared" si="22"/>
        <v>6.4353698542762766E-2</v>
      </c>
      <c r="K35" s="2"/>
      <c r="L35" s="7">
        <f t="shared" si="23"/>
        <v>-4417.16</v>
      </c>
      <c r="M35" s="2"/>
      <c r="N35" s="6">
        <f t="shared" si="24"/>
        <v>-1</v>
      </c>
      <c r="O35" s="11"/>
      <c r="P35" s="7">
        <v>54540.13</v>
      </c>
      <c r="Q35" s="2"/>
      <c r="R35" s="6">
        <f t="shared" si="25"/>
        <v>0.14353653169720676</v>
      </c>
      <c r="S35" s="2"/>
      <c r="T35" s="7">
        <v>77768.23</v>
      </c>
      <c r="U35" s="2"/>
      <c r="V35" s="6">
        <f t="shared" si="26"/>
        <v>6.9973380807503274E-2</v>
      </c>
      <c r="W35" s="2"/>
      <c r="X35" s="7">
        <f t="shared" si="27"/>
        <v>-23228.1</v>
      </c>
      <c r="Y35" s="2"/>
      <c r="Z35" s="6">
        <f t="shared" si="28"/>
        <v>-0.29868366555340142</v>
      </c>
    </row>
    <row r="36" spans="1:26" s="24" customFormat="1" hidden="1" outlineLevel="2" x14ac:dyDescent="0.35">
      <c r="A36" s="27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1"/>
        <v>0</v>
      </c>
      <c r="G36" s="2"/>
      <c r="H36" s="7">
        <v>10280.700000000001</v>
      </c>
      <c r="I36" s="2"/>
      <c r="J36" s="6">
        <f t="shared" si="22"/>
        <v>0.14977973825004781</v>
      </c>
      <c r="K36" s="2"/>
      <c r="L36" s="7">
        <f t="shared" si="23"/>
        <v>-10280.700000000001</v>
      </c>
      <c r="M36" s="2"/>
      <c r="N36" s="6">
        <f t="shared" si="24"/>
        <v>-1</v>
      </c>
      <c r="O36" s="11"/>
      <c r="P36" s="7">
        <v>47656.53</v>
      </c>
      <c r="Q36" s="2"/>
      <c r="R36" s="6">
        <f t="shared" si="25"/>
        <v>0.12542054866616351</v>
      </c>
      <c r="S36" s="2"/>
      <c r="T36" s="7">
        <v>117835.4</v>
      </c>
      <c r="U36" s="2"/>
      <c r="V36" s="6">
        <f t="shared" si="26"/>
        <v>0.1060245464864569</v>
      </c>
      <c r="W36" s="2"/>
      <c r="X36" s="7">
        <f t="shared" si="27"/>
        <v>-70178.87</v>
      </c>
      <c r="Y36" s="2"/>
      <c r="Z36" s="6">
        <f t="shared" si="28"/>
        <v>-0.59556695186675646</v>
      </c>
    </row>
    <row r="37" spans="1:26" s="24" customFormat="1" hidden="1" outlineLevel="2" x14ac:dyDescent="0.35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1"/>
        <v>0</v>
      </c>
      <c r="G37" s="2"/>
      <c r="H37" s="7">
        <v>1261.1400000000001</v>
      </c>
      <c r="I37" s="2"/>
      <c r="J37" s="6">
        <f t="shared" si="22"/>
        <v>1.8373575641412093E-2</v>
      </c>
      <c r="K37" s="2"/>
      <c r="L37" s="7">
        <f t="shared" si="23"/>
        <v>-1261.1400000000001</v>
      </c>
      <c r="M37" s="2"/>
      <c r="N37" s="6">
        <f t="shared" si="24"/>
        <v>-1</v>
      </c>
      <c r="O37" s="11"/>
      <c r="P37" s="7">
        <v>1299.6300000000001</v>
      </c>
      <c r="Q37" s="2"/>
      <c r="R37" s="6">
        <f t="shared" si="25"/>
        <v>3.4203142289840681E-3</v>
      </c>
      <c r="S37" s="2"/>
      <c r="T37" s="7">
        <v>5463.31</v>
      </c>
      <c r="U37" s="2"/>
      <c r="V37" s="6">
        <f t="shared" si="26"/>
        <v>4.9157126386885856E-3</v>
      </c>
      <c r="W37" s="2"/>
      <c r="X37" s="7">
        <f t="shared" si="27"/>
        <v>-4163.68</v>
      </c>
      <c r="Y37" s="2"/>
      <c r="Z37" s="6">
        <f t="shared" si="28"/>
        <v>-0.76211673875361274</v>
      </c>
    </row>
    <row r="38" spans="1:26" s="24" customFormat="1" hidden="1" outlineLevel="2" x14ac:dyDescent="0.35">
      <c r="A38" s="27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1"/>
        <v>0</v>
      </c>
      <c r="G38" s="2"/>
      <c r="H38" s="7">
        <v>4667.79</v>
      </c>
      <c r="I38" s="2"/>
      <c r="J38" s="6">
        <f t="shared" si="22"/>
        <v>6.8005132374856836E-2</v>
      </c>
      <c r="K38" s="2"/>
      <c r="L38" s="7">
        <f t="shared" si="23"/>
        <v>-4667.79</v>
      </c>
      <c r="M38" s="2"/>
      <c r="N38" s="6">
        <f t="shared" si="24"/>
        <v>-1</v>
      </c>
      <c r="O38" s="11"/>
      <c r="P38" s="7">
        <v>41286.409999999996</v>
      </c>
      <c r="Q38" s="2"/>
      <c r="R38" s="6">
        <f t="shared" si="25"/>
        <v>0.10865592175209104</v>
      </c>
      <c r="S38" s="2"/>
      <c r="T38" s="7">
        <v>68597.58</v>
      </c>
      <c r="U38" s="2"/>
      <c r="V38" s="6">
        <f t="shared" si="26"/>
        <v>6.1721921507190934E-2</v>
      </c>
      <c r="W38" s="2"/>
      <c r="X38" s="7">
        <f t="shared" si="27"/>
        <v>-27311.170000000006</v>
      </c>
      <c r="Y38" s="2"/>
      <c r="Z38" s="6">
        <f t="shared" si="28"/>
        <v>-0.39813605669471147</v>
      </c>
    </row>
    <row r="39" spans="1:26" s="24" customFormat="1" hidden="1" outlineLevel="2" x14ac:dyDescent="0.3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1"/>
        <v>0</v>
      </c>
      <c r="G39" s="2"/>
      <c r="H39" s="7">
        <v>1078.1199999999999</v>
      </c>
      <c r="I39" s="2"/>
      <c r="J39" s="6">
        <f t="shared" si="22"/>
        <v>1.5707153345797614E-2</v>
      </c>
      <c r="K39" s="2"/>
      <c r="L39" s="7">
        <f t="shared" si="23"/>
        <v>-1078.1199999999999</v>
      </c>
      <c r="M39" s="2"/>
      <c r="N39" s="6">
        <f t="shared" si="24"/>
        <v>-1</v>
      </c>
      <c r="O39" s="11"/>
      <c r="P39" s="7">
        <v>3405.22</v>
      </c>
      <c r="Q39" s="2"/>
      <c r="R39" s="6">
        <f t="shared" si="25"/>
        <v>8.9617217352793693E-3</v>
      </c>
      <c r="S39" s="2"/>
      <c r="T39" s="7">
        <v>15834.110000000002</v>
      </c>
      <c r="U39" s="2"/>
      <c r="V39" s="6">
        <f t="shared" si="26"/>
        <v>1.4247028751688137E-2</v>
      </c>
      <c r="W39" s="2"/>
      <c r="X39" s="7">
        <f t="shared" si="27"/>
        <v>-12428.890000000003</v>
      </c>
      <c r="Y39" s="2"/>
      <c r="Z39" s="6">
        <f t="shared" si="28"/>
        <v>-0.78494402274583175</v>
      </c>
    </row>
    <row r="40" spans="1:26" s="25" customFormat="1" outlineLevel="1" collapsed="1" x14ac:dyDescent="0.35">
      <c r="A40" s="26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0</v>
      </c>
      <c r="E40" s="1"/>
      <c r="F40" s="5">
        <f t="shared" ref="F40:F57" si="29">IF(D$12=0,0,D40/D$12)</f>
        <v>0</v>
      </c>
      <c r="G40" s="1"/>
      <c r="H40" s="1">
        <f>SUM(OSRRefH22_2x_0)</f>
        <v>6</v>
      </c>
      <c r="I40" s="1"/>
      <c r="J40" s="5">
        <f t="shared" ref="J40:J57" si="30">IF(H$12=0,0,H40/H$12)</f>
        <v>8.7414128366773361E-5</v>
      </c>
      <c r="K40" s="1"/>
      <c r="L40" s="1">
        <f t="shared" ref="L40:L57" si="31">+D40-H40</f>
        <v>-6</v>
      </c>
      <c r="M40" s="1"/>
      <c r="N40" s="5">
        <f t="shared" ref="N40:N57" si="32">IF(H40=0,0,L40/H40)</f>
        <v>-1</v>
      </c>
      <c r="O40" s="12"/>
      <c r="P40" s="1">
        <f>SUM(OSRRefP22_2x_0)</f>
        <v>462.48</v>
      </c>
      <c r="Q40" s="1"/>
      <c r="R40" s="5">
        <f t="shared" ref="R40:R57" si="33">IF(P$12=0,0,P40/P$12)</f>
        <v>1.2171363577483988E-3</v>
      </c>
      <c r="S40" s="1"/>
      <c r="T40" s="1">
        <f>SUM(OSRRefT22_2x_0)</f>
        <v>3760.99</v>
      </c>
      <c r="U40" s="1"/>
      <c r="V40" s="5">
        <f t="shared" ref="V40:V57" si="34">IF(T$12=0,0,T40/T$12)</f>
        <v>3.3840192258871235E-3</v>
      </c>
      <c r="W40" s="1"/>
      <c r="X40" s="1">
        <f t="shared" ref="X40:X57" si="35">+P40-T40</f>
        <v>-3298.5099999999998</v>
      </c>
      <c r="Y40" s="1"/>
      <c r="Z40" s="5">
        <f t="shared" ref="Z40:Z57" si="36">IF(T40=0,0,X40/T40)</f>
        <v>-0.87703237711347282</v>
      </c>
    </row>
    <row r="41" spans="1:26" s="24" customFormat="1" hidden="1" outlineLevel="2" x14ac:dyDescent="0.35">
      <c r="A41" s="27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29"/>
        <v>0</v>
      </c>
      <c r="G41" s="2"/>
      <c r="H41" s="7">
        <v>6</v>
      </c>
      <c r="I41" s="2"/>
      <c r="J41" s="6">
        <f t="shared" si="30"/>
        <v>8.7414128366773361E-5</v>
      </c>
      <c r="K41" s="2"/>
      <c r="L41" s="7">
        <f t="shared" si="31"/>
        <v>-6</v>
      </c>
      <c r="M41" s="2"/>
      <c r="N41" s="6">
        <f t="shared" si="32"/>
        <v>-1</v>
      </c>
      <c r="O41" s="11"/>
      <c r="P41" s="7">
        <v>462.48</v>
      </c>
      <c r="Q41" s="2"/>
      <c r="R41" s="6">
        <f t="shared" si="33"/>
        <v>1.2171363577483988E-3</v>
      </c>
      <c r="S41" s="2"/>
      <c r="T41" s="7">
        <v>3760.99</v>
      </c>
      <c r="U41" s="2"/>
      <c r="V41" s="6">
        <f t="shared" si="34"/>
        <v>3.3840192258871235E-3</v>
      </c>
      <c r="W41" s="2"/>
      <c r="X41" s="7">
        <f t="shared" si="35"/>
        <v>-3298.5099999999998</v>
      </c>
      <c r="Y41" s="2"/>
      <c r="Z41" s="6">
        <f t="shared" si="36"/>
        <v>-0.87703237711347282</v>
      </c>
    </row>
    <row r="42" spans="1:26" s="25" customFormat="1" outlineLevel="1" collapsed="1" x14ac:dyDescent="0.35">
      <c r="A42" s="26"/>
      <c r="B42" s="12" t="str">
        <f>CONCATENATE("     ","Bad Debts/Over/Short                              ")</f>
        <v xml:space="preserve">     Bad Debts/Over/Short                              </v>
      </c>
      <c r="C42" s="12"/>
      <c r="D42" s="1">
        <f>SUM(OSRRefD22_3x_0)</f>
        <v>0</v>
      </c>
      <c r="E42" s="1"/>
      <c r="F42" s="5">
        <f t="shared" si="29"/>
        <v>0</v>
      </c>
      <c r="G42" s="1"/>
      <c r="H42" s="1">
        <f>SUM(OSRRefH22_3x_0)</f>
        <v>1202.7</v>
      </c>
      <c r="I42" s="1"/>
      <c r="J42" s="5">
        <f t="shared" si="30"/>
        <v>1.7522162031119719E-2</v>
      </c>
      <c r="K42" s="1"/>
      <c r="L42" s="1">
        <f t="shared" si="31"/>
        <v>-1202.7</v>
      </c>
      <c r="M42" s="1"/>
      <c r="N42" s="5">
        <f t="shared" si="32"/>
        <v>-1</v>
      </c>
      <c r="O42" s="12"/>
      <c r="P42" s="1">
        <f>SUM(OSRRefP22_3x_0)</f>
        <v>-0.24</v>
      </c>
      <c r="Q42" s="1"/>
      <c r="R42" s="5">
        <f t="shared" si="33"/>
        <v>-6.3162239634063244E-7</v>
      </c>
      <c r="S42" s="1"/>
      <c r="T42" s="1">
        <f>SUM(OSRRefT22_3x_0)</f>
        <v>1157.8599999999999</v>
      </c>
      <c r="U42" s="1"/>
      <c r="V42" s="5">
        <f t="shared" si="34"/>
        <v>1.0418056152464283E-3</v>
      </c>
      <c r="W42" s="1"/>
      <c r="X42" s="1">
        <f t="shared" si="35"/>
        <v>-1158.0999999999999</v>
      </c>
      <c r="Y42" s="1"/>
      <c r="Z42" s="5">
        <f t="shared" si="36"/>
        <v>-1.0002072789456411</v>
      </c>
    </row>
    <row r="43" spans="1:26" s="24" customFormat="1" hidden="1" outlineLevel="2" x14ac:dyDescent="0.35">
      <c r="A43" s="27"/>
      <c r="B43" s="11" t="str">
        <f>CONCATENATE("          ", "6272", " - ", "CASH (OVER/SHORT)")</f>
        <v xml:space="preserve">          6272 - CASH (OVER/SHORT)</v>
      </c>
      <c r="C43" s="11"/>
      <c r="D43" s="7"/>
      <c r="E43" s="2"/>
      <c r="F43" s="6">
        <f t="shared" si="29"/>
        <v>0</v>
      </c>
      <c r="G43" s="2"/>
      <c r="H43" s="7">
        <v>1202.7</v>
      </c>
      <c r="I43" s="2"/>
      <c r="J43" s="6">
        <f t="shared" si="30"/>
        <v>1.7522162031119719E-2</v>
      </c>
      <c r="K43" s="2"/>
      <c r="L43" s="7">
        <f t="shared" si="31"/>
        <v>-1202.7</v>
      </c>
      <c r="M43" s="2"/>
      <c r="N43" s="6">
        <f t="shared" si="32"/>
        <v>-1</v>
      </c>
      <c r="O43" s="11"/>
      <c r="P43" s="7">
        <v>-0.24</v>
      </c>
      <c r="Q43" s="2"/>
      <c r="R43" s="6">
        <f t="shared" si="33"/>
        <v>-6.3162239634063244E-7</v>
      </c>
      <c r="S43" s="2"/>
      <c r="T43" s="7">
        <v>1157.8599999999999</v>
      </c>
      <c r="U43" s="2"/>
      <c r="V43" s="6">
        <f t="shared" si="34"/>
        <v>1.0418056152464283E-3</v>
      </c>
      <c r="W43" s="2"/>
      <c r="X43" s="7">
        <f t="shared" si="35"/>
        <v>-1158.0999999999999</v>
      </c>
      <c r="Y43" s="2"/>
      <c r="Z43" s="6">
        <f t="shared" si="36"/>
        <v>-1.0002072789456411</v>
      </c>
    </row>
    <row r="44" spans="1:26" s="25" customFormat="1" outlineLevel="1" collapsed="1" x14ac:dyDescent="0.35">
      <c r="A44" s="26"/>
      <c r="B44" s="12" t="str">
        <f>CONCATENATE("     ","Bank/card Fees                                    ")</f>
        <v xml:space="preserve">     Bank/card Fees                                    </v>
      </c>
      <c r="C44" s="12"/>
      <c r="D44" s="1">
        <f>SUM(OSRRefD22_4x_0)</f>
        <v>0</v>
      </c>
      <c r="E44" s="1"/>
      <c r="F44" s="5">
        <f t="shared" si="29"/>
        <v>0</v>
      </c>
      <c r="G44" s="1"/>
      <c r="H44" s="1">
        <f>SUM(OSRRefH22_4x_0)</f>
        <v>597.01</v>
      </c>
      <c r="I44" s="1"/>
      <c r="J44" s="5">
        <f t="shared" si="30"/>
        <v>8.6978514627078941E-3</v>
      </c>
      <c r="K44" s="1"/>
      <c r="L44" s="1">
        <f t="shared" si="31"/>
        <v>-597.01</v>
      </c>
      <c r="M44" s="1"/>
      <c r="N44" s="5">
        <f t="shared" si="32"/>
        <v>-1</v>
      </c>
      <c r="O44" s="12"/>
      <c r="P44" s="1">
        <f>SUM(OSRRefP22_4x_0)</f>
        <v>5691.38</v>
      </c>
      <c r="Q44" s="1"/>
      <c r="R44" s="5">
        <f t="shared" si="33"/>
        <v>1.4978346142021455E-2</v>
      </c>
      <c r="S44" s="1"/>
      <c r="T44" s="1">
        <f>SUM(OSRRefT22_4x_0)</f>
        <v>11513.83</v>
      </c>
      <c r="U44" s="1"/>
      <c r="V44" s="5">
        <f t="shared" si="34"/>
        <v>1.0359778165747832E-2</v>
      </c>
      <c r="W44" s="1"/>
      <c r="X44" s="1">
        <f t="shared" si="35"/>
        <v>-5822.45</v>
      </c>
      <c r="Y44" s="1"/>
      <c r="Z44" s="5">
        <f t="shared" si="36"/>
        <v>-0.50569185058316823</v>
      </c>
    </row>
    <row r="45" spans="1:26" s="24" customFormat="1" hidden="1" outlineLevel="2" x14ac:dyDescent="0.35">
      <c r="A45" s="27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29"/>
        <v>0</v>
      </c>
      <c r="G45" s="2"/>
      <c r="H45" s="7">
        <v>597.01</v>
      </c>
      <c r="I45" s="2"/>
      <c r="J45" s="6">
        <f t="shared" si="30"/>
        <v>8.6978514627078941E-3</v>
      </c>
      <c r="K45" s="2"/>
      <c r="L45" s="7">
        <f t="shared" si="31"/>
        <v>-597.01</v>
      </c>
      <c r="M45" s="2"/>
      <c r="N45" s="6">
        <f t="shared" si="32"/>
        <v>-1</v>
      </c>
      <c r="O45" s="11"/>
      <c r="P45" s="7">
        <v>5691.38</v>
      </c>
      <c r="Q45" s="2"/>
      <c r="R45" s="6">
        <f t="shared" si="33"/>
        <v>1.4978346142021455E-2</v>
      </c>
      <c r="S45" s="2"/>
      <c r="T45" s="7">
        <v>11513.83</v>
      </c>
      <c r="U45" s="2"/>
      <c r="V45" s="6">
        <f t="shared" si="34"/>
        <v>1.0359778165747832E-2</v>
      </c>
      <c r="W45" s="2"/>
      <c r="X45" s="7">
        <f t="shared" si="35"/>
        <v>-5822.45</v>
      </c>
      <c r="Y45" s="2"/>
      <c r="Z45" s="6">
        <f t="shared" si="36"/>
        <v>-0.50569185058316823</v>
      </c>
    </row>
    <row r="46" spans="1:26" s="25" customFormat="1" outlineLevel="1" collapsed="1" x14ac:dyDescent="0.35">
      <c r="A46" s="26"/>
      <c r="B46" s="12" t="str">
        <f>CONCATENATE("     ","Depreciation                                      ")</f>
        <v xml:space="preserve">     Depreciation                                      </v>
      </c>
      <c r="C46" s="12"/>
      <c r="D46" s="1">
        <f>SUM(OSRRefD22_5x_0)</f>
        <v>689.08</v>
      </c>
      <c r="E46" s="1"/>
      <c r="F46" s="5">
        <f t="shared" si="29"/>
        <v>0</v>
      </c>
      <c r="G46" s="1"/>
      <c r="H46" s="1">
        <f>SUM(OSRRefH22_5x_0)</f>
        <v>298.02</v>
      </c>
      <c r="I46" s="1"/>
      <c r="J46" s="5">
        <f t="shared" si="30"/>
        <v>4.3418597559776321E-3</v>
      </c>
      <c r="K46" s="1"/>
      <c r="L46" s="1">
        <f t="shared" si="31"/>
        <v>391.06000000000006</v>
      </c>
      <c r="M46" s="1"/>
      <c r="N46" s="5">
        <f t="shared" si="32"/>
        <v>1.3121938124958059</v>
      </c>
      <c r="O46" s="12"/>
      <c r="P46" s="1">
        <f>SUM(OSRRefP22_5x_0)</f>
        <v>5378.02</v>
      </c>
      <c r="Q46" s="1"/>
      <c r="R46" s="5">
        <f t="shared" si="33"/>
        <v>1.4153657833199369E-2</v>
      </c>
      <c r="S46" s="1"/>
      <c r="T46" s="1">
        <f>SUM(OSRRefT22_5x_0)</f>
        <v>7963.08</v>
      </c>
      <c r="U46" s="1"/>
      <c r="V46" s="5">
        <f t="shared" si="34"/>
        <v>7.1649262075350467E-3</v>
      </c>
      <c r="W46" s="1"/>
      <c r="X46" s="1">
        <f t="shared" si="35"/>
        <v>-2585.0599999999995</v>
      </c>
      <c r="Y46" s="1"/>
      <c r="Z46" s="5">
        <f t="shared" si="36"/>
        <v>-0.32463067054456307</v>
      </c>
    </row>
    <row r="47" spans="1:26" s="24" customFormat="1" hidden="1" outlineLevel="2" x14ac:dyDescent="0.3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689.08</v>
      </c>
      <c r="E47" s="2"/>
      <c r="F47" s="6">
        <f t="shared" si="29"/>
        <v>0</v>
      </c>
      <c r="G47" s="2"/>
      <c r="H47" s="7">
        <v>298.02</v>
      </c>
      <c r="I47" s="2"/>
      <c r="J47" s="6">
        <f t="shared" si="30"/>
        <v>4.3418597559776321E-3</v>
      </c>
      <c r="K47" s="2"/>
      <c r="L47" s="7">
        <f t="shared" si="31"/>
        <v>391.06000000000006</v>
      </c>
      <c r="M47" s="2"/>
      <c r="N47" s="6">
        <f t="shared" si="32"/>
        <v>1.3121938124958059</v>
      </c>
      <c r="O47" s="11"/>
      <c r="P47" s="7">
        <v>5378.02</v>
      </c>
      <c r="Q47" s="2"/>
      <c r="R47" s="6">
        <f t="shared" si="33"/>
        <v>1.4153657833199369E-2</v>
      </c>
      <c r="S47" s="2"/>
      <c r="T47" s="7">
        <v>7963.08</v>
      </c>
      <c r="U47" s="2"/>
      <c r="V47" s="6">
        <f t="shared" si="34"/>
        <v>7.1649262075350467E-3</v>
      </c>
      <c r="W47" s="2"/>
      <c r="X47" s="7">
        <f t="shared" si="35"/>
        <v>-2585.0599999999995</v>
      </c>
      <c r="Y47" s="2"/>
      <c r="Z47" s="6">
        <f t="shared" si="36"/>
        <v>-0.32463067054456307</v>
      </c>
    </row>
    <row r="48" spans="1:26" s="25" customFormat="1" outlineLevel="1" collapsed="1" x14ac:dyDescent="0.35">
      <c r="A48" s="26"/>
      <c r="B48" s="12" t="str">
        <f>CONCATENATE("     ","Employees' Appreciation                           ")</f>
        <v xml:space="preserve">     Employees' Appreciation                           </v>
      </c>
      <c r="C48" s="12"/>
      <c r="D48" s="1">
        <f>SUM(OSRRefD22_6x_0)</f>
        <v>0</v>
      </c>
      <c r="E48" s="1"/>
      <c r="F48" s="5">
        <f t="shared" si="29"/>
        <v>0</v>
      </c>
      <c r="G48" s="1"/>
      <c r="H48" s="1">
        <f>SUM(OSRRefH22_6x_0)</f>
        <v>21.97</v>
      </c>
      <c r="I48" s="1"/>
      <c r="J48" s="5">
        <f t="shared" si="30"/>
        <v>3.2008140003633506E-4</v>
      </c>
      <c r="K48" s="1"/>
      <c r="L48" s="1">
        <f t="shared" si="31"/>
        <v>-21.97</v>
      </c>
      <c r="M48" s="1"/>
      <c r="N48" s="5">
        <f t="shared" si="32"/>
        <v>-1</v>
      </c>
      <c r="O48" s="12"/>
      <c r="P48" s="1">
        <f>SUM(OSRRefP22_6x_0)</f>
        <v>60</v>
      </c>
      <c r="Q48" s="1"/>
      <c r="R48" s="5">
        <f t="shared" si="33"/>
        <v>1.5790559908515812E-4</v>
      </c>
      <c r="S48" s="1"/>
      <c r="T48" s="1">
        <f>SUM(OSRRefT22_6x_0)</f>
        <v>80.209999999999994</v>
      </c>
      <c r="U48" s="1"/>
      <c r="V48" s="5">
        <f t="shared" si="34"/>
        <v>7.2170407820389352E-5</v>
      </c>
      <c r="W48" s="1"/>
      <c r="X48" s="1">
        <f t="shared" si="35"/>
        <v>-20.209999999999994</v>
      </c>
      <c r="Y48" s="1"/>
      <c r="Z48" s="5">
        <f t="shared" si="36"/>
        <v>-0.2519635955616506</v>
      </c>
    </row>
    <row r="49" spans="1:26" s="24" customFormat="1" hidden="1" outlineLevel="2" x14ac:dyDescent="0.35">
      <c r="A49" s="27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29"/>
        <v>0</v>
      </c>
      <c r="G49" s="2"/>
      <c r="H49" s="7">
        <v>21.97</v>
      </c>
      <c r="I49" s="2"/>
      <c r="J49" s="6">
        <f t="shared" si="30"/>
        <v>3.2008140003633506E-4</v>
      </c>
      <c r="K49" s="2"/>
      <c r="L49" s="7">
        <f t="shared" si="31"/>
        <v>-21.97</v>
      </c>
      <c r="M49" s="2"/>
      <c r="N49" s="6">
        <f t="shared" si="32"/>
        <v>-1</v>
      </c>
      <c r="O49" s="11"/>
      <c r="P49" s="7">
        <v>60</v>
      </c>
      <c r="Q49" s="2"/>
      <c r="R49" s="6">
        <f t="shared" si="33"/>
        <v>1.5790559908515812E-4</v>
      </c>
      <c r="S49" s="2"/>
      <c r="T49" s="7">
        <v>80.209999999999994</v>
      </c>
      <c r="U49" s="2"/>
      <c r="V49" s="6">
        <f t="shared" si="34"/>
        <v>7.2170407820389352E-5</v>
      </c>
      <c r="W49" s="2"/>
      <c r="X49" s="7">
        <f t="shared" si="35"/>
        <v>-20.209999999999994</v>
      </c>
      <c r="Y49" s="2"/>
      <c r="Z49" s="6">
        <f t="shared" si="36"/>
        <v>-0.2519635955616506</v>
      </c>
    </row>
    <row r="50" spans="1:26" s="25" customFormat="1" outlineLevel="1" collapsed="1" x14ac:dyDescent="0.35">
      <c r="A50" s="26"/>
      <c r="B50" s="12" t="str">
        <f>CONCATENATE("     ","Equipment Rental                                  ")</f>
        <v xml:space="preserve">     Equipment Rental                                  </v>
      </c>
      <c r="C50" s="12"/>
      <c r="D50" s="1">
        <f>SUM(OSRRefD22_7x_0)</f>
        <v>16.239999999999998</v>
      </c>
      <c r="E50" s="1"/>
      <c r="F50" s="5">
        <f t="shared" si="29"/>
        <v>0</v>
      </c>
      <c r="G50" s="1"/>
      <c r="H50" s="1">
        <f>SUM(OSRRefH22_7x_0)</f>
        <v>579.52</v>
      </c>
      <c r="I50" s="1"/>
      <c r="J50" s="5">
        <f t="shared" si="30"/>
        <v>8.4430392785187491E-3</v>
      </c>
      <c r="K50" s="1"/>
      <c r="L50" s="1">
        <f t="shared" si="31"/>
        <v>-563.28</v>
      </c>
      <c r="M50" s="1"/>
      <c r="N50" s="5">
        <f t="shared" si="32"/>
        <v>-0.97197680839315292</v>
      </c>
      <c r="O50" s="12"/>
      <c r="P50" s="1">
        <f>SUM(OSRRefP22_7x_0)</f>
        <v>854</v>
      </c>
      <c r="Q50" s="1"/>
      <c r="R50" s="5">
        <f t="shared" si="33"/>
        <v>2.2475230269787508E-3</v>
      </c>
      <c r="S50" s="1"/>
      <c r="T50" s="1">
        <f>SUM(OSRRefT22_7x_0)</f>
        <v>2136.34</v>
      </c>
      <c r="U50" s="1"/>
      <c r="V50" s="5">
        <f t="shared" si="34"/>
        <v>1.9222108096622692E-3</v>
      </c>
      <c r="W50" s="1"/>
      <c r="X50" s="1">
        <f t="shared" si="35"/>
        <v>-1282.3400000000001</v>
      </c>
      <c r="Y50" s="1"/>
      <c r="Z50" s="5">
        <f t="shared" si="36"/>
        <v>-0.6002508963928963</v>
      </c>
    </row>
    <row r="51" spans="1:26" s="24" customFormat="1" hidden="1" outlineLevel="2" x14ac:dyDescent="0.35">
      <c r="A51" s="27"/>
      <c r="B51" s="11" t="str">
        <f>CONCATENATE("          ", "6351", " - ", "EQUIPMENT RENTAL")</f>
        <v xml:space="preserve">          6351 - EQUIPMENT RENTAL</v>
      </c>
      <c r="C51" s="11"/>
      <c r="D51" s="7">
        <v>16.239999999999998</v>
      </c>
      <c r="E51" s="2"/>
      <c r="F51" s="6">
        <f t="shared" si="29"/>
        <v>0</v>
      </c>
      <c r="G51" s="2"/>
      <c r="H51" s="7">
        <v>579.52</v>
      </c>
      <c r="I51" s="2"/>
      <c r="J51" s="6">
        <f t="shared" si="30"/>
        <v>8.4430392785187491E-3</v>
      </c>
      <c r="K51" s="2"/>
      <c r="L51" s="7">
        <f t="shared" si="31"/>
        <v>-563.28</v>
      </c>
      <c r="M51" s="2"/>
      <c r="N51" s="6">
        <f t="shared" si="32"/>
        <v>-0.97197680839315292</v>
      </c>
      <c r="O51" s="11"/>
      <c r="P51" s="7">
        <v>854</v>
      </c>
      <c r="Q51" s="2"/>
      <c r="R51" s="6">
        <f t="shared" si="33"/>
        <v>2.2475230269787508E-3</v>
      </c>
      <c r="S51" s="2"/>
      <c r="T51" s="7">
        <v>2136.34</v>
      </c>
      <c r="U51" s="2"/>
      <c r="V51" s="6">
        <f t="shared" si="34"/>
        <v>1.9222108096622692E-3</v>
      </c>
      <c r="W51" s="2"/>
      <c r="X51" s="7">
        <f t="shared" si="35"/>
        <v>-1282.3400000000001</v>
      </c>
      <c r="Y51" s="2"/>
      <c r="Z51" s="6">
        <f t="shared" si="36"/>
        <v>-0.6002508963928963</v>
      </c>
    </row>
    <row r="52" spans="1:26" s="25" customFormat="1" outlineLevel="1" collapsed="1" x14ac:dyDescent="0.35">
      <c r="A52" s="26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SUM(OSRRefD22_8x_0)</f>
        <v>0</v>
      </c>
      <c r="E52" s="1"/>
      <c r="F52" s="5">
        <f t="shared" si="29"/>
        <v>0</v>
      </c>
      <c r="G52" s="1"/>
      <c r="H52" s="1">
        <f>SUM(OSRRefH22_8x_0)</f>
        <v>30</v>
      </c>
      <c r="I52" s="1"/>
      <c r="J52" s="5">
        <f t="shared" si="30"/>
        <v>4.3707064183386678E-4</v>
      </c>
      <c r="K52" s="1"/>
      <c r="L52" s="1">
        <f t="shared" si="31"/>
        <v>-30</v>
      </c>
      <c r="M52" s="1"/>
      <c r="N52" s="5">
        <f t="shared" si="32"/>
        <v>-1</v>
      </c>
      <c r="O52" s="12"/>
      <c r="P52" s="1">
        <f>SUM(OSRRefP22_8x_0)</f>
        <v>2498.7399999999998</v>
      </c>
      <c r="Q52" s="1"/>
      <c r="R52" s="5">
        <f t="shared" si="33"/>
        <v>6.5760839443007998E-3</v>
      </c>
      <c r="S52" s="1"/>
      <c r="T52" s="1">
        <f>SUM(OSRRefT22_8x_0)</f>
        <v>2013.6</v>
      </c>
      <c r="U52" s="1"/>
      <c r="V52" s="5">
        <f t="shared" si="34"/>
        <v>1.8117732600316171E-3</v>
      </c>
      <c r="W52" s="1"/>
      <c r="X52" s="1">
        <f t="shared" si="35"/>
        <v>485.13999999999987</v>
      </c>
      <c r="Y52" s="1"/>
      <c r="Z52" s="5">
        <f t="shared" si="36"/>
        <v>0.24093166468017477</v>
      </c>
    </row>
    <row r="53" spans="1:26" s="24" customFormat="1" hidden="1" outlineLevel="2" x14ac:dyDescent="0.35">
      <c r="A53" s="27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29"/>
        <v>0</v>
      </c>
      <c r="G53" s="2"/>
      <c r="H53" s="7">
        <v>30</v>
      </c>
      <c r="I53" s="2"/>
      <c r="J53" s="6">
        <f t="shared" si="30"/>
        <v>4.3707064183386678E-4</v>
      </c>
      <c r="K53" s="2"/>
      <c r="L53" s="7">
        <f t="shared" si="31"/>
        <v>-30</v>
      </c>
      <c r="M53" s="2"/>
      <c r="N53" s="6">
        <f t="shared" si="32"/>
        <v>-1</v>
      </c>
      <c r="O53" s="11"/>
      <c r="P53" s="7">
        <v>2498.7399999999998</v>
      </c>
      <c r="Q53" s="2"/>
      <c r="R53" s="6">
        <f t="shared" si="33"/>
        <v>6.5760839443007998E-3</v>
      </c>
      <c r="S53" s="2"/>
      <c r="T53" s="7">
        <v>2013.6</v>
      </c>
      <c r="U53" s="2"/>
      <c r="V53" s="6">
        <f t="shared" si="34"/>
        <v>1.8117732600316171E-3</v>
      </c>
      <c r="W53" s="2"/>
      <c r="X53" s="7">
        <f t="shared" si="35"/>
        <v>485.13999999999987</v>
      </c>
      <c r="Y53" s="2"/>
      <c r="Z53" s="6">
        <f t="shared" si="36"/>
        <v>0.24093166468017477</v>
      </c>
    </row>
    <row r="54" spans="1:26" s="25" customFormat="1" outlineLevel="1" collapsed="1" x14ac:dyDescent="0.35">
      <c r="A54" s="26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SUM(OSRRefD22_9x_0)</f>
        <v>60.6</v>
      </c>
      <c r="E54" s="1"/>
      <c r="F54" s="5">
        <f t="shared" si="29"/>
        <v>0</v>
      </c>
      <c r="G54" s="1"/>
      <c r="H54" s="1">
        <f>SUM(OSRRefH22_9x_0)</f>
        <v>3095.69</v>
      </c>
      <c r="I54" s="1"/>
      <c r="J54" s="5">
        <f t="shared" si="30"/>
        <v>4.5101173840622767E-2</v>
      </c>
      <c r="K54" s="1"/>
      <c r="L54" s="1">
        <f t="shared" si="31"/>
        <v>-3035.09</v>
      </c>
      <c r="M54" s="1"/>
      <c r="N54" s="5">
        <f t="shared" si="32"/>
        <v>-0.98042439649964952</v>
      </c>
      <c r="O54" s="12"/>
      <c r="P54" s="1">
        <f>SUM(OSRRefP22_9x_0)</f>
        <v>5516.92</v>
      </c>
      <c r="Q54" s="1"/>
      <c r="R54" s="5">
        <f t="shared" si="33"/>
        <v>1.451920929508151E-2</v>
      </c>
      <c r="S54" s="1"/>
      <c r="T54" s="1">
        <f>SUM(OSRRefT22_9x_0)</f>
        <v>27536.84</v>
      </c>
      <c r="U54" s="1"/>
      <c r="V54" s="5">
        <f t="shared" si="34"/>
        <v>2.477677313158971E-2</v>
      </c>
      <c r="W54" s="1"/>
      <c r="X54" s="1">
        <f t="shared" si="35"/>
        <v>-22019.919999999998</v>
      </c>
      <c r="Y54" s="1"/>
      <c r="Z54" s="5">
        <f t="shared" si="36"/>
        <v>-0.79965311923953508</v>
      </c>
    </row>
    <row r="55" spans="1:26" s="24" customFormat="1" hidden="1" outlineLevel="2" x14ac:dyDescent="0.35">
      <c r="A55" s="27"/>
      <c r="B55" s="11" t="str">
        <f>CONCATENATE("          ", "6371", " - ", "COMPUTER SOFTWARE MAINTENANCE")</f>
        <v xml:space="preserve">          6371 - COMPUTER SOFTWARE MAINTENANCE</v>
      </c>
      <c r="C55" s="11"/>
      <c r="D55" s="7"/>
      <c r="E55" s="2"/>
      <c r="F55" s="6">
        <f t="shared" si="29"/>
        <v>0</v>
      </c>
      <c r="G55" s="2"/>
      <c r="H55" s="7">
        <v>2430</v>
      </c>
      <c r="I55" s="2"/>
      <c r="J55" s="6">
        <f t="shared" si="30"/>
        <v>3.5402721988543211E-2</v>
      </c>
      <c r="K55" s="2"/>
      <c r="L55" s="7">
        <f t="shared" si="31"/>
        <v>-2430</v>
      </c>
      <c r="M55" s="2"/>
      <c r="N55" s="6">
        <f t="shared" si="32"/>
        <v>-1</v>
      </c>
      <c r="O55" s="11"/>
      <c r="P55" s="7">
        <v>0</v>
      </c>
      <c r="Q55" s="2"/>
      <c r="R55" s="6">
        <f t="shared" si="33"/>
        <v>0</v>
      </c>
      <c r="S55" s="2"/>
      <c r="T55" s="7">
        <v>13623.25</v>
      </c>
      <c r="U55" s="2"/>
      <c r="V55" s="6">
        <f t="shared" si="34"/>
        <v>1.2257767215298832E-2</v>
      </c>
      <c r="W55" s="2"/>
      <c r="X55" s="7">
        <f t="shared" si="35"/>
        <v>-13623.25</v>
      </c>
      <c r="Y55" s="2"/>
      <c r="Z55" s="6">
        <f t="shared" si="36"/>
        <v>-1</v>
      </c>
    </row>
    <row r="56" spans="1:26" s="24" customFormat="1" hidden="1" outlineLevel="2" x14ac:dyDescent="0.35">
      <c r="A56" s="27"/>
      <c r="B56" s="11" t="str">
        <f>CONCATENATE("          ", "6373", " - ", "MAINTENANCE CONTRACTS")</f>
        <v xml:space="preserve">          6373 - MAINTENANCE CONTRACTS</v>
      </c>
      <c r="C56" s="11"/>
      <c r="D56" s="7">
        <v>60.6</v>
      </c>
      <c r="E56" s="2"/>
      <c r="F56" s="6">
        <f t="shared" si="29"/>
        <v>0</v>
      </c>
      <c r="G56" s="2"/>
      <c r="H56" s="7">
        <v>57.23</v>
      </c>
      <c r="I56" s="2"/>
      <c r="J56" s="6">
        <f t="shared" si="30"/>
        <v>8.3378509440507314E-4</v>
      </c>
      <c r="K56" s="2"/>
      <c r="L56" s="7">
        <f t="shared" si="31"/>
        <v>3.3700000000000045</v>
      </c>
      <c r="M56" s="2"/>
      <c r="N56" s="6">
        <f t="shared" si="32"/>
        <v>5.8885200069893492E-2</v>
      </c>
      <c r="O56" s="11"/>
      <c r="P56" s="7">
        <v>1192.48</v>
      </c>
      <c r="Q56" s="2"/>
      <c r="R56" s="6">
        <f t="shared" si="33"/>
        <v>3.1383211466178228E-3</v>
      </c>
      <c r="S56" s="2"/>
      <c r="T56" s="7">
        <v>1188.92</v>
      </c>
      <c r="U56" s="2"/>
      <c r="V56" s="6">
        <f t="shared" si="34"/>
        <v>1.0697524157314215E-3</v>
      </c>
      <c r="W56" s="2"/>
      <c r="X56" s="7">
        <f t="shared" si="35"/>
        <v>3.5599999999999454</v>
      </c>
      <c r="Y56" s="2"/>
      <c r="Z56" s="6">
        <f t="shared" si="36"/>
        <v>2.9943141674796834E-3</v>
      </c>
    </row>
    <row r="57" spans="1:26" s="24" customFormat="1" hidden="1" outlineLevel="2" x14ac:dyDescent="0.3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9"/>
        <v>0</v>
      </c>
      <c r="G57" s="2"/>
      <c r="H57" s="7">
        <v>608.46</v>
      </c>
      <c r="I57" s="2"/>
      <c r="J57" s="6">
        <f t="shared" si="30"/>
        <v>8.8646667576744859E-3</v>
      </c>
      <c r="K57" s="2"/>
      <c r="L57" s="7">
        <f t="shared" si="31"/>
        <v>-608.46</v>
      </c>
      <c r="M57" s="2"/>
      <c r="N57" s="6">
        <f t="shared" si="32"/>
        <v>-1</v>
      </c>
      <c r="O57" s="11"/>
      <c r="P57" s="7">
        <v>4324.4399999999996</v>
      </c>
      <c r="Q57" s="2"/>
      <c r="R57" s="6">
        <f t="shared" si="33"/>
        <v>1.1380888148463686E-2</v>
      </c>
      <c r="S57" s="2"/>
      <c r="T57" s="7">
        <v>12724.67</v>
      </c>
      <c r="U57" s="2"/>
      <c r="V57" s="6">
        <f t="shared" si="34"/>
        <v>1.1449253500559455E-2</v>
      </c>
      <c r="W57" s="2"/>
      <c r="X57" s="7">
        <f t="shared" si="35"/>
        <v>-8400.23</v>
      </c>
      <c r="Y57" s="2"/>
      <c r="Z57" s="6">
        <f t="shared" si="36"/>
        <v>-0.66015307273194512</v>
      </c>
    </row>
    <row r="58" spans="1:26" s="25" customFormat="1" outlineLevel="1" collapsed="1" x14ac:dyDescent="0.35">
      <c r="A58" s="26"/>
      <c r="B58" s="12" t="str">
        <f>CONCATENATE("     ","Royalty &amp; Commissions                             ")</f>
        <v xml:space="preserve">     Royalty &amp; Commissions                             </v>
      </c>
      <c r="C58" s="12"/>
      <c r="D58" s="1">
        <f>SUM(OSRRefD22_10x_0)</f>
        <v>0</v>
      </c>
      <c r="E58" s="1"/>
      <c r="F58" s="5">
        <f t="shared" ref="F58:F63" si="37">IF(D$12=0,0,D58/D$12)</f>
        <v>0</v>
      </c>
      <c r="G58" s="1"/>
      <c r="H58" s="1">
        <f>SUM(OSRRefH22_10x_0)</f>
        <v>0</v>
      </c>
      <c r="I58" s="1"/>
      <c r="J58" s="5">
        <f t="shared" ref="J58:J63" si="38">IF(H$12=0,0,H58/H$12)</f>
        <v>0</v>
      </c>
      <c r="K58" s="1"/>
      <c r="L58" s="1">
        <f t="shared" ref="L58:L63" si="39">+D58-H58</f>
        <v>0</v>
      </c>
      <c r="M58" s="1"/>
      <c r="N58" s="5">
        <f t="shared" ref="N58:N63" si="40">IF(H58=0,0,L58/H58)</f>
        <v>0</v>
      </c>
      <c r="O58" s="12"/>
      <c r="P58" s="1">
        <f>SUM(OSRRefP22_10x_0)</f>
        <v>0</v>
      </c>
      <c r="Q58" s="1"/>
      <c r="R58" s="5">
        <f t="shared" ref="R58:R63" si="41">IF(P$12=0,0,P58/P$12)</f>
        <v>0</v>
      </c>
      <c r="S58" s="1"/>
      <c r="T58" s="1">
        <f>SUM(OSRRefT22_10x_0)</f>
        <v>2954.27</v>
      </c>
      <c r="U58" s="1"/>
      <c r="V58" s="5">
        <f t="shared" ref="V58:V63" si="42">IF(T$12=0,0,T58/T$12)</f>
        <v>2.6581582185705231E-3</v>
      </c>
      <c r="W58" s="1"/>
      <c r="X58" s="1">
        <f t="shared" ref="X58:X63" si="43">+P58-T58</f>
        <v>-2954.27</v>
      </c>
      <c r="Y58" s="1"/>
      <c r="Z58" s="5">
        <f t="shared" ref="Z58:Z63" si="44">IF(T58=0,0,X58/T58)</f>
        <v>-1</v>
      </c>
    </row>
    <row r="59" spans="1:26" s="24" customFormat="1" hidden="1" outlineLevel="2" x14ac:dyDescent="0.35">
      <c r="A59" s="27"/>
      <c r="B59" s="11" t="str">
        <f>CONCATENATE("          ", "6254", " - ", "ROYALTY &amp; COMMISSIONS")</f>
        <v xml:space="preserve">          6254 - ROYALTY &amp; COMMISSIONS</v>
      </c>
      <c r="C59" s="11"/>
      <c r="D59" s="7"/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0</v>
      </c>
      <c r="M59" s="2"/>
      <c r="N59" s="6">
        <f t="shared" si="40"/>
        <v>0</v>
      </c>
      <c r="O59" s="11"/>
      <c r="P59" s="7"/>
      <c r="Q59" s="2"/>
      <c r="R59" s="6">
        <f t="shared" si="41"/>
        <v>0</v>
      </c>
      <c r="S59" s="2"/>
      <c r="T59" s="7">
        <v>2954.27</v>
      </c>
      <c r="U59" s="2"/>
      <c r="V59" s="6">
        <f t="shared" si="42"/>
        <v>2.6581582185705231E-3</v>
      </c>
      <c r="W59" s="2"/>
      <c r="X59" s="7">
        <f t="shared" si="43"/>
        <v>-2954.27</v>
      </c>
      <c r="Y59" s="2"/>
      <c r="Z59" s="6">
        <f t="shared" si="44"/>
        <v>-1</v>
      </c>
    </row>
    <row r="60" spans="1:26" s="25" customFormat="1" outlineLevel="1" collapsed="1" x14ac:dyDescent="0.35">
      <c r="A60" s="26"/>
      <c r="B60" s="12" t="str">
        <f>CONCATENATE("     ","Services                                          ")</f>
        <v xml:space="preserve">     Services                                          </v>
      </c>
      <c r="C60" s="12"/>
      <c r="D60" s="1">
        <f>SUM(OSRRefD22_11x_0)</f>
        <v>0</v>
      </c>
      <c r="E60" s="1"/>
      <c r="F60" s="5">
        <f t="shared" si="37"/>
        <v>0</v>
      </c>
      <c r="G60" s="1"/>
      <c r="H60" s="1">
        <f>SUM(OSRRefH22_11x_0)</f>
        <v>1663.81</v>
      </c>
      <c r="I60" s="1"/>
      <c r="J60" s="5">
        <f t="shared" si="38"/>
        <v>2.4240083486320195E-2</v>
      </c>
      <c r="K60" s="1"/>
      <c r="L60" s="1">
        <f t="shared" si="39"/>
        <v>-1663.81</v>
      </c>
      <c r="M60" s="1"/>
      <c r="N60" s="5">
        <f t="shared" si="40"/>
        <v>-1</v>
      </c>
      <c r="O60" s="12"/>
      <c r="P60" s="1">
        <f>SUM(OSRRefP22_11x_0)</f>
        <v>19714.809999999998</v>
      </c>
      <c r="Q60" s="1"/>
      <c r="R60" s="5">
        <f t="shared" si="41"/>
        <v>5.18846480650011E-2</v>
      </c>
      <c r="S60" s="1"/>
      <c r="T60" s="1">
        <f>SUM(OSRRefT22_11x_0)</f>
        <v>34534.929999999993</v>
      </c>
      <c r="U60" s="1"/>
      <c r="V60" s="5">
        <f t="shared" si="42"/>
        <v>3.107343201781073E-2</v>
      </c>
      <c r="W60" s="1"/>
      <c r="X60" s="1">
        <f t="shared" si="43"/>
        <v>-14820.119999999995</v>
      </c>
      <c r="Y60" s="1"/>
      <c r="Z60" s="5">
        <f t="shared" si="44"/>
        <v>-0.42913421281004471</v>
      </c>
    </row>
    <row r="61" spans="1:26" s="24" customFormat="1" hidden="1" outlineLevel="2" x14ac:dyDescent="0.35">
      <c r="A61" s="27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37"/>
        <v>0</v>
      </c>
      <c r="G61" s="2"/>
      <c r="H61" s="7">
        <v>62.95</v>
      </c>
      <c r="I61" s="2"/>
      <c r="J61" s="6">
        <f t="shared" si="38"/>
        <v>9.1711989678139717E-4</v>
      </c>
      <c r="K61" s="2"/>
      <c r="L61" s="7">
        <f t="shared" si="39"/>
        <v>-62.95</v>
      </c>
      <c r="M61" s="2"/>
      <c r="N61" s="6">
        <f t="shared" si="40"/>
        <v>-1</v>
      </c>
      <c r="O61" s="11"/>
      <c r="P61" s="7">
        <v>566.54999999999995</v>
      </c>
      <c r="Q61" s="2"/>
      <c r="R61" s="6">
        <f t="shared" si="41"/>
        <v>1.4910236193616056E-3</v>
      </c>
      <c r="S61" s="2"/>
      <c r="T61" s="7">
        <v>689.95</v>
      </c>
      <c r="U61" s="2"/>
      <c r="V61" s="6">
        <f t="shared" si="42"/>
        <v>6.2079507387704331E-4</v>
      </c>
      <c r="W61" s="2"/>
      <c r="X61" s="7">
        <f t="shared" si="43"/>
        <v>-123.40000000000009</v>
      </c>
      <c r="Y61" s="2"/>
      <c r="Z61" s="6">
        <f t="shared" si="44"/>
        <v>-0.1788535401116024</v>
      </c>
    </row>
    <row r="62" spans="1:26" s="24" customFormat="1" hidden="1" outlineLevel="2" x14ac:dyDescent="0.35">
      <c r="A62" s="27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37"/>
        <v>0</v>
      </c>
      <c r="G62" s="2"/>
      <c r="H62" s="7"/>
      <c r="I62" s="2"/>
      <c r="J62" s="6">
        <f t="shared" si="38"/>
        <v>0</v>
      </c>
      <c r="K62" s="2"/>
      <c r="L62" s="7">
        <f t="shared" si="39"/>
        <v>0</v>
      </c>
      <c r="M62" s="2"/>
      <c r="N62" s="6">
        <f t="shared" si="40"/>
        <v>0</v>
      </c>
      <c r="O62" s="11"/>
      <c r="P62" s="7">
        <v>517.04999999999995</v>
      </c>
      <c r="Q62" s="2"/>
      <c r="R62" s="6">
        <f t="shared" si="41"/>
        <v>1.3607515001163501E-3</v>
      </c>
      <c r="S62" s="2"/>
      <c r="T62" s="7">
        <v>739.12</v>
      </c>
      <c r="U62" s="2"/>
      <c r="V62" s="6">
        <f t="shared" si="42"/>
        <v>6.650366765765638E-4</v>
      </c>
      <c r="W62" s="2"/>
      <c r="X62" s="7">
        <f t="shared" si="43"/>
        <v>-222.07000000000005</v>
      </c>
      <c r="Y62" s="2"/>
      <c r="Z62" s="6">
        <f t="shared" si="44"/>
        <v>-0.30045188873254686</v>
      </c>
    </row>
    <row r="63" spans="1:26" s="24" customFormat="1" hidden="1" outlineLevel="2" x14ac:dyDescent="0.35">
      <c r="A63" s="27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37"/>
        <v>0</v>
      </c>
      <c r="G63" s="2"/>
      <c r="H63" s="7">
        <v>1600.86</v>
      </c>
      <c r="I63" s="2"/>
      <c r="J63" s="6">
        <f t="shared" si="38"/>
        <v>2.3322963589538798E-2</v>
      </c>
      <c r="K63" s="2"/>
      <c r="L63" s="7">
        <f t="shared" si="39"/>
        <v>-1600.86</v>
      </c>
      <c r="M63" s="2"/>
      <c r="N63" s="6">
        <f t="shared" si="40"/>
        <v>-1</v>
      </c>
      <c r="O63" s="11"/>
      <c r="P63" s="7">
        <v>18631.21</v>
      </c>
      <c r="Q63" s="2"/>
      <c r="R63" s="6">
        <f t="shared" si="41"/>
        <v>4.9032872945523144E-2</v>
      </c>
      <c r="S63" s="2"/>
      <c r="T63" s="7">
        <v>33105.859999999993</v>
      </c>
      <c r="U63" s="2"/>
      <c r="V63" s="6">
        <f t="shared" si="42"/>
        <v>2.9787600267357123E-2</v>
      </c>
      <c r="W63" s="2"/>
      <c r="X63" s="7">
        <f t="shared" si="43"/>
        <v>-14474.649999999994</v>
      </c>
      <c r="Y63" s="2"/>
      <c r="Z63" s="6">
        <f t="shared" si="44"/>
        <v>-0.43722319855155545</v>
      </c>
    </row>
    <row r="64" spans="1:26" s="25" customFormat="1" outlineLevel="1" collapsed="1" x14ac:dyDescent="0.35">
      <c r="A64" s="26"/>
      <c r="B64" s="12" t="str">
        <f>CONCATENATE("     ","Supplies                                          ")</f>
        <v xml:space="preserve">     Supplies                                          </v>
      </c>
      <c r="C64" s="12"/>
      <c r="D64" s="1">
        <f>SUM(OSRRefD22_12x_0)</f>
        <v>1048.8</v>
      </c>
      <c r="E64" s="1"/>
      <c r="F64" s="5">
        <f t="shared" ref="F64:F72" si="45">IF(D$12=0,0,D64/D$12)</f>
        <v>0</v>
      </c>
      <c r="G64" s="1"/>
      <c r="H64" s="1">
        <f>SUM(OSRRefH22_12x_0)</f>
        <v>2308.8399999999997</v>
      </c>
      <c r="I64" s="1"/>
      <c r="J64" s="5">
        <f t="shared" ref="J64:J72" si="46">IF(H$12=0,0,H64/H$12)</f>
        <v>3.3637539356390161E-2</v>
      </c>
      <c r="K64" s="1"/>
      <c r="L64" s="1">
        <f t="shared" ref="L64:L72" si="47">+D64-H64</f>
        <v>-1260.0399999999997</v>
      </c>
      <c r="M64" s="1"/>
      <c r="N64" s="5">
        <f t="shared" ref="N64:N72" si="48">IF(H64=0,0,L64/H64)</f>
        <v>-0.54574591569792619</v>
      </c>
      <c r="O64" s="12"/>
      <c r="P64" s="1">
        <f>SUM(OSRRefP22_12x_0)</f>
        <v>13532.82</v>
      </c>
      <c r="Q64" s="1"/>
      <c r="R64" s="5">
        <f t="shared" ref="R64:R72" si="49">IF(P$12=0,0,P64/P$12)</f>
        <v>3.5615134156860156E-2</v>
      </c>
      <c r="S64" s="1"/>
      <c r="T64" s="1">
        <f>SUM(OSRRefT22_12x_0)</f>
        <v>27709.329999999994</v>
      </c>
      <c r="U64" s="1"/>
      <c r="V64" s="5">
        <f t="shared" ref="V64:V72" si="50">IF(T$12=0,0,T64/T$12)</f>
        <v>2.493197414947948E-2</v>
      </c>
      <c r="W64" s="1"/>
      <c r="X64" s="1">
        <f t="shared" ref="X64:X72" si="51">+P64-T64</f>
        <v>-14176.509999999995</v>
      </c>
      <c r="Y64" s="1"/>
      <c r="Z64" s="5">
        <f t="shared" ref="Z64:Z72" si="52">IF(T64=0,0,X64/T64)</f>
        <v>-0.51161504085447018</v>
      </c>
    </row>
    <row r="65" spans="1:26" s="24" customFormat="1" hidden="1" outlineLevel="2" x14ac:dyDescent="0.35">
      <c r="A65" s="27"/>
      <c r="B65" s="11" t="str">
        <f>CONCATENATE("          ", "6234", " - ", "EXPENDABLE SUPPLIES &amp; EQUIPMEN")</f>
        <v xml:space="preserve">          6234 - EXPENDABLE SUPPLIES &amp; EQUIPMEN</v>
      </c>
      <c r="C65" s="11"/>
      <c r="D65" s="7">
        <v>1048.8</v>
      </c>
      <c r="E65" s="2"/>
      <c r="F65" s="6">
        <f t="shared" si="45"/>
        <v>0</v>
      </c>
      <c r="G65" s="2"/>
      <c r="H65" s="7">
        <v>523.54</v>
      </c>
      <c r="I65" s="2"/>
      <c r="J65" s="6">
        <f t="shared" si="46"/>
        <v>7.6274654608567529E-3</v>
      </c>
      <c r="K65" s="2"/>
      <c r="L65" s="7">
        <f t="shared" si="47"/>
        <v>525.26</v>
      </c>
      <c r="M65" s="2"/>
      <c r="N65" s="6">
        <f t="shared" si="48"/>
        <v>1.003285326813615</v>
      </c>
      <c r="O65" s="11"/>
      <c r="P65" s="7">
        <v>2073.9</v>
      </c>
      <c r="Q65" s="2"/>
      <c r="R65" s="6">
        <f t="shared" si="49"/>
        <v>5.4580070323784905E-3</v>
      </c>
      <c r="S65" s="2"/>
      <c r="T65" s="7">
        <v>6484.52</v>
      </c>
      <c r="U65" s="2"/>
      <c r="V65" s="6">
        <f t="shared" si="50"/>
        <v>5.8345649285559313E-3</v>
      </c>
      <c r="W65" s="2"/>
      <c r="X65" s="7">
        <f t="shared" si="51"/>
        <v>-4410.6200000000008</v>
      </c>
      <c r="Y65" s="2"/>
      <c r="Z65" s="6">
        <f t="shared" si="52"/>
        <v>-0.68017679026358169</v>
      </c>
    </row>
    <row r="66" spans="1:26" s="24" customFormat="1" hidden="1" outlineLevel="2" x14ac:dyDescent="0.35">
      <c r="A66" s="27"/>
      <c r="B66" s="11" t="str">
        <f>CONCATENATE("          ", "6237", " - ", "JANITORIAL SUPPLIES")</f>
        <v xml:space="preserve">          6237 - JANITORIAL SUPPLIES</v>
      </c>
      <c r="C66" s="11"/>
      <c r="D66" s="7"/>
      <c r="E66" s="2"/>
      <c r="F66" s="6">
        <f t="shared" si="45"/>
        <v>0</v>
      </c>
      <c r="G66" s="2"/>
      <c r="H66" s="7"/>
      <c r="I66" s="2"/>
      <c r="J66" s="6">
        <f t="shared" si="46"/>
        <v>0</v>
      </c>
      <c r="K66" s="2"/>
      <c r="L66" s="7">
        <f t="shared" si="47"/>
        <v>0</v>
      </c>
      <c r="M66" s="2"/>
      <c r="N66" s="6">
        <f t="shared" si="48"/>
        <v>0</v>
      </c>
      <c r="O66" s="11"/>
      <c r="P66" s="7"/>
      <c r="Q66" s="2"/>
      <c r="R66" s="6">
        <f t="shared" si="49"/>
        <v>0</v>
      </c>
      <c r="S66" s="2"/>
      <c r="T66" s="7">
        <v>640.37</v>
      </c>
      <c r="U66" s="2"/>
      <c r="V66" s="6">
        <f t="shared" si="50"/>
        <v>5.7618456621297514E-4</v>
      </c>
      <c r="W66" s="2"/>
      <c r="X66" s="7">
        <f t="shared" si="51"/>
        <v>-640.37</v>
      </c>
      <c r="Y66" s="2"/>
      <c r="Z66" s="6">
        <f t="shared" si="52"/>
        <v>-1</v>
      </c>
    </row>
    <row r="67" spans="1:26" s="24" customFormat="1" hidden="1" outlineLevel="2" x14ac:dyDescent="0.35">
      <c r="A67" s="27"/>
      <c r="B67" s="11" t="str">
        <f>CONCATENATE("          ", "6239", " - ", "KITCHEN SUPPLIES")</f>
        <v xml:space="preserve">          6239 - KITCHEN SUPPLIES</v>
      </c>
      <c r="C67" s="11"/>
      <c r="D67" s="7"/>
      <c r="E67" s="2"/>
      <c r="F67" s="6">
        <f t="shared" si="45"/>
        <v>0</v>
      </c>
      <c r="G67" s="2"/>
      <c r="H67" s="7">
        <v>935.03</v>
      </c>
      <c r="I67" s="2"/>
      <c r="J67" s="6">
        <f t="shared" si="46"/>
        <v>1.3622472074464015E-2</v>
      </c>
      <c r="K67" s="2"/>
      <c r="L67" s="7">
        <f t="shared" si="47"/>
        <v>-935.03</v>
      </c>
      <c r="M67" s="2"/>
      <c r="N67" s="6">
        <f t="shared" si="48"/>
        <v>-1</v>
      </c>
      <c r="O67" s="11"/>
      <c r="P67" s="7">
        <v>3652.68</v>
      </c>
      <c r="Q67" s="2"/>
      <c r="R67" s="6">
        <f t="shared" si="49"/>
        <v>9.6129770611062555E-3</v>
      </c>
      <c r="S67" s="2"/>
      <c r="T67" s="7">
        <v>3338.75</v>
      </c>
      <c r="U67" s="2"/>
      <c r="V67" s="6">
        <f t="shared" si="50"/>
        <v>3.0041010984955116E-3</v>
      </c>
      <c r="W67" s="2"/>
      <c r="X67" s="7">
        <f t="shared" si="51"/>
        <v>313.92999999999984</v>
      </c>
      <c r="Y67" s="2"/>
      <c r="Z67" s="6">
        <f t="shared" si="52"/>
        <v>9.4026207412953908E-2</v>
      </c>
    </row>
    <row r="68" spans="1:26" s="24" customFormat="1" hidden="1" outlineLevel="2" x14ac:dyDescent="0.35">
      <c r="A68" s="27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45"/>
        <v>0</v>
      </c>
      <c r="G68" s="2"/>
      <c r="H68" s="7">
        <v>112.67</v>
      </c>
      <c r="I68" s="2"/>
      <c r="J68" s="6">
        <f t="shared" si="46"/>
        <v>1.641491640514059E-3</v>
      </c>
      <c r="K68" s="2"/>
      <c r="L68" s="7">
        <f t="shared" si="47"/>
        <v>-112.67</v>
      </c>
      <c r="M68" s="2"/>
      <c r="N68" s="6">
        <f t="shared" si="48"/>
        <v>-1</v>
      </c>
      <c r="O68" s="11"/>
      <c r="P68" s="7">
        <v>786.78</v>
      </c>
      <c r="Q68" s="2"/>
      <c r="R68" s="6">
        <f t="shared" si="49"/>
        <v>2.0706161208036786E-3</v>
      </c>
      <c r="S68" s="2"/>
      <c r="T68" s="7">
        <v>3471.53</v>
      </c>
      <c r="U68" s="2"/>
      <c r="V68" s="6">
        <f t="shared" si="50"/>
        <v>3.1235723209165475E-3</v>
      </c>
      <c r="W68" s="2"/>
      <c r="X68" s="7">
        <f t="shared" si="51"/>
        <v>-2684.75</v>
      </c>
      <c r="Y68" s="2"/>
      <c r="Z68" s="6">
        <f t="shared" si="52"/>
        <v>-0.77336217748370306</v>
      </c>
    </row>
    <row r="69" spans="1:26" s="24" customFormat="1" hidden="1" outlineLevel="2" x14ac:dyDescent="0.35">
      <c r="A69" s="27"/>
      <c r="B69" s="11" t="str">
        <f>CONCATENATE("          ", "6243", " - ", "PAPER SUPPLIES")</f>
        <v xml:space="preserve">          6243 - PAPER SUPPLIES</v>
      </c>
      <c r="C69" s="11"/>
      <c r="D69" s="7"/>
      <c r="E69" s="2"/>
      <c r="F69" s="6">
        <f t="shared" si="45"/>
        <v>0</v>
      </c>
      <c r="G69" s="2"/>
      <c r="H69" s="7">
        <v>696.75</v>
      </c>
      <c r="I69" s="2"/>
      <c r="J69" s="6">
        <f t="shared" si="46"/>
        <v>1.0150965656591555E-2</v>
      </c>
      <c r="K69" s="2"/>
      <c r="L69" s="7">
        <f t="shared" si="47"/>
        <v>-696.75</v>
      </c>
      <c r="M69" s="2"/>
      <c r="N69" s="6">
        <f t="shared" si="48"/>
        <v>-1</v>
      </c>
      <c r="O69" s="11"/>
      <c r="P69" s="7">
        <v>5217.22</v>
      </c>
      <c r="Q69" s="2"/>
      <c r="R69" s="6">
        <f t="shared" si="49"/>
        <v>1.3730470827651145E-2</v>
      </c>
      <c r="S69" s="2"/>
      <c r="T69" s="7">
        <v>10959.39</v>
      </c>
      <c r="U69" s="2"/>
      <c r="V69" s="6">
        <f t="shared" si="50"/>
        <v>9.8609106814947882E-3</v>
      </c>
      <c r="W69" s="2"/>
      <c r="X69" s="7">
        <f t="shared" si="51"/>
        <v>-5742.1699999999992</v>
      </c>
      <c r="Y69" s="2"/>
      <c r="Z69" s="6">
        <f t="shared" si="52"/>
        <v>-0.52394978187654595</v>
      </c>
    </row>
    <row r="70" spans="1:26" s="24" customFormat="1" hidden="1" outlineLevel="2" x14ac:dyDescent="0.35">
      <c r="A70" s="27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45"/>
        <v>0</v>
      </c>
      <c r="G70" s="2"/>
      <c r="H70" s="7"/>
      <c r="I70" s="2"/>
      <c r="J70" s="6">
        <f t="shared" si="46"/>
        <v>0</v>
      </c>
      <c r="K70" s="2"/>
      <c r="L70" s="7">
        <f t="shared" si="47"/>
        <v>0</v>
      </c>
      <c r="M70" s="2"/>
      <c r="N70" s="6">
        <f t="shared" si="48"/>
        <v>0</v>
      </c>
      <c r="O70" s="11"/>
      <c r="P70" s="7"/>
      <c r="Q70" s="2"/>
      <c r="R70" s="6">
        <f t="shared" si="49"/>
        <v>0</v>
      </c>
      <c r="S70" s="2"/>
      <c r="T70" s="7">
        <v>36.82</v>
      </c>
      <c r="U70" s="2"/>
      <c r="V70" s="6">
        <f t="shared" si="50"/>
        <v>3.312946535278315E-5</v>
      </c>
      <c r="W70" s="2"/>
      <c r="X70" s="7">
        <f t="shared" si="51"/>
        <v>-36.82</v>
      </c>
      <c r="Y70" s="2"/>
      <c r="Z70" s="6">
        <f t="shared" si="52"/>
        <v>-1</v>
      </c>
    </row>
    <row r="71" spans="1:26" s="24" customFormat="1" hidden="1" outlineLevel="2" x14ac:dyDescent="0.35">
      <c r="A71" s="27"/>
      <c r="B71" s="11" t="str">
        <f>CONCATENATE("          ", "6247", " - ", "STORE SUPPLIES")</f>
        <v xml:space="preserve">          6247 - STORE SUPPLIES</v>
      </c>
      <c r="C71" s="11"/>
      <c r="D71" s="7"/>
      <c r="E71" s="2"/>
      <c r="F71" s="6">
        <f t="shared" si="45"/>
        <v>0</v>
      </c>
      <c r="G71" s="2"/>
      <c r="H71" s="7">
        <v>40.85</v>
      </c>
      <c r="I71" s="2"/>
      <c r="J71" s="6">
        <f t="shared" si="46"/>
        <v>5.951445239637819E-4</v>
      </c>
      <c r="K71" s="2"/>
      <c r="L71" s="7">
        <f t="shared" si="47"/>
        <v>-40.85</v>
      </c>
      <c r="M71" s="2"/>
      <c r="N71" s="6">
        <f t="shared" si="48"/>
        <v>-1</v>
      </c>
      <c r="O71" s="11"/>
      <c r="P71" s="7">
        <v>509.58</v>
      </c>
      <c r="Q71" s="2"/>
      <c r="R71" s="6">
        <f t="shared" si="49"/>
        <v>1.3410922530302479E-3</v>
      </c>
      <c r="S71" s="2"/>
      <c r="T71" s="7">
        <v>1587.85</v>
      </c>
      <c r="U71" s="2"/>
      <c r="V71" s="6">
        <f t="shared" si="50"/>
        <v>1.4286969462361954E-3</v>
      </c>
      <c r="W71" s="2"/>
      <c r="X71" s="7">
        <f t="shared" si="51"/>
        <v>-1078.27</v>
      </c>
      <c r="Y71" s="2"/>
      <c r="Z71" s="6">
        <f t="shared" si="52"/>
        <v>-0.67907547942185975</v>
      </c>
    </row>
    <row r="72" spans="1:26" s="24" customFormat="1" hidden="1" outlineLevel="2" x14ac:dyDescent="0.35">
      <c r="A72" s="27"/>
      <c r="B72" s="11" t="str">
        <f>CONCATENATE("          ", "6248", " - ", "UNIFORMS")</f>
        <v xml:space="preserve">          6248 - UNIFORMS</v>
      </c>
      <c r="C72" s="11"/>
      <c r="D72" s="7"/>
      <c r="E72" s="2"/>
      <c r="F72" s="6">
        <f t="shared" si="45"/>
        <v>0</v>
      </c>
      <c r="G72" s="2"/>
      <c r="H72" s="7"/>
      <c r="I72" s="2"/>
      <c r="J72" s="6">
        <f t="shared" si="46"/>
        <v>0</v>
      </c>
      <c r="K72" s="2"/>
      <c r="L72" s="7">
        <f t="shared" si="47"/>
        <v>0</v>
      </c>
      <c r="M72" s="2"/>
      <c r="N72" s="6">
        <f t="shared" si="48"/>
        <v>0</v>
      </c>
      <c r="O72" s="11"/>
      <c r="P72" s="7">
        <v>1292.6600000000001</v>
      </c>
      <c r="Q72" s="2"/>
      <c r="R72" s="6">
        <f t="shared" si="49"/>
        <v>3.4019708618903419E-3</v>
      </c>
      <c r="S72" s="2"/>
      <c r="T72" s="7">
        <v>1190.0999999999999</v>
      </c>
      <c r="U72" s="2"/>
      <c r="V72" s="6">
        <f t="shared" si="50"/>
        <v>1.0708141422147534E-3</v>
      </c>
      <c r="W72" s="2"/>
      <c r="X72" s="7">
        <f t="shared" si="51"/>
        <v>102.56000000000017</v>
      </c>
      <c r="Y72" s="2"/>
      <c r="Z72" s="6">
        <f t="shared" si="52"/>
        <v>8.6177632131753792E-2</v>
      </c>
    </row>
    <row r="73" spans="1:26" s="25" customFormat="1" outlineLevel="1" collapsed="1" x14ac:dyDescent="0.35">
      <c r="A73" s="26"/>
      <c r="B73" s="12" t="str">
        <f>CONCATENATE("     ","Telephone/Data Lines                              ")</f>
        <v xml:space="preserve">     Telephone/Data Lines                              </v>
      </c>
      <c r="C73" s="12"/>
      <c r="D73" s="1">
        <f>SUM(OSRRefD22_13x_0)</f>
        <v>6.81</v>
      </c>
      <c r="E73" s="1"/>
      <c r="F73" s="5">
        <f t="shared" ref="F73:F76" si="53">IF(D$12=0,0,D73/D$12)</f>
        <v>0</v>
      </c>
      <c r="G73" s="1"/>
      <c r="H73" s="1">
        <f>SUM(OSRRefH22_13x_0)</f>
        <v>191.94</v>
      </c>
      <c r="I73" s="1"/>
      <c r="J73" s="5">
        <f t="shared" ref="J73:J76" si="54">IF(H$12=0,0,H73/H$12)</f>
        <v>2.7963779664530795E-3</v>
      </c>
      <c r="K73" s="1"/>
      <c r="L73" s="1">
        <f t="shared" ref="L73:L76" si="55">+D73-H73</f>
        <v>-185.13</v>
      </c>
      <c r="M73" s="1"/>
      <c r="N73" s="5">
        <f t="shared" ref="N73:N76" si="56">IF(H73=0,0,L73/H73)</f>
        <v>-0.96452016255079709</v>
      </c>
      <c r="O73" s="12"/>
      <c r="P73" s="1">
        <f>SUM(OSRRefP22_13x_0)</f>
        <v>2074.79</v>
      </c>
      <c r="Q73" s="1"/>
      <c r="R73" s="5">
        <f t="shared" ref="R73:R76" si="57">IF(P$12=0,0,P73/P$12)</f>
        <v>5.4603492987649205E-3</v>
      </c>
      <c r="S73" s="1"/>
      <c r="T73" s="1">
        <f>SUM(OSRRefT22_13x_0)</f>
        <v>2453.84</v>
      </c>
      <c r="U73" s="1"/>
      <c r="V73" s="5">
        <f t="shared" ref="V73:V76" si="58">IF(T$12=0,0,T73/T$12)</f>
        <v>2.2078872151350733E-3</v>
      </c>
      <c r="W73" s="1"/>
      <c r="X73" s="1">
        <f t="shared" ref="X73:X76" si="59">+P73-T73</f>
        <v>-379.05000000000018</v>
      </c>
      <c r="Y73" s="1"/>
      <c r="Z73" s="5">
        <f t="shared" ref="Z73:Z76" si="60">IF(T73=0,0,X73/T73)</f>
        <v>-0.1544721742248884</v>
      </c>
    </row>
    <row r="74" spans="1:26" s="24" customFormat="1" hidden="1" outlineLevel="2" x14ac:dyDescent="0.35">
      <c r="A74" s="27"/>
      <c r="B74" s="11" t="str">
        <f>CONCATENATE("          ", "6309", " - ", "TELEPHONE")</f>
        <v xml:space="preserve">          6309 - TELEPHONE</v>
      </c>
      <c r="C74" s="11"/>
      <c r="D74" s="7">
        <v>6.81</v>
      </c>
      <c r="E74" s="2"/>
      <c r="F74" s="6">
        <f t="shared" si="53"/>
        <v>0</v>
      </c>
      <c r="G74" s="2"/>
      <c r="H74" s="7">
        <v>191.94</v>
      </c>
      <c r="I74" s="2"/>
      <c r="J74" s="6">
        <f t="shared" si="54"/>
        <v>2.7963779664530795E-3</v>
      </c>
      <c r="K74" s="2"/>
      <c r="L74" s="7">
        <f t="shared" si="55"/>
        <v>-185.13</v>
      </c>
      <c r="M74" s="2"/>
      <c r="N74" s="6">
        <f t="shared" si="56"/>
        <v>-0.96452016255079709</v>
      </c>
      <c r="O74" s="11"/>
      <c r="P74" s="7">
        <v>2074.79</v>
      </c>
      <c r="Q74" s="2"/>
      <c r="R74" s="6">
        <f t="shared" si="57"/>
        <v>5.4603492987649205E-3</v>
      </c>
      <c r="S74" s="2"/>
      <c r="T74" s="7">
        <v>2453.84</v>
      </c>
      <c r="U74" s="2"/>
      <c r="V74" s="6">
        <f t="shared" si="58"/>
        <v>2.2078872151350733E-3</v>
      </c>
      <c r="W74" s="2"/>
      <c r="X74" s="7">
        <f t="shared" si="59"/>
        <v>-379.05000000000018</v>
      </c>
      <c r="Y74" s="2"/>
      <c r="Z74" s="6">
        <f t="shared" si="60"/>
        <v>-0.1544721742248884</v>
      </c>
    </row>
    <row r="75" spans="1:26" s="25" customFormat="1" outlineLevel="1" collapsed="1" x14ac:dyDescent="0.35">
      <c r="A75" s="26"/>
      <c r="B75" s="12" t="str">
        <f>CONCATENATE("     ","Training                                          ")</f>
        <v xml:space="preserve">     Training                                          </v>
      </c>
      <c r="C75" s="12"/>
      <c r="D75" s="1">
        <f>SUM(OSRRefD22_14x_0)</f>
        <v>0</v>
      </c>
      <c r="E75" s="1"/>
      <c r="F75" s="5">
        <f t="shared" si="53"/>
        <v>0</v>
      </c>
      <c r="G75" s="1"/>
      <c r="H75" s="1">
        <f>SUM(OSRRefH22_14x_0)</f>
        <v>0</v>
      </c>
      <c r="I75" s="1"/>
      <c r="J75" s="5">
        <f t="shared" si="54"/>
        <v>0</v>
      </c>
      <c r="K75" s="1"/>
      <c r="L75" s="1">
        <f t="shared" si="55"/>
        <v>0</v>
      </c>
      <c r="M75" s="1"/>
      <c r="N75" s="5">
        <f t="shared" si="56"/>
        <v>0</v>
      </c>
      <c r="O75" s="12"/>
      <c r="P75" s="1">
        <f>SUM(OSRRefP22_14x_0)</f>
        <v>175</v>
      </c>
      <c r="Q75" s="1"/>
      <c r="R75" s="5">
        <f t="shared" si="57"/>
        <v>4.605579973317112E-4</v>
      </c>
      <c r="S75" s="1"/>
      <c r="T75" s="1">
        <f>SUM(OSRRefT22_14x_0)</f>
        <v>175</v>
      </c>
      <c r="U75" s="1"/>
      <c r="V75" s="5">
        <f t="shared" si="58"/>
        <v>1.5745943608737236E-4</v>
      </c>
      <c r="W75" s="1"/>
      <c r="X75" s="1">
        <f t="shared" si="59"/>
        <v>0</v>
      </c>
      <c r="Y75" s="1"/>
      <c r="Z75" s="5">
        <f t="shared" si="60"/>
        <v>0</v>
      </c>
    </row>
    <row r="76" spans="1:26" s="24" customFormat="1" hidden="1" outlineLevel="2" x14ac:dyDescent="0.35">
      <c r="A76" s="27"/>
      <c r="B76" s="11" t="str">
        <f>CONCATENATE("          ", "6376", " - ", "TRAINING")</f>
        <v xml:space="preserve">          6376 - TRAINING</v>
      </c>
      <c r="C76" s="11"/>
      <c r="D76" s="7"/>
      <c r="E76" s="2"/>
      <c r="F76" s="6">
        <f t="shared" si="53"/>
        <v>0</v>
      </c>
      <c r="G76" s="2"/>
      <c r="H76" s="7"/>
      <c r="I76" s="2"/>
      <c r="J76" s="6">
        <f t="shared" si="54"/>
        <v>0</v>
      </c>
      <c r="K76" s="2"/>
      <c r="L76" s="7">
        <f t="shared" si="55"/>
        <v>0</v>
      </c>
      <c r="M76" s="2"/>
      <c r="N76" s="6">
        <f t="shared" si="56"/>
        <v>0</v>
      </c>
      <c r="O76" s="11"/>
      <c r="P76" s="7">
        <v>175</v>
      </c>
      <c r="Q76" s="2"/>
      <c r="R76" s="6">
        <f t="shared" si="57"/>
        <v>4.605579973317112E-4</v>
      </c>
      <c r="S76" s="2"/>
      <c r="T76" s="7">
        <v>175</v>
      </c>
      <c r="U76" s="2"/>
      <c r="V76" s="6">
        <f t="shared" si="58"/>
        <v>1.5745943608737236E-4</v>
      </c>
      <c r="W76" s="2"/>
      <c r="X76" s="7">
        <f t="shared" si="59"/>
        <v>0</v>
      </c>
      <c r="Y76" s="2"/>
      <c r="Z76" s="6">
        <f t="shared" si="60"/>
        <v>0</v>
      </c>
    </row>
    <row r="77" spans="1:26" s="56" customFormat="1" x14ac:dyDescent="0.3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35">
      <c r="A78" s="10"/>
      <c r="B78" s="29" t="s">
        <v>0</v>
      </c>
      <c r="C78" s="10"/>
      <c r="D78" s="4">
        <f>SUM(0)</f>
        <v>0</v>
      </c>
      <c r="E78" s="4"/>
      <c r="F78" s="13">
        <f>IF(D$12=0,0,D78/D$12)</f>
        <v>0</v>
      </c>
      <c r="G78" s="4"/>
      <c r="H78" s="4">
        <f>SUM(0)</f>
        <v>0</v>
      </c>
      <c r="I78" s="4"/>
      <c r="J78" s="13">
        <f>IF(H$12=0,0,H78/H$12)</f>
        <v>0</v>
      </c>
      <c r="K78" s="4"/>
      <c r="L78" s="4">
        <f>+D78-H78</f>
        <v>0</v>
      </c>
      <c r="M78" s="4"/>
      <c r="N78" s="13">
        <f>IF(H78=0,0,L78/H78)</f>
        <v>0</v>
      </c>
      <c r="O78" s="10"/>
      <c r="P78" s="4">
        <f>SUM(0)</f>
        <v>0</v>
      </c>
      <c r="Q78" s="4"/>
      <c r="R78" s="13">
        <f>IF(P$12=0,0,P78/P$12)</f>
        <v>0</v>
      </c>
      <c r="S78" s="4"/>
      <c r="T78" s="4">
        <f>SUM(0)</f>
        <v>0</v>
      </c>
      <c r="U78" s="4"/>
      <c r="V78" s="13">
        <f>IF(T$12=0,0,T78/T$12)</f>
        <v>0</v>
      </c>
      <c r="W78" s="4"/>
      <c r="X78" s="4">
        <f>+P78-T78</f>
        <v>0</v>
      </c>
      <c r="Y78" s="4"/>
      <c r="Z78" s="13">
        <f>IF(T78=0,0,X78/T78)</f>
        <v>0</v>
      </c>
    </row>
    <row r="79" spans="1:26" x14ac:dyDescent="0.3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5">
      <c r="A80" s="10"/>
      <c r="B80" s="28" t="s">
        <v>3</v>
      </c>
      <c r="C80" s="28"/>
      <c r="D80" s="22">
        <f>+D21-D23+D78</f>
        <v>-3023.48</v>
      </c>
      <c r="E80" s="14"/>
      <c r="F80" s="21">
        <f>IF(D$12=0,0,D80/D$12)</f>
        <v>0</v>
      </c>
      <c r="G80" s="14"/>
      <c r="H80" s="22">
        <f>+H21-H23+H78</f>
        <v>-8093.3799999999828</v>
      </c>
      <c r="I80" s="14"/>
      <c r="J80" s="21">
        <f>IF(H$12=0,0,H80/H$12)</f>
        <v>-0.11791262637351244</v>
      </c>
      <c r="K80" s="15"/>
      <c r="L80" s="22">
        <f>+D80-H80</f>
        <v>5069.8999999999833</v>
      </c>
      <c r="M80" s="15"/>
      <c r="N80" s="21">
        <f>IF(H80=0,0,L80/H80)</f>
        <v>-0.626425547793381</v>
      </c>
      <c r="O80" s="29"/>
      <c r="P80" s="22">
        <f>+P21-P23+P78</f>
        <v>-165581.64999999997</v>
      </c>
      <c r="Q80" s="14"/>
      <c r="R80" s="21">
        <f>IF(P$12=0,0,P80/P$12)</f>
        <v>-0.43577116067931615</v>
      </c>
      <c r="S80" s="14"/>
      <c r="T80" s="22">
        <f>+T21-T23+T78</f>
        <v>51791.440000000061</v>
      </c>
      <c r="U80" s="14"/>
      <c r="V80" s="21">
        <f>IF(T$12=0,0,T80/T$12)</f>
        <v>4.660029106601709E-2</v>
      </c>
      <c r="W80" s="15"/>
      <c r="X80" s="22">
        <f>+P80-T80</f>
        <v>-217373.09000000003</v>
      </c>
      <c r="Y80" s="15"/>
      <c r="Z80" s="21">
        <f>IF(T80=0,0,X80/T80)</f>
        <v>-4.1970852712340063</v>
      </c>
    </row>
    <row r="81" spans="1:26" x14ac:dyDescent="0.3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5">
      <c r="A82" s="51"/>
      <c r="B82" s="10" t="s">
        <v>13</v>
      </c>
      <c r="C82" s="10"/>
      <c r="D82" s="4">
        <v>12546.05</v>
      </c>
      <c r="E82" s="4"/>
      <c r="F82" s="13">
        <f>IF(D$12=0,0,D82/D$12)</f>
        <v>0</v>
      </c>
      <c r="G82" s="4"/>
      <c r="H82" s="4">
        <v>-29244.92</v>
      </c>
      <c r="I82" s="4"/>
      <c r="J82" s="13">
        <f>IF(H$12=0,0,H82/H$12)</f>
        <v>-0.4260698651593362</v>
      </c>
      <c r="K82" s="4"/>
      <c r="L82" s="4">
        <f>+D82-H82</f>
        <v>41790.97</v>
      </c>
      <c r="M82" s="4"/>
      <c r="N82" s="13">
        <f>IF(H82=0,0,L82/H82)</f>
        <v>-1.4289992928686419</v>
      </c>
      <c r="O82" s="10"/>
      <c r="P82" s="4">
        <v>57542.77</v>
      </c>
      <c r="Q82" s="4"/>
      <c r="R82" s="13">
        <f>IF(P$12=0,0,P82/P$12)</f>
        <v>0.1514387594978244</v>
      </c>
      <c r="S82" s="4"/>
      <c r="T82" s="4">
        <v>79217.17</v>
      </c>
      <c r="U82" s="4"/>
      <c r="V82" s="13">
        <f>IF(T$12=0,0,T82/T$12)</f>
        <v>7.127709095221435E-2</v>
      </c>
      <c r="W82" s="4"/>
      <c r="X82" s="4">
        <f>+P82-T82</f>
        <v>-21674.400000000001</v>
      </c>
      <c r="Y82" s="4"/>
      <c r="Z82" s="13">
        <f>IF(T82=0,0,X82/T82)</f>
        <v>-0.27360735052766971</v>
      </c>
    </row>
    <row r="83" spans="1:26" x14ac:dyDescent="0.3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4">
      <c r="A84" s="10"/>
      <c r="B84" s="28" t="s">
        <v>4</v>
      </c>
      <c r="C84" s="28"/>
      <c r="D84" s="34">
        <f>+D80-D82</f>
        <v>-15569.529999999999</v>
      </c>
      <c r="E84" s="14"/>
      <c r="F84" s="32">
        <f>IF(D$12=0,0,D84/D$12)</f>
        <v>0</v>
      </c>
      <c r="G84" s="14"/>
      <c r="H84" s="34">
        <f>+H80-H82</f>
        <v>21151.540000000015</v>
      </c>
      <c r="I84" s="14"/>
      <c r="J84" s="32">
        <f>IF(H$12=0,0,H84/H$12)</f>
        <v>0.30815723878582379</v>
      </c>
      <c r="K84" s="15"/>
      <c r="L84" s="34">
        <f>D84-H84</f>
        <v>-36721.070000000014</v>
      </c>
      <c r="M84" s="15"/>
      <c r="N84" s="32">
        <f>IF(H84=0,0,L84/H84)</f>
        <v>-1.7360943931269301</v>
      </c>
      <c r="O84" s="29"/>
      <c r="P84" s="34">
        <f>+P80-P82</f>
        <v>-223124.41999999995</v>
      </c>
      <c r="Q84" s="14"/>
      <c r="R84" s="32">
        <f>IF(P$12=0,0,P84/P$12)</f>
        <v>-0.58720992017714047</v>
      </c>
      <c r="S84" s="14"/>
      <c r="T84" s="34">
        <f>+T80-T82</f>
        <v>-27425.729999999938</v>
      </c>
      <c r="U84" s="14"/>
      <c r="V84" s="32">
        <f>IF(T$12=0,0,T84/T$12)</f>
        <v>-2.4676799886197264E-2</v>
      </c>
      <c r="W84" s="15"/>
      <c r="X84" s="34">
        <f>P84-T84</f>
        <v>-195698.69</v>
      </c>
      <c r="Y84" s="15"/>
      <c r="Z84" s="32">
        <f>IF(T84=0,0,X84/T84)</f>
        <v>7.1355872751609688</v>
      </c>
    </row>
    <row r="85" spans="1:26" ht="15" thickTop="1" x14ac:dyDescent="0.3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3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" thickBot="1" x14ac:dyDescent="0.4">
      <c r="A87" s="10"/>
      <c r="B87" s="28" t="s">
        <v>5</v>
      </c>
      <c r="C87" s="28"/>
      <c r="D87" s="35">
        <f>SUM(D84:D86)</f>
        <v>-15569.529999999999</v>
      </c>
      <c r="E87" s="14"/>
      <c r="F87" s="33">
        <f>IF(D$12=0,0,D87/D$12)</f>
        <v>0</v>
      </c>
      <c r="G87" s="14"/>
      <c r="H87" s="35">
        <f>SUM(H84:H86)</f>
        <v>21151.540000000015</v>
      </c>
      <c r="I87" s="14"/>
      <c r="J87" s="33">
        <f>IF(H$12=0,0,H87/H$12)</f>
        <v>0.30815723878582379</v>
      </c>
      <c r="K87" s="15"/>
      <c r="L87" s="35">
        <f>+D87-H87</f>
        <v>-36721.070000000014</v>
      </c>
      <c r="M87" s="15"/>
      <c r="N87" s="33">
        <f>IF(H87=0,0,L87/H87)</f>
        <v>-1.7360943931269301</v>
      </c>
      <c r="O87" s="29"/>
      <c r="P87" s="35">
        <f>SUM(P84:P86)</f>
        <v>-223124.41999999995</v>
      </c>
      <c r="Q87" s="14"/>
      <c r="R87" s="33">
        <f>IF(P$12=0,0,P87/P$12)</f>
        <v>-0.58720992017714047</v>
      </c>
      <c r="S87" s="14"/>
      <c r="T87" s="35">
        <f>SUM(T84:T86)</f>
        <v>-27425.729999999938</v>
      </c>
      <c r="U87" s="14"/>
      <c r="V87" s="33">
        <f>IF(T$12=0,0,T87/T$12)</f>
        <v>-2.4676799886197264E-2</v>
      </c>
      <c r="W87" s="15"/>
      <c r="X87" s="35">
        <f>+P87-T87</f>
        <v>-195698.69</v>
      </c>
      <c r="Y87" s="15"/>
      <c r="Z87" s="33">
        <f>IF(T87=0,0,X87/T87)</f>
        <v>7.1355872751609688</v>
      </c>
    </row>
    <row r="88" spans="1:26" ht="15" thickTop="1" x14ac:dyDescent="0.3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5">
      <c r="A89" s="9"/>
      <c r="B89" s="52">
        <v>44043.523207442129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5">
      <c r="A90" s="9"/>
      <c r="B90" s="61" t="s">
        <v>313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5">
      <c r="A91" s="9"/>
      <c r="B91" s="54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","420", " - ", "Catering")</f>
        <v>Department 420 - Catering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0"/>
      <c r="P12" s="4">
        <f>SUM(OSRRefP13x_0)</f>
        <v>211082.08000000002</v>
      </c>
      <c r="Q12" s="4"/>
      <c r="R12" s="13"/>
      <c r="S12" s="4"/>
      <c r="T12" s="4">
        <f>SUM(OSRRefT13x_0)</f>
        <v>0</v>
      </c>
      <c r="U12" s="4"/>
      <c r="V12" s="13"/>
      <c r="W12" s="4"/>
      <c r="X12" s="4">
        <f t="shared" ref="X12:X14" si="2">+P12-T12</f>
        <v>211082.08000000002</v>
      </c>
      <c r="Y12" s="4"/>
      <c r="Z12" s="13">
        <f t="shared" ref="Z12:Z14" si="3">IF(T12=0,0,X12/T12)</f>
        <v>0</v>
      </c>
    </row>
    <row r="13" spans="1:26" s="24" customFormat="1" hidden="1" outlineLevel="1" x14ac:dyDescent="0.3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--210141.41</f>
        <v>210141.41</v>
      </c>
      <c r="Q13" s="2"/>
      <c r="R13" s="19"/>
      <c r="S13" s="2"/>
      <c r="T13" s="2">
        <f t="shared" ref="T13:T14" si="6">0</f>
        <v>0</v>
      </c>
      <c r="U13" s="2"/>
      <c r="V13" s="19"/>
      <c r="W13" s="2"/>
      <c r="X13" s="2">
        <f t="shared" si="2"/>
        <v>210141.41</v>
      </c>
      <c r="Y13" s="2"/>
      <c r="Z13" s="19">
        <f t="shared" si="3"/>
        <v>0</v>
      </c>
    </row>
    <row r="14" spans="1:26" s="24" customFormat="1" hidden="1" outlineLevel="1" x14ac:dyDescent="0.3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--940.67</f>
        <v>940.67</v>
      </c>
      <c r="Q14" s="2"/>
      <c r="R14" s="19"/>
      <c r="S14" s="2"/>
      <c r="T14" s="2">
        <f t="shared" si="6"/>
        <v>0</v>
      </c>
      <c r="U14" s="2"/>
      <c r="V14" s="19"/>
      <c r="W14" s="2"/>
      <c r="X14" s="2">
        <f t="shared" si="2"/>
        <v>940.67</v>
      </c>
      <c r="Y14" s="2"/>
      <c r="Z14" s="19">
        <f t="shared" si="3"/>
        <v>0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9" t="s">
        <v>8</v>
      </c>
      <c r="C16" s="10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0</v>
      </c>
      <c r="I16" s="4"/>
      <c r="J16" s="13">
        <f t="shared" ref="J16:J18" si="8">IF(H$12=0,0,H16/H$12)</f>
        <v>0</v>
      </c>
      <c r="K16" s="4"/>
      <c r="L16" s="4">
        <f t="shared" ref="L16:L18" si="9">+D16-H16</f>
        <v>0</v>
      </c>
      <c r="M16" s="4"/>
      <c r="N16" s="13">
        <f t="shared" ref="N16:N18" si="10">IF(H16=0,0,L16/H16)</f>
        <v>0</v>
      </c>
      <c r="O16" s="10"/>
      <c r="P16" s="4">
        <f>SUM(OSRRefP16x_0)</f>
        <v>9795.24</v>
      </c>
      <c r="Q16" s="4"/>
      <c r="R16" s="13">
        <f t="shared" ref="R16:R18" si="11">IF(P$12=0,0,P16/P$12)</f>
        <v>4.6404886667783446E-2</v>
      </c>
      <c r="S16" s="4"/>
      <c r="T16" s="4">
        <f>SUM(OSRRefT16x_0)</f>
        <v>0</v>
      </c>
      <c r="U16" s="4"/>
      <c r="V16" s="13">
        <f t="shared" ref="V16:V18" si="12">IF(T$12=0,0,T16/T$12)</f>
        <v>0</v>
      </c>
      <c r="W16" s="4"/>
      <c r="X16" s="4">
        <f t="shared" ref="X16:X18" si="13">+P16-T16</f>
        <v>9795.24</v>
      </c>
      <c r="Y16" s="4"/>
      <c r="Z16" s="13">
        <f t="shared" ref="Z16:Z18" si="14">IF(T16=0,0,X16/T16)</f>
        <v>0</v>
      </c>
    </row>
    <row r="17" spans="1:26" s="24" customFormat="1" hidden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1"/>
      <c r="P17" s="2">
        <v>373.24</v>
      </c>
      <c r="Q17" s="2"/>
      <c r="R17" s="19">
        <f t="shared" si="11"/>
        <v>1.7682221058272687E-3</v>
      </c>
      <c r="S17" s="2"/>
      <c r="T17" s="2"/>
      <c r="U17" s="2"/>
      <c r="V17" s="19">
        <f t="shared" si="12"/>
        <v>0</v>
      </c>
      <c r="W17" s="2"/>
      <c r="X17" s="2">
        <f t="shared" si="13"/>
        <v>373.24</v>
      </c>
      <c r="Y17" s="2"/>
      <c r="Z17" s="19">
        <f t="shared" si="14"/>
        <v>0</v>
      </c>
    </row>
    <row r="18" spans="1:26" s="24" customFormat="1" hidden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1"/>
      <c r="P18" s="2">
        <v>9422</v>
      </c>
      <c r="Q18" s="2"/>
      <c r="R18" s="19">
        <f t="shared" si="11"/>
        <v>4.4636664561956182E-2</v>
      </c>
      <c r="S18" s="2"/>
      <c r="T18" s="2"/>
      <c r="U18" s="2"/>
      <c r="V18" s="19">
        <f t="shared" si="12"/>
        <v>0</v>
      </c>
      <c r="W18" s="2"/>
      <c r="X18" s="2">
        <f t="shared" si="13"/>
        <v>9422</v>
      </c>
      <c r="Y18" s="2"/>
      <c r="Z18" s="19">
        <f t="shared" si="14"/>
        <v>0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0</v>
      </c>
      <c r="E20" s="14"/>
      <c r="F20" s="21">
        <f>IF(D$12=0,0,D20/D$12)</f>
        <v>0</v>
      </c>
      <c r="G20" s="14"/>
      <c r="H20" s="22">
        <f>H12-H16</f>
        <v>0</v>
      </c>
      <c r="I20" s="14"/>
      <c r="J20" s="21">
        <f>IF(H$12=0,0,H20/H$12)</f>
        <v>0</v>
      </c>
      <c r="K20" s="15"/>
      <c r="L20" s="22">
        <f>+D20-H20</f>
        <v>0</v>
      </c>
      <c r="M20" s="15"/>
      <c r="N20" s="21">
        <f>IF(H20=0,0,L20/H20)</f>
        <v>0</v>
      </c>
      <c r="O20" s="29"/>
      <c r="P20" s="22">
        <f>P12-P16</f>
        <v>201286.84000000003</v>
      </c>
      <c r="Q20" s="14"/>
      <c r="R20" s="21">
        <f>IF(P$12=0,0,P20/P$12)</f>
        <v>0.95359511333221658</v>
      </c>
      <c r="S20" s="14"/>
      <c r="T20" s="22">
        <f>T12-T16</f>
        <v>0</v>
      </c>
      <c r="U20" s="14"/>
      <c r="V20" s="21">
        <f>IF(T$12=0,0,T20/T$12)</f>
        <v>0</v>
      </c>
      <c r="W20" s="15"/>
      <c r="X20" s="22">
        <f>+P20-T20</f>
        <v>201286.84000000003</v>
      </c>
      <c r="Y20" s="15"/>
      <c r="Z20" s="21">
        <f>IF(T20=0,0,X20/T20)</f>
        <v>0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-538.16</v>
      </c>
      <c r="E22" s="20"/>
      <c r="F22" s="36">
        <f t="shared" ref="F22:F31" si="15">IF(D$12=0,0,D22/D$12)</f>
        <v>0</v>
      </c>
      <c r="G22" s="20"/>
      <c r="H22" s="20">
        <f>SUM(OSRRefH22x_0)</f>
        <v>0</v>
      </c>
      <c r="I22" s="20"/>
      <c r="J22" s="36">
        <f t="shared" ref="J22:J31" si="16">IF(H$12=0,0,H22/H$12)</f>
        <v>0</v>
      </c>
      <c r="K22" s="4"/>
      <c r="L22" s="20">
        <f t="shared" ref="L22:L31" si="17">+D22-H22</f>
        <v>-538.16</v>
      </c>
      <c r="M22" s="4"/>
      <c r="N22" s="36">
        <f t="shared" ref="N22:N31" si="18">IF(H22=0,0,L22/H22)</f>
        <v>0</v>
      </c>
      <c r="O22" s="10"/>
      <c r="P22" s="20">
        <f>SUM(OSRRefP22x_0)</f>
        <v>199587.37999999998</v>
      </c>
      <c r="Q22" s="20"/>
      <c r="R22" s="36">
        <f t="shared" ref="R22:R31" si="19">IF(P$12=0,0,P22/P$12)</f>
        <v>0.9455439324835152</v>
      </c>
      <c r="S22" s="20"/>
      <c r="T22" s="20">
        <f>SUM(OSRRefT22x_0)</f>
        <v>0</v>
      </c>
      <c r="U22" s="20"/>
      <c r="V22" s="36">
        <f t="shared" ref="V22:V31" si="20">IF(T$12=0,0,T22/T$12)</f>
        <v>0</v>
      </c>
      <c r="W22" s="4"/>
      <c r="X22" s="20">
        <f t="shared" ref="X22:X31" si="21">+P22-T22</f>
        <v>199587.37999999998</v>
      </c>
      <c r="Y22" s="4"/>
      <c r="Z22" s="36">
        <f t="shared" ref="Z22:Z31" si="22">IF(T22=0,0,X22/T22)</f>
        <v>0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-538.16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-538.16</v>
      </c>
      <c r="M23" s="1"/>
      <c r="N23" s="5">
        <f t="shared" si="18"/>
        <v>0</v>
      </c>
      <c r="O23" s="12"/>
      <c r="P23" s="1">
        <f>SUM(OSRRefP22_0x_0)</f>
        <v>34276.46</v>
      </c>
      <c r="Q23" s="1"/>
      <c r="R23" s="5">
        <f t="shared" si="19"/>
        <v>0.16238450938137428</v>
      </c>
      <c r="S23" s="1"/>
      <c r="T23" s="1">
        <f>SUM(OSRRefT22_0x_0)</f>
        <v>0</v>
      </c>
      <c r="U23" s="1"/>
      <c r="V23" s="5">
        <f t="shared" si="20"/>
        <v>0</v>
      </c>
      <c r="W23" s="1"/>
      <c r="X23" s="1">
        <f t="shared" si="21"/>
        <v>34276.46</v>
      </c>
      <c r="Y23" s="1"/>
      <c r="Z23" s="5">
        <f t="shared" si="22"/>
        <v>0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5"/>
        <v>0</v>
      </c>
      <c r="G24" s="2"/>
      <c r="H24" s="7"/>
      <c r="I24" s="2"/>
      <c r="J24" s="6">
        <f t="shared" si="16"/>
        <v>0</v>
      </c>
      <c r="K24" s="2"/>
      <c r="L24" s="7">
        <f t="shared" si="17"/>
        <v>0</v>
      </c>
      <c r="M24" s="2"/>
      <c r="N24" s="6">
        <f t="shared" si="18"/>
        <v>0</v>
      </c>
      <c r="O24" s="11"/>
      <c r="P24" s="7">
        <v>14309.01</v>
      </c>
      <c r="Q24" s="2"/>
      <c r="R24" s="6">
        <f t="shared" si="19"/>
        <v>6.7788843088906453E-2</v>
      </c>
      <c r="S24" s="2"/>
      <c r="T24" s="7"/>
      <c r="U24" s="2"/>
      <c r="V24" s="6">
        <f t="shared" si="20"/>
        <v>0</v>
      </c>
      <c r="W24" s="2"/>
      <c r="X24" s="7">
        <f t="shared" si="21"/>
        <v>14309.01</v>
      </c>
      <c r="Y24" s="2"/>
      <c r="Z24" s="6">
        <f t="shared" si="22"/>
        <v>0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5"/>
        <v>0</v>
      </c>
      <c r="G25" s="2"/>
      <c r="H25" s="7"/>
      <c r="I25" s="2"/>
      <c r="J25" s="6">
        <f t="shared" si="16"/>
        <v>0</v>
      </c>
      <c r="K25" s="2"/>
      <c r="L25" s="7">
        <f t="shared" si="17"/>
        <v>0</v>
      </c>
      <c r="M25" s="2"/>
      <c r="N25" s="6">
        <f t="shared" si="18"/>
        <v>0</v>
      </c>
      <c r="O25" s="11"/>
      <c r="P25" s="7">
        <v>8030.89</v>
      </c>
      <c r="Q25" s="2"/>
      <c r="R25" s="6">
        <f t="shared" si="19"/>
        <v>3.8046289860323525E-2</v>
      </c>
      <c r="S25" s="2"/>
      <c r="T25" s="7"/>
      <c r="U25" s="2"/>
      <c r="V25" s="6">
        <f t="shared" si="20"/>
        <v>0</v>
      </c>
      <c r="W25" s="2"/>
      <c r="X25" s="7">
        <f t="shared" si="21"/>
        <v>8030.89</v>
      </c>
      <c r="Y25" s="2"/>
      <c r="Z25" s="6">
        <f t="shared" si="22"/>
        <v>0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5"/>
        <v>0</v>
      </c>
      <c r="G26" s="2"/>
      <c r="H26" s="7"/>
      <c r="I26" s="2"/>
      <c r="J26" s="6">
        <f t="shared" si="16"/>
        <v>0</v>
      </c>
      <c r="K26" s="2"/>
      <c r="L26" s="7">
        <f t="shared" si="17"/>
        <v>0</v>
      </c>
      <c r="M26" s="2"/>
      <c r="N26" s="6">
        <f t="shared" si="18"/>
        <v>0</v>
      </c>
      <c r="O26" s="11"/>
      <c r="P26" s="7">
        <v>19739.060000000001</v>
      </c>
      <c r="Q26" s="2"/>
      <c r="R26" s="6">
        <f t="shared" si="19"/>
        <v>9.3513670132490637E-2</v>
      </c>
      <c r="S26" s="2"/>
      <c r="T26" s="7"/>
      <c r="U26" s="2"/>
      <c r="V26" s="6">
        <f t="shared" si="20"/>
        <v>0</v>
      </c>
      <c r="W26" s="2"/>
      <c r="X26" s="7">
        <f t="shared" si="21"/>
        <v>19739.060000000001</v>
      </c>
      <c r="Y26" s="2"/>
      <c r="Z26" s="6">
        <f t="shared" si="22"/>
        <v>0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-538.16</v>
      </c>
      <c r="E27" s="2"/>
      <c r="F27" s="6">
        <f t="shared" si="15"/>
        <v>0</v>
      </c>
      <c r="G27" s="2"/>
      <c r="H27" s="7"/>
      <c r="I27" s="2"/>
      <c r="J27" s="6">
        <f t="shared" si="16"/>
        <v>0</v>
      </c>
      <c r="K27" s="2"/>
      <c r="L27" s="7">
        <f t="shared" si="17"/>
        <v>-538.16</v>
      </c>
      <c r="M27" s="2"/>
      <c r="N27" s="6">
        <f t="shared" si="18"/>
        <v>0</v>
      </c>
      <c r="O27" s="11"/>
      <c r="P27" s="7">
        <v>0</v>
      </c>
      <c r="Q27" s="2"/>
      <c r="R27" s="6">
        <f t="shared" si="19"/>
        <v>0</v>
      </c>
      <c r="S27" s="2"/>
      <c r="T27" s="7"/>
      <c r="U27" s="2"/>
      <c r="V27" s="6">
        <f t="shared" si="20"/>
        <v>0</v>
      </c>
      <c r="W27" s="2"/>
      <c r="X27" s="7">
        <f t="shared" si="21"/>
        <v>0</v>
      </c>
      <c r="Y27" s="2"/>
      <c r="Z27" s="6">
        <f t="shared" si="22"/>
        <v>0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5"/>
        <v>0</v>
      </c>
      <c r="G28" s="2"/>
      <c r="H28" s="7"/>
      <c r="I28" s="2"/>
      <c r="J28" s="6">
        <f t="shared" si="16"/>
        <v>0</v>
      </c>
      <c r="K28" s="2"/>
      <c r="L28" s="7">
        <f t="shared" si="17"/>
        <v>0</v>
      </c>
      <c r="M28" s="2"/>
      <c r="N28" s="6">
        <f t="shared" si="18"/>
        <v>0</v>
      </c>
      <c r="O28" s="11"/>
      <c r="P28" s="7">
        <v>10221.48</v>
      </c>
      <c r="Q28" s="2"/>
      <c r="R28" s="6">
        <f t="shared" si="19"/>
        <v>4.8424195933638697E-2</v>
      </c>
      <c r="S28" s="2"/>
      <c r="T28" s="7"/>
      <c r="U28" s="2"/>
      <c r="V28" s="6">
        <f t="shared" si="20"/>
        <v>0</v>
      </c>
      <c r="W28" s="2"/>
      <c r="X28" s="7">
        <f t="shared" si="21"/>
        <v>10221.48</v>
      </c>
      <c r="Y28" s="2"/>
      <c r="Z28" s="6">
        <f t="shared" si="22"/>
        <v>0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5"/>
        <v>0</v>
      </c>
      <c r="G29" s="2"/>
      <c r="H29" s="7"/>
      <c r="I29" s="2"/>
      <c r="J29" s="6">
        <f t="shared" si="16"/>
        <v>0</v>
      </c>
      <c r="K29" s="2"/>
      <c r="L29" s="7">
        <f t="shared" si="17"/>
        <v>0</v>
      </c>
      <c r="M29" s="2"/>
      <c r="N29" s="6">
        <f t="shared" si="18"/>
        <v>0</v>
      </c>
      <c r="O29" s="11"/>
      <c r="P29" s="7">
        <v>6534.07</v>
      </c>
      <c r="Q29" s="2"/>
      <c r="R29" s="6">
        <f t="shared" si="19"/>
        <v>3.0955114711774676E-2</v>
      </c>
      <c r="S29" s="2"/>
      <c r="T29" s="7"/>
      <c r="U29" s="2"/>
      <c r="V29" s="6">
        <f t="shared" si="20"/>
        <v>0</v>
      </c>
      <c r="W29" s="2"/>
      <c r="X29" s="7">
        <f t="shared" si="21"/>
        <v>6534.07</v>
      </c>
      <c r="Y29" s="2"/>
      <c r="Z29" s="6">
        <f t="shared" si="22"/>
        <v>0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5"/>
        <v>0</v>
      </c>
      <c r="G30" s="2"/>
      <c r="H30" s="7"/>
      <c r="I30" s="2"/>
      <c r="J30" s="6">
        <f t="shared" si="16"/>
        <v>0</v>
      </c>
      <c r="K30" s="2"/>
      <c r="L30" s="7">
        <f t="shared" si="17"/>
        <v>0</v>
      </c>
      <c r="M30" s="2"/>
      <c r="N30" s="6">
        <f t="shared" si="18"/>
        <v>0</v>
      </c>
      <c r="O30" s="11"/>
      <c r="P30" s="7">
        <v>-25661.230000000003</v>
      </c>
      <c r="Q30" s="2"/>
      <c r="R30" s="6">
        <f t="shared" si="19"/>
        <v>-0.12156991251933845</v>
      </c>
      <c r="S30" s="2"/>
      <c r="T30" s="7"/>
      <c r="U30" s="2"/>
      <c r="V30" s="6">
        <f t="shared" si="20"/>
        <v>0</v>
      </c>
      <c r="W30" s="2"/>
      <c r="X30" s="7">
        <f t="shared" si="21"/>
        <v>-25661.230000000003</v>
      </c>
      <c r="Y30" s="2"/>
      <c r="Z30" s="6">
        <f t="shared" si="22"/>
        <v>0</v>
      </c>
    </row>
    <row r="31" spans="1:26" s="24" customFormat="1" hidden="1" outlineLevel="2" x14ac:dyDescent="0.3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5"/>
        <v>0</v>
      </c>
      <c r="G31" s="2"/>
      <c r="H31" s="7"/>
      <c r="I31" s="2"/>
      <c r="J31" s="6">
        <f t="shared" si="16"/>
        <v>0</v>
      </c>
      <c r="K31" s="2"/>
      <c r="L31" s="7">
        <f t="shared" si="17"/>
        <v>0</v>
      </c>
      <c r="M31" s="2"/>
      <c r="N31" s="6">
        <f t="shared" si="18"/>
        <v>0</v>
      </c>
      <c r="O31" s="11"/>
      <c r="P31" s="7">
        <v>1103.18</v>
      </c>
      <c r="Q31" s="2"/>
      <c r="R31" s="6">
        <f t="shared" si="19"/>
        <v>5.2263081735787328E-3</v>
      </c>
      <c r="S31" s="2"/>
      <c r="T31" s="7"/>
      <c r="U31" s="2"/>
      <c r="V31" s="6">
        <f t="shared" si="20"/>
        <v>0</v>
      </c>
      <c r="W31" s="2"/>
      <c r="X31" s="7">
        <f t="shared" si="21"/>
        <v>1103.18</v>
      </c>
      <c r="Y31" s="2"/>
      <c r="Z31" s="6">
        <f t="shared" si="22"/>
        <v>0</v>
      </c>
    </row>
    <row r="32" spans="1:26" s="25" customFormat="1" outlineLevel="1" collapsed="1" x14ac:dyDescent="0.3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3">IF(D$12=0,0,D32/D$12)</f>
        <v>0</v>
      </c>
      <c r="G32" s="1"/>
      <c r="H32" s="1">
        <f>SUM(OSRRefH22_1x_0)</f>
        <v>0</v>
      </c>
      <c r="I32" s="1"/>
      <c r="J32" s="5">
        <f t="shared" ref="J32:J36" si="24">IF(H$12=0,0,H32/H$12)</f>
        <v>0</v>
      </c>
      <c r="K32" s="1"/>
      <c r="L32" s="1">
        <f t="shared" ref="L32:L36" si="25">+D32-H32</f>
        <v>0</v>
      </c>
      <c r="M32" s="1"/>
      <c r="N32" s="5">
        <f t="shared" ref="N32:N36" si="26">IF(H32=0,0,L32/H32)</f>
        <v>0</v>
      </c>
      <c r="O32" s="12"/>
      <c r="P32" s="1">
        <f>SUM(OSRRefP22_1x_0)</f>
        <v>160569.98000000001</v>
      </c>
      <c r="Q32" s="1"/>
      <c r="R32" s="5">
        <f t="shared" ref="R32:R36" si="27">IF(P$12=0,0,P32/P$12)</f>
        <v>0.76069925026321517</v>
      </c>
      <c r="S32" s="1"/>
      <c r="T32" s="1">
        <f>SUM(OSRRefT22_1x_0)</f>
        <v>0</v>
      </c>
      <c r="U32" s="1"/>
      <c r="V32" s="5">
        <f t="shared" ref="V32:V36" si="28">IF(T$12=0,0,T32/T$12)</f>
        <v>0</v>
      </c>
      <c r="W32" s="1"/>
      <c r="X32" s="1">
        <f t="shared" ref="X32:X36" si="29">+P32-T32</f>
        <v>160569.98000000001</v>
      </c>
      <c r="Y32" s="1"/>
      <c r="Z32" s="5">
        <f t="shared" ref="Z32:Z36" si="30">IF(T32=0,0,X32/T32)</f>
        <v>0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3"/>
        <v>0</v>
      </c>
      <c r="G33" s="2"/>
      <c r="H33" s="7"/>
      <c r="I33" s="2"/>
      <c r="J33" s="6">
        <f t="shared" si="24"/>
        <v>0</v>
      </c>
      <c r="K33" s="2"/>
      <c r="L33" s="7">
        <f t="shared" si="25"/>
        <v>0</v>
      </c>
      <c r="M33" s="2"/>
      <c r="N33" s="6">
        <f t="shared" si="26"/>
        <v>0</v>
      </c>
      <c r="O33" s="11"/>
      <c r="P33" s="7">
        <v>113004.92000000001</v>
      </c>
      <c r="Q33" s="2"/>
      <c r="R33" s="6">
        <f t="shared" si="27"/>
        <v>0.5353600836224468</v>
      </c>
      <c r="S33" s="2"/>
      <c r="T33" s="7"/>
      <c r="U33" s="2"/>
      <c r="V33" s="6">
        <f t="shared" si="28"/>
        <v>0</v>
      </c>
      <c r="W33" s="2"/>
      <c r="X33" s="7">
        <f t="shared" si="29"/>
        <v>113004.92000000001</v>
      </c>
      <c r="Y33" s="2"/>
      <c r="Z33" s="6">
        <f t="shared" si="30"/>
        <v>0</v>
      </c>
    </row>
    <row r="34" spans="1:26" s="24" customFormat="1" hidden="1" outlineLevel="2" x14ac:dyDescent="0.3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3"/>
        <v>0</v>
      </c>
      <c r="G34" s="2"/>
      <c r="H34" s="7"/>
      <c r="I34" s="2"/>
      <c r="J34" s="6">
        <f t="shared" si="24"/>
        <v>0</v>
      </c>
      <c r="K34" s="2"/>
      <c r="L34" s="7">
        <f t="shared" si="25"/>
        <v>0</v>
      </c>
      <c r="M34" s="2"/>
      <c r="N34" s="6">
        <f t="shared" si="26"/>
        <v>0</v>
      </c>
      <c r="O34" s="11"/>
      <c r="P34" s="7">
        <v>18036.649999999998</v>
      </c>
      <c r="Q34" s="2"/>
      <c r="R34" s="6">
        <f t="shared" si="27"/>
        <v>8.5448513677712459E-2</v>
      </c>
      <c r="S34" s="2"/>
      <c r="T34" s="7"/>
      <c r="U34" s="2"/>
      <c r="V34" s="6">
        <f t="shared" si="28"/>
        <v>0</v>
      </c>
      <c r="W34" s="2"/>
      <c r="X34" s="7">
        <f t="shared" si="29"/>
        <v>18036.649999999998</v>
      </c>
      <c r="Y34" s="2"/>
      <c r="Z34" s="6">
        <f t="shared" si="30"/>
        <v>0</v>
      </c>
    </row>
    <row r="35" spans="1:26" s="24" customFormat="1" hidden="1" outlineLevel="2" x14ac:dyDescent="0.3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3"/>
        <v>0</v>
      </c>
      <c r="G35" s="2"/>
      <c r="H35" s="7"/>
      <c r="I35" s="2"/>
      <c r="J35" s="6">
        <f t="shared" si="24"/>
        <v>0</v>
      </c>
      <c r="K35" s="2"/>
      <c r="L35" s="7">
        <f t="shared" si="25"/>
        <v>0</v>
      </c>
      <c r="M35" s="2"/>
      <c r="N35" s="6">
        <f t="shared" si="26"/>
        <v>0</v>
      </c>
      <c r="O35" s="11"/>
      <c r="P35" s="7">
        <v>25720.959999999999</v>
      </c>
      <c r="Q35" s="2"/>
      <c r="R35" s="6">
        <f t="shared" si="27"/>
        <v>0.12185288301119639</v>
      </c>
      <c r="S35" s="2"/>
      <c r="T35" s="7"/>
      <c r="U35" s="2"/>
      <c r="V35" s="6">
        <f t="shared" si="28"/>
        <v>0</v>
      </c>
      <c r="W35" s="2"/>
      <c r="X35" s="7">
        <f t="shared" si="29"/>
        <v>25720.959999999999</v>
      </c>
      <c r="Y35" s="2"/>
      <c r="Z35" s="6">
        <f t="shared" si="30"/>
        <v>0</v>
      </c>
    </row>
    <row r="36" spans="1:26" s="24" customFormat="1" hidden="1" outlineLevel="2" x14ac:dyDescent="0.3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3"/>
        <v>0</v>
      </c>
      <c r="G36" s="2"/>
      <c r="H36" s="7"/>
      <c r="I36" s="2"/>
      <c r="J36" s="6">
        <f t="shared" si="24"/>
        <v>0</v>
      </c>
      <c r="K36" s="2"/>
      <c r="L36" s="7">
        <f t="shared" si="25"/>
        <v>0</v>
      </c>
      <c r="M36" s="2"/>
      <c r="N36" s="6">
        <f t="shared" si="26"/>
        <v>0</v>
      </c>
      <c r="O36" s="11"/>
      <c r="P36" s="7">
        <v>3807.45</v>
      </c>
      <c r="Q36" s="2"/>
      <c r="R36" s="6">
        <f t="shared" si="27"/>
        <v>1.8037769951859482E-2</v>
      </c>
      <c r="S36" s="2"/>
      <c r="T36" s="7"/>
      <c r="U36" s="2"/>
      <c r="V36" s="6">
        <f t="shared" si="28"/>
        <v>0</v>
      </c>
      <c r="W36" s="2"/>
      <c r="X36" s="7">
        <f t="shared" si="29"/>
        <v>3807.45</v>
      </c>
      <c r="Y36" s="2"/>
      <c r="Z36" s="6">
        <f t="shared" si="30"/>
        <v>0</v>
      </c>
    </row>
    <row r="37" spans="1:26" s="25" customFormat="1" outlineLevel="1" collapsed="1" x14ac:dyDescent="0.35">
      <c r="A37" s="26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7" si="31">IF(D$12=0,0,D37/D$12)</f>
        <v>0</v>
      </c>
      <c r="G37" s="1"/>
      <c r="H37" s="1">
        <f>SUM(OSRRefH22_2x_0)</f>
        <v>0</v>
      </c>
      <c r="I37" s="1"/>
      <c r="J37" s="5">
        <f t="shared" ref="J37:J47" si="32">IF(H$12=0,0,H37/H$12)</f>
        <v>0</v>
      </c>
      <c r="K37" s="1"/>
      <c r="L37" s="1">
        <f t="shared" ref="L37:L47" si="33">+D37-H37</f>
        <v>0</v>
      </c>
      <c r="M37" s="1"/>
      <c r="N37" s="5">
        <f t="shared" ref="N37:N47" si="34">IF(H37=0,0,L37/H37)</f>
        <v>0</v>
      </c>
      <c r="O37" s="12"/>
      <c r="P37" s="1">
        <f>SUM(OSRRefP22_2x_0)</f>
        <v>500</v>
      </c>
      <c r="Q37" s="1"/>
      <c r="R37" s="5">
        <f t="shared" ref="R37:R47" si="35">IF(P$12=0,0,P37/P$12)</f>
        <v>2.3687467927168424E-3</v>
      </c>
      <c r="S37" s="1"/>
      <c r="T37" s="1">
        <f>SUM(OSRRefT22_2x_0)</f>
        <v>0</v>
      </c>
      <c r="U37" s="1"/>
      <c r="V37" s="5">
        <f t="shared" ref="V37:V47" si="36">IF(T$12=0,0,T37/T$12)</f>
        <v>0</v>
      </c>
      <c r="W37" s="1"/>
      <c r="X37" s="1">
        <f t="shared" ref="X37:X47" si="37">+P37-T37</f>
        <v>500</v>
      </c>
      <c r="Y37" s="1"/>
      <c r="Z37" s="5">
        <f t="shared" ref="Z37:Z47" si="38">IF(T37=0,0,X37/T37)</f>
        <v>0</v>
      </c>
    </row>
    <row r="38" spans="1:26" s="24" customFormat="1" hidden="1" outlineLevel="2" x14ac:dyDescent="0.35">
      <c r="A38" s="27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31"/>
        <v>0</v>
      </c>
      <c r="G38" s="2"/>
      <c r="H38" s="7"/>
      <c r="I38" s="2"/>
      <c r="J38" s="6">
        <f t="shared" si="32"/>
        <v>0</v>
      </c>
      <c r="K38" s="2"/>
      <c r="L38" s="7">
        <f t="shared" si="33"/>
        <v>0</v>
      </c>
      <c r="M38" s="2"/>
      <c r="N38" s="6">
        <f t="shared" si="34"/>
        <v>0</v>
      </c>
      <c r="O38" s="11"/>
      <c r="P38" s="7">
        <v>500</v>
      </c>
      <c r="Q38" s="2"/>
      <c r="R38" s="6">
        <f t="shared" si="35"/>
        <v>2.3687467927168424E-3</v>
      </c>
      <c r="S38" s="2"/>
      <c r="T38" s="7"/>
      <c r="U38" s="2"/>
      <c r="V38" s="6">
        <f t="shared" si="36"/>
        <v>0</v>
      </c>
      <c r="W38" s="2"/>
      <c r="X38" s="7">
        <f t="shared" si="37"/>
        <v>500</v>
      </c>
      <c r="Y38" s="2"/>
      <c r="Z38" s="6">
        <f t="shared" si="38"/>
        <v>0</v>
      </c>
    </row>
    <row r="39" spans="1:26" s="25" customFormat="1" outlineLevel="1" collapsed="1" x14ac:dyDescent="0.35">
      <c r="A39" s="26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31"/>
        <v>0</v>
      </c>
      <c r="G39" s="1"/>
      <c r="H39" s="1">
        <f>SUM(OSRRefH22_3x_0)</f>
        <v>0</v>
      </c>
      <c r="I39" s="1"/>
      <c r="J39" s="5">
        <f t="shared" si="32"/>
        <v>0</v>
      </c>
      <c r="K39" s="1"/>
      <c r="L39" s="1">
        <f t="shared" si="33"/>
        <v>0</v>
      </c>
      <c r="M39" s="1"/>
      <c r="N39" s="5">
        <f t="shared" si="34"/>
        <v>0</v>
      </c>
      <c r="O39" s="12"/>
      <c r="P39" s="1">
        <f>SUM(OSRRefP22_3x_0)</f>
        <v>-1.98</v>
      </c>
      <c r="Q39" s="1"/>
      <c r="R39" s="5">
        <f t="shared" si="35"/>
        <v>-9.3802372991586962E-6</v>
      </c>
      <c r="S39" s="1"/>
      <c r="T39" s="1">
        <f>SUM(OSRRefT22_3x_0)</f>
        <v>0</v>
      </c>
      <c r="U39" s="1"/>
      <c r="V39" s="5">
        <f t="shared" si="36"/>
        <v>0</v>
      </c>
      <c r="W39" s="1"/>
      <c r="X39" s="1">
        <f t="shared" si="37"/>
        <v>-1.98</v>
      </c>
      <c r="Y39" s="1"/>
      <c r="Z39" s="5">
        <f t="shared" si="38"/>
        <v>0</v>
      </c>
    </row>
    <row r="40" spans="1:26" s="24" customFormat="1" hidden="1" outlineLevel="2" x14ac:dyDescent="0.35">
      <c r="A40" s="27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31"/>
        <v>0</v>
      </c>
      <c r="G40" s="2"/>
      <c r="H40" s="7"/>
      <c r="I40" s="2"/>
      <c r="J40" s="6">
        <f t="shared" si="32"/>
        <v>0</v>
      </c>
      <c r="K40" s="2"/>
      <c r="L40" s="7">
        <f t="shared" si="33"/>
        <v>0</v>
      </c>
      <c r="M40" s="2"/>
      <c r="N40" s="6">
        <f t="shared" si="34"/>
        <v>0</v>
      </c>
      <c r="O40" s="11"/>
      <c r="P40" s="7">
        <v>-1.98</v>
      </c>
      <c r="Q40" s="2"/>
      <c r="R40" s="6">
        <f t="shared" si="35"/>
        <v>-9.3802372991586962E-6</v>
      </c>
      <c r="S40" s="2"/>
      <c r="T40" s="7"/>
      <c r="U40" s="2"/>
      <c r="V40" s="6">
        <f t="shared" si="36"/>
        <v>0</v>
      </c>
      <c r="W40" s="2"/>
      <c r="X40" s="7">
        <f t="shared" si="37"/>
        <v>-1.98</v>
      </c>
      <c r="Y40" s="2"/>
      <c r="Z40" s="6">
        <f t="shared" si="38"/>
        <v>0</v>
      </c>
    </row>
    <row r="41" spans="1:26" s="25" customFormat="1" outlineLevel="1" collapsed="1" x14ac:dyDescent="0.35">
      <c r="A41" s="26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31"/>
        <v>0</v>
      </c>
      <c r="G41" s="1"/>
      <c r="H41" s="1">
        <f>SUM(OSRRefH22_4x_0)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SUM(OSRRefP22_4x_0)</f>
        <v>685.09</v>
      </c>
      <c r="Q41" s="1"/>
      <c r="R41" s="5">
        <f t="shared" si="35"/>
        <v>3.2456094804447634E-3</v>
      </c>
      <c r="S41" s="1"/>
      <c r="T41" s="1">
        <f>SUM(OSRRefT22_4x_0)</f>
        <v>0</v>
      </c>
      <c r="U41" s="1"/>
      <c r="V41" s="5">
        <f t="shared" si="36"/>
        <v>0</v>
      </c>
      <c r="W41" s="1"/>
      <c r="X41" s="1">
        <f t="shared" si="37"/>
        <v>685.09</v>
      </c>
      <c r="Y41" s="1"/>
      <c r="Z41" s="5">
        <f t="shared" si="38"/>
        <v>0</v>
      </c>
    </row>
    <row r="42" spans="1:26" s="24" customFormat="1" hidden="1" outlineLevel="2" x14ac:dyDescent="0.35">
      <c r="A42" s="27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31"/>
        <v>0</v>
      </c>
      <c r="G42" s="2"/>
      <c r="H42" s="7"/>
      <c r="I42" s="2"/>
      <c r="J42" s="6">
        <f t="shared" si="32"/>
        <v>0</v>
      </c>
      <c r="K42" s="2"/>
      <c r="L42" s="7">
        <f t="shared" si="33"/>
        <v>0</v>
      </c>
      <c r="M42" s="2"/>
      <c r="N42" s="6">
        <f t="shared" si="34"/>
        <v>0</v>
      </c>
      <c r="O42" s="11"/>
      <c r="P42" s="7">
        <v>685.09</v>
      </c>
      <c r="Q42" s="2"/>
      <c r="R42" s="6">
        <f t="shared" si="35"/>
        <v>3.2456094804447634E-3</v>
      </c>
      <c r="S42" s="2"/>
      <c r="T42" s="7"/>
      <c r="U42" s="2"/>
      <c r="V42" s="6">
        <f t="shared" si="36"/>
        <v>0</v>
      </c>
      <c r="W42" s="2"/>
      <c r="X42" s="7">
        <f t="shared" si="37"/>
        <v>685.09</v>
      </c>
      <c r="Y42" s="2"/>
      <c r="Z42" s="6">
        <f t="shared" si="38"/>
        <v>0</v>
      </c>
    </row>
    <row r="43" spans="1:26" s="25" customFormat="1" outlineLevel="1" collapsed="1" x14ac:dyDescent="0.35">
      <c r="A43" s="26"/>
      <c r="B43" s="12" t="str">
        <f>CONCATENATE("     ","Repair and Maintenance                            ")</f>
        <v xml:space="preserve">     Repair and Maintenance                            </v>
      </c>
      <c r="C43" s="12"/>
      <c r="D43" s="1">
        <f>SUM(OSRRefD22_5x_0)</f>
        <v>0</v>
      </c>
      <c r="E43" s="1"/>
      <c r="F43" s="5">
        <f t="shared" si="31"/>
        <v>0</v>
      </c>
      <c r="G43" s="1"/>
      <c r="H43" s="1">
        <f>SUM(OSRRefH22_5x_0)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2"/>
      <c r="P43" s="1">
        <f>SUM(OSRRefP22_5x_0)</f>
        <v>1151.21</v>
      </c>
      <c r="Q43" s="1"/>
      <c r="R43" s="5">
        <f t="shared" si="35"/>
        <v>5.4538499904871127E-3</v>
      </c>
      <c r="S43" s="1"/>
      <c r="T43" s="1">
        <f>SUM(OSRRefT22_5x_0)</f>
        <v>0</v>
      </c>
      <c r="U43" s="1"/>
      <c r="V43" s="5">
        <f t="shared" si="36"/>
        <v>0</v>
      </c>
      <c r="W43" s="1"/>
      <c r="X43" s="1">
        <f t="shared" si="37"/>
        <v>1151.21</v>
      </c>
      <c r="Y43" s="1"/>
      <c r="Z43" s="5">
        <f t="shared" si="38"/>
        <v>0</v>
      </c>
    </row>
    <row r="44" spans="1:26" s="24" customFormat="1" hidden="1" outlineLevel="2" x14ac:dyDescent="0.35">
      <c r="A44" s="27"/>
      <c r="B44" s="11" t="str">
        <f>CONCATENATE("          ", "6375", " - ", "OUTSIDE REPAIRS &amp; MAINTENANCE")</f>
        <v xml:space="preserve">          6375 - OUTSIDE REPAIRS &amp; MAINTENANCE</v>
      </c>
      <c r="C44" s="11"/>
      <c r="D44" s="7"/>
      <c r="E44" s="2"/>
      <c r="F44" s="6">
        <f t="shared" si="31"/>
        <v>0</v>
      </c>
      <c r="G44" s="2"/>
      <c r="H44" s="7"/>
      <c r="I44" s="2"/>
      <c r="J44" s="6">
        <f t="shared" si="32"/>
        <v>0</v>
      </c>
      <c r="K44" s="2"/>
      <c r="L44" s="7">
        <f t="shared" si="33"/>
        <v>0</v>
      </c>
      <c r="M44" s="2"/>
      <c r="N44" s="6">
        <f t="shared" si="34"/>
        <v>0</v>
      </c>
      <c r="O44" s="11"/>
      <c r="P44" s="7">
        <v>1151.21</v>
      </c>
      <c r="Q44" s="2"/>
      <c r="R44" s="6">
        <f t="shared" si="35"/>
        <v>5.4538499904871127E-3</v>
      </c>
      <c r="S44" s="2"/>
      <c r="T44" s="7"/>
      <c r="U44" s="2"/>
      <c r="V44" s="6">
        <f t="shared" si="36"/>
        <v>0</v>
      </c>
      <c r="W44" s="2"/>
      <c r="X44" s="7">
        <f t="shared" si="37"/>
        <v>1151.21</v>
      </c>
      <c r="Y44" s="2"/>
      <c r="Z44" s="6">
        <f t="shared" si="38"/>
        <v>0</v>
      </c>
    </row>
    <row r="45" spans="1:26" s="25" customFormat="1" outlineLevel="1" collapsed="1" x14ac:dyDescent="0.35">
      <c r="A45" s="26"/>
      <c r="B45" s="12" t="str">
        <f>CONCATENATE("     ","Supplies                                          ")</f>
        <v xml:space="preserve">     Supplies                                          </v>
      </c>
      <c r="C45" s="12"/>
      <c r="D45" s="1">
        <f>SUM(OSRRefD22_6x_0)</f>
        <v>0</v>
      </c>
      <c r="E45" s="1"/>
      <c r="F45" s="5">
        <f t="shared" si="31"/>
        <v>0</v>
      </c>
      <c r="G45" s="1"/>
      <c r="H45" s="1">
        <f>SUM(OSRRefH22_6x_0)</f>
        <v>0</v>
      </c>
      <c r="I45" s="1"/>
      <c r="J45" s="5">
        <f t="shared" si="32"/>
        <v>0</v>
      </c>
      <c r="K45" s="1"/>
      <c r="L45" s="1">
        <f t="shared" si="33"/>
        <v>0</v>
      </c>
      <c r="M45" s="1"/>
      <c r="N45" s="5">
        <f t="shared" si="34"/>
        <v>0</v>
      </c>
      <c r="O45" s="12"/>
      <c r="P45" s="1">
        <f>SUM(OSRRefP22_6x_0)</f>
        <v>1137.47</v>
      </c>
      <c r="Q45" s="1"/>
      <c r="R45" s="5">
        <f t="shared" si="35"/>
        <v>5.388756828623254E-3</v>
      </c>
      <c r="S45" s="1"/>
      <c r="T45" s="1">
        <f>SUM(OSRRefT22_6x_0)</f>
        <v>0</v>
      </c>
      <c r="U45" s="1"/>
      <c r="V45" s="5">
        <f t="shared" si="36"/>
        <v>0</v>
      </c>
      <c r="W45" s="1"/>
      <c r="X45" s="1">
        <f t="shared" si="37"/>
        <v>1137.47</v>
      </c>
      <c r="Y45" s="1"/>
      <c r="Z45" s="5">
        <f t="shared" si="38"/>
        <v>0</v>
      </c>
    </row>
    <row r="46" spans="1:26" s="24" customFormat="1" hidden="1" outlineLevel="2" x14ac:dyDescent="0.35">
      <c r="A46" s="27"/>
      <c r="B46" s="11" t="str">
        <f>CONCATENATE("          ", "6241", " - ", "OFFICE EXPENSE")</f>
        <v xml:space="preserve">          6241 - OFFICE EXPENSE</v>
      </c>
      <c r="C46" s="11"/>
      <c r="D46" s="7"/>
      <c r="E46" s="2"/>
      <c r="F46" s="6">
        <f t="shared" si="31"/>
        <v>0</v>
      </c>
      <c r="G46" s="2"/>
      <c r="H46" s="7"/>
      <c r="I46" s="2"/>
      <c r="J46" s="6">
        <f t="shared" si="32"/>
        <v>0</v>
      </c>
      <c r="K46" s="2"/>
      <c r="L46" s="7">
        <f t="shared" si="33"/>
        <v>0</v>
      </c>
      <c r="M46" s="2"/>
      <c r="N46" s="6">
        <f t="shared" si="34"/>
        <v>0</v>
      </c>
      <c r="O46" s="11"/>
      <c r="P46" s="7">
        <v>914.08</v>
      </c>
      <c r="Q46" s="2"/>
      <c r="R46" s="6">
        <f t="shared" si="35"/>
        <v>4.330448136573223E-3</v>
      </c>
      <c r="S46" s="2"/>
      <c r="T46" s="7"/>
      <c r="U46" s="2"/>
      <c r="V46" s="6">
        <f t="shared" si="36"/>
        <v>0</v>
      </c>
      <c r="W46" s="2"/>
      <c r="X46" s="7">
        <f t="shared" si="37"/>
        <v>914.08</v>
      </c>
      <c r="Y46" s="2"/>
      <c r="Z46" s="6">
        <f t="shared" si="38"/>
        <v>0</v>
      </c>
    </row>
    <row r="47" spans="1:26" s="24" customFormat="1" hidden="1" outlineLevel="2" x14ac:dyDescent="0.35">
      <c r="A47" s="27"/>
      <c r="B47" s="11" t="str">
        <f>CONCATENATE("          ", "6247", " - ", "STORE SUPPLIES")</f>
        <v xml:space="preserve">          6247 - STORE SUPPLIES</v>
      </c>
      <c r="C47" s="11"/>
      <c r="D47" s="7"/>
      <c r="E47" s="2"/>
      <c r="F47" s="6">
        <f t="shared" si="31"/>
        <v>0</v>
      </c>
      <c r="G47" s="2"/>
      <c r="H47" s="7"/>
      <c r="I47" s="2"/>
      <c r="J47" s="6">
        <f t="shared" si="32"/>
        <v>0</v>
      </c>
      <c r="K47" s="2"/>
      <c r="L47" s="7">
        <f t="shared" si="33"/>
        <v>0</v>
      </c>
      <c r="M47" s="2"/>
      <c r="N47" s="6">
        <f t="shared" si="34"/>
        <v>0</v>
      </c>
      <c r="O47" s="11"/>
      <c r="P47" s="7">
        <v>223.39</v>
      </c>
      <c r="Q47" s="2"/>
      <c r="R47" s="6">
        <f t="shared" si="35"/>
        <v>1.0583086920500308E-3</v>
      </c>
      <c r="S47" s="2"/>
      <c r="T47" s="7"/>
      <c r="U47" s="2"/>
      <c r="V47" s="6">
        <f t="shared" si="36"/>
        <v>0</v>
      </c>
      <c r="W47" s="2"/>
      <c r="X47" s="7">
        <f t="shared" si="37"/>
        <v>223.39</v>
      </c>
      <c r="Y47" s="2"/>
      <c r="Z47" s="6">
        <f t="shared" si="38"/>
        <v>0</v>
      </c>
    </row>
    <row r="48" spans="1:26" s="25" customFormat="1" outlineLevel="1" collapsed="1" x14ac:dyDescent="0.35">
      <c r="A48" s="26"/>
      <c r="B48" s="12" t="str">
        <f>CONCATENATE("     ","Travel                                            ")</f>
        <v xml:space="preserve">     Travel                                            </v>
      </c>
      <c r="C48" s="12"/>
      <c r="D48" s="1">
        <f>SUM(OSRRefD22_7x_0)</f>
        <v>0</v>
      </c>
      <c r="E48" s="1"/>
      <c r="F48" s="5">
        <f t="shared" ref="F48:F49" si="39">IF(D$12=0,0,D48/D$12)</f>
        <v>0</v>
      </c>
      <c r="G48" s="1"/>
      <c r="H48" s="1">
        <f>SUM(OSRRefH22_7x_0)</f>
        <v>0</v>
      </c>
      <c r="I48" s="1"/>
      <c r="J48" s="5">
        <f t="shared" ref="J48:J49" si="40">IF(H$12=0,0,H48/H$12)</f>
        <v>0</v>
      </c>
      <c r="K48" s="1"/>
      <c r="L48" s="1">
        <f t="shared" ref="L48:L49" si="41">+D48-H48</f>
        <v>0</v>
      </c>
      <c r="M48" s="1"/>
      <c r="N48" s="5">
        <f t="shared" ref="N48:N49" si="42">IF(H48=0,0,L48/H48)</f>
        <v>0</v>
      </c>
      <c r="O48" s="12"/>
      <c r="P48" s="1">
        <f>SUM(OSRRefP22_7x_0)</f>
        <v>1269.1500000000001</v>
      </c>
      <c r="Q48" s="1"/>
      <c r="R48" s="5">
        <f t="shared" ref="R48:R49" si="43">IF(P$12=0,0,P48/P$12)</f>
        <v>6.0125899839531616E-3</v>
      </c>
      <c r="S48" s="1"/>
      <c r="T48" s="1">
        <f>SUM(OSRRefT22_7x_0)</f>
        <v>0</v>
      </c>
      <c r="U48" s="1"/>
      <c r="V48" s="5">
        <f t="shared" ref="V48:V49" si="44">IF(T$12=0,0,T48/T$12)</f>
        <v>0</v>
      </c>
      <c r="W48" s="1"/>
      <c r="X48" s="1">
        <f t="shared" ref="X48:X49" si="45">+P48-T48</f>
        <v>1269.1500000000001</v>
      </c>
      <c r="Y48" s="1"/>
      <c r="Z48" s="5">
        <f t="shared" ref="Z48:Z49" si="46">IF(T48=0,0,X48/T48)</f>
        <v>0</v>
      </c>
    </row>
    <row r="49" spans="1:26" s="24" customFormat="1" hidden="1" outlineLevel="2" x14ac:dyDescent="0.35">
      <c r="A49" s="27"/>
      <c r="B49" s="11" t="str">
        <f>CONCATENATE("          ", "6292", " - ", "TRAVEL/CONFERENCE")</f>
        <v xml:space="preserve">          6292 - TRAVEL/CONFERENCE</v>
      </c>
      <c r="C49" s="11"/>
      <c r="D49" s="7"/>
      <c r="E49" s="2"/>
      <c r="F49" s="6">
        <f t="shared" si="39"/>
        <v>0</v>
      </c>
      <c r="G49" s="2"/>
      <c r="H49" s="7"/>
      <c r="I49" s="2"/>
      <c r="J49" s="6">
        <f t="shared" si="40"/>
        <v>0</v>
      </c>
      <c r="K49" s="2"/>
      <c r="L49" s="7">
        <f t="shared" si="41"/>
        <v>0</v>
      </c>
      <c r="M49" s="2"/>
      <c r="N49" s="6">
        <f t="shared" si="42"/>
        <v>0</v>
      </c>
      <c r="O49" s="11"/>
      <c r="P49" s="7">
        <v>1269.1500000000001</v>
      </c>
      <c r="Q49" s="2"/>
      <c r="R49" s="6">
        <f t="shared" si="43"/>
        <v>6.0125899839531616E-3</v>
      </c>
      <c r="S49" s="2"/>
      <c r="T49" s="7"/>
      <c r="U49" s="2"/>
      <c r="V49" s="6">
        <f t="shared" si="44"/>
        <v>0</v>
      </c>
      <c r="W49" s="2"/>
      <c r="X49" s="7">
        <f t="shared" si="45"/>
        <v>1269.1500000000001</v>
      </c>
      <c r="Y49" s="2"/>
      <c r="Z49" s="6">
        <f t="shared" si="46"/>
        <v>0</v>
      </c>
    </row>
    <row r="50" spans="1:26" s="56" customFormat="1" x14ac:dyDescent="0.3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35">
      <c r="A51" s="10"/>
      <c r="B51" s="29" t="s">
        <v>0</v>
      </c>
      <c r="C51" s="10"/>
      <c r="D51" s="4">
        <f>SUM(0)</f>
        <v>0</v>
      </c>
      <c r="E51" s="4"/>
      <c r="F51" s="13">
        <f>IF(D$12=0,0,D51/D$12)</f>
        <v>0</v>
      </c>
      <c r="G51" s="4"/>
      <c r="H51" s="4">
        <f>SUM(0)</f>
        <v>0</v>
      </c>
      <c r="I51" s="4"/>
      <c r="J51" s="13">
        <f>IF(H$12=0,0,H51/H$12)</f>
        <v>0</v>
      </c>
      <c r="K51" s="4"/>
      <c r="L51" s="4">
        <f>+D51-H51</f>
        <v>0</v>
      </c>
      <c r="M51" s="4"/>
      <c r="N51" s="13">
        <f>IF(H51=0,0,L51/H51)</f>
        <v>0</v>
      </c>
      <c r="O51" s="10"/>
      <c r="P51" s="4">
        <f>SUM(0)</f>
        <v>0</v>
      </c>
      <c r="Q51" s="4"/>
      <c r="R51" s="13">
        <f>IF(P$12=0,0,P51/P$12)</f>
        <v>0</v>
      </c>
      <c r="S51" s="4"/>
      <c r="T51" s="4">
        <f>SUM(0)</f>
        <v>0</v>
      </c>
      <c r="U51" s="4"/>
      <c r="V51" s="13">
        <f>IF(T$12=0,0,T51/T$12)</f>
        <v>0</v>
      </c>
      <c r="W51" s="4"/>
      <c r="X51" s="4">
        <f>+P51-T51</f>
        <v>0</v>
      </c>
      <c r="Y51" s="4"/>
      <c r="Z51" s="13">
        <f>IF(T51=0,0,X51/T51)</f>
        <v>0</v>
      </c>
    </row>
    <row r="52" spans="1:26" x14ac:dyDescent="0.3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35">
      <c r="A53" s="10"/>
      <c r="B53" s="28" t="s">
        <v>3</v>
      </c>
      <c r="C53" s="28"/>
      <c r="D53" s="22">
        <f>+D20-D22+D51</f>
        <v>538.16</v>
      </c>
      <c r="E53" s="14"/>
      <c r="F53" s="21">
        <f>IF(D$12=0,0,D53/D$12)</f>
        <v>0</v>
      </c>
      <c r="G53" s="14"/>
      <c r="H53" s="22">
        <f>+H20-H22+H51</f>
        <v>0</v>
      </c>
      <c r="I53" s="14"/>
      <c r="J53" s="21">
        <f>IF(H$12=0,0,H53/H$12)</f>
        <v>0</v>
      </c>
      <c r="K53" s="15"/>
      <c r="L53" s="22">
        <f>+D53-H53</f>
        <v>538.16</v>
      </c>
      <c r="M53" s="15"/>
      <c r="N53" s="21">
        <f>IF(H53=0,0,L53/H53)</f>
        <v>0</v>
      </c>
      <c r="O53" s="29"/>
      <c r="P53" s="22">
        <f>+P20-P22+P51</f>
        <v>1699.4600000000501</v>
      </c>
      <c r="Q53" s="14"/>
      <c r="R53" s="21">
        <f>IF(P$12=0,0,P53/P$12)</f>
        <v>8.0511808487013677E-3</v>
      </c>
      <c r="S53" s="14"/>
      <c r="T53" s="22">
        <f>+T20-T22+T51</f>
        <v>0</v>
      </c>
      <c r="U53" s="14"/>
      <c r="V53" s="21">
        <f>IF(T$12=0,0,T53/T$12)</f>
        <v>0</v>
      </c>
      <c r="W53" s="15"/>
      <c r="X53" s="22">
        <f>+P53-T53</f>
        <v>1699.4600000000501</v>
      </c>
      <c r="Y53" s="15"/>
      <c r="Z53" s="21">
        <f>IF(T53=0,0,X53/T53)</f>
        <v>0</v>
      </c>
    </row>
    <row r="54" spans="1:26" x14ac:dyDescent="0.3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35">
      <c r="A55" s="51"/>
      <c r="B55" s="10" t="s">
        <v>13</v>
      </c>
      <c r="C55" s="10"/>
      <c r="D55" s="4">
        <v>6969.55</v>
      </c>
      <c r="E55" s="4"/>
      <c r="F55" s="13">
        <f>IF(D$12=0,0,D55/D$12)</f>
        <v>0</v>
      </c>
      <c r="G55" s="4"/>
      <c r="H55" s="4"/>
      <c r="I55" s="4"/>
      <c r="J55" s="13">
        <f>IF(H$12=0,0,H55/H$12)</f>
        <v>0</v>
      </c>
      <c r="K55" s="4"/>
      <c r="L55" s="4">
        <f>+D55-H55</f>
        <v>6969.55</v>
      </c>
      <c r="M55" s="4"/>
      <c r="N55" s="13">
        <f>IF(H55=0,0,L55/H55)</f>
        <v>0</v>
      </c>
      <c r="O55" s="10"/>
      <c r="P55" s="4">
        <v>31966.01</v>
      </c>
      <c r="Q55" s="4"/>
      <c r="R55" s="13">
        <f>IF(P$12=0,0,P55/P$12)</f>
        <v>0.15143876732690903</v>
      </c>
      <c r="S55" s="4"/>
      <c r="T55" s="4"/>
      <c r="U55" s="4"/>
      <c r="V55" s="13">
        <f>IF(T$12=0,0,T55/T$12)</f>
        <v>0</v>
      </c>
      <c r="W55" s="4"/>
      <c r="X55" s="4">
        <f>+P55-T55</f>
        <v>31966.01</v>
      </c>
      <c r="Y55" s="4"/>
      <c r="Z55" s="13">
        <f>IF(T55=0,0,X55/T55)</f>
        <v>0</v>
      </c>
    </row>
    <row r="56" spans="1:26" x14ac:dyDescent="0.3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" thickBot="1" x14ac:dyDescent="0.4">
      <c r="A57" s="10"/>
      <c r="B57" s="28" t="s">
        <v>4</v>
      </c>
      <c r="C57" s="28"/>
      <c r="D57" s="34">
        <f>+D53-D55</f>
        <v>-6431.39</v>
      </c>
      <c r="E57" s="14"/>
      <c r="F57" s="32">
        <f>IF(D$12=0,0,D57/D$12)</f>
        <v>0</v>
      </c>
      <c r="G57" s="14"/>
      <c r="H57" s="34">
        <f>+H53-H55</f>
        <v>0</v>
      </c>
      <c r="I57" s="14"/>
      <c r="J57" s="32">
        <f>IF(H$12=0,0,H57/H$12)</f>
        <v>0</v>
      </c>
      <c r="K57" s="15"/>
      <c r="L57" s="34">
        <f>D57-H57</f>
        <v>-6431.39</v>
      </c>
      <c r="M57" s="15"/>
      <c r="N57" s="32">
        <f>IF(H57=0,0,L57/H57)</f>
        <v>0</v>
      </c>
      <c r="O57" s="29"/>
      <c r="P57" s="34">
        <f>+P53-P55</f>
        <v>-30266.549999999948</v>
      </c>
      <c r="Q57" s="14"/>
      <c r="R57" s="32">
        <f>IF(P$12=0,0,P57/P$12)</f>
        <v>-0.14338758647820765</v>
      </c>
      <c r="S57" s="14"/>
      <c r="T57" s="34">
        <f>+T53-T55</f>
        <v>0</v>
      </c>
      <c r="U57" s="14"/>
      <c r="V57" s="32">
        <f>IF(T$12=0,0,T57/T$12)</f>
        <v>0</v>
      </c>
      <c r="W57" s="15"/>
      <c r="X57" s="34">
        <f>P57-T57</f>
        <v>-30266.549999999948</v>
      </c>
      <c r="Y57" s="15"/>
      <c r="Z57" s="32">
        <f>IF(T57=0,0,X57/T57)</f>
        <v>0</v>
      </c>
    </row>
    <row r="58" spans="1:26" ht="15" thickTop="1" x14ac:dyDescent="0.3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3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" thickBot="1" x14ac:dyDescent="0.4">
      <c r="A60" s="10"/>
      <c r="B60" s="28" t="s">
        <v>5</v>
      </c>
      <c r="C60" s="28"/>
      <c r="D60" s="35">
        <f>SUM(D57:D59)</f>
        <v>-6431.39</v>
      </c>
      <c r="E60" s="14"/>
      <c r="F60" s="33">
        <f>IF(D$12=0,0,D60/D$12)</f>
        <v>0</v>
      </c>
      <c r="G60" s="14"/>
      <c r="H60" s="35">
        <f>SUM(H57:H59)</f>
        <v>0</v>
      </c>
      <c r="I60" s="14"/>
      <c r="J60" s="33">
        <f>IF(H$12=0,0,H60/H$12)</f>
        <v>0</v>
      </c>
      <c r="K60" s="15"/>
      <c r="L60" s="35">
        <f>+D60-H60</f>
        <v>-6431.39</v>
      </c>
      <c r="M60" s="15"/>
      <c r="N60" s="33">
        <f>IF(H60=0,0,L60/H60)</f>
        <v>0</v>
      </c>
      <c r="O60" s="29"/>
      <c r="P60" s="35">
        <f>SUM(P57:P59)</f>
        <v>-30266.549999999948</v>
      </c>
      <c r="Q60" s="14"/>
      <c r="R60" s="33">
        <f>IF(P$12=0,0,P60/P$12)</f>
        <v>-0.14338758647820765</v>
      </c>
      <c r="S60" s="14"/>
      <c r="T60" s="35">
        <f>SUM(T57:T59)</f>
        <v>0</v>
      </c>
      <c r="U60" s="14"/>
      <c r="V60" s="33">
        <f>IF(T$12=0,0,T60/T$12)</f>
        <v>0</v>
      </c>
      <c r="W60" s="15"/>
      <c r="X60" s="35">
        <f>+P60-T60</f>
        <v>-30266.549999999948</v>
      </c>
      <c r="Y60" s="15"/>
      <c r="Z60" s="33">
        <f>IF(T60=0,0,X60/T60)</f>
        <v>0</v>
      </c>
    </row>
    <row r="61" spans="1:26" ht="15" thickTop="1" x14ac:dyDescent="0.35">
      <c r="A61" s="9"/>
      <c r="C61" s="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35">
      <c r="A62" s="9"/>
      <c r="B62" s="52">
        <v>44043.523312187499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35">
      <c r="A63" s="9"/>
      <c r="B63" s="61" t="s">
        <v>313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35">
      <c r="A64" s="9"/>
      <c r="B64" s="54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4:24" x14ac:dyDescent="0.35"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","413", " - ", "Beach Walk")</f>
        <v>Department 413 - Beach Walk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0"/>
      <c r="P12" s="4">
        <f>SUM(OSRRefP13x_0)</f>
        <v>255048.55</v>
      </c>
      <c r="Q12" s="4"/>
      <c r="R12" s="13"/>
      <c r="S12" s="4"/>
      <c r="T12" s="4">
        <f>SUM(OSRRefT13x_0)</f>
        <v>349338.82</v>
      </c>
      <c r="U12" s="4"/>
      <c r="V12" s="13"/>
      <c r="W12" s="4"/>
      <c r="X12" s="4">
        <f t="shared" ref="X12:X14" si="2">+P12-T12</f>
        <v>-94290.270000000019</v>
      </c>
      <c r="Y12" s="4"/>
      <c r="Z12" s="13">
        <f t="shared" ref="Z12:Z14" si="3">IF(T12=0,0,X12/T12)</f>
        <v>-0.26991065579256268</v>
      </c>
    </row>
    <row r="13" spans="1:26" s="24" customFormat="1" hidden="1" outlineLevel="1" x14ac:dyDescent="0.3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--57510.69</f>
        <v>57510.69</v>
      </c>
      <c r="Q13" s="2"/>
      <c r="R13" s="19"/>
      <c r="S13" s="2"/>
      <c r="T13" s="2">
        <f>--93019.09</f>
        <v>93019.09</v>
      </c>
      <c r="U13" s="2"/>
      <c r="V13" s="19"/>
      <c r="W13" s="2"/>
      <c r="X13" s="2">
        <f t="shared" si="2"/>
        <v>-35508.399999999994</v>
      </c>
      <c r="Y13" s="2"/>
      <c r="Z13" s="19">
        <f t="shared" si="3"/>
        <v>-0.38173239493097594</v>
      </c>
    </row>
    <row r="14" spans="1:26" s="24" customFormat="1" hidden="1" outlineLevel="1" x14ac:dyDescent="0.3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--197537.86</f>
        <v>197537.86</v>
      </c>
      <c r="Q14" s="2"/>
      <c r="R14" s="19"/>
      <c r="S14" s="2"/>
      <c r="T14" s="2">
        <f>--256319.73</f>
        <v>256319.73</v>
      </c>
      <c r="U14" s="2"/>
      <c r="V14" s="19"/>
      <c r="W14" s="2"/>
      <c r="X14" s="2">
        <f t="shared" si="2"/>
        <v>-58781.870000000024</v>
      </c>
      <c r="Y14" s="2"/>
      <c r="Z14" s="19">
        <f t="shared" si="3"/>
        <v>-0.22933025873583754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9" t="s">
        <v>8</v>
      </c>
      <c r="C16" s="10"/>
      <c r="D16" s="4">
        <f>SUM(OSRRefD16x_0)</f>
        <v>1514</v>
      </c>
      <c r="E16" s="4"/>
      <c r="F16" s="13">
        <f t="shared" ref="F16:F18" si="6">IF(D$12=0,0,D16/D$12)</f>
        <v>0</v>
      </c>
      <c r="G16" s="4"/>
      <c r="H16" s="4">
        <f>SUM(OSRRefH16x_0)</f>
        <v>7681</v>
      </c>
      <c r="I16" s="4"/>
      <c r="J16" s="13">
        <f t="shared" ref="J16:J18" si="7">IF(H$12=0,0,H16/H$12)</f>
        <v>0</v>
      </c>
      <c r="K16" s="4"/>
      <c r="L16" s="4">
        <f t="shared" ref="L16:L18" si="8">+D16-H16</f>
        <v>-6167</v>
      </c>
      <c r="M16" s="4"/>
      <c r="N16" s="13">
        <f t="shared" ref="N16:N18" si="9">IF(H16=0,0,L16/H16)</f>
        <v>-0.80289024866553838</v>
      </c>
      <c r="O16" s="10"/>
      <c r="P16" s="4">
        <f>SUM(OSRRefP16x_0)</f>
        <v>93796.459999999992</v>
      </c>
      <c r="Q16" s="4"/>
      <c r="R16" s="13">
        <f t="shared" ref="R16:R18" si="10">IF(P$12=0,0,P16/P$12)</f>
        <v>0.36775923642773112</v>
      </c>
      <c r="S16" s="4"/>
      <c r="T16" s="4">
        <f>SUM(OSRRefT16x_0)</f>
        <v>110184.48000000001</v>
      </c>
      <c r="U16" s="4"/>
      <c r="V16" s="13">
        <f t="shared" ref="V16:V18" si="11">IF(T$12=0,0,T16/T$12)</f>
        <v>0.31540863394454705</v>
      </c>
      <c r="W16" s="4"/>
      <c r="X16" s="4">
        <f t="shared" ref="X16:X18" si="12">+P16-T16</f>
        <v>-16388.020000000019</v>
      </c>
      <c r="Y16" s="4"/>
      <c r="Z16" s="13">
        <f t="shared" ref="Z16:Z18" si="13">IF(T16=0,0,X16/T16)</f>
        <v>-0.1487325619724304</v>
      </c>
    </row>
    <row r="17" spans="1:26" s="24" customFormat="1" hidden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/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>
        <v>90960.51999999999</v>
      </c>
      <c r="Q17" s="2"/>
      <c r="R17" s="19">
        <f t="shared" si="10"/>
        <v>0.3566400201059759</v>
      </c>
      <c r="S17" s="2"/>
      <c r="T17" s="2">
        <v>115768.41</v>
      </c>
      <c r="U17" s="2"/>
      <c r="V17" s="19">
        <f t="shared" si="11"/>
        <v>0.33139291533646331</v>
      </c>
      <c r="W17" s="2"/>
      <c r="X17" s="2">
        <f t="shared" si="12"/>
        <v>-24807.890000000014</v>
      </c>
      <c r="Y17" s="2"/>
      <c r="Z17" s="19">
        <f t="shared" si="13"/>
        <v>-0.21428894117143021</v>
      </c>
    </row>
    <row r="18" spans="1:26" s="24" customFormat="1" hidden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1514</v>
      </c>
      <c r="E18" s="2"/>
      <c r="F18" s="19">
        <f t="shared" si="6"/>
        <v>0</v>
      </c>
      <c r="G18" s="2"/>
      <c r="H18" s="2">
        <v>7681</v>
      </c>
      <c r="I18" s="2"/>
      <c r="J18" s="19">
        <f t="shared" si="7"/>
        <v>0</v>
      </c>
      <c r="K18" s="2"/>
      <c r="L18" s="2">
        <f t="shared" si="8"/>
        <v>-6167</v>
      </c>
      <c r="M18" s="2"/>
      <c r="N18" s="19">
        <f t="shared" si="9"/>
        <v>-0.80289024866553838</v>
      </c>
      <c r="O18" s="11"/>
      <c r="P18" s="2">
        <v>2835.94</v>
      </c>
      <c r="Q18" s="2"/>
      <c r="R18" s="19">
        <f t="shared" si="10"/>
        <v>1.1119216321755212E-2</v>
      </c>
      <c r="S18" s="2"/>
      <c r="T18" s="2">
        <v>-5583.93</v>
      </c>
      <c r="U18" s="2"/>
      <c r="V18" s="19">
        <f t="shared" si="11"/>
        <v>-1.5984281391916308E-2</v>
      </c>
      <c r="W18" s="2"/>
      <c r="X18" s="2">
        <f t="shared" si="12"/>
        <v>8419.8700000000008</v>
      </c>
      <c r="Y18" s="2"/>
      <c r="Z18" s="19">
        <f t="shared" si="13"/>
        <v>-1.5078752778061331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-1514</v>
      </c>
      <c r="E20" s="14"/>
      <c r="F20" s="21">
        <f>IF(D$12=0,0,D20/D$12)</f>
        <v>0</v>
      </c>
      <c r="G20" s="14"/>
      <c r="H20" s="22">
        <f>H12-H16</f>
        <v>-7681</v>
      </c>
      <c r="I20" s="14"/>
      <c r="J20" s="21">
        <f>IF(H$12=0,0,H20/H$12)</f>
        <v>0</v>
      </c>
      <c r="K20" s="15"/>
      <c r="L20" s="22">
        <f>+D20-H20</f>
        <v>6167</v>
      </c>
      <c r="M20" s="15"/>
      <c r="N20" s="21">
        <f>IF(H20=0,0,L20/H20)</f>
        <v>-0.80289024866553838</v>
      </c>
      <c r="O20" s="29"/>
      <c r="P20" s="22">
        <f>P12-P16</f>
        <v>161252.09</v>
      </c>
      <c r="Q20" s="14"/>
      <c r="R20" s="21">
        <f>IF(P$12=0,0,P20/P$12)</f>
        <v>0.63224076357226888</v>
      </c>
      <c r="S20" s="14"/>
      <c r="T20" s="22">
        <f>T12-T16</f>
        <v>239154.34</v>
      </c>
      <c r="U20" s="14"/>
      <c r="V20" s="21">
        <f>IF(T$12=0,0,T20/T$12)</f>
        <v>0.68459136605545301</v>
      </c>
      <c r="W20" s="15"/>
      <c r="X20" s="22">
        <f>+P20-T20</f>
        <v>-77902.25</v>
      </c>
      <c r="Y20" s="15"/>
      <c r="Z20" s="21">
        <f>IF(T20=0,0,X20/T20)</f>
        <v>-0.32574048206693634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6678.7</v>
      </c>
      <c r="E22" s="20"/>
      <c r="F22" s="36">
        <f t="shared" ref="F22:F31" si="14">IF(D$12=0,0,D22/D$12)</f>
        <v>0</v>
      </c>
      <c r="G22" s="20"/>
      <c r="H22" s="20">
        <f>SUM(OSRRefH22x_0)</f>
        <v>13226.910000000002</v>
      </c>
      <c r="I22" s="20"/>
      <c r="J22" s="36">
        <f t="shared" ref="J22:J31" si="15">IF(H$12=0,0,H22/H$12)</f>
        <v>0</v>
      </c>
      <c r="K22" s="4"/>
      <c r="L22" s="20">
        <f t="shared" ref="L22:L31" si="16">+D22-H22</f>
        <v>-6548.2100000000019</v>
      </c>
      <c r="M22" s="4"/>
      <c r="N22" s="36">
        <f t="shared" ref="N22:N31" si="17">IF(H22=0,0,L22/H22)</f>
        <v>-0.49506725304700805</v>
      </c>
      <c r="O22" s="10"/>
      <c r="P22" s="20">
        <f>SUM(OSRRefP22x_0)</f>
        <v>202889.50999999992</v>
      </c>
      <c r="Q22" s="20"/>
      <c r="R22" s="36">
        <f t="shared" ref="R22:R31" si="18">IF(P$12=0,0,P22/P$12)</f>
        <v>0.79549368149711075</v>
      </c>
      <c r="S22" s="20"/>
      <c r="T22" s="20">
        <f>SUM(OSRRefT22x_0)</f>
        <v>222041.51</v>
      </c>
      <c r="U22" s="20"/>
      <c r="V22" s="36">
        <f t="shared" ref="V22:V31" si="19">IF(T$12=0,0,T22/T$12)</f>
        <v>0.63560502666150875</v>
      </c>
      <c r="W22" s="4"/>
      <c r="X22" s="20">
        <f t="shared" ref="X22:X31" si="20">+P22-T22</f>
        <v>-19152.000000000087</v>
      </c>
      <c r="Y22" s="4"/>
      <c r="Z22" s="36">
        <f t="shared" ref="Z22:Z31" si="21">IF(T22=0,0,X22/T22)</f>
        <v>-8.6254142299789283E-2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1729.62</v>
      </c>
      <c r="E23" s="1"/>
      <c r="F23" s="5">
        <f t="shared" si="14"/>
        <v>0</v>
      </c>
      <c r="G23" s="1"/>
      <c r="H23" s="1">
        <f>SUM(OSRRefH22_0x_0)</f>
        <v>2821.78</v>
      </c>
      <c r="I23" s="1"/>
      <c r="J23" s="5">
        <f t="shared" si="15"/>
        <v>0</v>
      </c>
      <c r="K23" s="1"/>
      <c r="L23" s="1">
        <f t="shared" si="16"/>
        <v>-1092.1600000000003</v>
      </c>
      <c r="M23" s="1"/>
      <c r="N23" s="5">
        <f t="shared" si="17"/>
        <v>-0.3870464742113135</v>
      </c>
      <c r="O23" s="12"/>
      <c r="P23" s="1">
        <f>SUM(OSRRefP22_0x_0)</f>
        <v>39360.07</v>
      </c>
      <c r="Q23" s="1"/>
      <c r="R23" s="5">
        <f t="shared" si="18"/>
        <v>0.1543238336387327</v>
      </c>
      <c r="S23" s="1"/>
      <c r="T23" s="1">
        <f>SUM(OSRRefT22_0x_0)</f>
        <v>40620.910000000011</v>
      </c>
      <c r="U23" s="1"/>
      <c r="V23" s="5">
        <f t="shared" si="19"/>
        <v>0.1162794046192748</v>
      </c>
      <c r="W23" s="1"/>
      <c r="X23" s="1">
        <f t="shared" si="20"/>
        <v>-1260.8400000000111</v>
      </c>
      <c r="Y23" s="1"/>
      <c r="Z23" s="5">
        <f t="shared" si="21"/>
        <v>-3.1039186468250237E-2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>
        <v>383.02</v>
      </c>
      <c r="E24" s="2"/>
      <c r="F24" s="6">
        <f t="shared" si="14"/>
        <v>0</v>
      </c>
      <c r="G24" s="2"/>
      <c r="H24" s="7">
        <v>531.98</v>
      </c>
      <c r="I24" s="2"/>
      <c r="J24" s="6">
        <f t="shared" si="15"/>
        <v>0</v>
      </c>
      <c r="K24" s="2"/>
      <c r="L24" s="7">
        <f t="shared" si="16"/>
        <v>-148.96000000000004</v>
      </c>
      <c r="M24" s="2"/>
      <c r="N24" s="6">
        <f t="shared" si="17"/>
        <v>-0.28001052671153059</v>
      </c>
      <c r="O24" s="11"/>
      <c r="P24" s="7">
        <v>7681.8</v>
      </c>
      <c r="Q24" s="2"/>
      <c r="R24" s="6">
        <f t="shared" si="18"/>
        <v>3.0118971466412965E-2</v>
      </c>
      <c r="S24" s="2"/>
      <c r="T24" s="7">
        <v>7873.37</v>
      </c>
      <c r="U24" s="2"/>
      <c r="V24" s="6">
        <f t="shared" si="19"/>
        <v>2.2537918917800201E-2</v>
      </c>
      <c r="W24" s="2"/>
      <c r="X24" s="7">
        <f t="shared" si="20"/>
        <v>-191.56999999999971</v>
      </c>
      <c r="Y24" s="2"/>
      <c r="Z24" s="6">
        <f t="shared" si="21"/>
        <v>-2.4331385416918004E-2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194.26</v>
      </c>
      <c r="E25" s="2"/>
      <c r="F25" s="6">
        <f t="shared" si="14"/>
        <v>0</v>
      </c>
      <c r="G25" s="2"/>
      <c r="H25" s="7">
        <v>370.46</v>
      </c>
      <c r="I25" s="2"/>
      <c r="J25" s="6">
        <f t="shared" si="15"/>
        <v>0</v>
      </c>
      <c r="K25" s="2"/>
      <c r="L25" s="7">
        <f t="shared" si="16"/>
        <v>-176.2</v>
      </c>
      <c r="M25" s="2"/>
      <c r="N25" s="6">
        <f t="shared" si="17"/>
        <v>-0.47562489877449654</v>
      </c>
      <c r="O25" s="11"/>
      <c r="P25" s="7">
        <v>4772.83</v>
      </c>
      <c r="Q25" s="2"/>
      <c r="R25" s="6">
        <f t="shared" si="18"/>
        <v>1.8713417504235958E-2</v>
      </c>
      <c r="S25" s="2"/>
      <c r="T25" s="7">
        <v>4682.26</v>
      </c>
      <c r="U25" s="2"/>
      <c r="V25" s="6">
        <f t="shared" si="19"/>
        <v>1.3403205518356076E-2</v>
      </c>
      <c r="W25" s="2"/>
      <c r="X25" s="7">
        <f t="shared" si="20"/>
        <v>90.569999999999709</v>
      </c>
      <c r="Y25" s="2"/>
      <c r="Z25" s="6">
        <f t="shared" si="21"/>
        <v>1.9343223144378932E-2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>
        <v>718.51</v>
      </c>
      <c r="E26" s="2"/>
      <c r="F26" s="6">
        <f t="shared" si="14"/>
        <v>0</v>
      </c>
      <c r="G26" s="2"/>
      <c r="H26" s="7">
        <v>1286.5999999999999</v>
      </c>
      <c r="I26" s="2"/>
      <c r="J26" s="6">
        <f t="shared" si="15"/>
        <v>0</v>
      </c>
      <c r="K26" s="2"/>
      <c r="L26" s="7">
        <f t="shared" si="16"/>
        <v>-568.08999999999992</v>
      </c>
      <c r="M26" s="2"/>
      <c r="N26" s="6">
        <f t="shared" si="17"/>
        <v>-0.44154360329550751</v>
      </c>
      <c r="O26" s="11"/>
      <c r="P26" s="7">
        <v>14100.93</v>
      </c>
      <c r="Q26" s="2"/>
      <c r="R26" s="6">
        <f t="shared" si="18"/>
        <v>5.5287238449307011E-2</v>
      </c>
      <c r="S26" s="2"/>
      <c r="T26" s="7">
        <v>15322.110000000002</v>
      </c>
      <c r="U26" s="2"/>
      <c r="V26" s="6">
        <f t="shared" si="19"/>
        <v>4.3860313033633087E-2</v>
      </c>
      <c r="W26" s="2"/>
      <c r="X26" s="7">
        <f t="shared" si="20"/>
        <v>-1221.1800000000021</v>
      </c>
      <c r="Y26" s="2"/>
      <c r="Z26" s="6">
        <f t="shared" si="21"/>
        <v>-7.9700511222018502E-2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-356.65</v>
      </c>
      <c r="E27" s="2"/>
      <c r="F27" s="6">
        <f t="shared" si="14"/>
        <v>0</v>
      </c>
      <c r="G27" s="2"/>
      <c r="H27" s="7">
        <v>27.52</v>
      </c>
      <c r="I27" s="2"/>
      <c r="J27" s="6">
        <f t="shared" si="15"/>
        <v>0</v>
      </c>
      <c r="K27" s="2"/>
      <c r="L27" s="7">
        <f t="shared" si="16"/>
        <v>-384.16999999999996</v>
      </c>
      <c r="M27" s="2"/>
      <c r="N27" s="6">
        <f t="shared" si="17"/>
        <v>-13.959665697674417</v>
      </c>
      <c r="O27" s="11"/>
      <c r="P27" s="7">
        <v>0</v>
      </c>
      <c r="Q27" s="2"/>
      <c r="R27" s="6">
        <f t="shared" si="18"/>
        <v>0</v>
      </c>
      <c r="S27" s="2"/>
      <c r="T27" s="7">
        <v>390.47</v>
      </c>
      <c r="U27" s="2"/>
      <c r="V27" s="6">
        <f t="shared" si="19"/>
        <v>1.1177400782426644E-3</v>
      </c>
      <c r="W27" s="2"/>
      <c r="X27" s="7">
        <f t="shared" si="20"/>
        <v>-390.47</v>
      </c>
      <c r="Y27" s="2"/>
      <c r="Z27" s="6">
        <f t="shared" si="21"/>
        <v>-1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>
        <v>340.69</v>
      </c>
      <c r="E28" s="2"/>
      <c r="F28" s="6">
        <f t="shared" si="14"/>
        <v>0</v>
      </c>
      <c r="G28" s="2"/>
      <c r="H28" s="7"/>
      <c r="I28" s="2"/>
      <c r="J28" s="6">
        <f t="shared" si="15"/>
        <v>0</v>
      </c>
      <c r="K28" s="2"/>
      <c r="L28" s="7">
        <f t="shared" si="16"/>
        <v>340.69</v>
      </c>
      <c r="M28" s="2"/>
      <c r="N28" s="6">
        <f t="shared" si="17"/>
        <v>0</v>
      </c>
      <c r="O28" s="11"/>
      <c r="P28" s="7">
        <v>4131.1000000000004</v>
      </c>
      <c r="Q28" s="2"/>
      <c r="R28" s="6">
        <f t="shared" si="18"/>
        <v>1.6197308316397017E-2</v>
      </c>
      <c r="S28" s="2"/>
      <c r="T28" s="7">
        <v>3630.09</v>
      </c>
      <c r="U28" s="2"/>
      <c r="V28" s="6">
        <f t="shared" si="19"/>
        <v>1.0391315800517102E-2</v>
      </c>
      <c r="W28" s="2"/>
      <c r="X28" s="7">
        <f t="shared" si="20"/>
        <v>501.01000000000022</v>
      </c>
      <c r="Y28" s="2"/>
      <c r="Z28" s="6">
        <f t="shared" si="21"/>
        <v>0.13801586186568382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>
        <v>187.78</v>
      </c>
      <c r="E29" s="2"/>
      <c r="F29" s="6">
        <f t="shared" si="14"/>
        <v>0</v>
      </c>
      <c r="G29" s="2"/>
      <c r="H29" s="7">
        <v>261.52</v>
      </c>
      <c r="I29" s="2"/>
      <c r="J29" s="6">
        <f t="shared" si="15"/>
        <v>0</v>
      </c>
      <c r="K29" s="2"/>
      <c r="L29" s="7">
        <f t="shared" si="16"/>
        <v>-73.739999999999981</v>
      </c>
      <c r="M29" s="2"/>
      <c r="N29" s="6">
        <f t="shared" si="17"/>
        <v>-0.28196696237381458</v>
      </c>
      <c r="O29" s="11"/>
      <c r="P29" s="7">
        <v>3612.5</v>
      </c>
      <c r="Q29" s="2"/>
      <c r="R29" s="6">
        <f t="shared" si="18"/>
        <v>1.4163969957876648E-2</v>
      </c>
      <c r="S29" s="2"/>
      <c r="T29" s="7">
        <v>3548.88</v>
      </c>
      <c r="U29" s="2"/>
      <c r="V29" s="6">
        <f t="shared" si="19"/>
        <v>1.0158848077634201E-2</v>
      </c>
      <c r="W29" s="2"/>
      <c r="X29" s="7">
        <f t="shared" si="20"/>
        <v>63.619999999999891</v>
      </c>
      <c r="Y29" s="2"/>
      <c r="Z29" s="6">
        <f t="shared" si="21"/>
        <v>1.7926782534207944E-2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>
        <v>224.98</v>
      </c>
      <c r="E30" s="2"/>
      <c r="F30" s="6">
        <f t="shared" si="14"/>
        <v>0</v>
      </c>
      <c r="G30" s="2"/>
      <c r="H30" s="7">
        <v>209.34</v>
      </c>
      <c r="I30" s="2"/>
      <c r="J30" s="6">
        <f t="shared" si="15"/>
        <v>0</v>
      </c>
      <c r="K30" s="2"/>
      <c r="L30" s="7">
        <f t="shared" si="16"/>
        <v>15.639999999999986</v>
      </c>
      <c r="M30" s="2"/>
      <c r="N30" s="6">
        <f t="shared" si="17"/>
        <v>7.471099646508067E-2</v>
      </c>
      <c r="O30" s="11"/>
      <c r="P30" s="7">
        <v>3742.82</v>
      </c>
      <c r="Q30" s="2"/>
      <c r="R30" s="6">
        <f t="shared" si="18"/>
        <v>1.4674931498336298E-2</v>
      </c>
      <c r="S30" s="2"/>
      <c r="T30" s="7">
        <v>3576.87</v>
      </c>
      <c r="U30" s="2"/>
      <c r="V30" s="6">
        <f t="shared" si="19"/>
        <v>1.0238970865018666E-2</v>
      </c>
      <c r="W30" s="2"/>
      <c r="X30" s="7">
        <f t="shared" si="20"/>
        <v>165.95000000000027</v>
      </c>
      <c r="Y30" s="2"/>
      <c r="Z30" s="6">
        <f t="shared" si="21"/>
        <v>4.639531210248074E-2</v>
      </c>
    </row>
    <row r="31" spans="1:26" s="24" customFormat="1" hidden="1" outlineLevel="2" x14ac:dyDescent="0.35">
      <c r="A31" s="27"/>
      <c r="B31" s="11" t="str">
        <f>CONCATENATE("          ", "6156", " - ", "EMPLOYEE MEALS")</f>
        <v xml:space="preserve">          6156 - EMPLOYEE MEALS</v>
      </c>
      <c r="C31" s="11"/>
      <c r="D31" s="7">
        <v>37.03</v>
      </c>
      <c r="E31" s="2"/>
      <c r="F31" s="6">
        <f t="shared" si="14"/>
        <v>0</v>
      </c>
      <c r="G31" s="2"/>
      <c r="H31" s="7">
        <v>134.36000000000001</v>
      </c>
      <c r="I31" s="2"/>
      <c r="J31" s="6">
        <f t="shared" si="15"/>
        <v>0</v>
      </c>
      <c r="K31" s="2"/>
      <c r="L31" s="7">
        <f t="shared" si="16"/>
        <v>-97.330000000000013</v>
      </c>
      <c r="M31" s="2"/>
      <c r="N31" s="6">
        <f t="shared" si="17"/>
        <v>-0.72439714200654959</v>
      </c>
      <c r="O31" s="11"/>
      <c r="P31" s="7">
        <v>1318.09</v>
      </c>
      <c r="Q31" s="2"/>
      <c r="R31" s="6">
        <f t="shared" si="18"/>
        <v>5.1679964461668181E-3</v>
      </c>
      <c r="S31" s="2"/>
      <c r="T31" s="7">
        <v>1596.86</v>
      </c>
      <c r="U31" s="2"/>
      <c r="V31" s="6">
        <f t="shared" si="19"/>
        <v>4.5710923280727856E-3</v>
      </c>
      <c r="W31" s="2"/>
      <c r="X31" s="7">
        <f t="shared" si="20"/>
        <v>-278.77</v>
      </c>
      <c r="Y31" s="2"/>
      <c r="Z31" s="6">
        <f t="shared" si="21"/>
        <v>-0.17457385118294652</v>
      </c>
    </row>
    <row r="32" spans="1:26" s="25" customFormat="1" outlineLevel="1" collapsed="1" x14ac:dyDescent="0.3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4793.3100000000004</v>
      </c>
      <c r="E32" s="1"/>
      <c r="F32" s="5">
        <f t="shared" ref="F32:F38" si="22">IF(D$12=0,0,D32/D$12)</f>
        <v>0</v>
      </c>
      <c r="G32" s="1"/>
      <c r="H32" s="1">
        <f>SUM(OSRRefH22_1x_0)</f>
        <v>6954.46</v>
      </c>
      <c r="I32" s="1"/>
      <c r="J32" s="5">
        <f t="shared" ref="J32:J38" si="23">IF(H$12=0,0,H32/H$12)</f>
        <v>0</v>
      </c>
      <c r="K32" s="1"/>
      <c r="L32" s="1">
        <f t="shared" ref="L32:L38" si="24">+D32-H32</f>
        <v>-2161.1499999999996</v>
      </c>
      <c r="M32" s="1"/>
      <c r="N32" s="5">
        <f t="shared" ref="N32:N38" si="25">IF(H32=0,0,L32/H32)</f>
        <v>-0.31075741322834549</v>
      </c>
      <c r="O32" s="12"/>
      <c r="P32" s="1">
        <f>SUM(OSRRefP22_1x_0)</f>
        <v>128335.54999999999</v>
      </c>
      <c r="Q32" s="1"/>
      <c r="R32" s="5">
        <f t="shared" ref="R32:R38" si="26">IF(P$12=0,0,P32/P$12)</f>
        <v>0.50318086497649173</v>
      </c>
      <c r="S32" s="1"/>
      <c r="T32" s="1">
        <f>SUM(OSRRefT22_1x_0)</f>
        <v>141277.18000000002</v>
      </c>
      <c r="U32" s="1"/>
      <c r="V32" s="5">
        <f t="shared" ref="V32:V38" si="27">IF(T$12=0,0,T32/T$12)</f>
        <v>0.40441305664225929</v>
      </c>
      <c r="W32" s="1"/>
      <c r="X32" s="1">
        <f t="shared" ref="X32:X38" si="28">+P32-T32</f>
        <v>-12941.630000000034</v>
      </c>
      <c r="Y32" s="1"/>
      <c r="Z32" s="5">
        <f t="shared" ref="Z32:Z38" si="29">IF(T32=0,0,X32/T32)</f>
        <v>-9.1604532310172321E-2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>
        <v>4793.3100000000004</v>
      </c>
      <c r="E33" s="2"/>
      <c r="F33" s="6">
        <f t="shared" si="22"/>
        <v>0</v>
      </c>
      <c r="G33" s="2"/>
      <c r="H33" s="7">
        <v>4538.46</v>
      </c>
      <c r="I33" s="2"/>
      <c r="J33" s="6">
        <f t="shared" si="23"/>
        <v>0</v>
      </c>
      <c r="K33" s="2"/>
      <c r="L33" s="7">
        <f t="shared" si="24"/>
        <v>254.85000000000036</v>
      </c>
      <c r="M33" s="2"/>
      <c r="N33" s="6">
        <f t="shared" si="25"/>
        <v>5.6153408865562408E-2</v>
      </c>
      <c r="O33" s="11"/>
      <c r="P33" s="7">
        <v>54888.729999999996</v>
      </c>
      <c r="Q33" s="2"/>
      <c r="R33" s="6">
        <f t="shared" si="26"/>
        <v>0.21520894747294192</v>
      </c>
      <c r="S33" s="2"/>
      <c r="T33" s="7">
        <v>54344.23</v>
      </c>
      <c r="U33" s="2"/>
      <c r="V33" s="6">
        <f t="shared" si="27"/>
        <v>0.15556310060244666</v>
      </c>
      <c r="W33" s="2"/>
      <c r="X33" s="7">
        <f t="shared" si="28"/>
        <v>544.49999999999272</v>
      </c>
      <c r="Y33" s="2"/>
      <c r="Z33" s="6">
        <f t="shared" si="29"/>
        <v>1.0019462967825521E-2</v>
      </c>
    </row>
    <row r="34" spans="1:26" s="24" customFormat="1" hidden="1" outlineLevel="2" x14ac:dyDescent="0.3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2"/>
        <v>0</v>
      </c>
      <c r="G34" s="2"/>
      <c r="H34" s="7"/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2483.52</v>
      </c>
      <c r="Q34" s="2"/>
      <c r="R34" s="6">
        <f t="shared" si="26"/>
        <v>9.7374401854078366E-3</v>
      </c>
      <c r="S34" s="2"/>
      <c r="T34" s="7"/>
      <c r="U34" s="2"/>
      <c r="V34" s="6">
        <f t="shared" si="27"/>
        <v>0</v>
      </c>
      <c r="W34" s="2"/>
      <c r="X34" s="7">
        <f t="shared" si="28"/>
        <v>2483.52</v>
      </c>
      <c r="Y34" s="2"/>
      <c r="Z34" s="6">
        <f t="shared" si="29"/>
        <v>0</v>
      </c>
    </row>
    <row r="35" spans="1:26" s="24" customFormat="1" hidden="1" outlineLevel="2" x14ac:dyDescent="0.3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2"/>
        <v>0</v>
      </c>
      <c r="G35" s="2"/>
      <c r="H35" s="7">
        <v>2416</v>
      </c>
      <c r="I35" s="2"/>
      <c r="J35" s="6">
        <f t="shared" si="23"/>
        <v>0</v>
      </c>
      <c r="K35" s="2"/>
      <c r="L35" s="7">
        <f t="shared" si="24"/>
        <v>-2416</v>
      </c>
      <c r="M35" s="2"/>
      <c r="N35" s="6">
        <f t="shared" si="25"/>
        <v>-1</v>
      </c>
      <c r="O35" s="11"/>
      <c r="P35" s="7">
        <v>29725.459999999995</v>
      </c>
      <c r="Q35" s="2"/>
      <c r="R35" s="6">
        <f t="shared" si="26"/>
        <v>0.11654824150147099</v>
      </c>
      <c r="S35" s="2"/>
      <c r="T35" s="7">
        <v>32962.559999999998</v>
      </c>
      <c r="U35" s="2"/>
      <c r="V35" s="6">
        <f t="shared" si="27"/>
        <v>9.4356991301453405E-2</v>
      </c>
      <c r="W35" s="2"/>
      <c r="X35" s="7">
        <f t="shared" si="28"/>
        <v>-3237.1000000000022</v>
      </c>
      <c r="Y35" s="2"/>
      <c r="Z35" s="6">
        <f t="shared" si="29"/>
        <v>-9.8205357836284632E-2</v>
      </c>
    </row>
    <row r="36" spans="1:26" s="24" customFormat="1" hidden="1" outlineLevel="2" x14ac:dyDescent="0.3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2"/>
        <v>0</v>
      </c>
      <c r="G36" s="2"/>
      <c r="H36" s="7"/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5862.52</v>
      </c>
      <c r="U36" s="2"/>
      <c r="V36" s="6">
        <f t="shared" si="27"/>
        <v>1.6781759324657936E-2</v>
      </c>
      <c r="W36" s="2"/>
      <c r="X36" s="7">
        <f t="shared" si="28"/>
        <v>-5862.52</v>
      </c>
      <c r="Y36" s="2"/>
      <c r="Z36" s="6">
        <f t="shared" si="29"/>
        <v>-1</v>
      </c>
    </row>
    <row r="37" spans="1:26" s="24" customFormat="1" hidden="1" outlineLevel="2" x14ac:dyDescent="0.3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2"/>
        <v>0</v>
      </c>
      <c r="G37" s="2"/>
      <c r="H37" s="7"/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>
        <v>36868.25</v>
      </c>
      <c r="Q37" s="2"/>
      <c r="R37" s="6">
        <f t="shared" si="26"/>
        <v>0.14455385062961543</v>
      </c>
      <c r="S37" s="2"/>
      <c r="T37" s="7">
        <v>39047.270000000004</v>
      </c>
      <c r="U37" s="2"/>
      <c r="V37" s="6">
        <f t="shared" si="27"/>
        <v>0.11177478071289072</v>
      </c>
      <c r="W37" s="2"/>
      <c r="X37" s="7">
        <f t="shared" si="28"/>
        <v>-2179.0200000000041</v>
      </c>
      <c r="Y37" s="2"/>
      <c r="Z37" s="6">
        <f t="shared" si="29"/>
        <v>-5.5804669571009803E-2</v>
      </c>
    </row>
    <row r="38" spans="1:26" s="24" customFormat="1" hidden="1" outlineLevel="2" x14ac:dyDescent="0.3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2"/>
        <v>0</v>
      </c>
      <c r="G38" s="2"/>
      <c r="H38" s="7"/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>
        <v>4369.59</v>
      </c>
      <c r="Q38" s="2"/>
      <c r="R38" s="6">
        <f t="shared" si="26"/>
        <v>1.7132385187055565E-2</v>
      </c>
      <c r="S38" s="2"/>
      <c r="T38" s="7">
        <v>9060.6</v>
      </c>
      <c r="U38" s="2"/>
      <c r="V38" s="6">
        <f t="shared" si="27"/>
        <v>2.593642470081052E-2</v>
      </c>
      <c r="W38" s="2"/>
      <c r="X38" s="7">
        <f t="shared" si="28"/>
        <v>-4691.01</v>
      </c>
      <c r="Y38" s="2"/>
      <c r="Z38" s="6">
        <f t="shared" si="29"/>
        <v>-0.51773723594463938</v>
      </c>
    </row>
    <row r="39" spans="1:26" s="25" customFormat="1" outlineLevel="1" collapsed="1" x14ac:dyDescent="0.3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4" si="30">IF(D$12=0,0,D39/D$12)</f>
        <v>0</v>
      </c>
      <c r="G39" s="1"/>
      <c r="H39" s="1">
        <f>SUM(OSRRefH22_2x_0)</f>
        <v>1478</v>
      </c>
      <c r="I39" s="1"/>
      <c r="J39" s="5">
        <f t="shared" ref="J39:J54" si="31">IF(H$12=0,0,H39/H$12)</f>
        <v>0</v>
      </c>
      <c r="K39" s="1"/>
      <c r="L39" s="1">
        <f t="shared" ref="L39:L54" si="32">+D39-H39</f>
        <v>-1478</v>
      </c>
      <c r="M39" s="1"/>
      <c r="N39" s="5">
        <f t="shared" ref="N39:N54" si="33">IF(H39=0,0,L39/H39)</f>
        <v>-1</v>
      </c>
      <c r="O39" s="12"/>
      <c r="P39" s="1">
        <f>SUM(OSRRefP22_2x_0)</f>
        <v>2599.63</v>
      </c>
      <c r="Q39" s="1"/>
      <c r="R39" s="5">
        <f t="shared" ref="R39:R54" si="34">IF(P$12=0,0,P39/P$12)</f>
        <v>1.0192686843348061E-2</v>
      </c>
      <c r="S39" s="1"/>
      <c r="T39" s="1">
        <f>SUM(OSRRefT22_2x_0)</f>
        <v>3107.95</v>
      </c>
      <c r="U39" s="1"/>
      <c r="V39" s="5">
        <f t="shared" ref="V39:V54" si="35">IF(T$12=0,0,T39/T$12)</f>
        <v>8.8966637031635924E-3</v>
      </c>
      <c r="W39" s="1"/>
      <c r="X39" s="1">
        <f t="shared" ref="X39:X54" si="36">+P39-T39</f>
        <v>-508.31999999999971</v>
      </c>
      <c r="Y39" s="1"/>
      <c r="Z39" s="5">
        <f t="shared" ref="Z39:Z54" si="37">IF(T39=0,0,X39/T39)</f>
        <v>-0.16355475474187156</v>
      </c>
    </row>
    <row r="40" spans="1:26" s="24" customFormat="1" hidden="1" outlineLevel="2" x14ac:dyDescent="0.35">
      <c r="A40" s="27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30"/>
        <v>0</v>
      </c>
      <c r="G40" s="2"/>
      <c r="H40" s="7">
        <v>1478</v>
      </c>
      <c r="I40" s="2"/>
      <c r="J40" s="6">
        <f t="shared" si="31"/>
        <v>0</v>
      </c>
      <c r="K40" s="2"/>
      <c r="L40" s="7">
        <f t="shared" si="32"/>
        <v>-1478</v>
      </c>
      <c r="M40" s="2"/>
      <c r="N40" s="6">
        <f t="shared" si="33"/>
        <v>-1</v>
      </c>
      <c r="O40" s="11"/>
      <c r="P40" s="7">
        <v>2599.63</v>
      </c>
      <c r="Q40" s="2"/>
      <c r="R40" s="6">
        <f t="shared" si="34"/>
        <v>1.0192686843348061E-2</v>
      </c>
      <c r="S40" s="2"/>
      <c r="T40" s="7">
        <v>3107.95</v>
      </c>
      <c r="U40" s="2"/>
      <c r="V40" s="6">
        <f t="shared" si="35"/>
        <v>8.8966637031635924E-3</v>
      </c>
      <c r="W40" s="2"/>
      <c r="X40" s="7">
        <f t="shared" si="36"/>
        <v>-508.31999999999971</v>
      </c>
      <c r="Y40" s="2"/>
      <c r="Z40" s="6">
        <f t="shared" si="37"/>
        <v>-0.16355475474187156</v>
      </c>
    </row>
    <row r="41" spans="1:26" s="25" customFormat="1" outlineLevel="1" collapsed="1" x14ac:dyDescent="0.3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564.66999999999996</v>
      </c>
      <c r="I41" s="1"/>
      <c r="J41" s="5">
        <f t="shared" si="31"/>
        <v>0</v>
      </c>
      <c r="K41" s="1"/>
      <c r="L41" s="1">
        <f t="shared" si="32"/>
        <v>-564.66999999999996</v>
      </c>
      <c r="M41" s="1"/>
      <c r="N41" s="5">
        <f t="shared" si="33"/>
        <v>-1</v>
      </c>
      <c r="O41" s="12"/>
      <c r="P41" s="1">
        <f>SUM(OSRRefP22_3x_0)</f>
        <v>-48.26</v>
      </c>
      <c r="Q41" s="1"/>
      <c r="R41" s="5">
        <f t="shared" si="34"/>
        <v>-1.8921887617083101E-4</v>
      </c>
      <c r="S41" s="1"/>
      <c r="T41" s="1">
        <f>SUM(OSRRefT22_3x_0)</f>
        <v>614.96</v>
      </c>
      <c r="U41" s="1"/>
      <c r="V41" s="5">
        <f t="shared" si="35"/>
        <v>1.7603540310807714E-3</v>
      </c>
      <c r="W41" s="1"/>
      <c r="X41" s="1">
        <f t="shared" si="36"/>
        <v>-663.22</v>
      </c>
      <c r="Y41" s="1"/>
      <c r="Z41" s="5">
        <f t="shared" si="37"/>
        <v>-1.0784766488877324</v>
      </c>
    </row>
    <row r="42" spans="1:26" s="24" customFormat="1" hidden="1" outlineLevel="2" x14ac:dyDescent="0.35">
      <c r="A42" s="27"/>
      <c r="B42" s="11" t="str">
        <f>CONCATENATE("          ", "6272", " - ", "CASH (OVER/SHORT)")</f>
        <v xml:space="preserve">          6272 - CASH (OVER/SHORT)</v>
      </c>
      <c r="C42" s="11"/>
      <c r="D42" s="7"/>
      <c r="E42" s="2"/>
      <c r="F42" s="6">
        <f t="shared" si="30"/>
        <v>0</v>
      </c>
      <c r="G42" s="2"/>
      <c r="H42" s="7">
        <v>564.66999999999996</v>
      </c>
      <c r="I42" s="2"/>
      <c r="J42" s="6">
        <f t="shared" si="31"/>
        <v>0</v>
      </c>
      <c r="K42" s="2"/>
      <c r="L42" s="7">
        <f t="shared" si="32"/>
        <v>-564.66999999999996</v>
      </c>
      <c r="M42" s="2"/>
      <c r="N42" s="6">
        <f t="shared" si="33"/>
        <v>-1</v>
      </c>
      <c r="O42" s="11"/>
      <c r="P42" s="7">
        <v>-48.26</v>
      </c>
      <c r="Q42" s="2"/>
      <c r="R42" s="6">
        <f t="shared" si="34"/>
        <v>-1.8921887617083101E-4</v>
      </c>
      <c r="S42" s="2"/>
      <c r="T42" s="7">
        <v>614.96</v>
      </c>
      <c r="U42" s="2"/>
      <c r="V42" s="6">
        <f t="shared" si="35"/>
        <v>1.7603540310807714E-3</v>
      </c>
      <c r="W42" s="2"/>
      <c r="X42" s="7">
        <f t="shared" si="36"/>
        <v>-663.22</v>
      </c>
      <c r="Y42" s="2"/>
      <c r="Z42" s="6">
        <f t="shared" si="37"/>
        <v>-1.0784766488877324</v>
      </c>
    </row>
    <row r="43" spans="1:26" s="25" customFormat="1" outlineLevel="1" collapsed="1" x14ac:dyDescent="0.3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286.83999999999997</v>
      </c>
      <c r="I43" s="1"/>
      <c r="J43" s="5">
        <f t="shared" si="31"/>
        <v>0</v>
      </c>
      <c r="K43" s="1"/>
      <c r="L43" s="1">
        <f t="shared" si="32"/>
        <v>-286.83999999999997</v>
      </c>
      <c r="M43" s="1"/>
      <c r="N43" s="5">
        <f t="shared" si="33"/>
        <v>-1</v>
      </c>
      <c r="O43" s="12"/>
      <c r="P43" s="1">
        <f>SUM(OSRRefP22_4x_0)</f>
        <v>10000.31</v>
      </c>
      <c r="Q43" s="1"/>
      <c r="R43" s="5">
        <f t="shared" si="34"/>
        <v>3.9209436791544199E-2</v>
      </c>
      <c r="S43" s="1"/>
      <c r="T43" s="1">
        <f>SUM(OSRRefT22_4x_0)</f>
        <v>14164.73</v>
      </c>
      <c r="U43" s="1"/>
      <c r="V43" s="5">
        <f t="shared" si="35"/>
        <v>4.0547254381863428E-2</v>
      </c>
      <c r="W43" s="1"/>
      <c r="X43" s="1">
        <f t="shared" si="36"/>
        <v>-4164.42</v>
      </c>
      <c r="Y43" s="1"/>
      <c r="Z43" s="5">
        <f t="shared" si="37"/>
        <v>-0.29399925025044604</v>
      </c>
    </row>
    <row r="44" spans="1:26" s="24" customFormat="1" hidden="1" outlineLevel="2" x14ac:dyDescent="0.35">
      <c r="A44" s="27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30"/>
        <v>0</v>
      </c>
      <c r="G44" s="2"/>
      <c r="H44" s="7">
        <v>286.83999999999997</v>
      </c>
      <c r="I44" s="2"/>
      <c r="J44" s="6">
        <f t="shared" si="31"/>
        <v>0</v>
      </c>
      <c r="K44" s="2"/>
      <c r="L44" s="7">
        <f t="shared" si="32"/>
        <v>-286.83999999999997</v>
      </c>
      <c r="M44" s="2"/>
      <c r="N44" s="6">
        <f t="shared" si="33"/>
        <v>-1</v>
      </c>
      <c r="O44" s="11"/>
      <c r="P44" s="7">
        <v>10000.31</v>
      </c>
      <c r="Q44" s="2"/>
      <c r="R44" s="6">
        <f t="shared" si="34"/>
        <v>3.9209436791544199E-2</v>
      </c>
      <c r="S44" s="2"/>
      <c r="T44" s="7">
        <v>14164.73</v>
      </c>
      <c r="U44" s="2"/>
      <c r="V44" s="6">
        <f t="shared" si="35"/>
        <v>4.0547254381863428E-2</v>
      </c>
      <c r="W44" s="2"/>
      <c r="X44" s="7">
        <f t="shared" si="36"/>
        <v>-4164.42</v>
      </c>
      <c r="Y44" s="2"/>
      <c r="Z44" s="6">
        <f t="shared" si="37"/>
        <v>-0.29399925025044604</v>
      </c>
    </row>
    <row r="45" spans="1:26" s="25" customFormat="1" outlineLevel="1" collapsed="1" x14ac:dyDescent="0.3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58.07</v>
      </c>
      <c r="E45" s="1"/>
      <c r="F45" s="5">
        <f t="shared" si="30"/>
        <v>0</v>
      </c>
      <c r="G45" s="1"/>
      <c r="H45" s="1">
        <f>SUM(OSRRefH22_5x_0)</f>
        <v>635.76</v>
      </c>
      <c r="I45" s="1"/>
      <c r="J45" s="5">
        <f t="shared" si="31"/>
        <v>0</v>
      </c>
      <c r="K45" s="1"/>
      <c r="L45" s="1">
        <f t="shared" si="32"/>
        <v>-577.68999999999994</v>
      </c>
      <c r="M45" s="1"/>
      <c r="N45" s="5">
        <f t="shared" si="33"/>
        <v>-0.9086605008179186</v>
      </c>
      <c r="O45" s="12"/>
      <c r="P45" s="1">
        <f>SUM(OSRRefP22_5x_0)</f>
        <v>5846.06</v>
      </c>
      <c r="Q45" s="1"/>
      <c r="R45" s="5">
        <f t="shared" si="34"/>
        <v>2.2921361442752766E-2</v>
      </c>
      <c r="S45" s="1"/>
      <c r="T45" s="1">
        <f>SUM(OSRRefT22_5x_0)</f>
        <v>7628.24</v>
      </c>
      <c r="U45" s="1"/>
      <c r="V45" s="5">
        <f t="shared" si="35"/>
        <v>2.1836221923461012E-2</v>
      </c>
      <c r="W45" s="1"/>
      <c r="X45" s="1">
        <f t="shared" si="36"/>
        <v>-1782.1799999999994</v>
      </c>
      <c r="Y45" s="1"/>
      <c r="Z45" s="5">
        <f t="shared" si="37"/>
        <v>-0.23362925130829645</v>
      </c>
    </row>
    <row r="46" spans="1:26" s="24" customFormat="1" hidden="1" outlineLevel="2" x14ac:dyDescent="0.3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58.07</v>
      </c>
      <c r="E46" s="2"/>
      <c r="F46" s="6">
        <f t="shared" si="30"/>
        <v>0</v>
      </c>
      <c r="G46" s="2"/>
      <c r="H46" s="7">
        <v>635.76</v>
      </c>
      <c r="I46" s="2"/>
      <c r="J46" s="6">
        <f t="shared" si="31"/>
        <v>0</v>
      </c>
      <c r="K46" s="2"/>
      <c r="L46" s="7">
        <f t="shared" si="32"/>
        <v>-577.68999999999994</v>
      </c>
      <c r="M46" s="2"/>
      <c r="N46" s="6">
        <f t="shared" si="33"/>
        <v>-0.9086605008179186</v>
      </c>
      <c r="O46" s="11"/>
      <c r="P46" s="7">
        <v>5846.06</v>
      </c>
      <c r="Q46" s="2"/>
      <c r="R46" s="6">
        <f t="shared" si="34"/>
        <v>2.2921361442752766E-2</v>
      </c>
      <c r="S46" s="2"/>
      <c r="T46" s="7">
        <v>7628.24</v>
      </c>
      <c r="U46" s="2"/>
      <c r="V46" s="6">
        <f t="shared" si="35"/>
        <v>2.1836221923461012E-2</v>
      </c>
      <c r="W46" s="2"/>
      <c r="X46" s="7">
        <f t="shared" si="36"/>
        <v>-1782.1799999999994</v>
      </c>
      <c r="Y46" s="2"/>
      <c r="Z46" s="6">
        <f t="shared" si="37"/>
        <v>-0.23362925130829645</v>
      </c>
    </row>
    <row r="47" spans="1:26" s="25" customFormat="1" outlineLevel="1" collapsed="1" x14ac:dyDescent="0.35">
      <c r="A47" s="26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0"/>
        <v>0</v>
      </c>
      <c r="G47" s="1"/>
      <c r="H47" s="1">
        <f>SUM(OSRRefH22_6x_0)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2"/>
      <c r="P47" s="1">
        <f>SUM(OSRRefP22_6x_0)</f>
        <v>0</v>
      </c>
      <c r="Q47" s="1"/>
      <c r="R47" s="5">
        <f t="shared" si="34"/>
        <v>0</v>
      </c>
      <c r="S47" s="1"/>
      <c r="T47" s="1">
        <f>SUM(OSRRefT22_6x_0)</f>
        <v>100.64</v>
      </c>
      <c r="U47" s="1"/>
      <c r="V47" s="5">
        <f t="shared" si="35"/>
        <v>2.8808707832699498E-4</v>
      </c>
      <c r="W47" s="1"/>
      <c r="X47" s="1">
        <f t="shared" si="36"/>
        <v>-100.64</v>
      </c>
      <c r="Y47" s="1"/>
      <c r="Z47" s="5">
        <f t="shared" si="37"/>
        <v>-1</v>
      </c>
    </row>
    <row r="48" spans="1:26" s="24" customFormat="1" hidden="1" outlineLevel="2" x14ac:dyDescent="0.35">
      <c r="A48" s="27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0</v>
      </c>
      <c r="M48" s="2"/>
      <c r="N48" s="6">
        <f t="shared" si="33"/>
        <v>0</v>
      </c>
      <c r="O48" s="11"/>
      <c r="P48" s="7"/>
      <c r="Q48" s="2"/>
      <c r="R48" s="6">
        <f t="shared" si="34"/>
        <v>0</v>
      </c>
      <c r="S48" s="2"/>
      <c r="T48" s="7">
        <v>100.64</v>
      </c>
      <c r="U48" s="2"/>
      <c r="V48" s="6">
        <f t="shared" si="35"/>
        <v>2.8808707832699498E-4</v>
      </c>
      <c r="W48" s="2"/>
      <c r="X48" s="7">
        <f t="shared" si="36"/>
        <v>-100.64</v>
      </c>
      <c r="Y48" s="2"/>
      <c r="Z48" s="6">
        <f t="shared" si="37"/>
        <v>-1</v>
      </c>
    </row>
    <row r="49" spans="1:26" s="25" customFormat="1" outlineLevel="1" collapsed="1" x14ac:dyDescent="0.35">
      <c r="A49" s="26"/>
      <c r="B49" s="12" t="str">
        <f>CONCATENATE("     ","General                                           ")</f>
        <v xml:space="preserve">     General                                           </v>
      </c>
      <c r="C49" s="12"/>
      <c r="D49" s="1">
        <f>SUM(OSRRefD22_7x_0)</f>
        <v>0</v>
      </c>
      <c r="E49" s="1"/>
      <c r="F49" s="5">
        <f t="shared" si="30"/>
        <v>0</v>
      </c>
      <c r="G49" s="1"/>
      <c r="H49" s="1">
        <f>SUM(OSRRefH22_7x_0)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2"/>
      <c r="P49" s="1">
        <f>SUM(OSRRefP22_7x_0)</f>
        <v>901.75</v>
      </c>
      <c r="Q49" s="1"/>
      <c r="R49" s="5">
        <f t="shared" si="34"/>
        <v>3.535601359035368E-3</v>
      </c>
      <c r="S49" s="1"/>
      <c r="T49" s="1">
        <f>SUM(OSRRefT22_7x_0)</f>
        <v>724.2</v>
      </c>
      <c r="U49" s="1"/>
      <c r="V49" s="5">
        <f t="shared" si="35"/>
        <v>2.0730590433665516E-3</v>
      </c>
      <c r="W49" s="1"/>
      <c r="X49" s="1">
        <f t="shared" si="36"/>
        <v>177.54999999999995</v>
      </c>
      <c r="Y49" s="1"/>
      <c r="Z49" s="5">
        <f t="shared" si="37"/>
        <v>0.24516708091687373</v>
      </c>
    </row>
    <row r="50" spans="1:26" s="24" customFormat="1" hidden="1" outlineLevel="2" x14ac:dyDescent="0.35">
      <c r="A50" s="27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30"/>
        <v>0</v>
      </c>
      <c r="G50" s="2"/>
      <c r="H50" s="7"/>
      <c r="I50" s="2"/>
      <c r="J50" s="6">
        <f t="shared" si="31"/>
        <v>0</v>
      </c>
      <c r="K50" s="2"/>
      <c r="L50" s="7">
        <f t="shared" si="32"/>
        <v>0</v>
      </c>
      <c r="M50" s="2"/>
      <c r="N50" s="6">
        <f t="shared" si="33"/>
        <v>0</v>
      </c>
      <c r="O50" s="11"/>
      <c r="P50" s="7">
        <v>901.75</v>
      </c>
      <c r="Q50" s="2"/>
      <c r="R50" s="6">
        <f t="shared" si="34"/>
        <v>3.535601359035368E-3</v>
      </c>
      <c r="S50" s="2"/>
      <c r="T50" s="7">
        <v>724.2</v>
      </c>
      <c r="U50" s="2"/>
      <c r="V50" s="6">
        <f t="shared" si="35"/>
        <v>2.0730590433665516E-3</v>
      </c>
      <c r="W50" s="2"/>
      <c r="X50" s="7">
        <f t="shared" si="36"/>
        <v>177.54999999999995</v>
      </c>
      <c r="Y50" s="2"/>
      <c r="Z50" s="6">
        <f t="shared" si="37"/>
        <v>0.24516708091687373</v>
      </c>
    </row>
    <row r="51" spans="1:26" s="25" customFormat="1" outlineLevel="1" collapsed="1" x14ac:dyDescent="0.35">
      <c r="A51" s="26"/>
      <c r="B51" s="12" t="str">
        <f>CONCATENATE("     ","Repair and Maintenance                            ")</f>
        <v xml:space="preserve">     Repair and Maintenance                            </v>
      </c>
      <c r="C51" s="12"/>
      <c r="D51" s="1">
        <f>SUM(OSRRefD22_8x_0)</f>
        <v>165.75</v>
      </c>
      <c r="E51" s="1"/>
      <c r="F51" s="5">
        <f t="shared" si="30"/>
        <v>0</v>
      </c>
      <c r="G51" s="1"/>
      <c r="H51" s="1">
        <f>SUM(OSRRefH22_8x_0)</f>
        <v>335.95</v>
      </c>
      <c r="I51" s="1"/>
      <c r="J51" s="5">
        <f t="shared" si="31"/>
        <v>0</v>
      </c>
      <c r="K51" s="1"/>
      <c r="L51" s="1">
        <f t="shared" si="32"/>
        <v>-170.2</v>
      </c>
      <c r="M51" s="1"/>
      <c r="N51" s="5">
        <f t="shared" si="33"/>
        <v>-0.50662300937639526</v>
      </c>
      <c r="O51" s="12"/>
      <c r="P51" s="1">
        <f>SUM(OSRRefP22_8x_0)</f>
        <v>9042.86</v>
      </c>
      <c r="Q51" s="1"/>
      <c r="R51" s="5">
        <f t="shared" si="34"/>
        <v>3.5455445639663512E-2</v>
      </c>
      <c r="S51" s="1"/>
      <c r="T51" s="1">
        <f>SUM(OSRRefT22_8x_0)</f>
        <v>5934.9400000000005</v>
      </c>
      <c r="U51" s="1"/>
      <c r="V51" s="5">
        <f t="shared" si="35"/>
        <v>1.6989065228994592E-2</v>
      </c>
      <c r="W51" s="1"/>
      <c r="X51" s="1">
        <f t="shared" si="36"/>
        <v>3107.92</v>
      </c>
      <c r="Y51" s="1"/>
      <c r="Z51" s="5">
        <f t="shared" si="37"/>
        <v>0.52366494016788712</v>
      </c>
    </row>
    <row r="52" spans="1:26" s="24" customFormat="1" hidden="1" outlineLevel="2" x14ac:dyDescent="0.35">
      <c r="A52" s="27"/>
      <c r="B52" s="11" t="str">
        <f>CONCATENATE("          ", "6371", " - ", "COMPUTER SOFTWARE MAINTENANCE")</f>
        <v xml:space="preserve">          6371 - COMPUTER SOFTWARE MAINTENANCE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>
        <v>874.62</v>
      </c>
      <c r="Q52" s="2"/>
      <c r="R52" s="6">
        <f t="shared" si="34"/>
        <v>3.4292294545489477E-3</v>
      </c>
      <c r="S52" s="2"/>
      <c r="T52" s="7"/>
      <c r="U52" s="2"/>
      <c r="V52" s="6">
        <f t="shared" si="35"/>
        <v>0</v>
      </c>
      <c r="W52" s="2"/>
      <c r="X52" s="7">
        <f t="shared" si="36"/>
        <v>874.62</v>
      </c>
      <c r="Y52" s="2"/>
      <c r="Z52" s="6">
        <f t="shared" si="37"/>
        <v>0</v>
      </c>
    </row>
    <row r="53" spans="1:26" s="24" customFormat="1" hidden="1" outlineLevel="2" x14ac:dyDescent="0.35">
      <c r="A53" s="27"/>
      <c r="B53" s="11" t="str">
        <f>CONCATENATE("          ", "6373", " - ", "MAINTENANCE CONTRACTS")</f>
        <v xml:space="preserve">          6373 - MAINTENANCE CONTRACTS</v>
      </c>
      <c r="C53" s="11"/>
      <c r="D53" s="7">
        <v>165.75</v>
      </c>
      <c r="E53" s="2"/>
      <c r="F53" s="6">
        <f t="shared" si="30"/>
        <v>0</v>
      </c>
      <c r="G53" s="2"/>
      <c r="H53" s="7">
        <v>155.94999999999999</v>
      </c>
      <c r="I53" s="2"/>
      <c r="J53" s="6">
        <f t="shared" si="31"/>
        <v>0</v>
      </c>
      <c r="K53" s="2"/>
      <c r="L53" s="7">
        <f t="shared" si="32"/>
        <v>9.8000000000000114</v>
      </c>
      <c r="M53" s="2"/>
      <c r="N53" s="6">
        <f t="shared" si="33"/>
        <v>6.284065405578719E-2</v>
      </c>
      <c r="O53" s="11"/>
      <c r="P53" s="7">
        <v>1197.72</v>
      </c>
      <c r="Q53" s="2"/>
      <c r="R53" s="6">
        <f t="shared" si="34"/>
        <v>4.696047085937168E-3</v>
      </c>
      <c r="S53" s="2"/>
      <c r="T53" s="7">
        <v>2465.3000000000002</v>
      </c>
      <c r="U53" s="2"/>
      <c r="V53" s="6">
        <f t="shared" si="35"/>
        <v>7.0570456498364542E-3</v>
      </c>
      <c r="W53" s="2"/>
      <c r="X53" s="7">
        <f t="shared" si="36"/>
        <v>-1267.5800000000002</v>
      </c>
      <c r="Y53" s="2"/>
      <c r="Z53" s="6">
        <f t="shared" si="37"/>
        <v>-0.51416866101488667</v>
      </c>
    </row>
    <row r="54" spans="1:26" s="24" customFormat="1" hidden="1" outlineLevel="2" x14ac:dyDescent="0.35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30"/>
        <v>0</v>
      </c>
      <c r="G54" s="2"/>
      <c r="H54" s="7">
        <v>180</v>
      </c>
      <c r="I54" s="2"/>
      <c r="J54" s="6">
        <f t="shared" si="31"/>
        <v>0</v>
      </c>
      <c r="K54" s="2"/>
      <c r="L54" s="7">
        <f t="shared" si="32"/>
        <v>-180</v>
      </c>
      <c r="M54" s="2"/>
      <c r="N54" s="6">
        <f t="shared" si="33"/>
        <v>-1</v>
      </c>
      <c r="O54" s="11"/>
      <c r="P54" s="7">
        <v>6970.52</v>
      </c>
      <c r="Q54" s="2"/>
      <c r="R54" s="6">
        <f t="shared" si="34"/>
        <v>2.7330169099177393E-2</v>
      </c>
      <c r="S54" s="2"/>
      <c r="T54" s="7">
        <v>3469.64</v>
      </c>
      <c r="U54" s="2"/>
      <c r="V54" s="6">
        <f t="shared" si="35"/>
        <v>9.9320195791581366E-3</v>
      </c>
      <c r="W54" s="2"/>
      <c r="X54" s="7">
        <f t="shared" si="36"/>
        <v>3500.8800000000006</v>
      </c>
      <c r="Y54" s="2"/>
      <c r="Z54" s="6">
        <f t="shared" si="37"/>
        <v>1.0090038159578518</v>
      </c>
    </row>
    <row r="55" spans="1:26" s="25" customFormat="1" outlineLevel="1" collapsed="1" x14ac:dyDescent="0.35">
      <c r="A55" s="26"/>
      <c r="B55" s="12" t="str">
        <f>CONCATENATE("     ","Services                                          ")</f>
        <v xml:space="preserve">     Services                                          </v>
      </c>
      <c r="C55" s="12"/>
      <c r="D55" s="1">
        <f>SUM(OSRRefD22_9x_0)</f>
        <v>0</v>
      </c>
      <c r="E55" s="1"/>
      <c r="F55" s="5">
        <f t="shared" ref="F55:F57" si="38">IF(D$12=0,0,D55/D$12)</f>
        <v>0</v>
      </c>
      <c r="G55" s="1"/>
      <c r="H55" s="1">
        <f>SUM(OSRRefH22_9x_0)</f>
        <v>0</v>
      </c>
      <c r="I55" s="1"/>
      <c r="J55" s="5">
        <f t="shared" ref="J55:J57" si="39">IF(H$12=0,0,H55/H$12)</f>
        <v>0</v>
      </c>
      <c r="K55" s="1"/>
      <c r="L55" s="1">
        <f t="shared" ref="L55:L57" si="40">+D55-H55</f>
        <v>0</v>
      </c>
      <c r="M55" s="1"/>
      <c r="N55" s="5">
        <f t="shared" ref="N55:N57" si="41">IF(H55=0,0,L55/H55)</f>
        <v>0</v>
      </c>
      <c r="O55" s="12"/>
      <c r="P55" s="1">
        <f>SUM(OSRRefP22_9x_0)</f>
        <v>1368.82</v>
      </c>
      <c r="Q55" s="1"/>
      <c r="R55" s="5">
        <f t="shared" ref="R55:R57" si="42">IF(P$12=0,0,P55/P$12)</f>
        <v>5.3668997530078094E-3</v>
      </c>
      <c r="S55" s="1"/>
      <c r="T55" s="1">
        <f>SUM(OSRRefT22_9x_0)</f>
        <v>1689.97</v>
      </c>
      <c r="U55" s="1"/>
      <c r="V55" s="5">
        <f t="shared" ref="V55:V57" si="43">IF(T$12=0,0,T55/T$12)</f>
        <v>4.8376244014335422E-3</v>
      </c>
      <c r="W55" s="1"/>
      <c r="X55" s="1">
        <f t="shared" ref="X55:X57" si="44">+P55-T55</f>
        <v>-321.15000000000009</v>
      </c>
      <c r="Y55" s="1"/>
      <c r="Z55" s="5">
        <f t="shared" ref="Z55:Z57" si="45">IF(T55=0,0,X55/T55)</f>
        <v>-0.19003295916495563</v>
      </c>
    </row>
    <row r="56" spans="1:26" s="24" customFormat="1" hidden="1" outlineLevel="2" x14ac:dyDescent="0.35">
      <c r="A56" s="27"/>
      <c r="B56" s="11" t="str">
        <f>CONCATENATE("          ", "6285", " - ", "JANITORIAL SERVICES")</f>
        <v xml:space="preserve">          6285 - JANITORIAL SERVICES</v>
      </c>
      <c r="C56" s="11"/>
      <c r="D56" s="7"/>
      <c r="E56" s="2"/>
      <c r="F56" s="6">
        <f t="shared" si="38"/>
        <v>0</v>
      </c>
      <c r="G56" s="2"/>
      <c r="H56" s="7"/>
      <c r="I56" s="2"/>
      <c r="J56" s="6">
        <f t="shared" si="39"/>
        <v>0</v>
      </c>
      <c r="K56" s="2"/>
      <c r="L56" s="7">
        <f t="shared" si="40"/>
        <v>0</v>
      </c>
      <c r="M56" s="2"/>
      <c r="N56" s="6">
        <f t="shared" si="41"/>
        <v>0</v>
      </c>
      <c r="O56" s="11"/>
      <c r="P56" s="7">
        <v>712.8</v>
      </c>
      <c r="Q56" s="2"/>
      <c r="R56" s="6">
        <f t="shared" si="42"/>
        <v>2.7947620168787472E-3</v>
      </c>
      <c r="S56" s="2"/>
      <c r="T56" s="7">
        <v>686</v>
      </c>
      <c r="U56" s="2"/>
      <c r="V56" s="6">
        <f t="shared" si="43"/>
        <v>1.9637096157821797E-3</v>
      </c>
      <c r="W56" s="2"/>
      <c r="X56" s="7">
        <f t="shared" si="44"/>
        <v>26.799999999999955</v>
      </c>
      <c r="Y56" s="2"/>
      <c r="Z56" s="6">
        <f t="shared" si="45"/>
        <v>3.9067055393585938E-2</v>
      </c>
    </row>
    <row r="57" spans="1:26" s="24" customFormat="1" hidden="1" outlineLevel="2" x14ac:dyDescent="0.35">
      <c r="A57" s="27"/>
      <c r="B57" s="11" t="str">
        <f>CONCATENATE("          ", "6286", " - ", "LAUNDRY EXPENSE")</f>
        <v xml:space="preserve">          6286 - LAUNDRY EXPENSE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>
        <v>656.02</v>
      </c>
      <c r="Q57" s="2"/>
      <c r="R57" s="6">
        <f t="shared" si="42"/>
        <v>2.5721377361290626E-3</v>
      </c>
      <c r="S57" s="2"/>
      <c r="T57" s="7">
        <v>1003.97</v>
      </c>
      <c r="U57" s="2"/>
      <c r="V57" s="6">
        <f t="shared" si="43"/>
        <v>2.873914785651363E-3</v>
      </c>
      <c r="W57" s="2"/>
      <c r="X57" s="7">
        <f t="shared" si="44"/>
        <v>-347.95000000000005</v>
      </c>
      <c r="Y57" s="2"/>
      <c r="Z57" s="6">
        <f t="shared" si="45"/>
        <v>-0.34657410081974566</v>
      </c>
    </row>
    <row r="58" spans="1:26" s="25" customFormat="1" outlineLevel="1" collapsed="1" x14ac:dyDescent="0.35">
      <c r="A58" s="26"/>
      <c r="B58" s="12" t="str">
        <f>CONCATENATE("     ","Supplies                                          ")</f>
        <v xml:space="preserve">     Supplies                                          </v>
      </c>
      <c r="C58" s="12"/>
      <c r="D58" s="1">
        <f>SUM(OSRRefD22_10x_0)</f>
        <v>-65.05</v>
      </c>
      <c r="E58" s="1"/>
      <c r="F58" s="5">
        <f t="shared" ref="F58:F64" si="46">IF(D$12=0,0,D58/D$12)</f>
        <v>0</v>
      </c>
      <c r="G58" s="1"/>
      <c r="H58" s="1">
        <f>SUM(OSRRefH22_10x_0)</f>
        <v>78.45</v>
      </c>
      <c r="I58" s="1"/>
      <c r="J58" s="5">
        <f t="shared" ref="J58:J64" si="47">IF(H$12=0,0,H58/H$12)</f>
        <v>0</v>
      </c>
      <c r="K58" s="1"/>
      <c r="L58" s="1">
        <f t="shared" ref="L58:L64" si="48">+D58-H58</f>
        <v>-143.5</v>
      </c>
      <c r="M58" s="1"/>
      <c r="N58" s="5">
        <f t="shared" ref="N58:N64" si="49">IF(H58=0,0,L58/H58)</f>
        <v>-1.8291905672402804</v>
      </c>
      <c r="O58" s="12"/>
      <c r="P58" s="1">
        <f>SUM(OSRRefP22_10x_0)</f>
        <v>4596.26</v>
      </c>
      <c r="Q58" s="1"/>
      <c r="R58" s="5">
        <f t="shared" ref="R58:R64" si="50">IF(P$12=0,0,P58/P$12)</f>
        <v>1.8021117940094152E-2</v>
      </c>
      <c r="S58" s="1"/>
      <c r="T58" s="1">
        <f>SUM(OSRRefT22_10x_0)</f>
        <v>5319.01</v>
      </c>
      <c r="U58" s="1"/>
      <c r="V58" s="5">
        <f t="shared" ref="V58:V64" si="51">IF(T$12=0,0,T58/T$12)</f>
        <v>1.5225934523967305E-2</v>
      </c>
      <c r="W58" s="1"/>
      <c r="X58" s="1">
        <f t="shared" ref="X58:X64" si="52">+P58-T58</f>
        <v>-722.75</v>
      </c>
      <c r="Y58" s="1"/>
      <c r="Z58" s="5">
        <f t="shared" ref="Z58:Z64" si="53">IF(T58=0,0,X58/T58)</f>
        <v>-0.13588054919994511</v>
      </c>
    </row>
    <row r="59" spans="1:26" s="24" customFormat="1" hidden="1" outlineLevel="2" x14ac:dyDescent="0.35">
      <c r="A59" s="27"/>
      <c r="B59" s="11" t="str">
        <f>CONCATENATE("          ", "6239", " - ", "KITCHEN SUPPLIES")</f>
        <v xml:space="preserve">          6239 - KITCHEN SUPPLIES</v>
      </c>
      <c r="C59" s="11"/>
      <c r="D59" s="7"/>
      <c r="E59" s="2"/>
      <c r="F59" s="6">
        <f t="shared" si="46"/>
        <v>0</v>
      </c>
      <c r="G59" s="2"/>
      <c r="H59" s="7">
        <v>78.45</v>
      </c>
      <c r="I59" s="2"/>
      <c r="J59" s="6">
        <f t="shared" si="47"/>
        <v>0</v>
      </c>
      <c r="K59" s="2"/>
      <c r="L59" s="7">
        <f t="shared" si="48"/>
        <v>-78.45</v>
      </c>
      <c r="M59" s="2"/>
      <c r="N59" s="6">
        <f t="shared" si="49"/>
        <v>-1</v>
      </c>
      <c r="O59" s="11"/>
      <c r="P59" s="7">
        <v>960.31</v>
      </c>
      <c r="Q59" s="2"/>
      <c r="R59" s="6">
        <f t="shared" si="50"/>
        <v>3.7652047031829822E-3</v>
      </c>
      <c r="S59" s="2"/>
      <c r="T59" s="7">
        <v>528.37</v>
      </c>
      <c r="U59" s="2"/>
      <c r="V59" s="6">
        <f t="shared" si="51"/>
        <v>1.5124857867213268E-3</v>
      </c>
      <c r="W59" s="2"/>
      <c r="X59" s="7">
        <f t="shared" si="52"/>
        <v>431.93999999999994</v>
      </c>
      <c r="Y59" s="2"/>
      <c r="Z59" s="6">
        <f t="shared" si="53"/>
        <v>0.81749531578250079</v>
      </c>
    </row>
    <row r="60" spans="1:26" s="24" customFormat="1" hidden="1" outlineLevel="2" x14ac:dyDescent="0.35">
      <c r="A60" s="27"/>
      <c r="B60" s="11" t="str">
        <f>CONCATENATE("          ", "6241", " - ", "OFFICE EXPENSE")</f>
        <v xml:space="preserve">          6241 - OFFICE EXPENSE</v>
      </c>
      <c r="C60" s="11"/>
      <c r="D60" s="7">
        <v>-65.05</v>
      </c>
      <c r="E60" s="2"/>
      <c r="F60" s="6">
        <f t="shared" si="46"/>
        <v>0</v>
      </c>
      <c r="G60" s="2"/>
      <c r="H60" s="7"/>
      <c r="I60" s="2"/>
      <c r="J60" s="6">
        <f t="shared" si="47"/>
        <v>0</v>
      </c>
      <c r="K60" s="2"/>
      <c r="L60" s="7">
        <f t="shared" si="48"/>
        <v>-65.05</v>
      </c>
      <c r="M60" s="2"/>
      <c r="N60" s="6">
        <f t="shared" si="49"/>
        <v>0</v>
      </c>
      <c r="O60" s="11"/>
      <c r="P60" s="7">
        <v>1153.24</v>
      </c>
      <c r="Q60" s="2"/>
      <c r="R60" s="6">
        <f t="shared" si="50"/>
        <v>4.5216489174316025E-3</v>
      </c>
      <c r="S60" s="2"/>
      <c r="T60" s="7">
        <v>1286.0899999999999</v>
      </c>
      <c r="U60" s="2"/>
      <c r="V60" s="6">
        <f t="shared" si="51"/>
        <v>3.6814975215179345E-3</v>
      </c>
      <c r="W60" s="2"/>
      <c r="X60" s="7">
        <f t="shared" si="52"/>
        <v>-132.84999999999991</v>
      </c>
      <c r="Y60" s="2"/>
      <c r="Z60" s="6">
        <f t="shared" si="53"/>
        <v>-0.10329759192591492</v>
      </c>
    </row>
    <row r="61" spans="1:26" s="24" customFormat="1" hidden="1" outlineLevel="2" x14ac:dyDescent="0.35">
      <c r="A61" s="27"/>
      <c r="B61" s="11" t="str">
        <f>CONCATENATE("          ", "6243", " - ", "PAPER SUPPLIES")</f>
        <v xml:space="preserve">          6243 - PAPER SUPPLIES</v>
      </c>
      <c r="C61" s="11"/>
      <c r="D61" s="7"/>
      <c r="E61" s="2"/>
      <c r="F61" s="6">
        <f t="shared" si="46"/>
        <v>0</v>
      </c>
      <c r="G61" s="2"/>
      <c r="H61" s="7"/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>
        <v>1490.35</v>
      </c>
      <c r="Q61" s="2"/>
      <c r="R61" s="6">
        <f t="shared" si="50"/>
        <v>5.8433972669125148E-3</v>
      </c>
      <c r="S61" s="2"/>
      <c r="T61" s="7">
        <v>2257.8200000000002</v>
      </c>
      <c r="U61" s="2"/>
      <c r="V61" s="6">
        <f t="shared" si="51"/>
        <v>6.4631236803284562E-3</v>
      </c>
      <c r="W61" s="2"/>
      <c r="X61" s="7">
        <f t="shared" si="52"/>
        <v>-767.47000000000025</v>
      </c>
      <c r="Y61" s="2"/>
      <c r="Z61" s="6">
        <f t="shared" si="53"/>
        <v>-0.33991637951652487</v>
      </c>
    </row>
    <row r="62" spans="1:26" s="24" customFormat="1" hidden="1" outlineLevel="2" x14ac:dyDescent="0.35">
      <c r="A62" s="27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46"/>
        <v>0</v>
      </c>
      <c r="G62" s="2"/>
      <c r="H62" s="7"/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>
        <v>244.39</v>
      </c>
      <c r="Q62" s="2"/>
      <c r="R62" s="6">
        <f t="shared" si="50"/>
        <v>9.5820972124719002E-4</v>
      </c>
      <c r="S62" s="2"/>
      <c r="T62" s="7">
        <v>7.06</v>
      </c>
      <c r="U62" s="2"/>
      <c r="V62" s="6">
        <f t="shared" si="51"/>
        <v>2.0209606249886571E-5</v>
      </c>
      <c r="W62" s="2"/>
      <c r="X62" s="7">
        <f t="shared" si="52"/>
        <v>237.32999999999998</v>
      </c>
      <c r="Y62" s="2"/>
      <c r="Z62" s="6">
        <f t="shared" si="53"/>
        <v>33.616147308781869</v>
      </c>
    </row>
    <row r="63" spans="1:26" s="24" customFormat="1" hidden="1" outlineLevel="2" x14ac:dyDescent="0.35">
      <c r="A63" s="27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46"/>
        <v>0</v>
      </c>
      <c r="G63" s="2"/>
      <c r="H63" s="7"/>
      <c r="I63" s="2"/>
      <c r="J63" s="6">
        <f t="shared" si="47"/>
        <v>0</v>
      </c>
      <c r="K63" s="2"/>
      <c r="L63" s="7">
        <f t="shared" si="48"/>
        <v>0</v>
      </c>
      <c r="M63" s="2"/>
      <c r="N63" s="6">
        <f t="shared" si="49"/>
        <v>0</v>
      </c>
      <c r="O63" s="11"/>
      <c r="P63" s="7">
        <v>42.98</v>
      </c>
      <c r="Q63" s="2"/>
      <c r="R63" s="6">
        <f t="shared" si="50"/>
        <v>1.685169353050625E-4</v>
      </c>
      <c r="S63" s="2"/>
      <c r="T63" s="7">
        <v>334.08</v>
      </c>
      <c r="U63" s="2"/>
      <c r="V63" s="6">
        <f t="shared" si="51"/>
        <v>9.5632085778500078E-4</v>
      </c>
      <c r="W63" s="2"/>
      <c r="X63" s="7">
        <f t="shared" si="52"/>
        <v>-291.09999999999997</v>
      </c>
      <c r="Y63" s="2"/>
      <c r="Z63" s="6">
        <f t="shared" si="53"/>
        <v>-0.87134818007662829</v>
      </c>
    </row>
    <row r="64" spans="1:26" s="24" customFormat="1" hidden="1" outlineLevel="2" x14ac:dyDescent="0.35">
      <c r="A64" s="27"/>
      <c r="B64" s="11" t="str">
        <f>CONCATENATE("          ", "6248", " - ", "UNIFORMS")</f>
        <v xml:space="preserve">          6248 - UNIFORMS</v>
      </c>
      <c r="C64" s="11"/>
      <c r="D64" s="7"/>
      <c r="E64" s="2"/>
      <c r="F64" s="6">
        <f t="shared" si="46"/>
        <v>0</v>
      </c>
      <c r="G64" s="2"/>
      <c r="H64" s="7"/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>
        <v>704.99</v>
      </c>
      <c r="Q64" s="2"/>
      <c r="R64" s="6">
        <f t="shared" si="50"/>
        <v>2.7641403960147982E-3</v>
      </c>
      <c r="S64" s="2"/>
      <c r="T64" s="7">
        <v>905.59</v>
      </c>
      <c r="U64" s="2"/>
      <c r="V64" s="6">
        <f t="shared" si="51"/>
        <v>2.5922970713646997E-3</v>
      </c>
      <c r="W64" s="2"/>
      <c r="X64" s="7">
        <f t="shared" si="52"/>
        <v>-200.60000000000002</v>
      </c>
      <c r="Y64" s="2"/>
      <c r="Z64" s="6">
        <f t="shared" si="53"/>
        <v>-0.22151304674300734</v>
      </c>
    </row>
    <row r="65" spans="1:26" s="25" customFormat="1" outlineLevel="1" collapsed="1" x14ac:dyDescent="0.35">
      <c r="A65" s="26"/>
      <c r="B65" s="12" t="str">
        <f>CONCATENATE("     ","Telephone/Data Lines                              ")</f>
        <v xml:space="preserve">     Telephone/Data Lines                              </v>
      </c>
      <c r="C65" s="12"/>
      <c r="D65" s="1">
        <f>SUM(OSRRefD22_11x_0)</f>
        <v>-3</v>
      </c>
      <c r="E65" s="1"/>
      <c r="F65" s="5">
        <f t="shared" ref="F65:F70" si="54">IF(D$12=0,0,D65/D$12)</f>
        <v>0</v>
      </c>
      <c r="G65" s="1"/>
      <c r="H65" s="1">
        <f>SUM(OSRRefH22_11x_0)</f>
        <v>71</v>
      </c>
      <c r="I65" s="1"/>
      <c r="J65" s="5">
        <f t="shared" ref="J65:J70" si="55">IF(H$12=0,0,H65/H$12)</f>
        <v>0</v>
      </c>
      <c r="K65" s="1"/>
      <c r="L65" s="1">
        <f t="shared" ref="L65:L70" si="56">+D65-H65</f>
        <v>-74</v>
      </c>
      <c r="M65" s="1"/>
      <c r="N65" s="5">
        <f t="shared" ref="N65:N70" si="57">IF(H65=0,0,L65/H65)</f>
        <v>-1.0422535211267605</v>
      </c>
      <c r="O65" s="12"/>
      <c r="P65" s="1">
        <f>SUM(OSRRefP22_11x_0)</f>
        <v>833.96</v>
      </c>
      <c r="Q65" s="1"/>
      <c r="R65" s="5">
        <f t="shared" ref="R65:R70" si="58">IF(P$12=0,0,P65/P$12)</f>
        <v>3.2698088265939959E-3</v>
      </c>
      <c r="S65" s="1"/>
      <c r="T65" s="1">
        <f>SUM(OSRRefT22_11x_0)</f>
        <v>852</v>
      </c>
      <c r="U65" s="1"/>
      <c r="V65" s="5">
        <f t="shared" ref="V65:V70" si="59">IF(T$12=0,0,T65/T$12)</f>
        <v>2.4388929921959433E-3</v>
      </c>
      <c r="W65" s="1"/>
      <c r="X65" s="1">
        <f t="shared" ref="X65:X70" si="60">+P65-T65</f>
        <v>-18.039999999999964</v>
      </c>
      <c r="Y65" s="1"/>
      <c r="Z65" s="5">
        <f t="shared" ref="Z65:Z70" si="61">IF(T65=0,0,X65/T65)</f>
        <v>-2.1173708920187752E-2</v>
      </c>
    </row>
    <row r="66" spans="1:26" s="24" customFormat="1" hidden="1" outlineLevel="2" x14ac:dyDescent="0.35">
      <c r="A66" s="27"/>
      <c r="B66" s="11" t="str">
        <f>CONCATENATE("          ", "6309", " - ", "TELEPHONE")</f>
        <v xml:space="preserve">          6309 - TELEPHONE</v>
      </c>
      <c r="C66" s="11"/>
      <c r="D66" s="7">
        <v>-3</v>
      </c>
      <c r="E66" s="2"/>
      <c r="F66" s="6">
        <f t="shared" si="54"/>
        <v>0</v>
      </c>
      <c r="G66" s="2"/>
      <c r="H66" s="7">
        <v>71</v>
      </c>
      <c r="I66" s="2"/>
      <c r="J66" s="6">
        <f t="shared" si="55"/>
        <v>0</v>
      </c>
      <c r="K66" s="2"/>
      <c r="L66" s="7">
        <f t="shared" si="56"/>
        <v>-74</v>
      </c>
      <c r="M66" s="2"/>
      <c r="N66" s="6">
        <f t="shared" si="57"/>
        <v>-1.0422535211267605</v>
      </c>
      <c r="O66" s="11"/>
      <c r="P66" s="7">
        <v>833.96</v>
      </c>
      <c r="Q66" s="2"/>
      <c r="R66" s="6">
        <f t="shared" si="58"/>
        <v>3.2698088265939959E-3</v>
      </c>
      <c r="S66" s="2"/>
      <c r="T66" s="7">
        <v>852</v>
      </c>
      <c r="U66" s="2"/>
      <c r="V66" s="6">
        <f t="shared" si="59"/>
        <v>2.4388929921959433E-3</v>
      </c>
      <c r="W66" s="2"/>
      <c r="X66" s="7">
        <f t="shared" si="60"/>
        <v>-18.039999999999964</v>
      </c>
      <c r="Y66" s="2"/>
      <c r="Z66" s="6">
        <f t="shared" si="61"/>
        <v>-2.1173708920187752E-2</v>
      </c>
    </row>
    <row r="67" spans="1:26" s="25" customFormat="1" outlineLevel="1" collapsed="1" x14ac:dyDescent="0.35">
      <c r="A67" s="26"/>
      <c r="B67" s="12" t="str">
        <f>CONCATENATE("     ","Training                                          ")</f>
        <v xml:space="preserve">     Training                                          </v>
      </c>
      <c r="C67" s="12"/>
      <c r="D67" s="1">
        <f>SUM(OSRRefD22_12x_0)</f>
        <v>0</v>
      </c>
      <c r="E67" s="1"/>
      <c r="F67" s="5">
        <f t="shared" si="54"/>
        <v>0</v>
      </c>
      <c r="G67" s="1"/>
      <c r="H67" s="1">
        <f>SUM(OSRRefH22_12x_0)</f>
        <v>0</v>
      </c>
      <c r="I67" s="1"/>
      <c r="J67" s="5">
        <f t="shared" si="55"/>
        <v>0</v>
      </c>
      <c r="K67" s="1"/>
      <c r="L67" s="1">
        <f t="shared" si="56"/>
        <v>0</v>
      </c>
      <c r="M67" s="1"/>
      <c r="N67" s="5">
        <f t="shared" si="57"/>
        <v>0</v>
      </c>
      <c r="O67" s="12"/>
      <c r="P67" s="1">
        <f>SUM(OSRRefP22_12x_0)</f>
        <v>52.5</v>
      </c>
      <c r="Q67" s="1"/>
      <c r="R67" s="5">
        <f t="shared" si="58"/>
        <v>2.058431620175845E-4</v>
      </c>
      <c r="S67" s="1"/>
      <c r="T67" s="1">
        <f>SUM(OSRRefT22_12x_0)</f>
        <v>0</v>
      </c>
      <c r="U67" s="1"/>
      <c r="V67" s="5">
        <f t="shared" si="59"/>
        <v>0</v>
      </c>
      <c r="W67" s="1"/>
      <c r="X67" s="1">
        <f t="shared" si="60"/>
        <v>52.5</v>
      </c>
      <c r="Y67" s="1"/>
      <c r="Z67" s="5">
        <f t="shared" si="61"/>
        <v>0</v>
      </c>
    </row>
    <row r="68" spans="1:26" s="24" customFormat="1" hidden="1" outlineLevel="2" x14ac:dyDescent="0.35">
      <c r="A68" s="27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54"/>
        <v>0</v>
      </c>
      <c r="G68" s="2"/>
      <c r="H68" s="7"/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>
        <v>52.5</v>
      </c>
      <c r="Q68" s="2"/>
      <c r="R68" s="6">
        <f t="shared" si="58"/>
        <v>2.058431620175845E-4</v>
      </c>
      <c r="S68" s="2"/>
      <c r="T68" s="7"/>
      <c r="U68" s="2"/>
      <c r="V68" s="6">
        <f t="shared" si="59"/>
        <v>0</v>
      </c>
      <c r="W68" s="2"/>
      <c r="X68" s="7">
        <f t="shared" si="60"/>
        <v>52.5</v>
      </c>
      <c r="Y68" s="2"/>
      <c r="Z68" s="6">
        <f t="shared" si="61"/>
        <v>0</v>
      </c>
    </row>
    <row r="69" spans="1:26" s="25" customFormat="1" outlineLevel="1" collapsed="1" x14ac:dyDescent="0.35">
      <c r="A69" s="26"/>
      <c r="B69" s="12" t="str">
        <f>CONCATENATE("     ","Travel                                            ")</f>
        <v xml:space="preserve">     Travel                                            </v>
      </c>
      <c r="C69" s="12"/>
      <c r="D69" s="1">
        <f>SUM(OSRRefD22_13x_0)</f>
        <v>0</v>
      </c>
      <c r="E69" s="1"/>
      <c r="F69" s="5">
        <f t="shared" si="54"/>
        <v>0</v>
      </c>
      <c r="G69" s="1"/>
      <c r="H69" s="1">
        <f>SUM(OSRRefH22_13x_0)</f>
        <v>0</v>
      </c>
      <c r="I69" s="1"/>
      <c r="J69" s="5">
        <f t="shared" si="55"/>
        <v>0</v>
      </c>
      <c r="K69" s="1"/>
      <c r="L69" s="1">
        <f t="shared" si="56"/>
        <v>0</v>
      </c>
      <c r="M69" s="1"/>
      <c r="N69" s="5">
        <f t="shared" si="57"/>
        <v>0</v>
      </c>
      <c r="O69" s="12"/>
      <c r="P69" s="1">
        <f>SUM(OSRRefP22_13x_0)</f>
        <v>0</v>
      </c>
      <c r="Q69" s="1"/>
      <c r="R69" s="5">
        <f t="shared" si="58"/>
        <v>0</v>
      </c>
      <c r="S69" s="1"/>
      <c r="T69" s="1">
        <f>SUM(OSRRefT22_13x_0)</f>
        <v>6.78</v>
      </c>
      <c r="U69" s="1"/>
      <c r="V69" s="5">
        <f t="shared" si="59"/>
        <v>1.9408092120995885E-5</v>
      </c>
      <c r="W69" s="1"/>
      <c r="X69" s="1">
        <f t="shared" si="60"/>
        <v>-6.78</v>
      </c>
      <c r="Y69" s="1"/>
      <c r="Z69" s="5">
        <f t="shared" si="61"/>
        <v>-1</v>
      </c>
    </row>
    <row r="70" spans="1:26" s="24" customFormat="1" hidden="1" outlineLevel="2" x14ac:dyDescent="0.35">
      <c r="A70" s="27"/>
      <c r="B70" s="11" t="str">
        <f>CONCATENATE("          ", "6292", " - ", "TRAVEL/CONFERENCE")</f>
        <v xml:space="preserve">          6292 - TRAVEL/CONFERENCE</v>
      </c>
      <c r="C70" s="11"/>
      <c r="D70" s="7"/>
      <c r="E70" s="2"/>
      <c r="F70" s="6">
        <f t="shared" si="54"/>
        <v>0</v>
      </c>
      <c r="G70" s="2"/>
      <c r="H70" s="7"/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/>
      <c r="Q70" s="2"/>
      <c r="R70" s="6">
        <f t="shared" si="58"/>
        <v>0</v>
      </c>
      <c r="S70" s="2"/>
      <c r="T70" s="7">
        <v>6.78</v>
      </c>
      <c r="U70" s="2"/>
      <c r="V70" s="6">
        <f t="shared" si="59"/>
        <v>1.9408092120995885E-5</v>
      </c>
      <c r="W70" s="2"/>
      <c r="X70" s="7">
        <f t="shared" si="60"/>
        <v>-6.78</v>
      </c>
      <c r="Y70" s="2"/>
      <c r="Z70" s="6">
        <f t="shared" si="61"/>
        <v>-1</v>
      </c>
    </row>
    <row r="71" spans="1:26" s="56" customFormat="1" x14ac:dyDescent="0.3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5">
      <c r="A72" s="10"/>
      <c r="B72" s="29" t="s">
        <v>0</v>
      </c>
      <c r="C72" s="10"/>
      <c r="D72" s="4">
        <f>SUM(OSRRefD25x_0)</f>
        <v>0</v>
      </c>
      <c r="E72" s="4"/>
      <c r="F72" s="13">
        <f t="shared" ref="F72:F73" si="62">IF(D$12=0,0,D72/D$12)</f>
        <v>0</v>
      </c>
      <c r="G72" s="4"/>
      <c r="H72" s="4">
        <f>SUM(OSRRefH25x_0)</f>
        <v>0</v>
      </c>
      <c r="I72" s="4"/>
      <c r="J72" s="13">
        <f t="shared" ref="J72:J73" si="63">IF(H$12=0,0,H72/H$12)</f>
        <v>0</v>
      </c>
      <c r="K72" s="4"/>
      <c r="L72" s="4">
        <f t="shared" ref="L72:L73" si="64">+D72-H72</f>
        <v>0</v>
      </c>
      <c r="M72" s="4"/>
      <c r="N72" s="13">
        <f t="shared" ref="N72:N73" si="65">IF(H72=0,0,L72/H72)</f>
        <v>0</v>
      </c>
      <c r="O72" s="10"/>
      <c r="P72" s="4">
        <f>SUM(OSRRefP25x_0)</f>
        <v>507</v>
      </c>
      <c r="Q72" s="4"/>
      <c r="R72" s="13">
        <f t="shared" ref="R72:R73" si="66">IF(P$12=0,0,P72/P$12)</f>
        <v>1.9878568217698159E-3</v>
      </c>
      <c r="S72" s="4"/>
      <c r="T72" s="4">
        <f>SUM(OSRRefT25x_0)</f>
        <v>6413</v>
      </c>
      <c r="U72" s="4"/>
      <c r="V72" s="13">
        <f t="shared" ref="V72:V73" si="67">IF(T$12=0,0,T72/T$12)</f>
        <v>1.8357536102057023E-2</v>
      </c>
      <c r="W72" s="4"/>
      <c r="X72" s="4">
        <f t="shared" ref="X72:X73" si="68">+P72-T72</f>
        <v>-5906</v>
      </c>
      <c r="Y72" s="4"/>
      <c r="Z72" s="13">
        <f t="shared" ref="Z72:Z73" si="69">IF(T72=0,0,X72/T72)</f>
        <v>-0.92094183689380948</v>
      </c>
    </row>
    <row r="73" spans="1:26" s="24" customFormat="1" hidden="1" outlineLevel="1" x14ac:dyDescent="0.35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62"/>
        <v>0</v>
      </c>
      <c r="G73" s="2"/>
      <c r="H73" s="2">
        <f>0</f>
        <v>0</v>
      </c>
      <c r="I73" s="2"/>
      <c r="J73" s="19">
        <f t="shared" si="63"/>
        <v>0</v>
      </c>
      <c r="K73" s="2"/>
      <c r="L73" s="2">
        <f t="shared" si="64"/>
        <v>0</v>
      </c>
      <c r="M73" s="2"/>
      <c r="N73" s="19">
        <f t="shared" si="65"/>
        <v>0</v>
      </c>
      <c r="O73" s="11"/>
      <c r="P73" s="2">
        <f>--507</f>
        <v>507</v>
      </c>
      <c r="Q73" s="2"/>
      <c r="R73" s="19">
        <f t="shared" si="66"/>
        <v>1.9878568217698159E-3</v>
      </c>
      <c r="S73" s="2"/>
      <c r="T73" s="2">
        <f>--6413</f>
        <v>6413</v>
      </c>
      <c r="U73" s="2"/>
      <c r="V73" s="19">
        <f t="shared" si="67"/>
        <v>1.8357536102057023E-2</v>
      </c>
      <c r="W73" s="2"/>
      <c r="X73" s="2">
        <f t="shared" si="68"/>
        <v>-5906</v>
      </c>
      <c r="Y73" s="2"/>
      <c r="Z73" s="19">
        <f t="shared" si="69"/>
        <v>-0.92094183689380948</v>
      </c>
    </row>
    <row r="74" spans="1:26" x14ac:dyDescent="0.3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5">
      <c r="A75" s="10"/>
      <c r="B75" s="28" t="s">
        <v>3</v>
      </c>
      <c r="C75" s="28"/>
      <c r="D75" s="22">
        <f>+D20-D22+D72</f>
        <v>-8192.7000000000007</v>
      </c>
      <c r="E75" s="14"/>
      <c r="F75" s="21">
        <f>IF(D$12=0,0,D75/D$12)</f>
        <v>0</v>
      </c>
      <c r="G75" s="14"/>
      <c r="H75" s="22">
        <f>+H20-H22+H72</f>
        <v>-20907.910000000003</v>
      </c>
      <c r="I75" s="14"/>
      <c r="J75" s="21">
        <f>IF(H$12=0,0,H75/H$12)</f>
        <v>0</v>
      </c>
      <c r="K75" s="15"/>
      <c r="L75" s="22">
        <f>+D75-H75</f>
        <v>12715.210000000003</v>
      </c>
      <c r="M75" s="15"/>
      <c r="N75" s="21">
        <f>IF(H75=0,0,L75/H75)</f>
        <v>-0.60815308655910616</v>
      </c>
      <c r="O75" s="29"/>
      <c r="P75" s="22">
        <f>+P20-P22+P72</f>
        <v>-41130.419999999925</v>
      </c>
      <c r="Q75" s="14"/>
      <c r="R75" s="21">
        <f>IF(P$12=0,0,P75/P$12)</f>
        <v>-0.16126506110307204</v>
      </c>
      <c r="S75" s="14"/>
      <c r="T75" s="22">
        <f>+T20-T22+T72</f>
        <v>23525.829999999987</v>
      </c>
      <c r="U75" s="14"/>
      <c r="V75" s="21">
        <f>IF(T$12=0,0,T75/T$12)</f>
        <v>6.7343875496001238E-2</v>
      </c>
      <c r="W75" s="15"/>
      <c r="X75" s="22">
        <f>+P75-T75</f>
        <v>-64656.249999999913</v>
      </c>
      <c r="Y75" s="15"/>
      <c r="Z75" s="21">
        <f>IF(T75=0,0,X75/T75)</f>
        <v>-2.7483089863354428</v>
      </c>
    </row>
    <row r="76" spans="1:26" x14ac:dyDescent="0.3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5">
      <c r="A77" s="51"/>
      <c r="B77" s="10" t="s">
        <v>13</v>
      </c>
      <c r="C77" s="10"/>
      <c r="D77" s="4">
        <v>8421.23</v>
      </c>
      <c r="E77" s="4"/>
      <c r="F77" s="13">
        <f>IF(D$12=0,0,D77/D$12)</f>
        <v>0</v>
      </c>
      <c r="G77" s="4"/>
      <c r="H77" s="4">
        <v>-11436.47</v>
      </c>
      <c r="I77" s="4"/>
      <c r="J77" s="13">
        <f>IF(H$12=0,0,H77/H$12)</f>
        <v>0</v>
      </c>
      <c r="K77" s="4"/>
      <c r="L77" s="4">
        <f>+D77-H77</f>
        <v>19857.699999999997</v>
      </c>
      <c r="M77" s="4"/>
      <c r="N77" s="13">
        <f>IF(H77=0,0,L77/H77)</f>
        <v>-1.7363487159936588</v>
      </c>
      <c r="O77" s="10"/>
      <c r="P77" s="4">
        <v>38624.230000000003</v>
      </c>
      <c r="Q77" s="4"/>
      <c r="R77" s="13">
        <f>IF(P$12=0,0,P77/P$12)</f>
        <v>0.15143873587989426</v>
      </c>
      <c r="S77" s="4"/>
      <c r="T77" s="4">
        <v>24899.86</v>
      </c>
      <c r="U77" s="4"/>
      <c r="V77" s="13">
        <f>IF(T$12=0,0,T77/T$12)</f>
        <v>7.1277105705000093E-2</v>
      </c>
      <c r="W77" s="4"/>
      <c r="X77" s="4">
        <f>+P77-T77</f>
        <v>13724.370000000003</v>
      </c>
      <c r="Y77" s="4"/>
      <c r="Z77" s="13">
        <f>IF(T77=0,0,X77/T77)</f>
        <v>0.5511826170910199</v>
      </c>
    </row>
    <row r="78" spans="1:26" x14ac:dyDescent="0.3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4">
      <c r="A79" s="10"/>
      <c r="B79" s="28" t="s">
        <v>4</v>
      </c>
      <c r="C79" s="28"/>
      <c r="D79" s="34">
        <f>+D75-D77</f>
        <v>-16613.93</v>
      </c>
      <c r="E79" s="14"/>
      <c r="F79" s="32">
        <f>IF(D$12=0,0,D79/D$12)</f>
        <v>0</v>
      </c>
      <c r="G79" s="14"/>
      <c r="H79" s="34">
        <f>+H75-H77</f>
        <v>-9471.4400000000041</v>
      </c>
      <c r="I79" s="14"/>
      <c r="J79" s="32">
        <f>IF(H$12=0,0,H79/H$12)</f>
        <v>0</v>
      </c>
      <c r="K79" s="15"/>
      <c r="L79" s="34">
        <f>D79-H79</f>
        <v>-7142.4899999999961</v>
      </c>
      <c r="M79" s="15"/>
      <c r="N79" s="32">
        <f>IF(H79=0,0,L79/H79)</f>
        <v>0.75410813983934788</v>
      </c>
      <c r="O79" s="29"/>
      <c r="P79" s="34">
        <f>+P75-P77</f>
        <v>-79754.649999999936</v>
      </c>
      <c r="Q79" s="14"/>
      <c r="R79" s="32">
        <f>IF(P$12=0,0,P79/P$12)</f>
        <v>-0.31270379698296635</v>
      </c>
      <c r="S79" s="14"/>
      <c r="T79" s="34">
        <f>+T75-T77</f>
        <v>-1374.0300000000134</v>
      </c>
      <c r="U79" s="14"/>
      <c r="V79" s="32">
        <f>IF(T$12=0,0,T79/T$12)</f>
        <v>-3.9332302089988549E-3</v>
      </c>
      <c r="W79" s="15"/>
      <c r="X79" s="34">
        <f>P79-T79</f>
        <v>-78380.619999999923</v>
      </c>
      <c r="Y79" s="15"/>
      <c r="Z79" s="32">
        <f>IF(T79=0,0,X79/T79)</f>
        <v>57.044329454232553</v>
      </c>
    </row>
    <row r="80" spans="1:26" ht="15" thickTop="1" x14ac:dyDescent="0.3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4">
      <c r="A82" s="10"/>
      <c r="B82" s="28" t="s">
        <v>5</v>
      </c>
      <c r="C82" s="28"/>
      <c r="D82" s="35">
        <f>SUM(D79:D81)</f>
        <v>-16613.93</v>
      </c>
      <c r="E82" s="14"/>
      <c r="F82" s="33">
        <f>IF(D$12=0,0,D82/D$12)</f>
        <v>0</v>
      </c>
      <c r="G82" s="14"/>
      <c r="H82" s="35">
        <f>SUM(H79:H81)</f>
        <v>-9471.4400000000041</v>
      </c>
      <c r="I82" s="14"/>
      <c r="J82" s="33">
        <f>IF(H$12=0,0,H82/H$12)</f>
        <v>0</v>
      </c>
      <c r="K82" s="15"/>
      <c r="L82" s="35">
        <f>+D82-H82</f>
        <v>-7142.4899999999961</v>
      </c>
      <c r="M82" s="15"/>
      <c r="N82" s="33">
        <f>IF(H82=0,0,L82/H82)</f>
        <v>0.75410813983934788</v>
      </c>
      <c r="O82" s="29"/>
      <c r="P82" s="35">
        <f>SUM(P79:P81)</f>
        <v>-79754.649999999936</v>
      </c>
      <c r="Q82" s="14"/>
      <c r="R82" s="33">
        <f>IF(P$12=0,0,P82/P$12)</f>
        <v>-0.31270379698296635</v>
      </c>
      <c r="S82" s="14"/>
      <c r="T82" s="35">
        <f>SUM(T79:T81)</f>
        <v>-1374.0300000000134</v>
      </c>
      <c r="U82" s="14"/>
      <c r="V82" s="33">
        <f>IF(T$12=0,0,T82/T$12)</f>
        <v>-3.9332302089988549E-3</v>
      </c>
      <c r="W82" s="15"/>
      <c r="X82" s="35">
        <f>+P82-T82</f>
        <v>-78380.619999999923</v>
      </c>
      <c r="Y82" s="15"/>
      <c r="Z82" s="33">
        <f>IF(T82=0,0,X82/T82)</f>
        <v>57.044329454232553</v>
      </c>
    </row>
    <row r="83" spans="1:26" ht="15" thickTop="1" x14ac:dyDescent="0.35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5">
      <c r="A84" s="9"/>
      <c r="B84" s="52">
        <v>44043.523225694444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5">
      <c r="A85" s="9"/>
      <c r="B85" s="61" t="s">
        <v>313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5">
      <c r="A86" s="9"/>
      <c r="B86" s="54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5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","414", " - ", "Starbucks UDP")</f>
        <v>Department 414 - Starbucks UDP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0"/>
      <c r="P12" s="4">
        <f>SUM(OSRRefP13x_0)</f>
        <v>591931.24</v>
      </c>
      <c r="Q12" s="4"/>
      <c r="R12" s="13"/>
      <c r="S12" s="4"/>
      <c r="T12" s="4">
        <f>SUM(OSRRefT13x_0)</f>
        <v>797846.54</v>
      </c>
      <c r="U12" s="4"/>
      <c r="V12" s="13"/>
      <c r="W12" s="4"/>
      <c r="X12" s="4">
        <f t="shared" ref="X12:X14" si="2">+P12-T12</f>
        <v>-205915.30000000005</v>
      </c>
      <c r="Y12" s="4"/>
      <c r="Z12" s="13">
        <f t="shared" ref="Z12:Z14" si="3">IF(T12=0,0,X12/T12)</f>
        <v>-0.25808885503219708</v>
      </c>
    </row>
    <row r="13" spans="1:26" s="24" customFormat="1" hidden="1" outlineLevel="1" x14ac:dyDescent="0.3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--117077.57</f>
        <v>117077.57</v>
      </c>
      <c r="Q13" s="2"/>
      <c r="R13" s="19"/>
      <c r="S13" s="2"/>
      <c r="T13" s="2">
        <f>--200045.36</f>
        <v>200045.36</v>
      </c>
      <c r="U13" s="2"/>
      <c r="V13" s="19"/>
      <c r="W13" s="2"/>
      <c r="X13" s="2">
        <f t="shared" si="2"/>
        <v>-82967.789999999979</v>
      </c>
      <c r="Y13" s="2"/>
      <c r="Z13" s="19">
        <f t="shared" si="3"/>
        <v>-0.41474488585988689</v>
      </c>
    </row>
    <row r="14" spans="1:26" s="24" customFormat="1" hidden="1" outlineLevel="1" x14ac:dyDescent="0.3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--474853.67</f>
        <v>474853.67</v>
      </c>
      <c r="Q14" s="2"/>
      <c r="R14" s="19"/>
      <c r="S14" s="2"/>
      <c r="T14" s="2">
        <f>--597801.18</f>
        <v>597801.18000000005</v>
      </c>
      <c r="U14" s="2"/>
      <c r="V14" s="19"/>
      <c r="W14" s="2"/>
      <c r="X14" s="2">
        <f t="shared" si="2"/>
        <v>-122947.51000000007</v>
      </c>
      <c r="Y14" s="2"/>
      <c r="Z14" s="19">
        <f t="shared" si="3"/>
        <v>-0.20566622166921794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9" t="s">
        <v>8</v>
      </c>
      <c r="C16" s="10"/>
      <c r="D16" s="4">
        <f>SUM(OSRRefD16x_0)</f>
        <v>5913</v>
      </c>
      <c r="E16" s="4"/>
      <c r="F16" s="13">
        <f t="shared" ref="F16:F18" si="6">IF(D$12=0,0,D16/D$12)</f>
        <v>0</v>
      </c>
      <c r="G16" s="4"/>
      <c r="H16" s="4">
        <f>SUM(OSRRefH16x_0)</f>
        <v>-6508.64</v>
      </c>
      <c r="I16" s="4"/>
      <c r="J16" s="13">
        <f t="shared" ref="J16:J18" si="7">IF(H$12=0,0,H16/H$12)</f>
        <v>0</v>
      </c>
      <c r="K16" s="4"/>
      <c r="L16" s="4">
        <f t="shared" ref="L16:L18" si="8">+D16-H16</f>
        <v>12421.64</v>
      </c>
      <c r="M16" s="4"/>
      <c r="N16" s="13">
        <f t="shared" ref="N16:N18" si="9">IF(H16=0,0,L16/H16)</f>
        <v>-1.908484721846653</v>
      </c>
      <c r="O16" s="10"/>
      <c r="P16" s="4">
        <f>SUM(OSRRefP16x_0)</f>
        <v>217798.36</v>
      </c>
      <c r="Q16" s="4"/>
      <c r="R16" s="13">
        <f t="shared" ref="R16:R18" si="10">IF(P$12=0,0,P16/P$12)</f>
        <v>0.36794537149281054</v>
      </c>
      <c r="S16" s="4"/>
      <c r="T16" s="4">
        <f>SUM(OSRRefT16x_0)</f>
        <v>283992.83</v>
      </c>
      <c r="U16" s="4"/>
      <c r="V16" s="13">
        <f t="shared" ref="V16:V18" si="11">IF(T$12=0,0,T16/T$12)</f>
        <v>0.355949190429528</v>
      </c>
      <c r="W16" s="4"/>
      <c r="X16" s="4">
        <f t="shared" ref="X16:X18" si="12">+P16-T16</f>
        <v>-66194.47000000003</v>
      </c>
      <c r="Y16" s="4"/>
      <c r="Z16" s="13">
        <f t="shared" ref="Z16:Z18" si="13">IF(T16=0,0,X16/T16)</f>
        <v>-0.23308500429394652</v>
      </c>
    </row>
    <row r="17" spans="1:26" s="24" customFormat="1" hidden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1317.36</v>
      </c>
      <c r="I17" s="2"/>
      <c r="J17" s="19">
        <f t="shared" si="7"/>
        <v>0</v>
      </c>
      <c r="K17" s="2"/>
      <c r="L17" s="2">
        <f t="shared" si="8"/>
        <v>-1317.36</v>
      </c>
      <c r="M17" s="2"/>
      <c r="N17" s="19">
        <f t="shared" si="9"/>
        <v>-1</v>
      </c>
      <c r="O17" s="11"/>
      <c r="P17" s="2">
        <v>202040.36</v>
      </c>
      <c r="Q17" s="2"/>
      <c r="R17" s="19">
        <f t="shared" si="10"/>
        <v>0.34132403621744983</v>
      </c>
      <c r="S17" s="2"/>
      <c r="T17" s="2">
        <v>284442.83</v>
      </c>
      <c r="U17" s="2"/>
      <c r="V17" s="19">
        <f t="shared" si="11"/>
        <v>0.35651320866792252</v>
      </c>
      <c r="W17" s="2"/>
      <c r="X17" s="2">
        <f t="shared" si="12"/>
        <v>-82402.47000000003</v>
      </c>
      <c r="Y17" s="2"/>
      <c r="Z17" s="19">
        <f t="shared" si="13"/>
        <v>-0.28969782785524961</v>
      </c>
    </row>
    <row r="18" spans="1:26" s="24" customFormat="1" hidden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5913</v>
      </c>
      <c r="E18" s="2"/>
      <c r="F18" s="19">
        <f t="shared" si="6"/>
        <v>0</v>
      </c>
      <c r="G18" s="2"/>
      <c r="H18" s="2">
        <v>-7826</v>
      </c>
      <c r="I18" s="2"/>
      <c r="J18" s="19">
        <f t="shared" si="7"/>
        <v>0</v>
      </c>
      <c r="K18" s="2"/>
      <c r="L18" s="2">
        <f t="shared" si="8"/>
        <v>13739</v>
      </c>
      <c r="M18" s="2"/>
      <c r="N18" s="19">
        <f t="shared" si="9"/>
        <v>-1.7555583950932787</v>
      </c>
      <c r="O18" s="11"/>
      <c r="P18" s="2">
        <v>15758</v>
      </c>
      <c r="Q18" s="2"/>
      <c r="R18" s="19">
        <f t="shared" si="10"/>
        <v>2.6621335275360699E-2</v>
      </c>
      <c r="S18" s="2"/>
      <c r="T18" s="2">
        <v>-450</v>
      </c>
      <c r="U18" s="2"/>
      <c r="V18" s="19">
        <f t="shared" si="11"/>
        <v>-5.6401823839456646E-4</v>
      </c>
      <c r="W18" s="2"/>
      <c r="X18" s="2">
        <f t="shared" si="12"/>
        <v>16208</v>
      </c>
      <c r="Y18" s="2"/>
      <c r="Z18" s="19">
        <f t="shared" si="13"/>
        <v>-36.017777777777781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-5913</v>
      </c>
      <c r="E20" s="14"/>
      <c r="F20" s="21">
        <f>IF(D$12=0,0,D20/D$12)</f>
        <v>0</v>
      </c>
      <c r="G20" s="14"/>
      <c r="H20" s="22">
        <f>H12-H16</f>
        <v>6508.64</v>
      </c>
      <c r="I20" s="14"/>
      <c r="J20" s="21">
        <f>IF(H$12=0,0,H20/H$12)</f>
        <v>0</v>
      </c>
      <c r="K20" s="15"/>
      <c r="L20" s="22">
        <f>+D20-H20</f>
        <v>-12421.64</v>
      </c>
      <c r="M20" s="15"/>
      <c r="N20" s="21">
        <f>IF(H20=0,0,L20/H20)</f>
        <v>-1.908484721846653</v>
      </c>
      <c r="O20" s="29"/>
      <c r="P20" s="22">
        <f>P12-P16</f>
        <v>374132.88</v>
      </c>
      <c r="Q20" s="14"/>
      <c r="R20" s="21">
        <f>IF(P$12=0,0,P20/P$12)</f>
        <v>0.63205462850718952</v>
      </c>
      <c r="S20" s="14"/>
      <c r="T20" s="22">
        <f>T12-T16</f>
        <v>513853.71</v>
      </c>
      <c r="U20" s="14"/>
      <c r="V20" s="21">
        <f>IF(T$12=0,0,T20/T$12)</f>
        <v>0.644050809570472</v>
      </c>
      <c r="W20" s="15"/>
      <c r="X20" s="22">
        <f>+P20-T20</f>
        <v>-139720.83000000002</v>
      </c>
      <c r="Y20" s="15"/>
      <c r="Z20" s="21">
        <f>IF(T20=0,0,X20/T20)</f>
        <v>-0.27190779648160956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2324.31</v>
      </c>
      <c r="E22" s="20"/>
      <c r="F22" s="36">
        <f t="shared" ref="F22:F31" si="14">IF(D$12=0,0,D22/D$12)</f>
        <v>0</v>
      </c>
      <c r="G22" s="20"/>
      <c r="H22" s="20">
        <f>SUM(OSRRefH22x_0)</f>
        <v>16783.399999999998</v>
      </c>
      <c r="I22" s="20"/>
      <c r="J22" s="36">
        <f t="shared" ref="J22:J31" si="15">IF(H$12=0,0,H22/H$12)</f>
        <v>0</v>
      </c>
      <c r="K22" s="4"/>
      <c r="L22" s="20">
        <f t="shared" ref="L22:L31" si="16">+D22-H22</f>
        <v>-14459.089999999998</v>
      </c>
      <c r="M22" s="4"/>
      <c r="N22" s="36">
        <f t="shared" ref="N22:N31" si="17">IF(H22=0,0,L22/H22)</f>
        <v>-0.86151137433416358</v>
      </c>
      <c r="O22" s="10"/>
      <c r="P22" s="20">
        <f>SUM(OSRRefP22x_0)</f>
        <v>332325.94999999995</v>
      </c>
      <c r="Q22" s="20"/>
      <c r="R22" s="36">
        <f t="shared" ref="R22:R31" si="18">IF(P$12=0,0,P22/P$12)</f>
        <v>0.56142661096920643</v>
      </c>
      <c r="S22" s="20"/>
      <c r="T22" s="20">
        <f>SUM(OSRRefT22x_0)</f>
        <v>425469.09</v>
      </c>
      <c r="U22" s="20"/>
      <c r="V22" s="36">
        <f t="shared" ref="V22:V31" si="19">IF(T$12=0,0,T22/T$12)</f>
        <v>0.53327183696253166</v>
      </c>
      <c r="W22" s="4"/>
      <c r="X22" s="20">
        <f t="shared" ref="X22:X31" si="20">+P22-T22</f>
        <v>-93143.140000000072</v>
      </c>
      <c r="Y22" s="4"/>
      <c r="Z22" s="36">
        <f t="shared" ref="Z22:Z31" si="21">IF(T22=0,0,X22/T22)</f>
        <v>-0.21891869982846479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272.70999999999998</v>
      </c>
      <c r="E23" s="1"/>
      <c r="F23" s="5">
        <f t="shared" si="14"/>
        <v>0</v>
      </c>
      <c r="G23" s="1"/>
      <c r="H23" s="1">
        <f>SUM(OSRRefH22_0x_0)</f>
        <v>866.4799999999999</v>
      </c>
      <c r="I23" s="1"/>
      <c r="J23" s="5">
        <f t="shared" si="15"/>
        <v>0</v>
      </c>
      <c r="K23" s="1"/>
      <c r="L23" s="1">
        <f t="shared" si="16"/>
        <v>-593.77</v>
      </c>
      <c r="M23" s="1"/>
      <c r="N23" s="5">
        <f t="shared" si="17"/>
        <v>-0.6852668267011357</v>
      </c>
      <c r="O23" s="12"/>
      <c r="P23" s="1">
        <f>SUM(OSRRefP22_0x_0)</f>
        <v>27827.83</v>
      </c>
      <c r="Q23" s="1"/>
      <c r="R23" s="5">
        <f t="shared" si="18"/>
        <v>4.7011929966730599E-2</v>
      </c>
      <c r="S23" s="1"/>
      <c r="T23" s="1">
        <f>SUM(OSRRefT22_0x_0)</f>
        <v>39451.85</v>
      </c>
      <c r="U23" s="1"/>
      <c r="V23" s="5">
        <f t="shared" si="19"/>
        <v>4.944791764090372E-2</v>
      </c>
      <c r="W23" s="1"/>
      <c r="X23" s="1">
        <f t="shared" si="20"/>
        <v>-11624.019999999997</v>
      </c>
      <c r="Y23" s="1"/>
      <c r="Z23" s="5">
        <f t="shared" si="21"/>
        <v>-0.29463814751399486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274.88</v>
      </c>
      <c r="I24" s="2"/>
      <c r="J24" s="6">
        <f t="shared" si="15"/>
        <v>0</v>
      </c>
      <c r="K24" s="2"/>
      <c r="L24" s="7">
        <f t="shared" si="16"/>
        <v>-274.88</v>
      </c>
      <c r="M24" s="2"/>
      <c r="N24" s="6">
        <f t="shared" si="17"/>
        <v>-1</v>
      </c>
      <c r="O24" s="11"/>
      <c r="P24" s="7">
        <v>5995.86</v>
      </c>
      <c r="Q24" s="2"/>
      <c r="R24" s="6">
        <f t="shared" si="18"/>
        <v>1.0129318398535612E-2</v>
      </c>
      <c r="S24" s="2"/>
      <c r="T24" s="7">
        <v>7673.88</v>
      </c>
      <c r="U24" s="2"/>
      <c r="V24" s="6">
        <f t="shared" si="19"/>
        <v>9.6182406205584346E-3</v>
      </c>
      <c r="W24" s="2"/>
      <c r="X24" s="7">
        <f t="shared" si="20"/>
        <v>-1678.0200000000004</v>
      </c>
      <c r="Y24" s="2"/>
      <c r="Z24" s="6">
        <f t="shared" si="21"/>
        <v>-0.21866643731723723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214.49</v>
      </c>
      <c r="I25" s="2"/>
      <c r="J25" s="6">
        <f t="shared" si="15"/>
        <v>0</v>
      </c>
      <c r="K25" s="2"/>
      <c r="L25" s="7">
        <f t="shared" si="16"/>
        <v>-214.49</v>
      </c>
      <c r="M25" s="2"/>
      <c r="N25" s="6">
        <f t="shared" si="17"/>
        <v>-1</v>
      </c>
      <c r="O25" s="11"/>
      <c r="P25" s="7">
        <v>5901.84</v>
      </c>
      <c r="Q25" s="2"/>
      <c r="R25" s="6">
        <f t="shared" si="18"/>
        <v>9.9704823823794139E-3</v>
      </c>
      <c r="S25" s="2"/>
      <c r="T25" s="7">
        <v>7918.71</v>
      </c>
      <c r="U25" s="2"/>
      <c r="V25" s="6">
        <f t="shared" si="19"/>
        <v>9.9251041434609711E-3</v>
      </c>
      <c r="W25" s="2"/>
      <c r="X25" s="7">
        <f t="shared" si="20"/>
        <v>-2016.87</v>
      </c>
      <c r="Y25" s="2"/>
      <c r="Z25" s="6">
        <f t="shared" si="21"/>
        <v>-0.25469678773436583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>
        <v>702.51</v>
      </c>
      <c r="E26" s="2"/>
      <c r="F26" s="6">
        <f t="shared" si="14"/>
        <v>0</v>
      </c>
      <c r="G26" s="2"/>
      <c r="H26" s="7"/>
      <c r="I26" s="2"/>
      <c r="J26" s="6">
        <f t="shared" si="15"/>
        <v>0</v>
      </c>
      <c r="K26" s="2"/>
      <c r="L26" s="7">
        <f t="shared" si="16"/>
        <v>702.51</v>
      </c>
      <c r="M26" s="2"/>
      <c r="N26" s="6">
        <f t="shared" si="17"/>
        <v>0</v>
      </c>
      <c r="O26" s="11"/>
      <c r="P26" s="7">
        <v>9111.33</v>
      </c>
      <c r="Q26" s="2"/>
      <c r="R26" s="6">
        <f t="shared" si="18"/>
        <v>1.5392547958779807E-2</v>
      </c>
      <c r="S26" s="2"/>
      <c r="T26" s="7">
        <v>7215.96</v>
      </c>
      <c r="U26" s="2"/>
      <c r="V26" s="6">
        <f t="shared" si="19"/>
        <v>9.0442956611681228E-3</v>
      </c>
      <c r="W26" s="2"/>
      <c r="X26" s="7">
        <f t="shared" si="20"/>
        <v>1895.37</v>
      </c>
      <c r="Y26" s="2"/>
      <c r="Z26" s="6">
        <f t="shared" si="21"/>
        <v>0.26266359569620673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-479.62</v>
      </c>
      <c r="E27" s="2"/>
      <c r="F27" s="6">
        <f t="shared" si="14"/>
        <v>0</v>
      </c>
      <c r="G27" s="2"/>
      <c r="H27" s="7">
        <v>15.93</v>
      </c>
      <c r="I27" s="2"/>
      <c r="J27" s="6">
        <f t="shared" si="15"/>
        <v>0</v>
      </c>
      <c r="K27" s="2"/>
      <c r="L27" s="7">
        <f t="shared" si="16"/>
        <v>-495.55</v>
      </c>
      <c r="M27" s="2"/>
      <c r="N27" s="6">
        <f t="shared" si="17"/>
        <v>-31.10797237915882</v>
      </c>
      <c r="O27" s="11"/>
      <c r="P27" s="7">
        <v>0</v>
      </c>
      <c r="Q27" s="2"/>
      <c r="R27" s="6">
        <f t="shared" si="18"/>
        <v>0</v>
      </c>
      <c r="S27" s="2"/>
      <c r="T27" s="7">
        <v>657.77</v>
      </c>
      <c r="U27" s="2"/>
      <c r="V27" s="6">
        <f t="shared" si="19"/>
        <v>8.2443172593065319E-4</v>
      </c>
      <c r="W27" s="2"/>
      <c r="X27" s="7">
        <f t="shared" si="20"/>
        <v>-657.77</v>
      </c>
      <c r="Y27" s="2"/>
      <c r="Z27" s="6">
        <f t="shared" si="21"/>
        <v>-1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/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>
        <v>711.9</v>
      </c>
      <c r="Q28" s="2"/>
      <c r="R28" s="6">
        <f t="shared" si="18"/>
        <v>1.2026734726824015E-3</v>
      </c>
      <c r="S28" s="2"/>
      <c r="T28" s="7">
        <v>6643.04</v>
      </c>
      <c r="U28" s="2"/>
      <c r="V28" s="6">
        <f t="shared" si="19"/>
        <v>8.3262127075214229E-3</v>
      </c>
      <c r="W28" s="2"/>
      <c r="X28" s="7">
        <f t="shared" si="20"/>
        <v>-5931.14</v>
      </c>
      <c r="Y28" s="2"/>
      <c r="Z28" s="6">
        <f t="shared" si="21"/>
        <v>-0.89283520797707083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96.25</v>
      </c>
      <c r="I29" s="2"/>
      <c r="J29" s="6">
        <f t="shared" si="15"/>
        <v>0</v>
      </c>
      <c r="K29" s="2"/>
      <c r="L29" s="7">
        <f t="shared" si="16"/>
        <v>-96.25</v>
      </c>
      <c r="M29" s="2"/>
      <c r="N29" s="6">
        <f t="shared" si="17"/>
        <v>-1</v>
      </c>
      <c r="O29" s="11"/>
      <c r="P29" s="7">
        <v>2037.11</v>
      </c>
      <c r="Q29" s="2"/>
      <c r="R29" s="6">
        <f t="shared" si="18"/>
        <v>3.4414639105717752E-3</v>
      </c>
      <c r="S29" s="2"/>
      <c r="T29" s="7">
        <v>2085.02</v>
      </c>
      <c r="U29" s="2"/>
      <c r="V29" s="6">
        <f t="shared" si="19"/>
        <v>2.613309572038753E-3</v>
      </c>
      <c r="W29" s="2"/>
      <c r="X29" s="7">
        <f t="shared" si="20"/>
        <v>-47.910000000000082</v>
      </c>
      <c r="Y29" s="2"/>
      <c r="Z29" s="6">
        <f t="shared" si="21"/>
        <v>-2.2978196851828798E-2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115.31</v>
      </c>
      <c r="I30" s="2"/>
      <c r="J30" s="6">
        <f t="shared" si="15"/>
        <v>0</v>
      </c>
      <c r="K30" s="2"/>
      <c r="L30" s="7">
        <f t="shared" si="16"/>
        <v>-115.31</v>
      </c>
      <c r="M30" s="2"/>
      <c r="N30" s="6">
        <f t="shared" si="17"/>
        <v>-1</v>
      </c>
      <c r="O30" s="11"/>
      <c r="P30" s="7">
        <v>2440.5100000000002</v>
      </c>
      <c r="Q30" s="2"/>
      <c r="R30" s="6">
        <f t="shared" si="18"/>
        <v>4.1229619845710459E-3</v>
      </c>
      <c r="S30" s="2"/>
      <c r="T30" s="7">
        <v>5488.82</v>
      </c>
      <c r="U30" s="2"/>
      <c r="V30" s="6">
        <f t="shared" si="19"/>
        <v>6.8795435272552535E-3</v>
      </c>
      <c r="W30" s="2"/>
      <c r="X30" s="7">
        <f t="shared" si="20"/>
        <v>-3048.3099999999995</v>
      </c>
      <c r="Y30" s="2"/>
      <c r="Z30" s="6">
        <f t="shared" si="21"/>
        <v>-0.55536709165175746</v>
      </c>
    </row>
    <row r="31" spans="1:26" s="24" customFormat="1" hidden="1" outlineLevel="2" x14ac:dyDescent="0.35">
      <c r="A31" s="27"/>
      <c r="B31" s="11" t="str">
        <f>CONCATENATE("          ", "6156", " - ", "EMPLOYEE MEALS")</f>
        <v xml:space="preserve">          6156 - EMPLOYEE MEALS</v>
      </c>
      <c r="C31" s="11"/>
      <c r="D31" s="7">
        <v>49.82</v>
      </c>
      <c r="E31" s="2"/>
      <c r="F31" s="6">
        <f t="shared" si="14"/>
        <v>0</v>
      </c>
      <c r="G31" s="2"/>
      <c r="H31" s="7">
        <v>149.62</v>
      </c>
      <c r="I31" s="2"/>
      <c r="J31" s="6">
        <f t="shared" si="15"/>
        <v>0</v>
      </c>
      <c r="K31" s="2"/>
      <c r="L31" s="7">
        <f t="shared" si="16"/>
        <v>-99.800000000000011</v>
      </c>
      <c r="M31" s="2"/>
      <c r="N31" s="6">
        <f t="shared" si="17"/>
        <v>-0.66702312525063501</v>
      </c>
      <c r="O31" s="11"/>
      <c r="P31" s="7">
        <v>1629.28</v>
      </c>
      <c r="Q31" s="2"/>
      <c r="R31" s="6">
        <f t="shared" si="18"/>
        <v>2.7524818592105393E-3</v>
      </c>
      <c r="S31" s="2"/>
      <c r="T31" s="7">
        <v>1768.65</v>
      </c>
      <c r="U31" s="2"/>
      <c r="V31" s="6">
        <f t="shared" si="19"/>
        <v>2.2167796829701109E-3</v>
      </c>
      <c r="W31" s="2"/>
      <c r="X31" s="7">
        <f t="shared" si="20"/>
        <v>-139.37000000000012</v>
      </c>
      <c r="Y31" s="2"/>
      <c r="Z31" s="6">
        <f t="shared" si="21"/>
        <v>-7.8800214853136638E-2</v>
      </c>
    </row>
    <row r="32" spans="1:26" s="25" customFormat="1" outlineLevel="1" collapsed="1" x14ac:dyDescent="0.3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3593.26</v>
      </c>
      <c r="I32" s="1"/>
      <c r="J32" s="5">
        <f t="shared" ref="J32:J38" si="23">IF(H$12=0,0,H32/H$12)</f>
        <v>0</v>
      </c>
      <c r="K32" s="1"/>
      <c r="L32" s="1">
        <f t="shared" ref="L32:L38" si="24">+D32-H32</f>
        <v>-3593.26</v>
      </c>
      <c r="M32" s="1"/>
      <c r="N32" s="5">
        <f t="shared" ref="N32:N38" si="25">IF(H32=0,0,L32/H32)</f>
        <v>-1</v>
      </c>
      <c r="O32" s="12"/>
      <c r="P32" s="1">
        <f>SUM(OSRRefP22_1x_0)</f>
        <v>187328.1</v>
      </c>
      <c r="Q32" s="1"/>
      <c r="R32" s="5">
        <f t="shared" ref="R32:R38" si="26">IF(P$12=0,0,P32/P$12)</f>
        <v>0.31646935883971933</v>
      </c>
      <c r="S32" s="1"/>
      <c r="T32" s="1">
        <f>SUM(OSRRefT22_1x_0)</f>
        <v>224058.71</v>
      </c>
      <c r="U32" s="1"/>
      <c r="V32" s="5">
        <f t="shared" ref="V32:V38" si="27">IF(T$12=0,0,T32/T$12)</f>
        <v>0.28082933091368673</v>
      </c>
      <c r="W32" s="1"/>
      <c r="X32" s="1">
        <f t="shared" ref="X32:X38" si="28">+P32-T32</f>
        <v>-36730.609999999986</v>
      </c>
      <c r="Y32" s="1"/>
      <c r="Z32" s="5">
        <f t="shared" ref="Z32:Z38" si="29">IF(T32=0,0,X32/T32)</f>
        <v>-0.1639329709610485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/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>
        <v>9754.9500000000007</v>
      </c>
      <c r="Q33" s="2"/>
      <c r="R33" s="6">
        <f t="shared" si="26"/>
        <v>1.6479870195734221E-2</v>
      </c>
      <c r="S33" s="2"/>
      <c r="T33" s="7">
        <v>49971.79</v>
      </c>
      <c r="U33" s="2"/>
      <c r="V33" s="6">
        <f t="shared" si="27"/>
        <v>6.2633335478273808E-2</v>
      </c>
      <c r="W33" s="2"/>
      <c r="X33" s="7">
        <f t="shared" si="28"/>
        <v>-40216.839999999997</v>
      </c>
      <c r="Y33" s="2"/>
      <c r="Z33" s="6">
        <f t="shared" si="29"/>
        <v>-0.80479086300490732</v>
      </c>
    </row>
    <row r="34" spans="1:26" s="24" customFormat="1" hidden="1" outlineLevel="2" x14ac:dyDescent="0.3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2"/>
        <v>0</v>
      </c>
      <c r="G34" s="2"/>
      <c r="H34" s="7">
        <v>2382.8200000000002</v>
      </c>
      <c r="I34" s="2"/>
      <c r="J34" s="6">
        <f t="shared" si="23"/>
        <v>0</v>
      </c>
      <c r="K34" s="2"/>
      <c r="L34" s="7">
        <f t="shared" si="24"/>
        <v>-2382.8200000000002</v>
      </c>
      <c r="M34" s="2"/>
      <c r="N34" s="6">
        <f t="shared" si="25"/>
        <v>-1</v>
      </c>
      <c r="O34" s="11"/>
      <c r="P34" s="7">
        <v>53258.29</v>
      </c>
      <c r="Q34" s="2"/>
      <c r="R34" s="6">
        <f t="shared" si="26"/>
        <v>8.9973778035435339E-2</v>
      </c>
      <c r="S34" s="2"/>
      <c r="T34" s="7">
        <v>2382.8200000000002</v>
      </c>
      <c r="U34" s="2"/>
      <c r="V34" s="6">
        <f t="shared" si="27"/>
        <v>2.9865643084696462E-3</v>
      </c>
      <c r="W34" s="2"/>
      <c r="X34" s="7">
        <f t="shared" si="28"/>
        <v>50875.47</v>
      </c>
      <c r="Y34" s="2"/>
      <c r="Z34" s="6">
        <f t="shared" si="29"/>
        <v>21.350949715043519</v>
      </c>
    </row>
    <row r="35" spans="1:26" s="24" customFormat="1" hidden="1" outlineLevel="2" x14ac:dyDescent="0.3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2"/>
        <v>0</v>
      </c>
      <c r="G35" s="2"/>
      <c r="H35" s="7">
        <v>284.75</v>
      </c>
      <c r="I35" s="2"/>
      <c r="J35" s="6">
        <f t="shared" si="23"/>
        <v>0</v>
      </c>
      <c r="K35" s="2"/>
      <c r="L35" s="7">
        <f t="shared" si="24"/>
        <v>-284.75</v>
      </c>
      <c r="M35" s="2"/>
      <c r="N35" s="6">
        <f t="shared" si="25"/>
        <v>-1</v>
      </c>
      <c r="O35" s="11"/>
      <c r="P35" s="7">
        <v>1997.5</v>
      </c>
      <c r="Q35" s="2"/>
      <c r="R35" s="6">
        <f t="shared" si="26"/>
        <v>3.3745473545204337E-3</v>
      </c>
      <c r="S35" s="2"/>
      <c r="T35" s="7">
        <v>14264.26</v>
      </c>
      <c r="U35" s="2"/>
      <c r="V35" s="6">
        <f t="shared" si="27"/>
        <v>1.7878450660449064E-2</v>
      </c>
      <c r="W35" s="2"/>
      <c r="X35" s="7">
        <f t="shared" si="28"/>
        <v>-12266.76</v>
      </c>
      <c r="Y35" s="2"/>
      <c r="Z35" s="6">
        <f t="shared" si="29"/>
        <v>-0.85996469497891936</v>
      </c>
    </row>
    <row r="36" spans="1:26" s="24" customFormat="1" hidden="1" outlineLevel="2" x14ac:dyDescent="0.3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2"/>
        <v>0</v>
      </c>
      <c r="G36" s="2"/>
      <c r="H36" s="7"/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>
        <v>29.25</v>
      </c>
      <c r="Q36" s="2"/>
      <c r="R36" s="6">
        <f t="shared" si="26"/>
        <v>4.9414523213878695E-5</v>
      </c>
      <c r="S36" s="2"/>
      <c r="T36" s="7"/>
      <c r="U36" s="2"/>
      <c r="V36" s="6">
        <f t="shared" si="27"/>
        <v>0</v>
      </c>
      <c r="W36" s="2"/>
      <c r="X36" s="7">
        <f t="shared" si="28"/>
        <v>29.25</v>
      </c>
      <c r="Y36" s="2"/>
      <c r="Z36" s="6">
        <f t="shared" si="29"/>
        <v>0</v>
      </c>
    </row>
    <row r="37" spans="1:26" s="24" customFormat="1" hidden="1" outlineLevel="2" x14ac:dyDescent="0.3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2"/>
        <v>0</v>
      </c>
      <c r="G37" s="2"/>
      <c r="H37" s="7">
        <v>925.69</v>
      </c>
      <c r="I37" s="2"/>
      <c r="J37" s="6">
        <f t="shared" si="23"/>
        <v>0</v>
      </c>
      <c r="K37" s="2"/>
      <c r="L37" s="7">
        <f t="shared" si="24"/>
        <v>-925.69</v>
      </c>
      <c r="M37" s="2"/>
      <c r="N37" s="6">
        <f t="shared" si="25"/>
        <v>-1</v>
      </c>
      <c r="O37" s="11"/>
      <c r="P37" s="7">
        <v>121057.65999999999</v>
      </c>
      <c r="Q37" s="2"/>
      <c r="R37" s="6">
        <f t="shared" si="26"/>
        <v>0.20451304445428492</v>
      </c>
      <c r="S37" s="2"/>
      <c r="T37" s="7">
        <v>151591.59</v>
      </c>
      <c r="U37" s="2"/>
      <c r="V37" s="6">
        <f t="shared" si="27"/>
        <v>0.19000093677162527</v>
      </c>
      <c r="W37" s="2"/>
      <c r="X37" s="7">
        <f t="shared" si="28"/>
        <v>-30533.930000000008</v>
      </c>
      <c r="Y37" s="2"/>
      <c r="Z37" s="6">
        <f t="shared" si="29"/>
        <v>-0.20142232164726295</v>
      </c>
    </row>
    <row r="38" spans="1:26" s="24" customFormat="1" hidden="1" outlineLevel="2" x14ac:dyDescent="0.3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2"/>
        <v>0</v>
      </c>
      <c r="G38" s="2"/>
      <c r="H38" s="7"/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>
        <v>1230.45</v>
      </c>
      <c r="Q38" s="2"/>
      <c r="R38" s="6">
        <f t="shared" si="26"/>
        <v>2.0787042765304971E-3</v>
      </c>
      <c r="S38" s="2"/>
      <c r="T38" s="7">
        <v>5848.25</v>
      </c>
      <c r="U38" s="2"/>
      <c r="V38" s="6">
        <f t="shared" si="27"/>
        <v>7.3300436948689407E-3</v>
      </c>
      <c r="W38" s="2"/>
      <c r="X38" s="7">
        <f t="shared" si="28"/>
        <v>-4617.8</v>
      </c>
      <c r="Y38" s="2"/>
      <c r="Z38" s="6">
        <f t="shared" si="29"/>
        <v>-0.78960372761082376</v>
      </c>
    </row>
    <row r="39" spans="1:26" s="25" customFormat="1" outlineLevel="1" collapsed="1" x14ac:dyDescent="0.3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5" si="30">IF(D$12=0,0,D39/D$12)</f>
        <v>0</v>
      </c>
      <c r="G39" s="1"/>
      <c r="H39" s="1">
        <f>SUM(OSRRefH22_2x_0)</f>
        <v>55.2</v>
      </c>
      <c r="I39" s="1"/>
      <c r="J39" s="5">
        <f t="shared" ref="J39:J55" si="31">IF(H$12=0,0,H39/H$12)</f>
        <v>0</v>
      </c>
      <c r="K39" s="1"/>
      <c r="L39" s="1">
        <f t="shared" ref="L39:L55" si="32">+D39-H39</f>
        <v>-55.2</v>
      </c>
      <c r="M39" s="1"/>
      <c r="N39" s="5">
        <f t="shared" ref="N39:N55" si="33">IF(H39=0,0,L39/H39)</f>
        <v>-1</v>
      </c>
      <c r="O39" s="12"/>
      <c r="P39" s="1">
        <f>SUM(OSRRefP22_2x_0)</f>
        <v>830.37</v>
      </c>
      <c r="Q39" s="1"/>
      <c r="R39" s="5">
        <f t="shared" ref="R39:R55" si="34">IF(P$12=0,0,P39/P$12)</f>
        <v>1.4028149620891779E-3</v>
      </c>
      <c r="S39" s="1"/>
      <c r="T39" s="1">
        <f>SUM(OSRRefT22_2x_0)</f>
        <v>2733.95</v>
      </c>
      <c r="U39" s="1"/>
      <c r="V39" s="5">
        <f t="shared" ref="V39:V55" si="35">IF(T$12=0,0,T39/T$12)</f>
        <v>3.4266614730196106E-3</v>
      </c>
      <c r="W39" s="1"/>
      <c r="X39" s="1">
        <f t="shared" ref="X39:X55" si="36">+P39-T39</f>
        <v>-1903.58</v>
      </c>
      <c r="Y39" s="1"/>
      <c r="Z39" s="5">
        <f t="shared" ref="Z39:Z55" si="37">IF(T39=0,0,X39/T39)</f>
        <v>-0.69627462096965931</v>
      </c>
    </row>
    <row r="40" spans="1:26" s="24" customFormat="1" hidden="1" outlineLevel="2" x14ac:dyDescent="0.35">
      <c r="A40" s="27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30"/>
        <v>0</v>
      </c>
      <c r="G40" s="2"/>
      <c r="H40" s="7">
        <v>55.2</v>
      </c>
      <c r="I40" s="2"/>
      <c r="J40" s="6">
        <f t="shared" si="31"/>
        <v>0</v>
      </c>
      <c r="K40" s="2"/>
      <c r="L40" s="7">
        <f t="shared" si="32"/>
        <v>-55.2</v>
      </c>
      <c r="M40" s="2"/>
      <c r="N40" s="6">
        <f t="shared" si="33"/>
        <v>-1</v>
      </c>
      <c r="O40" s="11"/>
      <c r="P40" s="7">
        <v>830.37</v>
      </c>
      <c r="Q40" s="2"/>
      <c r="R40" s="6">
        <f t="shared" si="34"/>
        <v>1.4028149620891779E-3</v>
      </c>
      <c r="S40" s="2"/>
      <c r="T40" s="7">
        <v>2733.95</v>
      </c>
      <c r="U40" s="2"/>
      <c r="V40" s="6">
        <f t="shared" si="35"/>
        <v>3.4266614730196106E-3</v>
      </c>
      <c r="W40" s="2"/>
      <c r="X40" s="7">
        <f t="shared" si="36"/>
        <v>-1903.58</v>
      </c>
      <c r="Y40" s="2"/>
      <c r="Z40" s="6">
        <f t="shared" si="37"/>
        <v>-0.69627462096965931</v>
      </c>
    </row>
    <row r="41" spans="1:26" s="25" customFormat="1" outlineLevel="1" collapsed="1" x14ac:dyDescent="0.3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514.48</v>
      </c>
      <c r="I41" s="1"/>
      <c r="J41" s="5">
        <f t="shared" si="31"/>
        <v>0</v>
      </c>
      <c r="K41" s="1"/>
      <c r="L41" s="1">
        <f t="shared" si="32"/>
        <v>-514.48</v>
      </c>
      <c r="M41" s="1"/>
      <c r="N41" s="5">
        <f t="shared" si="33"/>
        <v>-1</v>
      </c>
      <c r="O41" s="12"/>
      <c r="P41" s="1">
        <f>SUM(OSRRefP22_3x_0)</f>
        <v>125.23</v>
      </c>
      <c r="Q41" s="1"/>
      <c r="R41" s="5">
        <f t="shared" si="34"/>
        <v>2.1156173477176167E-4</v>
      </c>
      <c r="S41" s="1"/>
      <c r="T41" s="1">
        <f>SUM(OSRRefT22_3x_0)</f>
        <v>2589.7199999999998</v>
      </c>
      <c r="U41" s="1"/>
      <c r="V41" s="5">
        <f t="shared" si="35"/>
        <v>3.2458873607448366E-3</v>
      </c>
      <c r="W41" s="1"/>
      <c r="X41" s="1">
        <f t="shared" si="36"/>
        <v>-2464.4899999999998</v>
      </c>
      <c r="Y41" s="1"/>
      <c r="Z41" s="5">
        <f t="shared" si="37"/>
        <v>-0.95164342091036869</v>
      </c>
    </row>
    <row r="42" spans="1:26" s="24" customFormat="1" hidden="1" outlineLevel="2" x14ac:dyDescent="0.35">
      <c r="A42" s="27"/>
      <c r="B42" s="11" t="str">
        <f>CONCATENATE("          ", "6272", " - ", "CASH (OVER/SHORT)")</f>
        <v xml:space="preserve">          6272 - CASH (OVER/SHORT)</v>
      </c>
      <c r="C42" s="11"/>
      <c r="D42" s="7"/>
      <c r="E42" s="2"/>
      <c r="F42" s="6">
        <f t="shared" si="30"/>
        <v>0</v>
      </c>
      <c r="G42" s="2"/>
      <c r="H42" s="7">
        <v>514.48</v>
      </c>
      <c r="I42" s="2"/>
      <c r="J42" s="6">
        <f t="shared" si="31"/>
        <v>0</v>
      </c>
      <c r="K42" s="2"/>
      <c r="L42" s="7">
        <f t="shared" si="32"/>
        <v>-514.48</v>
      </c>
      <c r="M42" s="2"/>
      <c r="N42" s="6">
        <f t="shared" si="33"/>
        <v>-1</v>
      </c>
      <c r="O42" s="11"/>
      <c r="P42" s="7">
        <v>125.23</v>
      </c>
      <c r="Q42" s="2"/>
      <c r="R42" s="6">
        <f t="shared" si="34"/>
        <v>2.1156173477176167E-4</v>
      </c>
      <c r="S42" s="2"/>
      <c r="T42" s="7">
        <v>2589.7199999999998</v>
      </c>
      <c r="U42" s="2"/>
      <c r="V42" s="6">
        <f t="shared" si="35"/>
        <v>3.2458873607448366E-3</v>
      </c>
      <c r="W42" s="2"/>
      <c r="X42" s="7">
        <f t="shared" si="36"/>
        <v>-2464.4899999999998</v>
      </c>
      <c r="Y42" s="2"/>
      <c r="Z42" s="6">
        <f t="shared" si="37"/>
        <v>-0.95164342091036869</v>
      </c>
    </row>
    <row r="43" spans="1:26" s="25" customFormat="1" outlineLevel="1" collapsed="1" x14ac:dyDescent="0.3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657.73</v>
      </c>
      <c r="I43" s="1"/>
      <c r="J43" s="5">
        <f t="shared" si="31"/>
        <v>0</v>
      </c>
      <c r="K43" s="1"/>
      <c r="L43" s="1">
        <f t="shared" si="32"/>
        <v>-657.73</v>
      </c>
      <c r="M43" s="1"/>
      <c r="N43" s="5">
        <f t="shared" si="33"/>
        <v>-1</v>
      </c>
      <c r="O43" s="12"/>
      <c r="P43" s="1">
        <f>SUM(OSRRefP22_4x_0)</f>
        <v>18857.060000000001</v>
      </c>
      <c r="Q43" s="1"/>
      <c r="R43" s="5">
        <f t="shared" si="34"/>
        <v>3.1856842021042851E-2</v>
      </c>
      <c r="S43" s="1"/>
      <c r="T43" s="1">
        <f>SUM(OSRRefT22_4x_0)</f>
        <v>27573.510000000002</v>
      </c>
      <c r="U43" s="1"/>
      <c r="V43" s="5">
        <f t="shared" si="35"/>
        <v>3.4559916747899919E-2</v>
      </c>
      <c r="W43" s="1"/>
      <c r="X43" s="1">
        <f t="shared" si="36"/>
        <v>-8716.4500000000007</v>
      </c>
      <c r="Y43" s="1"/>
      <c r="Z43" s="5">
        <f t="shared" si="37"/>
        <v>-0.31611680921290036</v>
      </c>
    </row>
    <row r="44" spans="1:26" s="24" customFormat="1" hidden="1" outlineLevel="2" x14ac:dyDescent="0.35">
      <c r="A44" s="27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30"/>
        <v>0</v>
      </c>
      <c r="G44" s="2"/>
      <c r="H44" s="7">
        <v>657.73</v>
      </c>
      <c r="I44" s="2"/>
      <c r="J44" s="6">
        <f t="shared" si="31"/>
        <v>0</v>
      </c>
      <c r="K44" s="2"/>
      <c r="L44" s="7">
        <f t="shared" si="32"/>
        <v>-657.73</v>
      </c>
      <c r="M44" s="2"/>
      <c r="N44" s="6">
        <f t="shared" si="33"/>
        <v>-1</v>
      </c>
      <c r="O44" s="11"/>
      <c r="P44" s="7">
        <v>18857.060000000001</v>
      </c>
      <c r="Q44" s="2"/>
      <c r="R44" s="6">
        <f t="shared" si="34"/>
        <v>3.1856842021042851E-2</v>
      </c>
      <c r="S44" s="2"/>
      <c r="T44" s="7">
        <v>27573.510000000002</v>
      </c>
      <c r="U44" s="2"/>
      <c r="V44" s="6">
        <f t="shared" si="35"/>
        <v>3.4559916747899919E-2</v>
      </c>
      <c r="W44" s="2"/>
      <c r="X44" s="7">
        <f t="shared" si="36"/>
        <v>-8716.4500000000007</v>
      </c>
      <c r="Y44" s="2"/>
      <c r="Z44" s="6">
        <f t="shared" si="37"/>
        <v>-0.31611680921290036</v>
      </c>
    </row>
    <row r="45" spans="1:26" s="25" customFormat="1" outlineLevel="1" collapsed="1" x14ac:dyDescent="0.3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1972.02</v>
      </c>
      <c r="E45" s="1"/>
      <c r="F45" s="5">
        <f t="shared" si="30"/>
        <v>0</v>
      </c>
      <c r="G45" s="1"/>
      <c r="H45" s="1">
        <f>SUM(OSRRefH22_5x_0)</f>
        <v>1638.72</v>
      </c>
      <c r="I45" s="1"/>
      <c r="J45" s="5">
        <f t="shared" si="31"/>
        <v>0</v>
      </c>
      <c r="K45" s="1"/>
      <c r="L45" s="1">
        <f t="shared" si="32"/>
        <v>333.29999999999995</v>
      </c>
      <c r="M45" s="1"/>
      <c r="N45" s="5">
        <f t="shared" si="33"/>
        <v>0.20339045108377268</v>
      </c>
      <c r="O45" s="12"/>
      <c r="P45" s="1">
        <f>SUM(OSRRefP22_5x_0)</f>
        <v>22529.94</v>
      </c>
      <c r="Q45" s="1"/>
      <c r="R45" s="5">
        <f t="shared" si="34"/>
        <v>3.8061751902129709E-2</v>
      </c>
      <c r="S45" s="1"/>
      <c r="T45" s="1">
        <f>SUM(OSRRefT22_5x_0)</f>
        <v>15770.990000000002</v>
      </c>
      <c r="U45" s="1"/>
      <c r="V45" s="5">
        <f t="shared" si="35"/>
        <v>1.9766946661196275E-2</v>
      </c>
      <c r="W45" s="1"/>
      <c r="X45" s="1">
        <f t="shared" si="36"/>
        <v>6758.9499999999971</v>
      </c>
      <c r="Y45" s="1"/>
      <c r="Z45" s="5">
        <f t="shared" si="37"/>
        <v>0.42856852994009864</v>
      </c>
    </row>
    <row r="46" spans="1:26" s="24" customFormat="1" hidden="1" outlineLevel="2" x14ac:dyDescent="0.3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1972.02</v>
      </c>
      <c r="E46" s="2"/>
      <c r="F46" s="6">
        <f t="shared" si="30"/>
        <v>0</v>
      </c>
      <c r="G46" s="2"/>
      <c r="H46" s="7">
        <v>1638.72</v>
      </c>
      <c r="I46" s="2"/>
      <c r="J46" s="6">
        <f t="shared" si="31"/>
        <v>0</v>
      </c>
      <c r="K46" s="2"/>
      <c r="L46" s="7">
        <f t="shared" si="32"/>
        <v>333.29999999999995</v>
      </c>
      <c r="M46" s="2"/>
      <c r="N46" s="6">
        <f t="shared" si="33"/>
        <v>0.20339045108377268</v>
      </c>
      <c r="O46" s="11"/>
      <c r="P46" s="7">
        <v>22529.94</v>
      </c>
      <c r="Q46" s="2"/>
      <c r="R46" s="6">
        <f t="shared" si="34"/>
        <v>3.8061751902129709E-2</v>
      </c>
      <c r="S46" s="2"/>
      <c r="T46" s="7">
        <v>15770.990000000002</v>
      </c>
      <c r="U46" s="2"/>
      <c r="V46" s="6">
        <f t="shared" si="35"/>
        <v>1.9766946661196275E-2</v>
      </c>
      <c r="W46" s="2"/>
      <c r="X46" s="7">
        <f t="shared" si="36"/>
        <v>6758.9499999999971</v>
      </c>
      <c r="Y46" s="2"/>
      <c r="Z46" s="6">
        <f t="shared" si="37"/>
        <v>0.42856852994009864</v>
      </c>
    </row>
    <row r="47" spans="1:26" s="25" customFormat="1" outlineLevel="1" collapsed="1" x14ac:dyDescent="0.35">
      <c r="A47" s="26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0"/>
        <v>0</v>
      </c>
      <c r="G47" s="1"/>
      <c r="H47" s="1">
        <f>SUM(OSRRefH22_6x_0)</f>
        <v>60.9</v>
      </c>
      <c r="I47" s="1"/>
      <c r="J47" s="5">
        <f t="shared" si="31"/>
        <v>0</v>
      </c>
      <c r="K47" s="1"/>
      <c r="L47" s="1">
        <f t="shared" si="32"/>
        <v>-60.9</v>
      </c>
      <c r="M47" s="1"/>
      <c r="N47" s="5">
        <f t="shared" si="33"/>
        <v>-1</v>
      </c>
      <c r="O47" s="12"/>
      <c r="P47" s="1">
        <f>SUM(OSRRefP22_6x_0)</f>
        <v>236.02</v>
      </c>
      <c r="Q47" s="1"/>
      <c r="R47" s="5">
        <f t="shared" si="34"/>
        <v>3.9872874423725298E-4</v>
      </c>
      <c r="S47" s="1"/>
      <c r="T47" s="1">
        <f>SUM(OSRRefT22_6x_0)</f>
        <v>284.08999999999997</v>
      </c>
      <c r="U47" s="1"/>
      <c r="V47" s="5">
        <f t="shared" si="35"/>
        <v>3.5607098076780524E-4</v>
      </c>
      <c r="W47" s="1"/>
      <c r="X47" s="1">
        <f t="shared" si="36"/>
        <v>-48.069999999999965</v>
      </c>
      <c r="Y47" s="1"/>
      <c r="Z47" s="5">
        <f t="shared" si="37"/>
        <v>-0.16920694146221257</v>
      </c>
    </row>
    <row r="48" spans="1:26" s="24" customFormat="1" hidden="1" outlineLevel="2" x14ac:dyDescent="0.35">
      <c r="A48" s="27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0"/>
        <v>0</v>
      </c>
      <c r="G48" s="2"/>
      <c r="H48" s="7">
        <v>60.9</v>
      </c>
      <c r="I48" s="2"/>
      <c r="J48" s="6">
        <f t="shared" si="31"/>
        <v>0</v>
      </c>
      <c r="K48" s="2"/>
      <c r="L48" s="7">
        <f t="shared" si="32"/>
        <v>-60.9</v>
      </c>
      <c r="M48" s="2"/>
      <c r="N48" s="6">
        <f t="shared" si="33"/>
        <v>-1</v>
      </c>
      <c r="O48" s="11"/>
      <c r="P48" s="7">
        <v>236.02</v>
      </c>
      <c r="Q48" s="2"/>
      <c r="R48" s="6">
        <f t="shared" si="34"/>
        <v>3.9872874423725298E-4</v>
      </c>
      <c r="S48" s="2"/>
      <c r="T48" s="7">
        <v>284.08999999999997</v>
      </c>
      <c r="U48" s="2"/>
      <c r="V48" s="6">
        <f t="shared" si="35"/>
        <v>3.5607098076780524E-4</v>
      </c>
      <c r="W48" s="2"/>
      <c r="X48" s="7">
        <f t="shared" si="36"/>
        <v>-48.069999999999965</v>
      </c>
      <c r="Y48" s="2"/>
      <c r="Z48" s="6">
        <f t="shared" si="37"/>
        <v>-0.16920694146221257</v>
      </c>
    </row>
    <row r="49" spans="1:26" s="25" customFormat="1" outlineLevel="1" collapsed="1" x14ac:dyDescent="0.35">
      <c r="A49" s="26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0"/>
        <v>0</v>
      </c>
      <c r="G49" s="1"/>
      <c r="H49" s="1">
        <f>SUM(OSRRefH22_7x_0)</f>
        <v>118.91</v>
      </c>
      <c r="I49" s="1"/>
      <c r="J49" s="5">
        <f t="shared" si="31"/>
        <v>0</v>
      </c>
      <c r="K49" s="1"/>
      <c r="L49" s="1">
        <f t="shared" si="32"/>
        <v>-118.91</v>
      </c>
      <c r="M49" s="1"/>
      <c r="N49" s="5">
        <f t="shared" si="33"/>
        <v>-1</v>
      </c>
      <c r="O49" s="12"/>
      <c r="P49" s="1">
        <f>SUM(OSRRefP22_7x_0)</f>
        <v>1191.5999999999999</v>
      </c>
      <c r="Q49" s="1"/>
      <c r="R49" s="5">
        <f t="shared" si="34"/>
        <v>2.0130716533900118E-3</v>
      </c>
      <c r="S49" s="1"/>
      <c r="T49" s="1">
        <f>SUM(OSRRefT22_7x_0)</f>
        <v>1426.92</v>
      </c>
      <c r="U49" s="1"/>
      <c r="V49" s="5">
        <f t="shared" si="35"/>
        <v>1.7884642327332773E-3</v>
      </c>
      <c r="W49" s="1"/>
      <c r="X49" s="1">
        <f t="shared" si="36"/>
        <v>-235.32000000000016</v>
      </c>
      <c r="Y49" s="1"/>
      <c r="Z49" s="5">
        <f t="shared" si="37"/>
        <v>-0.16491464132537223</v>
      </c>
    </row>
    <row r="50" spans="1:26" s="24" customFormat="1" hidden="1" outlineLevel="2" x14ac:dyDescent="0.35">
      <c r="A50" s="27"/>
      <c r="B50" s="11" t="str">
        <f>CONCATENATE("          ", "6351", " - ", "EQUIPMENT RENTAL")</f>
        <v xml:space="preserve">          6351 - EQUIPMENT RENTAL</v>
      </c>
      <c r="C50" s="11"/>
      <c r="D50" s="7"/>
      <c r="E50" s="2"/>
      <c r="F50" s="6">
        <f t="shared" si="30"/>
        <v>0</v>
      </c>
      <c r="G50" s="2"/>
      <c r="H50" s="7">
        <v>118.91</v>
      </c>
      <c r="I50" s="2"/>
      <c r="J50" s="6">
        <f t="shared" si="31"/>
        <v>0</v>
      </c>
      <c r="K50" s="2"/>
      <c r="L50" s="7">
        <f t="shared" si="32"/>
        <v>-118.91</v>
      </c>
      <c r="M50" s="2"/>
      <c r="N50" s="6">
        <f t="shared" si="33"/>
        <v>-1</v>
      </c>
      <c r="O50" s="11"/>
      <c r="P50" s="7">
        <v>1191.5999999999999</v>
      </c>
      <c r="Q50" s="2"/>
      <c r="R50" s="6">
        <f t="shared" si="34"/>
        <v>2.0130716533900118E-3</v>
      </c>
      <c r="S50" s="2"/>
      <c r="T50" s="7">
        <v>1426.92</v>
      </c>
      <c r="U50" s="2"/>
      <c r="V50" s="6">
        <f t="shared" si="35"/>
        <v>1.7884642327332773E-3</v>
      </c>
      <c r="W50" s="2"/>
      <c r="X50" s="7">
        <f t="shared" si="36"/>
        <v>-235.32000000000016</v>
      </c>
      <c r="Y50" s="2"/>
      <c r="Z50" s="6">
        <f t="shared" si="37"/>
        <v>-0.16491464132537223</v>
      </c>
    </row>
    <row r="51" spans="1:26" s="25" customFormat="1" outlineLevel="1" collapsed="1" x14ac:dyDescent="0.35">
      <c r="A51" s="26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0"/>
        <v>0</v>
      </c>
      <c r="G51" s="1"/>
      <c r="H51" s="1">
        <f>SUM(OSRRefH22_8x_0)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2"/>
      <c r="P51" s="1">
        <f>SUM(OSRRefP22_8x_0)</f>
        <v>9129.7800000000007</v>
      </c>
      <c r="Q51" s="1"/>
      <c r="R51" s="5">
        <f t="shared" si="34"/>
        <v>1.5423717119576255E-2</v>
      </c>
      <c r="S51" s="1"/>
      <c r="T51" s="1">
        <f>SUM(OSRRefT22_8x_0)</f>
        <v>12570.93</v>
      </c>
      <c r="U51" s="1"/>
      <c r="V51" s="5">
        <f t="shared" si="35"/>
        <v>1.5756075096847573E-2</v>
      </c>
      <c r="W51" s="1"/>
      <c r="X51" s="1">
        <f t="shared" si="36"/>
        <v>-3441.1499999999996</v>
      </c>
      <c r="Y51" s="1"/>
      <c r="Z51" s="5">
        <f t="shared" si="37"/>
        <v>-0.27373869713696597</v>
      </c>
    </row>
    <row r="52" spans="1:26" s="24" customFormat="1" hidden="1" outlineLevel="2" x14ac:dyDescent="0.35">
      <c r="A52" s="27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>
        <v>9129.7800000000007</v>
      </c>
      <c r="Q52" s="2"/>
      <c r="R52" s="6">
        <f t="shared" si="34"/>
        <v>1.5423717119576255E-2</v>
      </c>
      <c r="S52" s="2"/>
      <c r="T52" s="7">
        <v>12570.93</v>
      </c>
      <c r="U52" s="2"/>
      <c r="V52" s="6">
        <f t="shared" si="35"/>
        <v>1.5756075096847573E-2</v>
      </c>
      <c r="W52" s="2"/>
      <c r="X52" s="7">
        <f t="shared" si="36"/>
        <v>-3441.1499999999996</v>
      </c>
      <c r="Y52" s="2"/>
      <c r="Z52" s="6">
        <f t="shared" si="37"/>
        <v>-0.27373869713696597</v>
      </c>
    </row>
    <row r="53" spans="1:26" s="25" customFormat="1" outlineLevel="1" collapsed="1" x14ac:dyDescent="0.35">
      <c r="A53" s="26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129.58000000000001</v>
      </c>
      <c r="E53" s="1"/>
      <c r="F53" s="5">
        <f t="shared" si="30"/>
        <v>0</v>
      </c>
      <c r="G53" s="1"/>
      <c r="H53" s="1">
        <f>SUM(OSRRefH22_9x_0)</f>
        <v>293.97000000000003</v>
      </c>
      <c r="I53" s="1"/>
      <c r="J53" s="5">
        <f t="shared" si="31"/>
        <v>0</v>
      </c>
      <c r="K53" s="1"/>
      <c r="L53" s="1">
        <f t="shared" si="32"/>
        <v>-164.39000000000001</v>
      </c>
      <c r="M53" s="1"/>
      <c r="N53" s="5">
        <f t="shared" si="33"/>
        <v>-0.55920672177433073</v>
      </c>
      <c r="O53" s="12"/>
      <c r="P53" s="1">
        <f>SUM(OSRRefP22_9x_0)</f>
        <v>7706.76</v>
      </c>
      <c r="Q53" s="1"/>
      <c r="R53" s="5">
        <f t="shared" si="34"/>
        <v>1.3019687894830488E-2</v>
      </c>
      <c r="S53" s="1"/>
      <c r="T53" s="1">
        <f>SUM(OSRRefT22_9x_0)</f>
        <v>13826.57</v>
      </c>
      <c r="U53" s="1"/>
      <c r="V53" s="5">
        <f t="shared" si="35"/>
        <v>1.7329861454309245E-2</v>
      </c>
      <c r="W53" s="1"/>
      <c r="X53" s="1">
        <f t="shared" si="36"/>
        <v>-6119.8099999999995</v>
      </c>
      <c r="Y53" s="1"/>
      <c r="Z53" s="5">
        <f t="shared" si="37"/>
        <v>-0.44261230370221971</v>
      </c>
    </row>
    <row r="54" spans="1:26" s="24" customFormat="1" hidden="1" outlineLevel="2" x14ac:dyDescent="0.35">
      <c r="A54" s="27"/>
      <c r="B54" s="11" t="str">
        <f>CONCATENATE("          ", "6373", " - ", "MAINTENANCE CONTRACTS")</f>
        <v xml:space="preserve">          6373 - MAINTENANCE CONTRACTS</v>
      </c>
      <c r="C54" s="11"/>
      <c r="D54" s="7">
        <v>129.58000000000001</v>
      </c>
      <c r="E54" s="2"/>
      <c r="F54" s="6">
        <f t="shared" si="30"/>
        <v>0</v>
      </c>
      <c r="G54" s="2"/>
      <c r="H54" s="7">
        <v>110.97</v>
      </c>
      <c r="I54" s="2"/>
      <c r="J54" s="6">
        <f t="shared" si="31"/>
        <v>0</v>
      </c>
      <c r="K54" s="2"/>
      <c r="L54" s="7">
        <f t="shared" si="32"/>
        <v>18.610000000000014</v>
      </c>
      <c r="M54" s="2"/>
      <c r="N54" s="6">
        <f t="shared" si="33"/>
        <v>0.16770298278814105</v>
      </c>
      <c r="O54" s="11"/>
      <c r="P54" s="7">
        <v>499.55</v>
      </c>
      <c r="Q54" s="2"/>
      <c r="R54" s="6">
        <f t="shared" si="34"/>
        <v>8.439324810766872E-4</v>
      </c>
      <c r="S54" s="2"/>
      <c r="T54" s="7">
        <v>791.96</v>
      </c>
      <c r="U54" s="2"/>
      <c r="V54" s="6">
        <f t="shared" si="35"/>
        <v>9.9262196461991298E-4</v>
      </c>
      <c r="W54" s="2"/>
      <c r="X54" s="7">
        <f t="shared" si="36"/>
        <v>-292.41000000000003</v>
      </c>
      <c r="Y54" s="2"/>
      <c r="Z54" s="6">
        <f t="shared" si="37"/>
        <v>-0.36922319309056012</v>
      </c>
    </row>
    <row r="55" spans="1:26" s="24" customFormat="1" hidden="1" outlineLevel="2" x14ac:dyDescent="0.35">
      <c r="A55" s="27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30"/>
        <v>0</v>
      </c>
      <c r="G55" s="2"/>
      <c r="H55" s="7">
        <v>183</v>
      </c>
      <c r="I55" s="2"/>
      <c r="J55" s="6">
        <f t="shared" si="31"/>
        <v>0</v>
      </c>
      <c r="K55" s="2"/>
      <c r="L55" s="7">
        <f t="shared" si="32"/>
        <v>-183</v>
      </c>
      <c r="M55" s="2"/>
      <c r="N55" s="6">
        <f t="shared" si="33"/>
        <v>-1</v>
      </c>
      <c r="O55" s="11"/>
      <c r="P55" s="7">
        <v>7207.21</v>
      </c>
      <c r="Q55" s="2"/>
      <c r="R55" s="6">
        <f t="shared" si="34"/>
        <v>1.21757554137538E-2</v>
      </c>
      <c r="S55" s="2"/>
      <c r="T55" s="7">
        <v>13034.61</v>
      </c>
      <c r="U55" s="2"/>
      <c r="V55" s="6">
        <f t="shared" si="35"/>
        <v>1.6337239489689334E-2</v>
      </c>
      <c r="W55" s="2"/>
      <c r="X55" s="7">
        <f t="shared" si="36"/>
        <v>-5827.4000000000005</v>
      </c>
      <c r="Y55" s="2"/>
      <c r="Z55" s="6">
        <f t="shared" si="37"/>
        <v>-0.44707129710823723</v>
      </c>
    </row>
    <row r="56" spans="1:26" s="25" customFormat="1" outlineLevel="1" collapsed="1" x14ac:dyDescent="0.35">
      <c r="A56" s="26"/>
      <c r="B56" s="12" t="str">
        <f>CONCATENATE("     ","Royalty &amp; Commissions                             ")</f>
        <v xml:space="preserve">     Royalty &amp; Commissions                             </v>
      </c>
      <c r="C56" s="12"/>
      <c r="D56" s="1">
        <f>SUM(OSRRefD22_10x_0)</f>
        <v>0</v>
      </c>
      <c r="E56" s="1"/>
      <c r="F56" s="5">
        <f t="shared" ref="F56:F69" si="38">IF(D$12=0,0,D56/D$12)</f>
        <v>0</v>
      </c>
      <c r="G56" s="1"/>
      <c r="H56" s="1">
        <f>SUM(OSRRefH22_10x_0)</f>
        <v>0</v>
      </c>
      <c r="I56" s="1"/>
      <c r="J56" s="5">
        <f t="shared" ref="J56:J69" si="39">IF(H$12=0,0,H56/H$12)</f>
        <v>0</v>
      </c>
      <c r="K56" s="1"/>
      <c r="L56" s="1">
        <f t="shared" ref="L56:L69" si="40">+D56-H56</f>
        <v>0</v>
      </c>
      <c r="M56" s="1"/>
      <c r="N56" s="5">
        <f t="shared" ref="N56:N69" si="41">IF(H56=0,0,L56/H56)</f>
        <v>0</v>
      </c>
      <c r="O56" s="12"/>
      <c r="P56" s="1">
        <f>SUM(OSRRefP22_10x_0)</f>
        <v>44134.64</v>
      </c>
      <c r="Q56" s="1"/>
      <c r="R56" s="5">
        <f t="shared" ref="R56:R69" si="42">IF(P$12=0,0,P56/P$12)</f>
        <v>7.4560416848416383E-2</v>
      </c>
      <c r="S56" s="1"/>
      <c r="T56" s="1">
        <f>SUM(OSRRefT22_10x_0)</f>
        <v>63753.279999999999</v>
      </c>
      <c r="U56" s="1"/>
      <c r="V56" s="5">
        <f t="shared" ref="V56:V69" si="43">IF(T$12=0,0,T56/T$12)</f>
        <v>7.9906694838834544E-2</v>
      </c>
      <c r="W56" s="1"/>
      <c r="X56" s="1">
        <f t="shared" ref="X56:X69" si="44">+P56-T56</f>
        <v>-19618.64</v>
      </c>
      <c r="Y56" s="1"/>
      <c r="Z56" s="5">
        <f t="shared" ref="Z56:Z69" si="45">IF(T56=0,0,X56/T56)</f>
        <v>-0.30772753966541017</v>
      </c>
    </row>
    <row r="57" spans="1:26" s="24" customFormat="1" hidden="1" outlineLevel="2" x14ac:dyDescent="0.35">
      <c r="A57" s="27"/>
      <c r="B57" s="11" t="str">
        <f>CONCATENATE("          ", "6259", " - ", "ROYALTY &amp; COMMISSIONS")</f>
        <v xml:space="preserve">          6259 - ROYALTY &amp; COMMISSIONS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>
        <v>44134.64</v>
      </c>
      <c r="Q57" s="2"/>
      <c r="R57" s="6">
        <f t="shared" si="42"/>
        <v>7.4560416848416383E-2</v>
      </c>
      <c r="S57" s="2"/>
      <c r="T57" s="7">
        <v>63753.279999999999</v>
      </c>
      <c r="U57" s="2"/>
      <c r="V57" s="6">
        <f t="shared" si="43"/>
        <v>7.9906694838834544E-2</v>
      </c>
      <c r="W57" s="2"/>
      <c r="X57" s="7">
        <f t="shared" si="44"/>
        <v>-19618.64</v>
      </c>
      <c r="Y57" s="2"/>
      <c r="Z57" s="6">
        <f t="shared" si="45"/>
        <v>-0.30772753966541017</v>
      </c>
    </row>
    <row r="58" spans="1:26" s="25" customFormat="1" outlineLevel="1" collapsed="1" x14ac:dyDescent="0.35">
      <c r="A58" s="26"/>
      <c r="B58" s="12" t="str">
        <f>CONCATENATE("     ","Services                                          ")</f>
        <v xml:space="preserve">     Services                                          </v>
      </c>
      <c r="C58" s="12"/>
      <c r="D58" s="1">
        <f>SUM(OSRRefD22_11x_0)</f>
        <v>0</v>
      </c>
      <c r="E58" s="1"/>
      <c r="F58" s="5">
        <f t="shared" si="38"/>
        <v>0</v>
      </c>
      <c r="G58" s="1"/>
      <c r="H58" s="1">
        <f>SUM(OSRRefH22_11x_0)</f>
        <v>16.239999999999998</v>
      </c>
      <c r="I58" s="1"/>
      <c r="J58" s="5">
        <f t="shared" si="39"/>
        <v>0</v>
      </c>
      <c r="K58" s="1"/>
      <c r="L58" s="1">
        <f t="shared" si="40"/>
        <v>-16.239999999999998</v>
      </c>
      <c r="M58" s="1"/>
      <c r="N58" s="5">
        <f t="shared" si="41"/>
        <v>-1</v>
      </c>
      <c r="O58" s="12"/>
      <c r="P58" s="1">
        <f>SUM(OSRRefP22_11x_0)</f>
        <v>508.6</v>
      </c>
      <c r="Q58" s="1"/>
      <c r="R58" s="5">
        <f t="shared" si="42"/>
        <v>8.5922141902833175E-4</v>
      </c>
      <c r="S58" s="1"/>
      <c r="T58" s="1">
        <f>SUM(OSRRefT22_11x_0)</f>
        <v>652.25</v>
      </c>
      <c r="U58" s="1"/>
      <c r="V58" s="5">
        <f t="shared" si="43"/>
        <v>8.1751310220634654E-4</v>
      </c>
      <c r="W58" s="1"/>
      <c r="X58" s="1">
        <f t="shared" si="44"/>
        <v>-143.64999999999998</v>
      </c>
      <c r="Y58" s="1"/>
      <c r="Z58" s="5">
        <f t="shared" si="45"/>
        <v>-0.22023763894212339</v>
      </c>
    </row>
    <row r="59" spans="1:26" s="24" customFormat="1" hidden="1" outlineLevel="2" x14ac:dyDescent="0.35">
      <c r="A59" s="27"/>
      <c r="B59" s="11" t="str">
        <f>CONCATENATE("          ", "6286", " - ", "LAUNDRY EXPENSE")</f>
        <v xml:space="preserve">          6286 - LAUNDRY EXPENSE</v>
      </c>
      <c r="C59" s="11"/>
      <c r="D59" s="7"/>
      <c r="E59" s="2"/>
      <c r="F59" s="6">
        <f t="shared" si="38"/>
        <v>0</v>
      </c>
      <c r="G59" s="2"/>
      <c r="H59" s="7">
        <v>16.239999999999998</v>
      </c>
      <c r="I59" s="2"/>
      <c r="J59" s="6">
        <f t="shared" si="39"/>
        <v>0</v>
      </c>
      <c r="K59" s="2"/>
      <c r="L59" s="7">
        <f t="shared" si="40"/>
        <v>-16.239999999999998</v>
      </c>
      <c r="M59" s="2"/>
      <c r="N59" s="6">
        <f t="shared" si="41"/>
        <v>-1</v>
      </c>
      <c r="O59" s="11"/>
      <c r="P59" s="7">
        <v>508.6</v>
      </c>
      <c r="Q59" s="2"/>
      <c r="R59" s="6">
        <f t="shared" si="42"/>
        <v>8.5922141902833175E-4</v>
      </c>
      <c r="S59" s="2"/>
      <c r="T59" s="7">
        <v>652.25</v>
      </c>
      <c r="U59" s="2"/>
      <c r="V59" s="6">
        <f t="shared" si="43"/>
        <v>8.1751310220634654E-4</v>
      </c>
      <c r="W59" s="2"/>
      <c r="X59" s="7">
        <f t="shared" si="44"/>
        <v>-143.64999999999998</v>
      </c>
      <c r="Y59" s="2"/>
      <c r="Z59" s="6">
        <f t="shared" si="45"/>
        <v>-0.22023763894212339</v>
      </c>
    </row>
    <row r="60" spans="1:26" s="25" customFormat="1" outlineLevel="1" collapsed="1" x14ac:dyDescent="0.35">
      <c r="A60" s="26"/>
      <c r="B60" s="12" t="str">
        <f>CONCATENATE("     ","Subscriptions &amp; Dues                              ")</f>
        <v xml:space="preserve">     Subscriptions &amp; Dues                              </v>
      </c>
      <c r="C60" s="12"/>
      <c r="D60" s="1">
        <f>SUM(OSRRefD22_12x_0)</f>
        <v>0</v>
      </c>
      <c r="E60" s="1"/>
      <c r="F60" s="5">
        <f t="shared" si="38"/>
        <v>0</v>
      </c>
      <c r="G60" s="1"/>
      <c r="H60" s="1">
        <f>SUM(OSRRefH22_12x_0)</f>
        <v>0</v>
      </c>
      <c r="I60" s="1"/>
      <c r="J60" s="5">
        <f t="shared" si="39"/>
        <v>0</v>
      </c>
      <c r="K60" s="1"/>
      <c r="L60" s="1">
        <f t="shared" si="40"/>
        <v>0</v>
      </c>
      <c r="M60" s="1"/>
      <c r="N60" s="5">
        <f t="shared" si="41"/>
        <v>0</v>
      </c>
      <c r="O60" s="12"/>
      <c r="P60" s="1">
        <f>SUM(OSRRefP22_12x_0)</f>
        <v>122.72</v>
      </c>
      <c r="Q60" s="1"/>
      <c r="R60" s="5">
        <f t="shared" si="42"/>
        <v>2.0732137739511771E-4</v>
      </c>
      <c r="S60" s="1"/>
      <c r="T60" s="1">
        <f>SUM(OSRRefT22_12x_0)</f>
        <v>122.72</v>
      </c>
      <c r="U60" s="1"/>
      <c r="V60" s="5">
        <f t="shared" si="43"/>
        <v>1.5381404047951376E-4</v>
      </c>
      <c r="W60" s="1"/>
      <c r="X60" s="1">
        <f t="shared" si="44"/>
        <v>0</v>
      </c>
      <c r="Y60" s="1"/>
      <c r="Z60" s="5">
        <f t="shared" si="45"/>
        <v>0</v>
      </c>
    </row>
    <row r="61" spans="1:26" s="24" customFormat="1" hidden="1" outlineLevel="2" x14ac:dyDescent="0.35">
      <c r="A61" s="27"/>
      <c r="B61" s="11" t="str">
        <f>CONCATENATE("          ", "6275", " - ", "SUBSCRIPTIONS")</f>
        <v xml:space="preserve">          6275 - SUBSCRIPTIONS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>
        <v>122.72</v>
      </c>
      <c r="Q61" s="2"/>
      <c r="R61" s="6">
        <f t="shared" si="42"/>
        <v>2.0732137739511771E-4</v>
      </c>
      <c r="S61" s="2"/>
      <c r="T61" s="7">
        <v>122.72</v>
      </c>
      <c r="U61" s="2"/>
      <c r="V61" s="6">
        <f t="shared" si="43"/>
        <v>1.5381404047951376E-4</v>
      </c>
      <c r="W61" s="2"/>
      <c r="X61" s="7">
        <f t="shared" si="44"/>
        <v>0</v>
      </c>
      <c r="Y61" s="2"/>
      <c r="Z61" s="6">
        <f t="shared" si="45"/>
        <v>0</v>
      </c>
    </row>
    <row r="62" spans="1:26" s="25" customFormat="1" outlineLevel="1" collapsed="1" x14ac:dyDescent="0.35">
      <c r="A62" s="26"/>
      <c r="B62" s="12" t="str">
        <f>CONCATENATE("     ","Supplies                                          ")</f>
        <v xml:space="preserve">     Supplies                                          </v>
      </c>
      <c r="C62" s="12"/>
      <c r="D62" s="1">
        <f>SUM(OSRRefD22_13x_0)</f>
        <v>0</v>
      </c>
      <c r="E62" s="1"/>
      <c r="F62" s="5">
        <f t="shared" si="38"/>
        <v>0</v>
      </c>
      <c r="G62" s="1"/>
      <c r="H62" s="1">
        <f>SUM(OSRRefH22_13x_0)</f>
        <v>8917.51</v>
      </c>
      <c r="I62" s="1"/>
      <c r="J62" s="5">
        <f t="shared" si="39"/>
        <v>0</v>
      </c>
      <c r="K62" s="1"/>
      <c r="L62" s="1">
        <f t="shared" si="40"/>
        <v>-8917.51</v>
      </c>
      <c r="M62" s="1"/>
      <c r="N62" s="5">
        <f t="shared" si="41"/>
        <v>-1</v>
      </c>
      <c r="O62" s="12"/>
      <c r="P62" s="1">
        <f>SUM(OSRRefP22_13x_0)</f>
        <v>11646.3</v>
      </c>
      <c r="Q62" s="1"/>
      <c r="R62" s="5">
        <f t="shared" si="42"/>
        <v>1.9675089289087021E-2</v>
      </c>
      <c r="S62" s="1"/>
      <c r="T62" s="1">
        <f>SUM(OSRRefT22_13x_0)</f>
        <v>19859.09</v>
      </c>
      <c r="U62" s="1"/>
      <c r="V62" s="5">
        <f t="shared" si="43"/>
        <v>2.4890864350931446E-2</v>
      </c>
      <c r="W62" s="1"/>
      <c r="X62" s="1">
        <f t="shared" si="44"/>
        <v>-8212.7900000000009</v>
      </c>
      <c r="Y62" s="1"/>
      <c r="Z62" s="5">
        <f t="shared" si="45"/>
        <v>-0.4135531889930506</v>
      </c>
    </row>
    <row r="63" spans="1:26" s="24" customFormat="1" hidden="1" outlineLevel="2" x14ac:dyDescent="0.35">
      <c r="A63" s="27"/>
      <c r="B63" s="11" t="str">
        <f>CONCATENATE("          ", "6237", " - ", "JANITORIAL SUPPLIES")</f>
        <v xml:space="preserve">          6237 - JANITORIAL SUPPLIES</v>
      </c>
      <c r="C63" s="11"/>
      <c r="D63" s="7"/>
      <c r="E63" s="2"/>
      <c r="F63" s="6">
        <f t="shared" si="38"/>
        <v>0</v>
      </c>
      <c r="G63" s="2"/>
      <c r="H63" s="7">
        <v>918.44</v>
      </c>
      <c r="I63" s="2"/>
      <c r="J63" s="6">
        <f t="shared" si="39"/>
        <v>0</v>
      </c>
      <c r="K63" s="2"/>
      <c r="L63" s="7">
        <f t="shared" si="40"/>
        <v>-918.44</v>
      </c>
      <c r="M63" s="2"/>
      <c r="N63" s="6">
        <f t="shared" si="41"/>
        <v>-1</v>
      </c>
      <c r="O63" s="11"/>
      <c r="P63" s="7">
        <v>315.58999999999997</v>
      </c>
      <c r="Q63" s="2"/>
      <c r="R63" s="6">
        <f t="shared" si="42"/>
        <v>5.3315314123309322E-4</v>
      </c>
      <c r="S63" s="2"/>
      <c r="T63" s="7">
        <v>1100.67</v>
      </c>
      <c r="U63" s="2"/>
      <c r="V63" s="6">
        <f t="shared" si="43"/>
        <v>1.3795510098972166E-3</v>
      </c>
      <c r="W63" s="2"/>
      <c r="X63" s="7">
        <f t="shared" si="44"/>
        <v>-785.08000000000015</v>
      </c>
      <c r="Y63" s="2"/>
      <c r="Z63" s="6">
        <f t="shared" si="45"/>
        <v>-0.71327464180908007</v>
      </c>
    </row>
    <row r="64" spans="1:26" s="24" customFormat="1" hidden="1" outlineLevel="2" x14ac:dyDescent="0.35">
      <c r="A64" s="27"/>
      <c r="B64" s="11" t="str">
        <f>CONCATENATE("          ", "6239", " - ", "KITCHEN SUPPLIES")</f>
        <v xml:space="preserve">          6239 - KITCHEN SUPPLIES</v>
      </c>
      <c r="C64" s="11"/>
      <c r="D64" s="7"/>
      <c r="E64" s="2"/>
      <c r="F64" s="6">
        <f t="shared" si="38"/>
        <v>0</v>
      </c>
      <c r="G64" s="2"/>
      <c r="H64" s="7">
        <v>7859.45</v>
      </c>
      <c r="I64" s="2"/>
      <c r="J64" s="6">
        <f t="shared" si="39"/>
        <v>0</v>
      </c>
      <c r="K64" s="2"/>
      <c r="L64" s="7">
        <f t="shared" si="40"/>
        <v>-7859.45</v>
      </c>
      <c r="M64" s="2"/>
      <c r="N64" s="6">
        <f t="shared" si="41"/>
        <v>-1</v>
      </c>
      <c r="O64" s="11"/>
      <c r="P64" s="7">
        <v>2024.76</v>
      </c>
      <c r="Q64" s="2"/>
      <c r="R64" s="6">
        <f t="shared" si="42"/>
        <v>3.4206000007703597E-3</v>
      </c>
      <c r="S64" s="2"/>
      <c r="T64" s="7">
        <v>10575.25</v>
      </c>
      <c r="U64" s="2"/>
      <c r="V64" s="6">
        <f t="shared" si="43"/>
        <v>1.3254741945738086E-2</v>
      </c>
      <c r="W64" s="2"/>
      <c r="X64" s="7">
        <f t="shared" si="44"/>
        <v>-8550.49</v>
      </c>
      <c r="Y64" s="2"/>
      <c r="Z64" s="6">
        <f t="shared" si="45"/>
        <v>-0.80853785962506797</v>
      </c>
    </row>
    <row r="65" spans="1:26" s="24" customFormat="1" hidden="1" outlineLevel="2" x14ac:dyDescent="0.35">
      <c r="A65" s="27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38"/>
        <v>0</v>
      </c>
      <c r="G65" s="2"/>
      <c r="H65" s="7"/>
      <c r="I65" s="2"/>
      <c r="J65" s="6">
        <f t="shared" si="39"/>
        <v>0</v>
      </c>
      <c r="K65" s="2"/>
      <c r="L65" s="7">
        <f t="shared" si="40"/>
        <v>0</v>
      </c>
      <c r="M65" s="2"/>
      <c r="N65" s="6">
        <f t="shared" si="41"/>
        <v>0</v>
      </c>
      <c r="O65" s="11"/>
      <c r="P65" s="7">
        <v>1499.6</v>
      </c>
      <c r="Q65" s="2"/>
      <c r="R65" s="6">
        <f t="shared" si="42"/>
        <v>2.5334023593686318E-3</v>
      </c>
      <c r="S65" s="2"/>
      <c r="T65" s="7">
        <v>595.09</v>
      </c>
      <c r="U65" s="2"/>
      <c r="V65" s="6">
        <f t="shared" si="43"/>
        <v>7.4587025219160564E-4</v>
      </c>
      <c r="W65" s="2"/>
      <c r="X65" s="7">
        <f t="shared" si="44"/>
        <v>904.50999999999988</v>
      </c>
      <c r="Y65" s="2"/>
      <c r="Z65" s="6">
        <f t="shared" si="45"/>
        <v>1.5199549647952408</v>
      </c>
    </row>
    <row r="66" spans="1:26" s="24" customFormat="1" hidden="1" outlineLevel="2" x14ac:dyDescent="0.35">
      <c r="A66" s="27"/>
      <c r="B66" s="11" t="str">
        <f>CONCATENATE("          ", "6243", " - ", "PAPER SUPPLIES")</f>
        <v xml:space="preserve">          6243 - PAPER SUPPLIES</v>
      </c>
      <c r="C66" s="11"/>
      <c r="D66" s="7"/>
      <c r="E66" s="2"/>
      <c r="F66" s="6">
        <f t="shared" si="38"/>
        <v>0</v>
      </c>
      <c r="G66" s="2"/>
      <c r="H66" s="7">
        <v>114.34</v>
      </c>
      <c r="I66" s="2"/>
      <c r="J66" s="6">
        <f t="shared" si="39"/>
        <v>0</v>
      </c>
      <c r="K66" s="2"/>
      <c r="L66" s="7">
        <f t="shared" si="40"/>
        <v>-114.34</v>
      </c>
      <c r="M66" s="2"/>
      <c r="N66" s="6">
        <f t="shared" si="41"/>
        <v>-1</v>
      </c>
      <c r="O66" s="11"/>
      <c r="P66" s="7">
        <v>3812.89</v>
      </c>
      <c r="Q66" s="2"/>
      <c r="R66" s="6">
        <f t="shared" si="42"/>
        <v>6.4414407322039629E-3</v>
      </c>
      <c r="S66" s="2"/>
      <c r="T66" s="7">
        <v>4568.83</v>
      </c>
      <c r="U66" s="2"/>
      <c r="V66" s="6">
        <f t="shared" si="43"/>
        <v>5.7264521069427705E-3</v>
      </c>
      <c r="W66" s="2"/>
      <c r="X66" s="7">
        <f t="shared" si="44"/>
        <v>-755.94</v>
      </c>
      <c r="Y66" s="2"/>
      <c r="Z66" s="6">
        <f t="shared" si="45"/>
        <v>-0.16545592635313638</v>
      </c>
    </row>
    <row r="67" spans="1:26" s="24" customFormat="1" hidden="1" outlineLevel="2" x14ac:dyDescent="0.35">
      <c r="A67" s="27"/>
      <c r="B67" s="11" t="str">
        <f>CONCATENATE("          ", "6245", " - ", "PRINTING")</f>
        <v xml:space="preserve">          6245 - PRINTING</v>
      </c>
      <c r="C67" s="11"/>
      <c r="D67" s="7"/>
      <c r="E67" s="2"/>
      <c r="F67" s="6">
        <f t="shared" si="38"/>
        <v>0</v>
      </c>
      <c r="G67" s="2"/>
      <c r="H67" s="7"/>
      <c r="I67" s="2"/>
      <c r="J67" s="6">
        <f t="shared" si="39"/>
        <v>0</v>
      </c>
      <c r="K67" s="2"/>
      <c r="L67" s="7">
        <f t="shared" si="40"/>
        <v>0</v>
      </c>
      <c r="M67" s="2"/>
      <c r="N67" s="6">
        <f t="shared" si="41"/>
        <v>0</v>
      </c>
      <c r="O67" s="11"/>
      <c r="P67" s="7">
        <v>181.92</v>
      </c>
      <c r="Q67" s="2"/>
      <c r="R67" s="6">
        <f t="shared" si="42"/>
        <v>3.0733299360919016E-4</v>
      </c>
      <c r="S67" s="2"/>
      <c r="T67" s="7"/>
      <c r="U67" s="2"/>
      <c r="V67" s="6">
        <f t="shared" si="43"/>
        <v>0</v>
      </c>
      <c r="W67" s="2"/>
      <c r="X67" s="7">
        <f t="shared" si="44"/>
        <v>181.92</v>
      </c>
      <c r="Y67" s="2"/>
      <c r="Z67" s="6">
        <f t="shared" si="45"/>
        <v>0</v>
      </c>
    </row>
    <row r="68" spans="1:26" s="24" customFormat="1" hidden="1" outlineLevel="2" x14ac:dyDescent="0.35">
      <c r="A68" s="27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38"/>
        <v>0</v>
      </c>
      <c r="G68" s="2"/>
      <c r="H68" s="7">
        <v>25.28</v>
      </c>
      <c r="I68" s="2"/>
      <c r="J68" s="6">
        <f t="shared" si="39"/>
        <v>0</v>
      </c>
      <c r="K68" s="2"/>
      <c r="L68" s="7">
        <f t="shared" si="40"/>
        <v>-25.28</v>
      </c>
      <c r="M68" s="2"/>
      <c r="N68" s="6">
        <f t="shared" si="41"/>
        <v>-1</v>
      </c>
      <c r="O68" s="11"/>
      <c r="P68" s="7">
        <v>3638.57</v>
      </c>
      <c r="Q68" s="2"/>
      <c r="R68" s="6">
        <f t="shared" si="42"/>
        <v>6.1469470677033367E-3</v>
      </c>
      <c r="S68" s="2"/>
      <c r="T68" s="7">
        <v>2531.87</v>
      </c>
      <c r="U68" s="2"/>
      <c r="V68" s="6">
        <f t="shared" si="43"/>
        <v>3.1733796827645576E-3</v>
      </c>
      <c r="W68" s="2"/>
      <c r="X68" s="7">
        <f t="shared" si="44"/>
        <v>1106.7000000000003</v>
      </c>
      <c r="Y68" s="2"/>
      <c r="Z68" s="6">
        <f t="shared" si="45"/>
        <v>0.43710775039792737</v>
      </c>
    </row>
    <row r="69" spans="1:26" s="24" customFormat="1" hidden="1" outlineLevel="2" x14ac:dyDescent="0.35">
      <c r="A69" s="27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38"/>
        <v>0</v>
      </c>
      <c r="G69" s="2"/>
      <c r="H69" s="7"/>
      <c r="I69" s="2"/>
      <c r="J69" s="6">
        <f t="shared" si="39"/>
        <v>0</v>
      </c>
      <c r="K69" s="2"/>
      <c r="L69" s="7">
        <f t="shared" si="40"/>
        <v>0</v>
      </c>
      <c r="M69" s="2"/>
      <c r="N69" s="6">
        <f t="shared" si="41"/>
        <v>0</v>
      </c>
      <c r="O69" s="11"/>
      <c r="P69" s="7">
        <v>172.97</v>
      </c>
      <c r="Q69" s="2"/>
      <c r="R69" s="6">
        <f t="shared" si="42"/>
        <v>2.9221299419844777E-4</v>
      </c>
      <c r="S69" s="2"/>
      <c r="T69" s="7">
        <v>487.38</v>
      </c>
      <c r="U69" s="2"/>
      <c r="V69" s="6">
        <f t="shared" si="43"/>
        <v>6.1086935339720841E-4</v>
      </c>
      <c r="W69" s="2"/>
      <c r="X69" s="7">
        <f t="shared" si="44"/>
        <v>-314.40999999999997</v>
      </c>
      <c r="Y69" s="2"/>
      <c r="Z69" s="6">
        <f t="shared" si="45"/>
        <v>-0.6451023841766178</v>
      </c>
    </row>
    <row r="70" spans="1:26" s="25" customFormat="1" outlineLevel="1" collapsed="1" x14ac:dyDescent="0.35">
      <c r="A70" s="26"/>
      <c r="B70" s="12" t="str">
        <f>CONCATENATE("     ","Telephone/Data Lines                              ")</f>
        <v xml:space="preserve">     Telephone/Data Lines                              </v>
      </c>
      <c r="C70" s="12"/>
      <c r="D70" s="1">
        <f>SUM(OSRRefD22_14x_0)</f>
        <v>-50</v>
      </c>
      <c r="E70" s="1"/>
      <c r="F70" s="5">
        <f t="shared" ref="F70:F73" si="46">IF(D$12=0,0,D70/D$12)</f>
        <v>0</v>
      </c>
      <c r="G70" s="1"/>
      <c r="H70" s="1">
        <f>SUM(OSRRefH22_14x_0)</f>
        <v>50</v>
      </c>
      <c r="I70" s="1"/>
      <c r="J70" s="5">
        <f t="shared" ref="J70:J73" si="47">IF(H$12=0,0,H70/H$12)</f>
        <v>0</v>
      </c>
      <c r="K70" s="1"/>
      <c r="L70" s="1">
        <f t="shared" ref="L70:L73" si="48">+D70-H70</f>
        <v>-100</v>
      </c>
      <c r="M70" s="1"/>
      <c r="N70" s="5">
        <f t="shared" ref="N70:N73" si="49">IF(H70=0,0,L70/H70)</f>
        <v>-2</v>
      </c>
      <c r="O70" s="12"/>
      <c r="P70" s="1">
        <f>SUM(OSRRefP22_14x_0)</f>
        <v>55</v>
      </c>
      <c r="Q70" s="1"/>
      <c r="R70" s="5">
        <f t="shared" ref="R70:R73" si="50">IF(P$12=0,0,P70/P$12)</f>
        <v>9.2916197496182158E-5</v>
      </c>
      <c r="S70" s="1"/>
      <c r="T70" s="1">
        <f>SUM(OSRRefT22_14x_0)</f>
        <v>600</v>
      </c>
      <c r="U70" s="1"/>
      <c r="V70" s="5">
        <f t="shared" ref="V70:V73" si="51">IF(T$12=0,0,T70/T$12)</f>
        <v>7.5202431785942195E-4</v>
      </c>
      <c r="W70" s="1"/>
      <c r="X70" s="1">
        <f t="shared" ref="X70:X73" si="52">+P70-T70</f>
        <v>-545</v>
      </c>
      <c r="Y70" s="1"/>
      <c r="Z70" s="5">
        <f t="shared" ref="Z70:Z73" si="53">IF(T70=0,0,X70/T70)</f>
        <v>-0.90833333333333333</v>
      </c>
    </row>
    <row r="71" spans="1:26" s="24" customFormat="1" hidden="1" outlineLevel="2" x14ac:dyDescent="0.35">
      <c r="A71" s="27"/>
      <c r="B71" s="11" t="str">
        <f>CONCATENATE("          ", "6309", " - ", "TELEPHONE")</f>
        <v xml:space="preserve">          6309 - TELEPHONE</v>
      </c>
      <c r="C71" s="11"/>
      <c r="D71" s="7">
        <v>-50</v>
      </c>
      <c r="E71" s="2"/>
      <c r="F71" s="6">
        <f t="shared" si="46"/>
        <v>0</v>
      </c>
      <c r="G71" s="2"/>
      <c r="H71" s="7">
        <v>50</v>
      </c>
      <c r="I71" s="2"/>
      <c r="J71" s="6">
        <f t="shared" si="47"/>
        <v>0</v>
      </c>
      <c r="K71" s="2"/>
      <c r="L71" s="7">
        <f t="shared" si="48"/>
        <v>-100</v>
      </c>
      <c r="M71" s="2"/>
      <c r="N71" s="6">
        <f t="shared" si="49"/>
        <v>-2</v>
      </c>
      <c r="O71" s="11"/>
      <c r="P71" s="7">
        <v>55</v>
      </c>
      <c r="Q71" s="2"/>
      <c r="R71" s="6">
        <f t="shared" si="50"/>
        <v>9.2916197496182158E-5</v>
      </c>
      <c r="S71" s="2"/>
      <c r="T71" s="7">
        <v>600</v>
      </c>
      <c r="U71" s="2"/>
      <c r="V71" s="6">
        <f t="shared" si="51"/>
        <v>7.5202431785942195E-4</v>
      </c>
      <c r="W71" s="2"/>
      <c r="X71" s="7">
        <f t="shared" si="52"/>
        <v>-545</v>
      </c>
      <c r="Y71" s="2"/>
      <c r="Z71" s="6">
        <f t="shared" si="53"/>
        <v>-0.90833333333333333</v>
      </c>
    </row>
    <row r="72" spans="1:26" s="25" customFormat="1" outlineLevel="1" collapsed="1" x14ac:dyDescent="0.35">
      <c r="A72" s="26"/>
      <c r="B72" s="12" t="str">
        <f>CONCATENATE("     ","Training                                          ")</f>
        <v xml:space="preserve">     Training                                          </v>
      </c>
      <c r="C72" s="12"/>
      <c r="D72" s="1">
        <f>SUM(OSRRefD22_15x_0)</f>
        <v>0</v>
      </c>
      <c r="E72" s="1"/>
      <c r="F72" s="5">
        <f t="shared" si="46"/>
        <v>0</v>
      </c>
      <c r="G72" s="1"/>
      <c r="H72" s="1">
        <f>SUM(OSRRefH22_15x_0)</f>
        <v>0</v>
      </c>
      <c r="I72" s="1"/>
      <c r="J72" s="5">
        <f t="shared" si="47"/>
        <v>0</v>
      </c>
      <c r="K72" s="1"/>
      <c r="L72" s="1">
        <f t="shared" si="48"/>
        <v>0</v>
      </c>
      <c r="M72" s="1"/>
      <c r="N72" s="5">
        <f t="shared" si="49"/>
        <v>0</v>
      </c>
      <c r="O72" s="12"/>
      <c r="P72" s="1">
        <f>SUM(OSRRefP22_15x_0)</f>
        <v>96</v>
      </c>
      <c r="Q72" s="1"/>
      <c r="R72" s="5">
        <f t="shared" si="50"/>
        <v>1.6218099926606342E-4</v>
      </c>
      <c r="S72" s="1"/>
      <c r="T72" s="1">
        <f>SUM(OSRRefT22_15x_0)</f>
        <v>194.51</v>
      </c>
      <c r="U72" s="1"/>
      <c r="V72" s="5">
        <f t="shared" si="51"/>
        <v>2.4379375011139359E-4</v>
      </c>
      <c r="W72" s="1"/>
      <c r="X72" s="1">
        <f t="shared" si="52"/>
        <v>-98.509999999999991</v>
      </c>
      <c r="Y72" s="1"/>
      <c r="Z72" s="5">
        <f t="shared" si="53"/>
        <v>-0.50645211043134031</v>
      </c>
    </row>
    <row r="73" spans="1:26" s="24" customFormat="1" hidden="1" outlineLevel="2" x14ac:dyDescent="0.35">
      <c r="A73" s="27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46"/>
        <v>0</v>
      </c>
      <c r="G73" s="2"/>
      <c r="H73" s="7"/>
      <c r="I73" s="2"/>
      <c r="J73" s="6">
        <f t="shared" si="47"/>
        <v>0</v>
      </c>
      <c r="K73" s="2"/>
      <c r="L73" s="7">
        <f t="shared" si="48"/>
        <v>0</v>
      </c>
      <c r="M73" s="2"/>
      <c r="N73" s="6">
        <f t="shared" si="49"/>
        <v>0</v>
      </c>
      <c r="O73" s="11"/>
      <c r="P73" s="7">
        <v>96</v>
      </c>
      <c r="Q73" s="2"/>
      <c r="R73" s="6">
        <f t="shared" si="50"/>
        <v>1.6218099926606342E-4</v>
      </c>
      <c r="S73" s="2"/>
      <c r="T73" s="7">
        <v>194.51</v>
      </c>
      <c r="U73" s="2"/>
      <c r="V73" s="6">
        <f t="shared" si="51"/>
        <v>2.4379375011139359E-4</v>
      </c>
      <c r="W73" s="2"/>
      <c r="X73" s="7">
        <f t="shared" si="52"/>
        <v>-98.509999999999991</v>
      </c>
      <c r="Y73" s="2"/>
      <c r="Z73" s="6">
        <f t="shared" si="53"/>
        <v>-0.50645211043134031</v>
      </c>
    </row>
    <row r="74" spans="1:26" s="56" customFormat="1" x14ac:dyDescent="0.3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35">
      <c r="A75" s="10"/>
      <c r="B75" s="29" t="s">
        <v>0</v>
      </c>
      <c r="C75" s="10"/>
      <c r="D75" s="4">
        <f>SUM(0)</f>
        <v>0</v>
      </c>
      <c r="E75" s="4"/>
      <c r="F75" s="13">
        <f>IF(D$12=0,0,D75/D$12)</f>
        <v>0</v>
      </c>
      <c r="G75" s="4"/>
      <c r="H75" s="4">
        <f>SUM(0)</f>
        <v>0</v>
      </c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0"/>
      <c r="P75" s="4">
        <f>SUM(0)</f>
        <v>0</v>
      </c>
      <c r="Q75" s="4"/>
      <c r="R75" s="13">
        <f>IF(P$12=0,0,P75/P$12)</f>
        <v>0</v>
      </c>
      <c r="S75" s="4"/>
      <c r="T75" s="4">
        <f>SUM(0)</f>
        <v>0</v>
      </c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3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5">
      <c r="A77" s="10"/>
      <c r="B77" s="28" t="s">
        <v>3</v>
      </c>
      <c r="C77" s="28"/>
      <c r="D77" s="22">
        <f>+D20-D22+D75</f>
        <v>-8237.31</v>
      </c>
      <c r="E77" s="14"/>
      <c r="F77" s="21">
        <f>IF(D$12=0,0,D77/D$12)</f>
        <v>0</v>
      </c>
      <c r="G77" s="14"/>
      <c r="H77" s="22">
        <f>+H20-H22+H75</f>
        <v>-10274.759999999998</v>
      </c>
      <c r="I77" s="14"/>
      <c r="J77" s="21">
        <f>IF(H$12=0,0,H77/H$12)</f>
        <v>0</v>
      </c>
      <c r="K77" s="15"/>
      <c r="L77" s="22">
        <f>+D77-H77</f>
        <v>2037.4499999999989</v>
      </c>
      <c r="M77" s="15"/>
      <c r="N77" s="21">
        <f>IF(H77=0,0,L77/H77)</f>
        <v>-0.19829660254838061</v>
      </c>
      <c r="O77" s="29"/>
      <c r="P77" s="22">
        <f>+P20-P22+P75</f>
        <v>41806.930000000051</v>
      </c>
      <c r="Q77" s="14"/>
      <c r="R77" s="21">
        <f>IF(P$12=0,0,P77/P$12)</f>
        <v>7.0628017537983048E-2</v>
      </c>
      <c r="S77" s="14"/>
      <c r="T77" s="22">
        <f>+T20-T22+T75</f>
        <v>88384.62</v>
      </c>
      <c r="U77" s="14"/>
      <c r="V77" s="21">
        <f>IF(T$12=0,0,T77/T$12)</f>
        <v>0.11077897260794035</v>
      </c>
      <c r="W77" s="15"/>
      <c r="X77" s="22">
        <f>+P77-T77</f>
        <v>-46577.689999999944</v>
      </c>
      <c r="Y77" s="15"/>
      <c r="Z77" s="21">
        <f>IF(T77=0,0,X77/T77)</f>
        <v>-0.52698863218510128</v>
      </c>
    </row>
    <row r="78" spans="1:26" x14ac:dyDescent="0.3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5">
      <c r="A79" s="51"/>
      <c r="B79" s="10" t="s">
        <v>13</v>
      </c>
      <c r="C79" s="10"/>
      <c r="D79" s="4">
        <v>19544.489999999998</v>
      </c>
      <c r="E79" s="4"/>
      <c r="F79" s="13">
        <f>IF(D$12=0,0,D79/D$12)</f>
        <v>0</v>
      </c>
      <c r="G79" s="4"/>
      <c r="H79" s="4">
        <v>-26119.489999999998</v>
      </c>
      <c r="I79" s="4"/>
      <c r="J79" s="13">
        <f>IF(H$12=0,0,H79/H$12)</f>
        <v>0</v>
      </c>
      <c r="K79" s="4"/>
      <c r="L79" s="4">
        <f>+D79-H79</f>
        <v>45663.979999999996</v>
      </c>
      <c r="M79" s="4"/>
      <c r="N79" s="13">
        <f>IF(H79=0,0,L79/H79)</f>
        <v>-1.7482722671843898</v>
      </c>
      <c r="O79" s="10"/>
      <c r="P79" s="4">
        <v>89641.33</v>
      </c>
      <c r="Q79" s="4"/>
      <c r="R79" s="13">
        <f>IF(P$12=0,0,P79/P$12)</f>
        <v>0.15143875494728071</v>
      </c>
      <c r="S79" s="4"/>
      <c r="T79" s="4">
        <v>56868.18</v>
      </c>
      <c r="U79" s="4"/>
      <c r="V79" s="13">
        <f>IF(T$12=0,0,T79/T$12)</f>
        <v>7.1277090454011371E-2</v>
      </c>
      <c r="W79" s="4"/>
      <c r="X79" s="4">
        <f>+P79-T79</f>
        <v>32773.15</v>
      </c>
      <c r="Y79" s="4"/>
      <c r="Z79" s="13">
        <f>IF(T79=0,0,X79/T79)</f>
        <v>0.57630031416514471</v>
      </c>
    </row>
    <row r="80" spans="1:26" x14ac:dyDescent="0.3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" thickBot="1" x14ac:dyDescent="0.4">
      <c r="A81" s="10"/>
      <c r="B81" s="28" t="s">
        <v>4</v>
      </c>
      <c r="C81" s="28"/>
      <c r="D81" s="34">
        <f>+D77-D79</f>
        <v>-27781.799999999996</v>
      </c>
      <c r="E81" s="14"/>
      <c r="F81" s="32">
        <f>IF(D$12=0,0,D81/D$12)</f>
        <v>0</v>
      </c>
      <c r="G81" s="14"/>
      <c r="H81" s="34">
        <f>+H77-H79</f>
        <v>15844.73</v>
      </c>
      <c r="I81" s="14"/>
      <c r="J81" s="32">
        <f>IF(H$12=0,0,H81/H$12)</f>
        <v>0</v>
      </c>
      <c r="K81" s="15"/>
      <c r="L81" s="34">
        <f>D81-H81</f>
        <v>-43626.53</v>
      </c>
      <c r="M81" s="15"/>
      <c r="N81" s="32">
        <f>IF(H81=0,0,L81/H81)</f>
        <v>-2.7533779370175449</v>
      </c>
      <c r="O81" s="29"/>
      <c r="P81" s="34">
        <f>+P77-P79</f>
        <v>-47834.399999999951</v>
      </c>
      <c r="Q81" s="14"/>
      <c r="R81" s="32">
        <f>IF(P$12=0,0,P81/P$12)</f>
        <v>-8.0810737409297659E-2</v>
      </c>
      <c r="S81" s="14"/>
      <c r="T81" s="34">
        <f>+T77-T79</f>
        <v>31516.439999999995</v>
      </c>
      <c r="U81" s="14"/>
      <c r="V81" s="32">
        <f>IF(T$12=0,0,T81/T$12)</f>
        <v>3.950188215392899E-2</v>
      </c>
      <c r="W81" s="15"/>
      <c r="X81" s="34">
        <f>P81-T81</f>
        <v>-79350.839999999938</v>
      </c>
      <c r="Y81" s="15"/>
      <c r="Z81" s="32">
        <f>IF(T81=0,0,X81/T81)</f>
        <v>-2.5177602546480489</v>
      </c>
    </row>
    <row r="82" spans="1:26" ht="15" thickTop="1" x14ac:dyDescent="0.3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3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4">
      <c r="A84" s="10"/>
      <c r="B84" s="28" t="s">
        <v>5</v>
      </c>
      <c r="C84" s="28"/>
      <c r="D84" s="35">
        <f>SUM(D81:D83)</f>
        <v>-27781.799999999996</v>
      </c>
      <c r="E84" s="14"/>
      <c r="F84" s="33">
        <f>IF(D$12=0,0,D84/D$12)</f>
        <v>0</v>
      </c>
      <c r="G84" s="14"/>
      <c r="H84" s="35">
        <f>SUM(H81:H83)</f>
        <v>15844.73</v>
      </c>
      <c r="I84" s="14"/>
      <c r="J84" s="33">
        <f>IF(H$12=0,0,H84/H$12)</f>
        <v>0</v>
      </c>
      <c r="K84" s="15"/>
      <c r="L84" s="35">
        <f>+D84-H84</f>
        <v>-43626.53</v>
      </c>
      <c r="M84" s="15"/>
      <c r="N84" s="33">
        <f>IF(H84=0,0,L84/H84)</f>
        <v>-2.7533779370175449</v>
      </c>
      <c r="O84" s="29"/>
      <c r="P84" s="35">
        <f>SUM(P81:P83)</f>
        <v>-47834.399999999951</v>
      </c>
      <c r="Q84" s="14"/>
      <c r="R84" s="33">
        <f>IF(P$12=0,0,P84/P$12)</f>
        <v>-8.0810737409297659E-2</v>
      </c>
      <c r="S84" s="14"/>
      <c r="T84" s="35">
        <f>SUM(T81:T83)</f>
        <v>31516.439999999995</v>
      </c>
      <c r="U84" s="14"/>
      <c r="V84" s="33">
        <f>IF(T$12=0,0,T84/T$12)</f>
        <v>3.950188215392899E-2</v>
      </c>
      <c r="W84" s="15"/>
      <c r="X84" s="35">
        <f>+P84-T84</f>
        <v>-79350.839999999938</v>
      </c>
      <c r="Y84" s="15"/>
      <c r="Z84" s="33">
        <f>IF(T84=0,0,X84/T84)</f>
        <v>-2.5177602546480489</v>
      </c>
    </row>
    <row r="85" spans="1:26" ht="15" thickTop="1" x14ac:dyDescent="0.3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5">
      <c r="A86" s="9"/>
      <c r="B86" s="52">
        <v>44043.523243483796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5">
      <c r="A87" s="9"/>
      <c r="B87" s="61" t="s">
        <v>313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5">
      <c r="A88" s="9"/>
      <c r="B88" s="54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","415", " - ", "Outpost")</f>
        <v>Department 415 - Outpost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21131.63</v>
      </c>
      <c r="I12" s="4"/>
      <c r="J12" s="13"/>
      <c r="K12" s="4"/>
      <c r="L12" s="4">
        <f t="shared" ref="L12:L14" si="0">+D12-H12</f>
        <v>-21131.63</v>
      </c>
      <c r="M12" s="4"/>
      <c r="N12" s="13">
        <f t="shared" ref="N12:N14" si="1">IF(H12=0,0,L12/H12)</f>
        <v>-1</v>
      </c>
      <c r="O12" s="10"/>
      <c r="P12" s="4">
        <f>SUM(OSRRefP13x_0)</f>
        <v>651784.93999999994</v>
      </c>
      <c r="Q12" s="4"/>
      <c r="R12" s="13"/>
      <c r="S12" s="4"/>
      <c r="T12" s="4">
        <f>SUM(OSRRefT13x_0)</f>
        <v>919772.05999999994</v>
      </c>
      <c r="U12" s="4"/>
      <c r="V12" s="13"/>
      <c r="W12" s="4"/>
      <c r="X12" s="4">
        <f t="shared" ref="X12:X14" si="2">+P12-T12</f>
        <v>-267987.12</v>
      </c>
      <c r="Y12" s="4"/>
      <c r="Z12" s="13">
        <f t="shared" ref="Z12:Z14" si="3">IF(T12=0,0,X12/T12)</f>
        <v>-0.29136253606138024</v>
      </c>
    </row>
    <row r="13" spans="1:26" s="24" customFormat="1" hidden="1" outlineLevel="1" x14ac:dyDescent="0.3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--7982.86</f>
        <v>7982.86</v>
      </c>
      <c r="I13" s="2"/>
      <c r="J13" s="19"/>
      <c r="K13" s="2"/>
      <c r="L13" s="2">
        <f t="shared" si="0"/>
        <v>-7982.86</v>
      </c>
      <c r="M13" s="2"/>
      <c r="N13" s="19">
        <f t="shared" si="1"/>
        <v>-1</v>
      </c>
      <c r="O13" s="11"/>
      <c r="P13" s="2">
        <f>--203771.51</f>
        <v>203771.51</v>
      </c>
      <c r="Q13" s="2"/>
      <c r="R13" s="19"/>
      <c r="S13" s="2"/>
      <c r="T13" s="2">
        <f>--301396.61</f>
        <v>301396.61</v>
      </c>
      <c r="U13" s="2"/>
      <c r="V13" s="19"/>
      <c r="W13" s="2"/>
      <c r="X13" s="2">
        <f t="shared" si="2"/>
        <v>-97625.099999999977</v>
      </c>
      <c r="Y13" s="2"/>
      <c r="Z13" s="19">
        <f t="shared" si="3"/>
        <v>-0.32390908444524302</v>
      </c>
    </row>
    <row r="14" spans="1:26" s="24" customFormat="1" hidden="1" outlineLevel="1" x14ac:dyDescent="0.3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--13148.77</f>
        <v>13148.77</v>
      </c>
      <c r="I14" s="2"/>
      <c r="J14" s="19"/>
      <c r="K14" s="2"/>
      <c r="L14" s="2">
        <f t="shared" si="0"/>
        <v>-13148.77</v>
      </c>
      <c r="M14" s="2"/>
      <c r="N14" s="19">
        <f t="shared" si="1"/>
        <v>-1</v>
      </c>
      <c r="O14" s="11"/>
      <c r="P14" s="2">
        <f>--448013.43</f>
        <v>448013.43</v>
      </c>
      <c r="Q14" s="2"/>
      <c r="R14" s="19"/>
      <c r="S14" s="2"/>
      <c r="T14" s="2">
        <f>--618375.45</f>
        <v>618375.44999999995</v>
      </c>
      <c r="U14" s="2"/>
      <c r="V14" s="19"/>
      <c r="W14" s="2"/>
      <c r="X14" s="2">
        <f t="shared" si="2"/>
        <v>-170362.01999999996</v>
      </c>
      <c r="Y14" s="2"/>
      <c r="Z14" s="19">
        <f t="shared" si="3"/>
        <v>-0.27549932650139969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9" t="s">
        <v>8</v>
      </c>
      <c r="C16" s="10"/>
      <c r="D16" s="4">
        <f>SUM(OSRRefD16x_0)</f>
        <v>3734</v>
      </c>
      <c r="E16" s="4"/>
      <c r="F16" s="13">
        <f t="shared" ref="F16:F18" si="5">IF(D$12=0,0,D16/D$12)</f>
        <v>0</v>
      </c>
      <c r="G16" s="4"/>
      <c r="H16" s="4">
        <f>SUM(OSRRefH16x_0)</f>
        <v>-3409.0200000000004</v>
      </c>
      <c r="I16" s="4"/>
      <c r="J16" s="13">
        <f t="shared" ref="J16:J18" si="6">IF(H$12=0,0,H16/H$12)</f>
        <v>-0.16132309717707533</v>
      </c>
      <c r="K16" s="4"/>
      <c r="L16" s="4">
        <f t="shared" ref="L16:L18" si="7">+D16-H16</f>
        <v>7143.02</v>
      </c>
      <c r="M16" s="4"/>
      <c r="N16" s="13">
        <f t="shared" ref="N16:N18" si="8">IF(H16=0,0,L16/H16)</f>
        <v>-2.0953294495192165</v>
      </c>
      <c r="O16" s="10"/>
      <c r="P16" s="4">
        <f>SUM(OSRRefP16x_0)</f>
        <v>220251.97999999998</v>
      </c>
      <c r="Q16" s="4"/>
      <c r="R16" s="13">
        <f t="shared" ref="R16:R18" si="9">IF(P$12=0,0,P16/P$12)</f>
        <v>0.337921247459323</v>
      </c>
      <c r="S16" s="4"/>
      <c r="T16" s="4">
        <f>SUM(OSRRefT16x_0)</f>
        <v>290475.7</v>
      </c>
      <c r="U16" s="4"/>
      <c r="V16" s="13">
        <f t="shared" ref="V16:V18" si="10">IF(T$12=0,0,T16/T$12)</f>
        <v>0.31581270255154309</v>
      </c>
      <c r="W16" s="4"/>
      <c r="X16" s="4">
        <f t="shared" ref="X16:X18" si="11">+P16-T16</f>
        <v>-70223.72000000003</v>
      </c>
      <c r="Y16" s="4"/>
      <c r="Z16" s="13">
        <f t="shared" ref="Z16:Z18" si="12">IF(T16=0,0,X16/T16)</f>
        <v>-0.24175419837184325</v>
      </c>
    </row>
    <row r="17" spans="1:26" s="24" customFormat="1" hidden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4732.9799999999996</v>
      </c>
      <c r="I17" s="2"/>
      <c r="J17" s="19">
        <f t="shared" si="6"/>
        <v>0.22397609649610556</v>
      </c>
      <c r="K17" s="2"/>
      <c r="L17" s="2">
        <f t="shared" si="7"/>
        <v>-4732.9799999999996</v>
      </c>
      <c r="M17" s="2"/>
      <c r="N17" s="19">
        <f t="shared" si="8"/>
        <v>-1</v>
      </c>
      <c r="O17" s="11"/>
      <c r="P17" s="2">
        <v>214473.97999999998</v>
      </c>
      <c r="Q17" s="2"/>
      <c r="R17" s="19">
        <f t="shared" si="9"/>
        <v>0.32905636021599394</v>
      </c>
      <c r="S17" s="2"/>
      <c r="T17" s="2">
        <v>290943.7</v>
      </c>
      <c r="U17" s="2"/>
      <c r="V17" s="19">
        <f t="shared" si="10"/>
        <v>0.31632152426982835</v>
      </c>
      <c r="W17" s="2"/>
      <c r="X17" s="2">
        <f t="shared" si="11"/>
        <v>-76469.72000000003</v>
      </c>
      <c r="Y17" s="2"/>
      <c r="Z17" s="19">
        <f t="shared" si="12"/>
        <v>-0.26283339353971241</v>
      </c>
    </row>
    <row r="18" spans="1:26" s="24" customFormat="1" hidden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3734</v>
      </c>
      <c r="E18" s="2"/>
      <c r="F18" s="19">
        <f t="shared" si="5"/>
        <v>0</v>
      </c>
      <c r="G18" s="2"/>
      <c r="H18" s="2">
        <v>-8142</v>
      </c>
      <c r="I18" s="2"/>
      <c r="J18" s="19">
        <f t="shared" si="6"/>
        <v>-0.38529919367318088</v>
      </c>
      <c r="K18" s="2"/>
      <c r="L18" s="2">
        <f t="shared" si="7"/>
        <v>11876</v>
      </c>
      <c r="M18" s="2"/>
      <c r="N18" s="19">
        <f t="shared" si="8"/>
        <v>-1.4586096782117415</v>
      </c>
      <c r="O18" s="11"/>
      <c r="P18" s="2">
        <v>5778</v>
      </c>
      <c r="Q18" s="2"/>
      <c r="R18" s="19">
        <f t="shared" si="9"/>
        <v>8.8648872433290653E-3</v>
      </c>
      <c r="S18" s="2"/>
      <c r="T18" s="2">
        <v>-468</v>
      </c>
      <c r="U18" s="2"/>
      <c r="V18" s="19">
        <f t="shared" si="10"/>
        <v>-5.0882171828528912E-4</v>
      </c>
      <c r="W18" s="2"/>
      <c r="X18" s="2">
        <f t="shared" si="11"/>
        <v>6246</v>
      </c>
      <c r="Y18" s="2"/>
      <c r="Z18" s="19">
        <f t="shared" si="12"/>
        <v>-13.346153846153847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-3734</v>
      </c>
      <c r="E20" s="14"/>
      <c r="F20" s="21">
        <f>IF(D$12=0,0,D20/D$12)</f>
        <v>0</v>
      </c>
      <c r="G20" s="14"/>
      <c r="H20" s="22">
        <f>H12-H16</f>
        <v>24540.65</v>
      </c>
      <c r="I20" s="14"/>
      <c r="J20" s="21">
        <f>IF(H$12=0,0,H20/H$12)</f>
        <v>1.1613230971770754</v>
      </c>
      <c r="K20" s="15"/>
      <c r="L20" s="22">
        <f>+D20-H20</f>
        <v>-28274.65</v>
      </c>
      <c r="M20" s="15"/>
      <c r="N20" s="21">
        <f>IF(H20=0,0,L20/H20)</f>
        <v>-1.1521557089971128</v>
      </c>
      <c r="O20" s="29"/>
      <c r="P20" s="22">
        <f>P12-P16</f>
        <v>431532.95999999996</v>
      </c>
      <c r="Q20" s="14"/>
      <c r="R20" s="21">
        <f>IF(P$12=0,0,P20/P$12)</f>
        <v>0.66207875254067694</v>
      </c>
      <c r="S20" s="14"/>
      <c r="T20" s="22">
        <f>T12-T16</f>
        <v>629296.35999999987</v>
      </c>
      <c r="U20" s="14"/>
      <c r="V20" s="21">
        <f>IF(T$12=0,0,T20/T$12)</f>
        <v>0.68418729744845685</v>
      </c>
      <c r="W20" s="15"/>
      <c r="X20" s="22">
        <f>+P20-T20</f>
        <v>-197763.39999999991</v>
      </c>
      <c r="Y20" s="15"/>
      <c r="Z20" s="21">
        <f>IF(T20=0,0,X20/T20)</f>
        <v>-0.31426115352073536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39647.93</v>
      </c>
      <c r="E22" s="20"/>
      <c r="F22" s="36">
        <f t="shared" ref="F22:F31" si="13">IF(D$12=0,0,D22/D$12)</f>
        <v>0</v>
      </c>
      <c r="G22" s="20"/>
      <c r="H22" s="20">
        <f>SUM(OSRRefH22x_0)</f>
        <v>45227.579999999994</v>
      </c>
      <c r="I22" s="20"/>
      <c r="J22" s="36">
        <f t="shared" ref="J22:J31" si="14">IF(H$12=0,0,H22/H$12)</f>
        <v>2.1402788142703613</v>
      </c>
      <c r="K22" s="4"/>
      <c r="L22" s="20">
        <f t="shared" ref="L22:L31" si="15">+D22-H22</f>
        <v>-5579.6499999999942</v>
      </c>
      <c r="M22" s="4"/>
      <c r="N22" s="36">
        <f t="shared" ref="N22:N31" si="16">IF(H22=0,0,L22/H22)</f>
        <v>-0.12336830756808113</v>
      </c>
      <c r="O22" s="10"/>
      <c r="P22" s="20">
        <f>SUM(OSRRefP22x_0)</f>
        <v>749438.4600000002</v>
      </c>
      <c r="Q22" s="20"/>
      <c r="R22" s="36">
        <f t="shared" ref="R22:R31" si="17">IF(P$12=0,0,P22/P$12)</f>
        <v>1.1498247566137387</v>
      </c>
      <c r="S22" s="20"/>
      <c r="T22" s="20">
        <f>SUM(OSRRefT22x_0)</f>
        <v>792476.2899999998</v>
      </c>
      <c r="U22" s="20"/>
      <c r="V22" s="36">
        <f t="shared" ref="V22:V31" si="18">IF(T$12=0,0,T22/T$12)</f>
        <v>0.86160074268835674</v>
      </c>
      <c r="W22" s="4"/>
      <c r="X22" s="20">
        <f t="shared" ref="X22:X31" si="19">+P22-T22</f>
        <v>-43037.829999999609</v>
      </c>
      <c r="Y22" s="4"/>
      <c r="Z22" s="36">
        <f t="shared" ref="Z22:Z31" si="20">IF(T22=0,0,X22/T22)</f>
        <v>-5.4308034881396412E-2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4395.12</v>
      </c>
      <c r="E23" s="1"/>
      <c r="F23" s="5">
        <f t="shared" si="13"/>
        <v>0</v>
      </c>
      <c r="G23" s="1"/>
      <c r="H23" s="1">
        <f>SUM(OSRRefH22_0x_0)</f>
        <v>6511.0999999999995</v>
      </c>
      <c r="I23" s="1"/>
      <c r="J23" s="5">
        <f t="shared" si="14"/>
        <v>0.30812104887318204</v>
      </c>
      <c r="K23" s="1"/>
      <c r="L23" s="1">
        <f t="shared" si="15"/>
        <v>-2115.9799999999996</v>
      </c>
      <c r="M23" s="1"/>
      <c r="N23" s="5">
        <f t="shared" si="16"/>
        <v>-0.32498041805532085</v>
      </c>
      <c r="O23" s="12"/>
      <c r="P23" s="1">
        <f>SUM(OSRRefP22_0x_0)</f>
        <v>89133.300000000017</v>
      </c>
      <c r="Q23" s="1"/>
      <c r="R23" s="5">
        <f t="shared" si="17"/>
        <v>0.13675262272859515</v>
      </c>
      <c r="S23" s="1"/>
      <c r="T23" s="1">
        <f>SUM(OSRRefT22_0x_0)</f>
        <v>90493.290000000008</v>
      </c>
      <c r="U23" s="1"/>
      <c r="V23" s="5">
        <f t="shared" si="18"/>
        <v>9.8386648100617466E-2</v>
      </c>
      <c r="W23" s="1"/>
      <c r="X23" s="1">
        <f t="shared" si="19"/>
        <v>-1359.9899999999907</v>
      </c>
      <c r="Y23" s="1"/>
      <c r="Z23" s="5">
        <f t="shared" si="20"/>
        <v>-1.5028628089441665E-2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>
        <v>386.22</v>
      </c>
      <c r="E24" s="2"/>
      <c r="F24" s="6">
        <f t="shared" si="13"/>
        <v>0</v>
      </c>
      <c r="G24" s="2"/>
      <c r="H24" s="7">
        <v>1121.47</v>
      </c>
      <c r="I24" s="2"/>
      <c r="J24" s="6">
        <f t="shared" si="14"/>
        <v>5.3070681248914543E-2</v>
      </c>
      <c r="K24" s="2"/>
      <c r="L24" s="7">
        <f t="shared" si="15"/>
        <v>-735.25</v>
      </c>
      <c r="M24" s="2"/>
      <c r="N24" s="6">
        <f t="shared" si="16"/>
        <v>-0.6556127225873184</v>
      </c>
      <c r="O24" s="11"/>
      <c r="P24" s="7">
        <v>14083.42</v>
      </c>
      <c r="Q24" s="2"/>
      <c r="R24" s="6">
        <f t="shared" si="17"/>
        <v>2.1607464572593531E-2</v>
      </c>
      <c r="S24" s="2"/>
      <c r="T24" s="7">
        <v>16024.230000000001</v>
      </c>
      <c r="U24" s="2"/>
      <c r="V24" s="6">
        <f t="shared" si="18"/>
        <v>1.7421957783757862E-2</v>
      </c>
      <c r="W24" s="2"/>
      <c r="X24" s="7">
        <f t="shared" si="19"/>
        <v>-1940.8100000000013</v>
      </c>
      <c r="Y24" s="2"/>
      <c r="Z24" s="6">
        <f t="shared" si="20"/>
        <v>-0.12111720812794131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195.88</v>
      </c>
      <c r="E25" s="2"/>
      <c r="F25" s="6">
        <f t="shared" si="13"/>
        <v>0</v>
      </c>
      <c r="G25" s="2"/>
      <c r="H25" s="7">
        <v>801.38</v>
      </c>
      <c r="I25" s="2"/>
      <c r="J25" s="6">
        <f t="shared" si="14"/>
        <v>3.7923245864138262E-2</v>
      </c>
      <c r="K25" s="2"/>
      <c r="L25" s="7">
        <f t="shared" si="15"/>
        <v>-605.5</v>
      </c>
      <c r="M25" s="2"/>
      <c r="N25" s="6">
        <f t="shared" si="16"/>
        <v>-0.75557163892285806</v>
      </c>
      <c r="O25" s="11"/>
      <c r="P25" s="7">
        <v>8055.46</v>
      </c>
      <c r="Q25" s="2"/>
      <c r="R25" s="6">
        <f t="shared" si="17"/>
        <v>1.2359076599714011E-2</v>
      </c>
      <c r="S25" s="2"/>
      <c r="T25" s="7">
        <v>9287.89</v>
      </c>
      <c r="U25" s="2"/>
      <c r="V25" s="6">
        <f t="shared" si="18"/>
        <v>1.0098034506505883E-2</v>
      </c>
      <c r="W25" s="2"/>
      <c r="X25" s="7">
        <f t="shared" si="19"/>
        <v>-1232.4299999999994</v>
      </c>
      <c r="Y25" s="2"/>
      <c r="Z25" s="6">
        <f t="shared" si="20"/>
        <v>-0.13269213998012461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>
        <v>3371.81</v>
      </c>
      <c r="E26" s="2"/>
      <c r="F26" s="6">
        <f t="shared" si="13"/>
        <v>0</v>
      </c>
      <c r="G26" s="2"/>
      <c r="H26" s="7">
        <v>3220.43</v>
      </c>
      <c r="I26" s="2"/>
      <c r="J26" s="6">
        <f t="shared" si="14"/>
        <v>0.15239856083037606</v>
      </c>
      <c r="K26" s="2"/>
      <c r="L26" s="7">
        <f t="shared" si="15"/>
        <v>151.38000000000011</v>
      </c>
      <c r="M26" s="2"/>
      <c r="N26" s="6">
        <f t="shared" si="16"/>
        <v>4.7006145142108387E-2</v>
      </c>
      <c r="O26" s="11"/>
      <c r="P26" s="7">
        <v>38508.720000000001</v>
      </c>
      <c r="Q26" s="2"/>
      <c r="R26" s="6">
        <f t="shared" si="17"/>
        <v>5.9081941966931617E-2</v>
      </c>
      <c r="S26" s="2"/>
      <c r="T26" s="7">
        <v>37589.17</v>
      </c>
      <c r="U26" s="2"/>
      <c r="V26" s="6">
        <f t="shared" si="18"/>
        <v>4.0867918949397092E-2</v>
      </c>
      <c r="W26" s="2"/>
      <c r="X26" s="7">
        <f t="shared" si="19"/>
        <v>919.55000000000291</v>
      </c>
      <c r="Y26" s="2"/>
      <c r="Z26" s="6">
        <f t="shared" si="20"/>
        <v>2.4463163193015513E-2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-632.02</v>
      </c>
      <c r="E27" s="2"/>
      <c r="F27" s="6">
        <f t="shared" si="13"/>
        <v>0</v>
      </c>
      <c r="G27" s="2"/>
      <c r="H27" s="7">
        <v>59.53</v>
      </c>
      <c r="I27" s="2"/>
      <c r="J27" s="6">
        <f t="shared" si="14"/>
        <v>2.8171040284161704E-3</v>
      </c>
      <c r="K27" s="2"/>
      <c r="L27" s="7">
        <f t="shared" si="15"/>
        <v>-691.55</v>
      </c>
      <c r="M27" s="2"/>
      <c r="N27" s="6">
        <f t="shared" si="16"/>
        <v>-11.616831849487653</v>
      </c>
      <c r="O27" s="11"/>
      <c r="P27" s="7">
        <v>0</v>
      </c>
      <c r="Q27" s="2"/>
      <c r="R27" s="6">
        <f t="shared" si="17"/>
        <v>0</v>
      </c>
      <c r="S27" s="2"/>
      <c r="T27" s="7">
        <v>770.87</v>
      </c>
      <c r="U27" s="2"/>
      <c r="V27" s="6">
        <f t="shared" si="18"/>
        <v>8.381098247320103E-4</v>
      </c>
      <c r="W27" s="2"/>
      <c r="X27" s="7">
        <f t="shared" si="19"/>
        <v>-770.87</v>
      </c>
      <c r="Y27" s="2"/>
      <c r="Z27" s="6">
        <f t="shared" si="20"/>
        <v>-1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>
        <v>352.64</v>
      </c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352.64</v>
      </c>
      <c r="M28" s="2"/>
      <c r="N28" s="6">
        <f t="shared" si="16"/>
        <v>0</v>
      </c>
      <c r="O28" s="11"/>
      <c r="P28" s="7">
        <v>6682.96</v>
      </c>
      <c r="Q28" s="2"/>
      <c r="R28" s="6">
        <f t="shared" si="17"/>
        <v>1.0253320673533821E-2</v>
      </c>
      <c r="S28" s="2"/>
      <c r="T28" s="7">
        <v>6183.04</v>
      </c>
      <c r="U28" s="2"/>
      <c r="V28" s="6">
        <f t="shared" si="18"/>
        <v>6.7223611902279354E-3</v>
      </c>
      <c r="W28" s="2"/>
      <c r="X28" s="7">
        <f t="shared" si="19"/>
        <v>499.92000000000007</v>
      </c>
      <c r="Y28" s="2"/>
      <c r="Z28" s="6">
        <f t="shared" si="20"/>
        <v>8.0853431321809346E-2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>
        <v>290.92</v>
      </c>
      <c r="E29" s="2"/>
      <c r="F29" s="6">
        <f t="shared" si="13"/>
        <v>0</v>
      </c>
      <c r="G29" s="2"/>
      <c r="H29" s="7">
        <v>714.08</v>
      </c>
      <c r="I29" s="2"/>
      <c r="J29" s="6">
        <f t="shared" si="14"/>
        <v>3.3791998061673427E-2</v>
      </c>
      <c r="K29" s="2"/>
      <c r="L29" s="7">
        <f t="shared" si="15"/>
        <v>-423.16</v>
      </c>
      <c r="M29" s="2"/>
      <c r="N29" s="6">
        <f t="shared" si="16"/>
        <v>-0.59259466726417209</v>
      </c>
      <c r="O29" s="11"/>
      <c r="P29" s="7">
        <v>9445.0300000000007</v>
      </c>
      <c r="Q29" s="2"/>
      <c r="R29" s="6">
        <f t="shared" si="17"/>
        <v>1.4491022146047132E-2</v>
      </c>
      <c r="S29" s="2"/>
      <c r="T29" s="7">
        <v>9659.27</v>
      </c>
      <c r="U29" s="2"/>
      <c r="V29" s="6">
        <f t="shared" si="18"/>
        <v>1.0501808458934924E-2</v>
      </c>
      <c r="W29" s="2"/>
      <c r="X29" s="7">
        <f t="shared" si="19"/>
        <v>-214.23999999999978</v>
      </c>
      <c r="Y29" s="2"/>
      <c r="Z29" s="6">
        <f t="shared" si="20"/>
        <v>-2.217972993818371E-2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>
        <v>232.86</v>
      </c>
      <c r="E30" s="2"/>
      <c r="F30" s="6">
        <f t="shared" si="13"/>
        <v>0</v>
      </c>
      <c r="G30" s="2"/>
      <c r="H30" s="7">
        <v>393.28</v>
      </c>
      <c r="I30" s="2"/>
      <c r="J30" s="6">
        <f t="shared" si="14"/>
        <v>1.8610963754334141E-2</v>
      </c>
      <c r="K30" s="2"/>
      <c r="L30" s="7">
        <f t="shared" si="15"/>
        <v>-160.41999999999996</v>
      </c>
      <c r="M30" s="2"/>
      <c r="N30" s="6">
        <f t="shared" si="16"/>
        <v>-0.40790276647681034</v>
      </c>
      <c r="O30" s="11"/>
      <c r="P30" s="7">
        <v>9126.6299999999992</v>
      </c>
      <c r="Q30" s="2"/>
      <c r="R30" s="6">
        <f t="shared" si="17"/>
        <v>1.4002517456141285E-2</v>
      </c>
      <c r="S30" s="2"/>
      <c r="T30" s="7">
        <v>7700.63</v>
      </c>
      <c r="U30" s="2"/>
      <c r="V30" s="6">
        <f t="shared" si="18"/>
        <v>8.3723243343573634E-3</v>
      </c>
      <c r="W30" s="2"/>
      <c r="X30" s="7">
        <f t="shared" si="19"/>
        <v>1425.9999999999991</v>
      </c>
      <c r="Y30" s="2"/>
      <c r="Z30" s="6">
        <f t="shared" si="20"/>
        <v>0.18517965413219425</v>
      </c>
    </row>
    <row r="31" spans="1:26" s="24" customFormat="1" hidden="1" outlineLevel="2" x14ac:dyDescent="0.35">
      <c r="A31" s="27"/>
      <c r="B31" s="11" t="str">
        <f>CONCATENATE("          ", "6156", " - ", "EMPLOYEE MEALS")</f>
        <v xml:space="preserve">          6156 - EMPLOYEE MEALS</v>
      </c>
      <c r="C31" s="11"/>
      <c r="D31" s="7">
        <v>196.81</v>
      </c>
      <c r="E31" s="2"/>
      <c r="F31" s="6">
        <f t="shared" si="13"/>
        <v>0</v>
      </c>
      <c r="G31" s="2"/>
      <c r="H31" s="7">
        <v>200.93</v>
      </c>
      <c r="I31" s="2"/>
      <c r="J31" s="6">
        <f t="shared" si="14"/>
        <v>9.5084950853294332E-3</v>
      </c>
      <c r="K31" s="2"/>
      <c r="L31" s="7">
        <f t="shared" si="15"/>
        <v>-4.1200000000000045</v>
      </c>
      <c r="M31" s="2"/>
      <c r="N31" s="6">
        <f t="shared" si="16"/>
        <v>-2.0504653361867339E-2</v>
      </c>
      <c r="O31" s="11"/>
      <c r="P31" s="7">
        <v>3231.08</v>
      </c>
      <c r="Q31" s="2"/>
      <c r="R31" s="6">
        <f t="shared" si="17"/>
        <v>4.9572793136337277E-3</v>
      </c>
      <c r="S31" s="2"/>
      <c r="T31" s="7">
        <v>3278.19</v>
      </c>
      <c r="U31" s="2"/>
      <c r="V31" s="6">
        <f t="shared" si="18"/>
        <v>3.5641330527043844E-3</v>
      </c>
      <c r="W31" s="2"/>
      <c r="X31" s="7">
        <f t="shared" si="19"/>
        <v>-47.110000000000127</v>
      </c>
      <c r="Y31" s="2"/>
      <c r="Z31" s="6">
        <f t="shared" si="20"/>
        <v>-1.4370735070267473E-2</v>
      </c>
    </row>
    <row r="32" spans="1:26" s="25" customFormat="1" outlineLevel="1" collapsed="1" x14ac:dyDescent="0.3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5048.58</v>
      </c>
      <c r="E32" s="1"/>
      <c r="F32" s="5">
        <f t="shared" ref="F32:F38" si="21">IF(D$12=0,0,D32/D$12)</f>
        <v>0</v>
      </c>
      <c r="G32" s="1"/>
      <c r="H32" s="1">
        <f>SUM(OSRRefH22_1x_0)</f>
        <v>12808.23</v>
      </c>
      <c r="I32" s="1"/>
      <c r="J32" s="5">
        <f t="shared" ref="J32:J38" si="22">IF(H$12=0,0,H32/H$12)</f>
        <v>0.60611651822410284</v>
      </c>
      <c r="K32" s="1"/>
      <c r="L32" s="1">
        <f t="shared" ref="L32:L38" si="23">+D32-H32</f>
        <v>-7759.65</v>
      </c>
      <c r="M32" s="1"/>
      <c r="N32" s="5">
        <f t="shared" ref="N32:N38" si="24">IF(H32=0,0,L32/H32)</f>
        <v>-0.60583312448324245</v>
      </c>
      <c r="O32" s="12"/>
      <c r="P32" s="1">
        <f>SUM(OSRRefP22_1x_0)</f>
        <v>235600.61</v>
      </c>
      <c r="Q32" s="1"/>
      <c r="R32" s="5">
        <f t="shared" ref="R32:R38" si="25">IF(P$12=0,0,P32/P$12)</f>
        <v>0.36146985844748114</v>
      </c>
      <c r="S32" s="1"/>
      <c r="T32" s="1">
        <f>SUM(OSRRefT22_1x_0)</f>
        <v>274308.62</v>
      </c>
      <c r="U32" s="1"/>
      <c r="V32" s="5">
        <f t="shared" ref="V32:V38" si="26">IF(T$12=0,0,T32/T$12)</f>
        <v>0.29823543454885987</v>
      </c>
      <c r="W32" s="1"/>
      <c r="X32" s="1">
        <f t="shared" ref="X32:X38" si="27">+P32-T32</f>
        <v>-38708.010000000009</v>
      </c>
      <c r="Y32" s="1"/>
      <c r="Z32" s="5">
        <f t="shared" ref="Z32:Z38" si="28">IF(T32=0,0,X32/T32)</f>
        <v>-0.14111116887249117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>
        <v>5048.58</v>
      </c>
      <c r="E33" s="2"/>
      <c r="F33" s="6">
        <f t="shared" si="21"/>
        <v>0</v>
      </c>
      <c r="G33" s="2"/>
      <c r="H33" s="7">
        <v>3399.99</v>
      </c>
      <c r="I33" s="2"/>
      <c r="J33" s="6">
        <f t="shared" si="22"/>
        <v>0.1608957756689853</v>
      </c>
      <c r="K33" s="2"/>
      <c r="L33" s="7">
        <f t="shared" si="23"/>
        <v>1648.5900000000001</v>
      </c>
      <c r="M33" s="2"/>
      <c r="N33" s="6">
        <f t="shared" si="24"/>
        <v>0.4848808378848174</v>
      </c>
      <c r="O33" s="11"/>
      <c r="P33" s="7">
        <v>57401.88</v>
      </c>
      <c r="Q33" s="2"/>
      <c r="R33" s="6">
        <f t="shared" si="25"/>
        <v>8.8068742429059502E-2</v>
      </c>
      <c r="S33" s="2"/>
      <c r="T33" s="7">
        <v>61535.67</v>
      </c>
      <c r="U33" s="2"/>
      <c r="V33" s="6">
        <f t="shared" si="26"/>
        <v>6.6903173814607933E-2</v>
      </c>
      <c r="W33" s="2"/>
      <c r="X33" s="7">
        <f t="shared" si="27"/>
        <v>-4133.7900000000009</v>
      </c>
      <c r="Y33" s="2"/>
      <c r="Z33" s="6">
        <f t="shared" si="28"/>
        <v>-6.7177134822778414E-2</v>
      </c>
    </row>
    <row r="34" spans="1:26" s="24" customFormat="1" hidden="1" outlineLevel="2" x14ac:dyDescent="0.3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1"/>
        <v>0</v>
      </c>
      <c r="G34" s="2"/>
      <c r="H34" s="7">
        <v>3283.13</v>
      </c>
      <c r="I34" s="2"/>
      <c r="J34" s="6">
        <f t="shared" si="22"/>
        <v>0.15536567694967213</v>
      </c>
      <c r="K34" s="2"/>
      <c r="L34" s="7">
        <f t="shared" si="23"/>
        <v>-3283.13</v>
      </c>
      <c r="M34" s="2"/>
      <c r="N34" s="6">
        <f t="shared" si="24"/>
        <v>-1</v>
      </c>
      <c r="O34" s="11"/>
      <c r="P34" s="7">
        <v>30886.32</v>
      </c>
      <c r="Q34" s="2"/>
      <c r="R34" s="6">
        <f t="shared" si="25"/>
        <v>4.7387286978431878E-2</v>
      </c>
      <c r="S34" s="2"/>
      <c r="T34" s="7">
        <v>38267.120000000003</v>
      </c>
      <c r="U34" s="2"/>
      <c r="V34" s="6">
        <f t="shared" si="26"/>
        <v>4.1605003744079813E-2</v>
      </c>
      <c r="W34" s="2"/>
      <c r="X34" s="7">
        <f t="shared" si="27"/>
        <v>-7380.8000000000029</v>
      </c>
      <c r="Y34" s="2"/>
      <c r="Z34" s="6">
        <f t="shared" si="28"/>
        <v>-0.19287576384112529</v>
      </c>
    </row>
    <row r="35" spans="1:26" s="24" customFormat="1" hidden="1" outlineLevel="2" x14ac:dyDescent="0.3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1"/>
        <v>0</v>
      </c>
      <c r="G35" s="2"/>
      <c r="H35" s="7">
        <v>4850.1099999999997</v>
      </c>
      <c r="I35" s="2"/>
      <c r="J35" s="6">
        <f t="shared" si="22"/>
        <v>0.22951897227047793</v>
      </c>
      <c r="K35" s="2"/>
      <c r="L35" s="7">
        <f t="shared" si="23"/>
        <v>-4850.1099999999997</v>
      </c>
      <c r="M35" s="2"/>
      <c r="N35" s="6">
        <f t="shared" si="24"/>
        <v>-1</v>
      </c>
      <c r="O35" s="11"/>
      <c r="P35" s="7">
        <v>71622.42</v>
      </c>
      <c r="Q35" s="2"/>
      <c r="R35" s="6">
        <f t="shared" si="25"/>
        <v>0.10988658314197933</v>
      </c>
      <c r="S35" s="2"/>
      <c r="T35" s="7">
        <v>83511.14</v>
      </c>
      <c r="U35" s="2"/>
      <c r="V35" s="6">
        <f t="shared" si="26"/>
        <v>9.0795473826417394E-2</v>
      </c>
      <c r="W35" s="2"/>
      <c r="X35" s="7">
        <f t="shared" si="27"/>
        <v>-11888.720000000001</v>
      </c>
      <c r="Y35" s="2"/>
      <c r="Z35" s="6">
        <f t="shared" si="28"/>
        <v>-0.14236088742172603</v>
      </c>
    </row>
    <row r="36" spans="1:26" s="24" customFormat="1" hidden="1" outlineLevel="2" x14ac:dyDescent="0.3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1"/>
        <v>0</v>
      </c>
      <c r="G36" s="2"/>
      <c r="H36" s="7"/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>
        <v>200.5</v>
      </c>
      <c r="Q36" s="2"/>
      <c r="R36" s="6">
        <f t="shared" si="25"/>
        <v>3.0761680378807161E-4</v>
      </c>
      <c r="S36" s="2"/>
      <c r="T36" s="7">
        <v>616.69000000000005</v>
      </c>
      <c r="U36" s="2"/>
      <c r="V36" s="6">
        <f t="shared" si="26"/>
        <v>6.7048133643024565E-4</v>
      </c>
      <c r="W36" s="2"/>
      <c r="X36" s="7">
        <f t="shared" si="27"/>
        <v>-416.19000000000005</v>
      </c>
      <c r="Y36" s="2"/>
      <c r="Z36" s="6">
        <f t="shared" si="28"/>
        <v>-0.67487716680990451</v>
      </c>
    </row>
    <row r="37" spans="1:26" s="24" customFormat="1" hidden="1" outlineLevel="2" x14ac:dyDescent="0.3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1"/>
        <v>0</v>
      </c>
      <c r="G37" s="2"/>
      <c r="H37" s="7">
        <v>1275</v>
      </c>
      <c r="I37" s="2"/>
      <c r="J37" s="6">
        <f t="shared" si="22"/>
        <v>6.0336093334967533E-2</v>
      </c>
      <c r="K37" s="2"/>
      <c r="L37" s="7">
        <f t="shared" si="23"/>
        <v>-1275</v>
      </c>
      <c r="M37" s="2"/>
      <c r="N37" s="6">
        <f t="shared" si="24"/>
        <v>-1</v>
      </c>
      <c r="O37" s="11"/>
      <c r="P37" s="7">
        <v>73786.490000000005</v>
      </c>
      <c r="Q37" s="2"/>
      <c r="R37" s="6">
        <f t="shared" si="25"/>
        <v>0.11320680407252123</v>
      </c>
      <c r="S37" s="2"/>
      <c r="T37" s="7">
        <v>86776.8</v>
      </c>
      <c r="U37" s="2"/>
      <c r="V37" s="6">
        <f t="shared" si="26"/>
        <v>9.4345983938672814E-2</v>
      </c>
      <c r="W37" s="2"/>
      <c r="X37" s="7">
        <f t="shared" si="27"/>
        <v>-12990.309999999998</v>
      </c>
      <c r="Y37" s="2"/>
      <c r="Z37" s="6">
        <f t="shared" si="28"/>
        <v>-0.14969796074526828</v>
      </c>
    </row>
    <row r="38" spans="1:26" s="24" customFormat="1" hidden="1" outlineLevel="2" x14ac:dyDescent="0.3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1"/>
        <v>0</v>
      </c>
      <c r="G38" s="2"/>
      <c r="H38" s="7"/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>
        <v>1703</v>
      </c>
      <c r="Q38" s="2"/>
      <c r="R38" s="6">
        <f t="shared" si="25"/>
        <v>2.6128250217011765E-3</v>
      </c>
      <c r="S38" s="2"/>
      <c r="T38" s="7">
        <v>3601.2</v>
      </c>
      <c r="U38" s="2"/>
      <c r="V38" s="6">
        <f t="shared" si="26"/>
        <v>3.9153178886516728E-3</v>
      </c>
      <c r="W38" s="2"/>
      <c r="X38" s="7">
        <f t="shared" si="27"/>
        <v>-1898.1999999999998</v>
      </c>
      <c r="Y38" s="2"/>
      <c r="Z38" s="6">
        <f t="shared" si="28"/>
        <v>-0.5271020770854159</v>
      </c>
    </row>
    <row r="39" spans="1:26" s="25" customFormat="1" outlineLevel="1" collapsed="1" x14ac:dyDescent="0.3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47" si="29">IF(D$12=0,0,D39/D$12)</f>
        <v>0</v>
      </c>
      <c r="G39" s="1"/>
      <c r="H39" s="1">
        <f>SUM(OSRRefH22_2x_0)</f>
        <v>281.01</v>
      </c>
      <c r="I39" s="1"/>
      <c r="J39" s="5">
        <f t="shared" ref="J39:J47" si="30">IF(H$12=0,0,H39/H$12)</f>
        <v>1.3298074971026844E-2</v>
      </c>
      <c r="K39" s="1"/>
      <c r="L39" s="1">
        <f t="shared" ref="L39:L47" si="31">+D39-H39</f>
        <v>-281.01</v>
      </c>
      <c r="M39" s="1"/>
      <c r="N39" s="5">
        <f t="shared" ref="N39:N47" si="32">IF(H39=0,0,L39/H39)</f>
        <v>-1</v>
      </c>
      <c r="O39" s="12"/>
      <c r="P39" s="1">
        <f>SUM(OSRRefP22_2x_0)</f>
        <v>6418.96</v>
      </c>
      <c r="Q39" s="1"/>
      <c r="R39" s="5">
        <f t="shared" ref="R39:R47" si="33">IF(P$12=0,0,P39/P$12)</f>
        <v>9.8482790964762104E-3</v>
      </c>
      <c r="S39" s="1"/>
      <c r="T39" s="1">
        <f>SUM(OSRRefT22_2x_0)</f>
        <v>6859.28</v>
      </c>
      <c r="U39" s="1"/>
      <c r="V39" s="5">
        <f t="shared" ref="V39:V47" si="34">IF(T$12=0,0,T39/T$12)</f>
        <v>7.457586828632303E-3</v>
      </c>
      <c r="W39" s="1"/>
      <c r="X39" s="1">
        <f t="shared" ref="X39:X47" si="35">+P39-T39</f>
        <v>-440.31999999999971</v>
      </c>
      <c r="Y39" s="1"/>
      <c r="Z39" s="5">
        <f t="shared" ref="Z39:Z47" si="36">IF(T39=0,0,X39/T39)</f>
        <v>-6.4193326413267832E-2</v>
      </c>
    </row>
    <row r="40" spans="1:26" s="24" customFormat="1" hidden="1" outlineLevel="2" x14ac:dyDescent="0.35">
      <c r="A40" s="27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29"/>
        <v>0</v>
      </c>
      <c r="G40" s="2"/>
      <c r="H40" s="7">
        <v>281.01</v>
      </c>
      <c r="I40" s="2"/>
      <c r="J40" s="6">
        <f t="shared" si="30"/>
        <v>1.3298074971026844E-2</v>
      </c>
      <c r="K40" s="2"/>
      <c r="L40" s="7">
        <f t="shared" si="31"/>
        <v>-281.01</v>
      </c>
      <c r="M40" s="2"/>
      <c r="N40" s="6">
        <f t="shared" si="32"/>
        <v>-1</v>
      </c>
      <c r="O40" s="11"/>
      <c r="P40" s="7">
        <v>6418.96</v>
      </c>
      <c r="Q40" s="2"/>
      <c r="R40" s="6">
        <f t="shared" si="33"/>
        <v>9.8482790964762104E-3</v>
      </c>
      <c r="S40" s="2"/>
      <c r="T40" s="7">
        <v>6859.28</v>
      </c>
      <c r="U40" s="2"/>
      <c r="V40" s="6">
        <f t="shared" si="34"/>
        <v>7.457586828632303E-3</v>
      </c>
      <c r="W40" s="2"/>
      <c r="X40" s="7">
        <f t="shared" si="35"/>
        <v>-440.31999999999971</v>
      </c>
      <c r="Y40" s="2"/>
      <c r="Z40" s="6">
        <f t="shared" si="36"/>
        <v>-6.4193326413267832E-2</v>
      </c>
    </row>
    <row r="41" spans="1:26" s="25" customFormat="1" outlineLevel="1" collapsed="1" x14ac:dyDescent="0.3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1199.19</v>
      </c>
      <c r="I41" s="1"/>
      <c r="J41" s="5">
        <f t="shared" si="30"/>
        <v>5.6748580208909584E-2</v>
      </c>
      <c r="K41" s="1"/>
      <c r="L41" s="1">
        <f t="shared" si="31"/>
        <v>-1199.19</v>
      </c>
      <c r="M41" s="1"/>
      <c r="N41" s="5">
        <f t="shared" si="32"/>
        <v>-1</v>
      </c>
      <c r="O41" s="12"/>
      <c r="P41" s="1">
        <f>SUM(OSRRefP22_3x_0)</f>
        <v>-37.450000000000003</v>
      </c>
      <c r="Q41" s="1"/>
      <c r="R41" s="5">
        <f t="shared" si="33"/>
        <v>-5.7457602503058765E-5</v>
      </c>
      <c r="S41" s="1"/>
      <c r="T41" s="1">
        <f>SUM(OSRRefT22_3x_0)</f>
        <v>1213.48</v>
      </c>
      <c r="U41" s="1"/>
      <c r="V41" s="5">
        <f t="shared" si="34"/>
        <v>1.3193268775744287E-3</v>
      </c>
      <c r="W41" s="1"/>
      <c r="X41" s="1">
        <f t="shared" si="35"/>
        <v>-1250.93</v>
      </c>
      <c r="Y41" s="1"/>
      <c r="Z41" s="5">
        <f t="shared" si="36"/>
        <v>-1.0308616540857698</v>
      </c>
    </row>
    <row r="42" spans="1:26" s="24" customFormat="1" hidden="1" outlineLevel="2" x14ac:dyDescent="0.35">
      <c r="A42" s="27"/>
      <c r="B42" s="11" t="str">
        <f>CONCATENATE("          ", "6272", " - ", "CASH (OVER/SHORT)")</f>
        <v xml:space="preserve">          6272 - CASH (OVER/SHORT)</v>
      </c>
      <c r="C42" s="11"/>
      <c r="D42" s="7"/>
      <c r="E42" s="2"/>
      <c r="F42" s="6">
        <f t="shared" si="29"/>
        <v>0</v>
      </c>
      <c r="G42" s="2"/>
      <c r="H42" s="7">
        <v>1199.19</v>
      </c>
      <c r="I42" s="2"/>
      <c r="J42" s="6">
        <f t="shared" si="30"/>
        <v>5.6748580208909584E-2</v>
      </c>
      <c r="K42" s="2"/>
      <c r="L42" s="7">
        <f t="shared" si="31"/>
        <v>-1199.19</v>
      </c>
      <c r="M42" s="2"/>
      <c r="N42" s="6">
        <f t="shared" si="32"/>
        <v>-1</v>
      </c>
      <c r="O42" s="11"/>
      <c r="P42" s="7">
        <v>-37.450000000000003</v>
      </c>
      <c r="Q42" s="2"/>
      <c r="R42" s="6">
        <f t="shared" si="33"/>
        <v>-5.7457602503058765E-5</v>
      </c>
      <c r="S42" s="2"/>
      <c r="T42" s="7">
        <v>1213.48</v>
      </c>
      <c r="U42" s="2"/>
      <c r="V42" s="6">
        <f t="shared" si="34"/>
        <v>1.3193268775744287E-3</v>
      </c>
      <c r="W42" s="2"/>
      <c r="X42" s="7">
        <f t="shared" si="35"/>
        <v>-1250.93</v>
      </c>
      <c r="Y42" s="2"/>
      <c r="Z42" s="6">
        <f t="shared" si="36"/>
        <v>-1.0308616540857698</v>
      </c>
    </row>
    <row r="43" spans="1:26" s="25" customFormat="1" outlineLevel="1" collapsed="1" x14ac:dyDescent="0.3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1424.13</v>
      </c>
      <c r="I43" s="1"/>
      <c r="J43" s="5">
        <f t="shared" si="30"/>
        <v>6.7393286745982203E-2</v>
      </c>
      <c r="K43" s="1"/>
      <c r="L43" s="1">
        <f t="shared" si="31"/>
        <v>-1424.13</v>
      </c>
      <c r="M43" s="1"/>
      <c r="N43" s="5">
        <f t="shared" si="32"/>
        <v>-1</v>
      </c>
      <c r="O43" s="12"/>
      <c r="P43" s="1">
        <f>SUM(OSRRefP22_4x_0)</f>
        <v>27203.670000000002</v>
      </c>
      <c r="Q43" s="1"/>
      <c r="R43" s="5">
        <f t="shared" si="33"/>
        <v>4.1737187115737907E-2</v>
      </c>
      <c r="S43" s="1"/>
      <c r="T43" s="1">
        <f>SUM(OSRRefT22_4x_0)</f>
        <v>39189.21</v>
      </c>
      <c r="U43" s="1"/>
      <c r="V43" s="5">
        <f t="shared" si="34"/>
        <v>4.2607523868468021E-2</v>
      </c>
      <c r="W43" s="1"/>
      <c r="X43" s="1">
        <f t="shared" si="35"/>
        <v>-11985.539999999997</v>
      </c>
      <c r="Y43" s="1"/>
      <c r="Z43" s="5">
        <f t="shared" si="36"/>
        <v>-0.3058377548309853</v>
      </c>
    </row>
    <row r="44" spans="1:26" s="24" customFormat="1" hidden="1" outlineLevel="2" x14ac:dyDescent="0.35">
      <c r="A44" s="27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9"/>
        <v>0</v>
      </c>
      <c r="G44" s="2"/>
      <c r="H44" s="7">
        <v>1424.13</v>
      </c>
      <c r="I44" s="2"/>
      <c r="J44" s="6">
        <f t="shared" si="30"/>
        <v>6.7393286745982203E-2</v>
      </c>
      <c r="K44" s="2"/>
      <c r="L44" s="7">
        <f t="shared" si="31"/>
        <v>-1424.13</v>
      </c>
      <c r="M44" s="2"/>
      <c r="N44" s="6">
        <f t="shared" si="32"/>
        <v>-1</v>
      </c>
      <c r="O44" s="11"/>
      <c r="P44" s="7">
        <v>27203.670000000002</v>
      </c>
      <c r="Q44" s="2"/>
      <c r="R44" s="6">
        <f t="shared" si="33"/>
        <v>4.1737187115737907E-2</v>
      </c>
      <c r="S44" s="2"/>
      <c r="T44" s="7">
        <v>39189.21</v>
      </c>
      <c r="U44" s="2"/>
      <c r="V44" s="6">
        <f t="shared" si="34"/>
        <v>4.2607523868468021E-2</v>
      </c>
      <c r="W44" s="2"/>
      <c r="X44" s="7">
        <f t="shared" si="35"/>
        <v>-11985.539999999997</v>
      </c>
      <c r="Y44" s="2"/>
      <c r="Z44" s="6">
        <f t="shared" si="36"/>
        <v>-0.3058377548309853</v>
      </c>
    </row>
    <row r="45" spans="1:26" s="25" customFormat="1" outlineLevel="1" collapsed="1" x14ac:dyDescent="0.3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13686.800000000001</v>
      </c>
      <c r="E45" s="1"/>
      <c r="F45" s="5">
        <f t="shared" si="29"/>
        <v>0</v>
      </c>
      <c r="G45" s="1"/>
      <c r="H45" s="1">
        <f>SUM(OSRRefH22_5x_0)</f>
        <v>13266.83</v>
      </c>
      <c r="I45" s="1"/>
      <c r="J45" s="5">
        <f t="shared" si="30"/>
        <v>0.6278185828542332</v>
      </c>
      <c r="K45" s="1"/>
      <c r="L45" s="1">
        <f t="shared" si="31"/>
        <v>419.97000000000116</v>
      </c>
      <c r="M45" s="1"/>
      <c r="N45" s="5">
        <f t="shared" si="32"/>
        <v>3.1655640420507475E-2</v>
      </c>
      <c r="O45" s="12"/>
      <c r="P45" s="1">
        <f>SUM(OSRRefP22_5x_0)</f>
        <v>161961.41999999998</v>
      </c>
      <c r="Q45" s="1"/>
      <c r="R45" s="5">
        <f t="shared" si="33"/>
        <v>0.24848904916397729</v>
      </c>
      <c r="S45" s="1"/>
      <c r="T45" s="1">
        <f>SUM(OSRRefT22_5x_0)</f>
        <v>159202.73000000001</v>
      </c>
      <c r="U45" s="1"/>
      <c r="V45" s="5">
        <f t="shared" si="34"/>
        <v>0.17308933041519006</v>
      </c>
      <c r="W45" s="1"/>
      <c r="X45" s="1">
        <f t="shared" si="35"/>
        <v>2758.6899999999732</v>
      </c>
      <c r="Y45" s="1"/>
      <c r="Z45" s="5">
        <f t="shared" si="36"/>
        <v>1.7328157626442544E-2</v>
      </c>
    </row>
    <row r="46" spans="1:26" s="24" customFormat="1" hidden="1" outlineLevel="2" x14ac:dyDescent="0.35">
      <c r="A46" s="27"/>
      <c r="B46" s="11" t="str">
        <f>CONCATENATE("          ", "6321", " - ", "BUILDING DEPRECIATION")</f>
        <v xml:space="preserve">          6321 - BUILDING DEPRECIATION</v>
      </c>
      <c r="C46" s="11"/>
      <c r="D46" s="7">
        <v>10597.27</v>
      </c>
      <c r="E46" s="2"/>
      <c r="F46" s="6">
        <f t="shared" si="29"/>
        <v>0</v>
      </c>
      <c r="G46" s="2"/>
      <c r="H46" s="7">
        <v>10612.47</v>
      </c>
      <c r="I46" s="2"/>
      <c r="J46" s="6">
        <f t="shared" si="30"/>
        <v>0.50220782779179829</v>
      </c>
      <c r="K46" s="2"/>
      <c r="L46" s="7">
        <f t="shared" si="31"/>
        <v>-15.199999999998909</v>
      </c>
      <c r="M46" s="2"/>
      <c r="N46" s="6">
        <f t="shared" si="32"/>
        <v>-1.432277311502309E-3</v>
      </c>
      <c r="O46" s="11"/>
      <c r="P46" s="7">
        <v>127334.33</v>
      </c>
      <c r="Q46" s="2"/>
      <c r="R46" s="6">
        <f t="shared" si="33"/>
        <v>0.19536249180596288</v>
      </c>
      <c r="S46" s="2"/>
      <c r="T46" s="7">
        <v>127349.53</v>
      </c>
      <c r="U46" s="2"/>
      <c r="V46" s="6">
        <f t="shared" si="34"/>
        <v>0.13845770657569226</v>
      </c>
      <c r="W46" s="2"/>
      <c r="X46" s="7">
        <f t="shared" si="35"/>
        <v>-15.19999999999709</v>
      </c>
      <c r="Y46" s="2"/>
      <c r="Z46" s="6">
        <f t="shared" si="36"/>
        <v>-1.1935654572103321E-4</v>
      </c>
    </row>
    <row r="47" spans="1:26" s="24" customFormat="1" hidden="1" outlineLevel="2" x14ac:dyDescent="0.3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3089.53</v>
      </c>
      <c r="E47" s="2"/>
      <c r="F47" s="6">
        <f t="shared" si="29"/>
        <v>0</v>
      </c>
      <c r="G47" s="2"/>
      <c r="H47" s="7">
        <v>2654.36</v>
      </c>
      <c r="I47" s="2"/>
      <c r="J47" s="6">
        <f t="shared" si="30"/>
        <v>0.12561075506243485</v>
      </c>
      <c r="K47" s="2"/>
      <c r="L47" s="7">
        <f t="shared" si="31"/>
        <v>435.17000000000007</v>
      </c>
      <c r="M47" s="2"/>
      <c r="N47" s="6">
        <f t="shared" si="32"/>
        <v>0.16394535782636871</v>
      </c>
      <c r="O47" s="11"/>
      <c r="P47" s="7">
        <v>34627.089999999997</v>
      </c>
      <c r="Q47" s="2"/>
      <c r="R47" s="6">
        <f t="shared" si="33"/>
        <v>5.3126557358014435E-2</v>
      </c>
      <c r="S47" s="2"/>
      <c r="T47" s="7">
        <v>31853.200000000001</v>
      </c>
      <c r="U47" s="2"/>
      <c r="V47" s="6">
        <f t="shared" si="34"/>
        <v>3.4631623839497805E-2</v>
      </c>
      <c r="W47" s="2"/>
      <c r="X47" s="7">
        <f t="shared" si="35"/>
        <v>2773.8899999999958</v>
      </c>
      <c r="Y47" s="2"/>
      <c r="Z47" s="6">
        <f t="shared" si="36"/>
        <v>8.7083558323810345E-2</v>
      </c>
    </row>
    <row r="48" spans="1:26" s="25" customFormat="1" outlineLevel="1" collapsed="1" x14ac:dyDescent="0.35">
      <c r="A48" s="26"/>
      <c r="B48" s="12" t="str">
        <f>CONCATENATE("     ","Employees' Appreciation                           ")</f>
        <v xml:space="preserve">     Employees' Appreciation                           </v>
      </c>
      <c r="C48" s="12"/>
      <c r="D48" s="1">
        <f>SUM(OSRRefD22_6x_0)</f>
        <v>0</v>
      </c>
      <c r="E48" s="1"/>
      <c r="F48" s="5">
        <f t="shared" ref="F48:F62" si="37">IF(D$12=0,0,D48/D$12)</f>
        <v>0</v>
      </c>
      <c r="G48" s="1"/>
      <c r="H48" s="1">
        <f>SUM(OSRRefH22_6x_0)</f>
        <v>0</v>
      </c>
      <c r="I48" s="1"/>
      <c r="J48" s="5">
        <f t="shared" ref="J48:J62" si="38">IF(H$12=0,0,H48/H$12)</f>
        <v>0</v>
      </c>
      <c r="K48" s="1"/>
      <c r="L48" s="1">
        <f t="shared" ref="L48:L62" si="39">+D48-H48</f>
        <v>0</v>
      </c>
      <c r="M48" s="1"/>
      <c r="N48" s="5">
        <f t="shared" ref="N48:N62" si="40">IF(H48=0,0,L48/H48)</f>
        <v>0</v>
      </c>
      <c r="O48" s="12"/>
      <c r="P48" s="1">
        <f>SUM(OSRRefP22_6x_0)</f>
        <v>146.37</v>
      </c>
      <c r="Q48" s="1"/>
      <c r="R48" s="5">
        <f t="shared" ref="R48:R62" si="41">IF(P$12=0,0,P48/P$12)</f>
        <v>2.2456793800728199E-4</v>
      </c>
      <c r="S48" s="1"/>
      <c r="T48" s="1">
        <f>SUM(OSRRefT22_6x_0)</f>
        <v>313.64999999999998</v>
      </c>
      <c r="U48" s="1"/>
      <c r="V48" s="5">
        <f t="shared" ref="V48:V62" si="42">IF(T$12=0,0,T48/T$12)</f>
        <v>3.4100840158158316E-4</v>
      </c>
      <c r="W48" s="1"/>
      <c r="X48" s="1">
        <f t="shared" ref="X48:X62" si="43">+P48-T48</f>
        <v>-167.27999999999997</v>
      </c>
      <c r="Y48" s="1"/>
      <c r="Z48" s="5">
        <f t="shared" ref="Z48:Z62" si="44">IF(T48=0,0,X48/T48)</f>
        <v>-0.53333333333333333</v>
      </c>
    </row>
    <row r="49" spans="1:26" s="24" customFormat="1" hidden="1" outlineLevel="2" x14ac:dyDescent="0.35">
      <c r="A49" s="27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7"/>
        <v>0</v>
      </c>
      <c r="G49" s="2"/>
      <c r="H49" s="7"/>
      <c r="I49" s="2"/>
      <c r="J49" s="6">
        <f t="shared" si="38"/>
        <v>0</v>
      </c>
      <c r="K49" s="2"/>
      <c r="L49" s="7">
        <f t="shared" si="39"/>
        <v>0</v>
      </c>
      <c r="M49" s="2"/>
      <c r="N49" s="6">
        <f t="shared" si="40"/>
        <v>0</v>
      </c>
      <c r="O49" s="11"/>
      <c r="P49" s="7">
        <v>146.37</v>
      </c>
      <c r="Q49" s="2"/>
      <c r="R49" s="6">
        <f t="shared" si="41"/>
        <v>2.2456793800728199E-4</v>
      </c>
      <c r="S49" s="2"/>
      <c r="T49" s="7">
        <v>313.64999999999998</v>
      </c>
      <c r="U49" s="2"/>
      <c r="V49" s="6">
        <f t="shared" si="42"/>
        <v>3.4100840158158316E-4</v>
      </c>
      <c r="W49" s="2"/>
      <c r="X49" s="7">
        <f t="shared" si="43"/>
        <v>-167.27999999999997</v>
      </c>
      <c r="Y49" s="2"/>
      <c r="Z49" s="6">
        <f t="shared" si="44"/>
        <v>-0.53333333333333333</v>
      </c>
    </row>
    <row r="50" spans="1:26" s="25" customFormat="1" outlineLevel="1" collapsed="1" x14ac:dyDescent="0.35">
      <c r="A50" s="26"/>
      <c r="B50" s="12" t="str">
        <f>CONCATENATE("     ","Equipment Rental                                  ")</f>
        <v xml:space="preserve">     Equipment Rental                                  </v>
      </c>
      <c r="C50" s="12"/>
      <c r="D50" s="1">
        <f>SUM(OSRRefD22_7x_0)</f>
        <v>36.270000000000003</v>
      </c>
      <c r="E50" s="1"/>
      <c r="F50" s="5">
        <f t="shared" si="37"/>
        <v>0</v>
      </c>
      <c r="G50" s="1"/>
      <c r="H50" s="1">
        <f>SUM(OSRRefH22_7x_0)</f>
        <v>108</v>
      </c>
      <c r="I50" s="1"/>
      <c r="J50" s="5">
        <f t="shared" si="38"/>
        <v>5.1108220236678378E-3</v>
      </c>
      <c r="K50" s="1"/>
      <c r="L50" s="1">
        <f t="shared" si="39"/>
        <v>-71.72999999999999</v>
      </c>
      <c r="M50" s="1"/>
      <c r="N50" s="5">
        <f t="shared" si="40"/>
        <v>-0.66416666666666657</v>
      </c>
      <c r="O50" s="12"/>
      <c r="P50" s="1">
        <f>SUM(OSRRefP22_7x_0)</f>
        <v>1082.9000000000001</v>
      </c>
      <c r="Q50" s="1"/>
      <c r="R50" s="5">
        <f t="shared" si="41"/>
        <v>1.661437590135176E-3</v>
      </c>
      <c r="S50" s="1"/>
      <c r="T50" s="1">
        <f>SUM(OSRRefT22_7x_0)</f>
        <v>1481.46</v>
      </c>
      <c r="U50" s="1"/>
      <c r="V50" s="5">
        <f t="shared" si="42"/>
        <v>1.6106816725874452E-3</v>
      </c>
      <c r="W50" s="1"/>
      <c r="X50" s="1">
        <f t="shared" si="43"/>
        <v>-398.55999999999995</v>
      </c>
      <c r="Y50" s="1"/>
      <c r="Z50" s="5">
        <f t="shared" si="44"/>
        <v>-0.26903190096256391</v>
      </c>
    </row>
    <row r="51" spans="1:26" s="24" customFormat="1" hidden="1" outlineLevel="2" x14ac:dyDescent="0.35">
      <c r="A51" s="27"/>
      <c r="B51" s="11" t="str">
        <f>CONCATENATE("          ", "6351", " - ", "EQUIPMENT RENTAL")</f>
        <v xml:space="preserve">          6351 - EQUIPMENT RENTAL</v>
      </c>
      <c r="C51" s="11"/>
      <c r="D51" s="7">
        <v>36.270000000000003</v>
      </c>
      <c r="E51" s="2"/>
      <c r="F51" s="6">
        <f t="shared" si="37"/>
        <v>0</v>
      </c>
      <c r="G51" s="2"/>
      <c r="H51" s="7">
        <v>108</v>
      </c>
      <c r="I51" s="2"/>
      <c r="J51" s="6">
        <f t="shared" si="38"/>
        <v>5.1108220236678378E-3</v>
      </c>
      <c r="K51" s="2"/>
      <c r="L51" s="7">
        <f t="shared" si="39"/>
        <v>-71.72999999999999</v>
      </c>
      <c r="M51" s="2"/>
      <c r="N51" s="6">
        <f t="shared" si="40"/>
        <v>-0.66416666666666657</v>
      </c>
      <c r="O51" s="11"/>
      <c r="P51" s="7">
        <v>1082.9000000000001</v>
      </c>
      <c r="Q51" s="2"/>
      <c r="R51" s="6">
        <f t="shared" si="41"/>
        <v>1.661437590135176E-3</v>
      </c>
      <c r="S51" s="2"/>
      <c r="T51" s="7">
        <v>1481.46</v>
      </c>
      <c r="U51" s="2"/>
      <c r="V51" s="6">
        <f t="shared" si="42"/>
        <v>1.6106816725874452E-3</v>
      </c>
      <c r="W51" s="2"/>
      <c r="X51" s="7">
        <f t="shared" si="43"/>
        <v>-398.55999999999995</v>
      </c>
      <c r="Y51" s="2"/>
      <c r="Z51" s="6">
        <f t="shared" si="44"/>
        <v>-0.26903190096256391</v>
      </c>
    </row>
    <row r="52" spans="1:26" s="25" customFormat="1" outlineLevel="1" collapsed="1" x14ac:dyDescent="0.35">
      <c r="A52" s="26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0</v>
      </c>
      <c r="I52" s="1"/>
      <c r="J52" s="5">
        <f t="shared" si="38"/>
        <v>0</v>
      </c>
      <c r="K52" s="1"/>
      <c r="L52" s="1">
        <f t="shared" si="39"/>
        <v>0</v>
      </c>
      <c r="M52" s="1"/>
      <c r="N52" s="5">
        <f t="shared" si="40"/>
        <v>0</v>
      </c>
      <c r="O52" s="12"/>
      <c r="P52" s="1">
        <f>SUM(OSRRefP22_8x_0)</f>
        <v>1937.01</v>
      </c>
      <c r="Q52" s="1"/>
      <c r="R52" s="5">
        <f t="shared" si="41"/>
        <v>2.9718544893044016E-3</v>
      </c>
      <c r="S52" s="1"/>
      <c r="T52" s="1">
        <f>SUM(OSRRefT22_8x_0)</f>
        <v>2037.97</v>
      </c>
      <c r="U52" s="1"/>
      <c r="V52" s="5">
        <f t="shared" si="42"/>
        <v>2.2157337547304931E-3</v>
      </c>
      <c r="W52" s="1"/>
      <c r="X52" s="1">
        <f t="shared" si="43"/>
        <v>-100.96000000000004</v>
      </c>
      <c r="Y52" s="1"/>
      <c r="Z52" s="5">
        <f t="shared" si="44"/>
        <v>-4.953949273051126E-2</v>
      </c>
    </row>
    <row r="53" spans="1:26" s="24" customFormat="1" hidden="1" outlineLevel="2" x14ac:dyDescent="0.35">
      <c r="A53" s="27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7"/>
        <v>0</v>
      </c>
      <c r="G53" s="2"/>
      <c r="H53" s="7"/>
      <c r="I53" s="2"/>
      <c r="J53" s="6">
        <f t="shared" si="38"/>
        <v>0</v>
      </c>
      <c r="K53" s="2"/>
      <c r="L53" s="7">
        <f t="shared" si="39"/>
        <v>0</v>
      </c>
      <c r="M53" s="2"/>
      <c r="N53" s="6">
        <f t="shared" si="40"/>
        <v>0</v>
      </c>
      <c r="O53" s="11"/>
      <c r="P53" s="7">
        <v>1937.01</v>
      </c>
      <c r="Q53" s="2"/>
      <c r="R53" s="6">
        <f t="shared" si="41"/>
        <v>2.9718544893044016E-3</v>
      </c>
      <c r="S53" s="2"/>
      <c r="T53" s="7">
        <v>2037.97</v>
      </c>
      <c r="U53" s="2"/>
      <c r="V53" s="6">
        <f t="shared" si="42"/>
        <v>2.2157337547304931E-3</v>
      </c>
      <c r="W53" s="2"/>
      <c r="X53" s="7">
        <f t="shared" si="43"/>
        <v>-100.96000000000004</v>
      </c>
      <c r="Y53" s="2"/>
      <c r="Z53" s="6">
        <f t="shared" si="44"/>
        <v>-4.953949273051126E-2</v>
      </c>
    </row>
    <row r="54" spans="1:26" s="25" customFormat="1" outlineLevel="1" collapsed="1" x14ac:dyDescent="0.35">
      <c r="A54" s="26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SUM(OSRRefD22_9x_0)</f>
        <v>641.28</v>
      </c>
      <c r="E54" s="1"/>
      <c r="F54" s="5">
        <f t="shared" si="37"/>
        <v>0</v>
      </c>
      <c r="G54" s="1"/>
      <c r="H54" s="1">
        <f>SUM(OSRRefH22_9x_0)</f>
        <v>604.16</v>
      </c>
      <c r="I54" s="1"/>
      <c r="J54" s="5">
        <f t="shared" si="38"/>
        <v>2.8590316979807046E-2</v>
      </c>
      <c r="K54" s="1"/>
      <c r="L54" s="1">
        <f t="shared" si="39"/>
        <v>37.120000000000005</v>
      </c>
      <c r="M54" s="1"/>
      <c r="N54" s="5">
        <f t="shared" si="40"/>
        <v>6.1440677966101705E-2</v>
      </c>
      <c r="O54" s="12"/>
      <c r="P54" s="1">
        <f>SUM(OSRRefP22_9x_0)</f>
        <v>7695.36</v>
      </c>
      <c r="Q54" s="1"/>
      <c r="R54" s="5">
        <f t="shared" si="41"/>
        <v>1.1806593751613838E-2</v>
      </c>
      <c r="S54" s="1"/>
      <c r="T54" s="1">
        <f>SUM(OSRRefT22_9x_0)</f>
        <v>6171.95</v>
      </c>
      <c r="U54" s="1"/>
      <c r="V54" s="5">
        <f t="shared" si="42"/>
        <v>6.710303855066004E-3</v>
      </c>
      <c r="W54" s="1"/>
      <c r="X54" s="1">
        <f t="shared" si="43"/>
        <v>1523.4099999999999</v>
      </c>
      <c r="Y54" s="1"/>
      <c r="Z54" s="5">
        <f t="shared" si="44"/>
        <v>0.24682798791305827</v>
      </c>
    </row>
    <row r="55" spans="1:26" s="24" customFormat="1" hidden="1" outlineLevel="2" x14ac:dyDescent="0.35">
      <c r="A55" s="27"/>
      <c r="B55" s="11" t="str">
        <f>CONCATENATE("          ", "6314", " - ", "LIABILITY INSURANCE")</f>
        <v xml:space="preserve">          6314 - LIABILITY INSURANCE</v>
      </c>
      <c r="C55" s="11"/>
      <c r="D55" s="7">
        <v>641.28</v>
      </c>
      <c r="E55" s="2"/>
      <c r="F55" s="6">
        <f t="shared" si="37"/>
        <v>0</v>
      </c>
      <c r="G55" s="2"/>
      <c r="H55" s="7">
        <v>604.16</v>
      </c>
      <c r="I55" s="2"/>
      <c r="J55" s="6">
        <f t="shared" si="38"/>
        <v>2.8590316979807046E-2</v>
      </c>
      <c r="K55" s="2"/>
      <c r="L55" s="7">
        <f t="shared" si="39"/>
        <v>37.120000000000005</v>
      </c>
      <c r="M55" s="2"/>
      <c r="N55" s="6">
        <f t="shared" si="40"/>
        <v>6.1440677966101705E-2</v>
      </c>
      <c r="O55" s="11"/>
      <c r="P55" s="7">
        <v>7695.36</v>
      </c>
      <c r="Q55" s="2"/>
      <c r="R55" s="6">
        <f t="shared" si="41"/>
        <v>1.1806593751613838E-2</v>
      </c>
      <c r="S55" s="2"/>
      <c r="T55" s="7">
        <v>6171.95</v>
      </c>
      <c r="U55" s="2"/>
      <c r="V55" s="6">
        <f t="shared" si="42"/>
        <v>6.710303855066004E-3</v>
      </c>
      <c r="W55" s="2"/>
      <c r="X55" s="7">
        <f t="shared" si="43"/>
        <v>1523.4099999999999</v>
      </c>
      <c r="Y55" s="2"/>
      <c r="Z55" s="6">
        <f t="shared" si="44"/>
        <v>0.24682798791305827</v>
      </c>
    </row>
    <row r="56" spans="1:26" s="25" customFormat="1" outlineLevel="1" collapsed="1" x14ac:dyDescent="0.35">
      <c r="A56" s="26"/>
      <c r="B56" s="12" t="str">
        <f>CONCATENATE("     ","Interest                                          ")</f>
        <v xml:space="preserve">     Interest                                          </v>
      </c>
      <c r="C56" s="12"/>
      <c r="D56" s="1">
        <f>SUM(OSRRefD22_10x_0)</f>
        <v>7754</v>
      </c>
      <c r="E56" s="1"/>
      <c r="F56" s="5">
        <f t="shared" si="37"/>
        <v>0</v>
      </c>
      <c r="G56" s="1"/>
      <c r="H56" s="1">
        <f>SUM(OSRRefH22_10x_0)</f>
        <v>-376.7</v>
      </c>
      <c r="I56" s="1"/>
      <c r="J56" s="5">
        <f t="shared" si="38"/>
        <v>-1.7826357928848839E-2</v>
      </c>
      <c r="K56" s="1"/>
      <c r="L56" s="1">
        <f t="shared" si="39"/>
        <v>8130.7</v>
      </c>
      <c r="M56" s="1"/>
      <c r="N56" s="5">
        <f t="shared" si="40"/>
        <v>-21.584019113352802</v>
      </c>
      <c r="O56" s="12"/>
      <c r="P56" s="1">
        <f>SUM(OSRRefP22_10x_0)</f>
        <v>90704.280000000013</v>
      </c>
      <c r="Q56" s="1"/>
      <c r="R56" s="5">
        <f t="shared" si="41"/>
        <v>0.13916289627679956</v>
      </c>
      <c r="S56" s="1"/>
      <c r="T56" s="1">
        <f>SUM(OSRRefT22_10x_0)</f>
        <v>85492.9</v>
      </c>
      <c r="U56" s="1"/>
      <c r="V56" s="5">
        <f t="shared" si="42"/>
        <v>9.2950094613658954E-2</v>
      </c>
      <c r="W56" s="1"/>
      <c r="X56" s="1">
        <f t="shared" si="43"/>
        <v>5211.3800000000192</v>
      </c>
      <c r="Y56" s="1"/>
      <c r="Z56" s="5">
        <f t="shared" si="44"/>
        <v>6.0956874781414823E-2</v>
      </c>
    </row>
    <row r="57" spans="1:26" s="24" customFormat="1" hidden="1" outlineLevel="2" x14ac:dyDescent="0.35">
      <c r="A57" s="27"/>
      <c r="B57" s="11" t="str">
        <f>CONCATENATE("          ", "6401", " - ", "INTEREST EXPENSE")</f>
        <v xml:space="preserve">          6401 - INTEREST EXPENSE</v>
      </c>
      <c r="C57" s="11"/>
      <c r="D57" s="7">
        <v>7754</v>
      </c>
      <c r="E57" s="2"/>
      <c r="F57" s="6">
        <f t="shared" si="37"/>
        <v>0</v>
      </c>
      <c r="G57" s="2"/>
      <c r="H57" s="7">
        <v>-376.7</v>
      </c>
      <c r="I57" s="2"/>
      <c r="J57" s="6">
        <f t="shared" si="38"/>
        <v>-1.7826357928848839E-2</v>
      </c>
      <c r="K57" s="2"/>
      <c r="L57" s="7">
        <f t="shared" si="39"/>
        <v>8130.7</v>
      </c>
      <c r="M57" s="2"/>
      <c r="N57" s="6">
        <f t="shared" si="40"/>
        <v>-21.584019113352802</v>
      </c>
      <c r="O57" s="11"/>
      <c r="P57" s="7">
        <v>90704.280000000013</v>
      </c>
      <c r="Q57" s="2"/>
      <c r="R57" s="6">
        <f t="shared" si="41"/>
        <v>0.13916289627679956</v>
      </c>
      <c r="S57" s="2"/>
      <c r="T57" s="7">
        <v>85492.9</v>
      </c>
      <c r="U57" s="2"/>
      <c r="V57" s="6">
        <f t="shared" si="42"/>
        <v>9.2950094613658954E-2</v>
      </c>
      <c r="W57" s="2"/>
      <c r="X57" s="7">
        <f t="shared" si="43"/>
        <v>5211.3800000000192</v>
      </c>
      <c r="Y57" s="2"/>
      <c r="Z57" s="6">
        <f t="shared" si="44"/>
        <v>6.0956874781414823E-2</v>
      </c>
    </row>
    <row r="58" spans="1:26" s="25" customFormat="1" outlineLevel="1" collapsed="1" x14ac:dyDescent="0.35">
      <c r="A58" s="26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SUM(OSRRefD22_11x_0)</f>
        <v>108.52</v>
      </c>
      <c r="E58" s="1"/>
      <c r="F58" s="5">
        <f t="shared" si="37"/>
        <v>0</v>
      </c>
      <c r="G58" s="1"/>
      <c r="H58" s="1">
        <f>SUM(OSRRefH22_11x_0)</f>
        <v>318.33</v>
      </c>
      <c r="I58" s="1"/>
      <c r="J58" s="5">
        <f t="shared" si="38"/>
        <v>1.5064147914760951E-2</v>
      </c>
      <c r="K58" s="1"/>
      <c r="L58" s="1">
        <f t="shared" si="39"/>
        <v>-209.81</v>
      </c>
      <c r="M58" s="1"/>
      <c r="N58" s="5">
        <f t="shared" si="40"/>
        <v>-0.65909590676342167</v>
      </c>
      <c r="O58" s="12"/>
      <c r="P58" s="1">
        <f>SUM(OSRRefP22_11x_0)</f>
        <v>24724.98</v>
      </c>
      <c r="Q58" s="1"/>
      <c r="R58" s="5">
        <f t="shared" si="41"/>
        <v>3.7934260954234383E-2</v>
      </c>
      <c r="S58" s="1"/>
      <c r="T58" s="1">
        <f>SUM(OSRRefT22_11x_0)</f>
        <v>19408.489999999998</v>
      </c>
      <c r="U58" s="1"/>
      <c r="V58" s="5">
        <f t="shared" si="42"/>
        <v>2.1101412887014635E-2</v>
      </c>
      <c r="W58" s="1"/>
      <c r="X58" s="1">
        <f t="shared" si="43"/>
        <v>5316.4900000000016</v>
      </c>
      <c r="Y58" s="1"/>
      <c r="Z58" s="5">
        <f t="shared" si="44"/>
        <v>0.27392599836463333</v>
      </c>
    </row>
    <row r="59" spans="1:26" s="24" customFormat="1" hidden="1" outlineLevel="2" x14ac:dyDescent="0.3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0</v>
      </c>
      <c r="M59" s="2"/>
      <c r="N59" s="6">
        <f t="shared" si="40"/>
        <v>0</v>
      </c>
      <c r="O59" s="11"/>
      <c r="P59" s="7">
        <v>2623.84</v>
      </c>
      <c r="Q59" s="2"/>
      <c r="R59" s="6">
        <f t="shared" si="41"/>
        <v>4.0256223164653058E-3</v>
      </c>
      <c r="S59" s="2"/>
      <c r="T59" s="7">
        <v>171.43</v>
      </c>
      <c r="U59" s="2"/>
      <c r="V59" s="6">
        <f t="shared" si="42"/>
        <v>1.8638313496933145E-4</v>
      </c>
      <c r="W59" s="2"/>
      <c r="X59" s="7">
        <f t="shared" si="43"/>
        <v>2452.4100000000003</v>
      </c>
      <c r="Y59" s="2"/>
      <c r="Z59" s="6">
        <f t="shared" si="44"/>
        <v>14.305605786618447</v>
      </c>
    </row>
    <row r="60" spans="1:26" s="24" customFormat="1" hidden="1" outlineLevel="2" x14ac:dyDescent="0.35">
      <c r="A60" s="27"/>
      <c r="B60" s="11" t="str">
        <f>CONCATENATE("          ", "6372", " - ", "COMPUTER HARDWARE MAINTENANCE")</f>
        <v xml:space="preserve">          6372 - COMPUTER HARDWARE MAINTENANCE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-0.01</v>
      </c>
      <c r="Q60" s="2"/>
      <c r="R60" s="6">
        <f t="shared" si="41"/>
        <v>-1.5342483979454943E-8</v>
      </c>
      <c r="S60" s="2"/>
      <c r="T60" s="7">
        <v>880.96</v>
      </c>
      <c r="U60" s="2"/>
      <c r="V60" s="6">
        <f t="shared" si="42"/>
        <v>9.5780252337736814E-4</v>
      </c>
      <c r="W60" s="2"/>
      <c r="X60" s="7">
        <f t="shared" si="43"/>
        <v>-880.97</v>
      </c>
      <c r="Y60" s="2"/>
      <c r="Z60" s="6">
        <f t="shared" si="44"/>
        <v>-1.0000113512531783</v>
      </c>
    </row>
    <row r="61" spans="1:26" s="24" customFormat="1" hidden="1" outlineLevel="2" x14ac:dyDescent="0.35">
      <c r="A61" s="27"/>
      <c r="B61" s="11" t="str">
        <f>CONCATENATE("          ", "6373", " - ", "MAINTENANCE CONTRACTS")</f>
        <v xml:space="preserve">          6373 - MAINTENANCE CONTRACTS</v>
      </c>
      <c r="C61" s="11"/>
      <c r="D61" s="7">
        <v>108.52</v>
      </c>
      <c r="E61" s="2"/>
      <c r="F61" s="6">
        <f t="shared" si="37"/>
        <v>0</v>
      </c>
      <c r="G61" s="2"/>
      <c r="H61" s="7">
        <v>101.2</v>
      </c>
      <c r="I61" s="2"/>
      <c r="J61" s="6">
        <f t="shared" si="38"/>
        <v>4.7890295258813447E-3</v>
      </c>
      <c r="K61" s="2"/>
      <c r="L61" s="7">
        <f t="shared" si="39"/>
        <v>7.3199999999999932</v>
      </c>
      <c r="M61" s="2"/>
      <c r="N61" s="6">
        <f t="shared" si="40"/>
        <v>7.2332015810276609E-2</v>
      </c>
      <c r="O61" s="11"/>
      <c r="P61" s="7">
        <v>3985.78</v>
      </c>
      <c r="Q61" s="2"/>
      <c r="R61" s="6">
        <f t="shared" si="41"/>
        <v>6.1151765795631925E-3</v>
      </c>
      <c r="S61" s="2"/>
      <c r="T61" s="7">
        <v>912.8</v>
      </c>
      <c r="U61" s="2"/>
      <c r="V61" s="6">
        <f t="shared" si="42"/>
        <v>9.9241979583506801E-4</v>
      </c>
      <c r="W61" s="2"/>
      <c r="X61" s="7">
        <f t="shared" si="43"/>
        <v>3072.9800000000005</v>
      </c>
      <c r="Y61" s="2"/>
      <c r="Z61" s="6">
        <f t="shared" si="44"/>
        <v>3.366542506573182</v>
      </c>
    </row>
    <row r="62" spans="1:26" s="24" customFormat="1" hidden="1" outlineLevel="2" x14ac:dyDescent="0.3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37"/>
        <v>0</v>
      </c>
      <c r="G62" s="2"/>
      <c r="H62" s="7">
        <v>217.13</v>
      </c>
      <c r="I62" s="2"/>
      <c r="J62" s="6">
        <f t="shared" si="38"/>
        <v>1.0275118388879607E-2</v>
      </c>
      <c r="K62" s="2"/>
      <c r="L62" s="7">
        <f t="shared" si="39"/>
        <v>-217.13</v>
      </c>
      <c r="M62" s="2"/>
      <c r="N62" s="6">
        <f t="shared" si="40"/>
        <v>-1</v>
      </c>
      <c r="O62" s="11"/>
      <c r="P62" s="7">
        <v>18115.37</v>
      </c>
      <c r="Q62" s="2"/>
      <c r="R62" s="6">
        <f t="shared" si="41"/>
        <v>2.7793477400689867E-2</v>
      </c>
      <c r="S62" s="2"/>
      <c r="T62" s="7">
        <v>17443.3</v>
      </c>
      <c r="U62" s="2"/>
      <c r="V62" s="6">
        <f t="shared" si="42"/>
        <v>1.896480743283287E-2</v>
      </c>
      <c r="W62" s="2"/>
      <c r="X62" s="7">
        <f t="shared" si="43"/>
        <v>672.06999999999971</v>
      </c>
      <c r="Y62" s="2"/>
      <c r="Z62" s="6">
        <f t="shared" si="44"/>
        <v>3.8528833420281697E-2</v>
      </c>
    </row>
    <row r="63" spans="1:26" s="25" customFormat="1" outlineLevel="1" collapsed="1" x14ac:dyDescent="0.35">
      <c r="A63" s="26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5772.78</v>
      </c>
      <c r="E63" s="1"/>
      <c r="F63" s="5">
        <f t="shared" ref="F63:F68" si="45">IF(D$12=0,0,D63/D$12)</f>
        <v>0</v>
      </c>
      <c r="G63" s="1"/>
      <c r="H63" s="1">
        <f>SUM(OSRRefH22_12x_0)</f>
        <v>3844.5</v>
      </c>
      <c r="I63" s="1"/>
      <c r="J63" s="5">
        <f t="shared" ref="J63:J68" si="46">IF(H$12=0,0,H63/H$12)</f>
        <v>0.18193106731473152</v>
      </c>
      <c r="K63" s="1"/>
      <c r="L63" s="1">
        <f t="shared" ref="L63:L68" si="47">+D63-H63</f>
        <v>1928.2799999999997</v>
      </c>
      <c r="M63" s="1"/>
      <c r="N63" s="5">
        <f t="shared" ref="N63:N68" si="48">IF(H63=0,0,L63/H63)</f>
        <v>0.50156847444401087</v>
      </c>
      <c r="O63" s="12"/>
      <c r="P63" s="1">
        <f>SUM(OSRRefP22_12x_0)</f>
        <v>49703.85</v>
      </c>
      <c r="Q63" s="1"/>
      <c r="R63" s="5">
        <f t="shared" ref="R63:R68" si="49">IF(P$12=0,0,P63/P$12)</f>
        <v>7.6258052234223148E-2</v>
      </c>
      <c r="S63" s="1"/>
      <c r="T63" s="1">
        <f>SUM(OSRRefT22_12x_0)</f>
        <v>50389.209999999992</v>
      </c>
      <c r="U63" s="1"/>
      <c r="V63" s="5">
        <f t="shared" ref="V63:V68" si="50">IF(T$12=0,0,T63/T$12)</f>
        <v>5.4784453878714251E-2</v>
      </c>
      <c r="W63" s="1"/>
      <c r="X63" s="1">
        <f t="shared" ref="X63:X68" si="51">+P63-T63</f>
        <v>-685.35999999999331</v>
      </c>
      <c r="Y63" s="1"/>
      <c r="Z63" s="5">
        <f t="shared" ref="Z63:Z68" si="52">IF(T63=0,0,X63/T63)</f>
        <v>-1.360132456928762E-2</v>
      </c>
    </row>
    <row r="64" spans="1:26" s="24" customFormat="1" hidden="1" outlineLevel="2" x14ac:dyDescent="0.3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657.08</v>
      </c>
      <c r="E64" s="2"/>
      <c r="F64" s="6">
        <f t="shared" si="45"/>
        <v>0</v>
      </c>
      <c r="G64" s="2"/>
      <c r="H64" s="7"/>
      <c r="I64" s="2"/>
      <c r="J64" s="6">
        <f t="shared" si="46"/>
        <v>0</v>
      </c>
      <c r="K64" s="2"/>
      <c r="L64" s="7">
        <f t="shared" si="47"/>
        <v>657.08</v>
      </c>
      <c r="M64" s="2"/>
      <c r="N64" s="6">
        <f t="shared" si="48"/>
        <v>0</v>
      </c>
      <c r="O64" s="11"/>
      <c r="P64" s="7">
        <v>3942.48</v>
      </c>
      <c r="Q64" s="2"/>
      <c r="R64" s="6">
        <f t="shared" si="49"/>
        <v>6.0487436239321521E-3</v>
      </c>
      <c r="S64" s="2"/>
      <c r="T64" s="7">
        <v>3763.94</v>
      </c>
      <c r="U64" s="2"/>
      <c r="V64" s="6">
        <f t="shared" si="50"/>
        <v>4.0922530306041266E-3</v>
      </c>
      <c r="W64" s="2"/>
      <c r="X64" s="7">
        <f t="shared" si="51"/>
        <v>178.53999999999996</v>
      </c>
      <c r="Y64" s="2"/>
      <c r="Z64" s="6">
        <f t="shared" si="52"/>
        <v>4.7434337423019488E-2</v>
      </c>
    </row>
    <row r="65" spans="1:26" s="24" customFormat="1" hidden="1" outlineLevel="2" x14ac:dyDescent="0.35">
      <c r="A65" s="27"/>
      <c r="B65" s="11" t="str">
        <f>CONCATENATE("          ", "6283", " - ", "PLANT SERVICE")</f>
        <v xml:space="preserve">          6283 - PLANT SERVICE</v>
      </c>
      <c r="C65" s="11"/>
      <c r="D65" s="7"/>
      <c r="E65" s="2"/>
      <c r="F65" s="6">
        <f t="shared" si="45"/>
        <v>0</v>
      </c>
      <c r="G65" s="2"/>
      <c r="H65" s="7">
        <v>61.55</v>
      </c>
      <c r="I65" s="2"/>
      <c r="J65" s="6">
        <f t="shared" si="46"/>
        <v>2.9126953292292167E-3</v>
      </c>
      <c r="K65" s="2"/>
      <c r="L65" s="7">
        <f t="shared" si="47"/>
        <v>-61.55</v>
      </c>
      <c r="M65" s="2"/>
      <c r="N65" s="6">
        <f t="shared" si="48"/>
        <v>-1</v>
      </c>
      <c r="O65" s="11"/>
      <c r="P65" s="7">
        <v>553.95000000000005</v>
      </c>
      <c r="Q65" s="2"/>
      <c r="R65" s="6">
        <f t="shared" si="49"/>
        <v>8.4989690004190661E-4</v>
      </c>
      <c r="S65" s="2"/>
      <c r="T65" s="7">
        <v>677.55</v>
      </c>
      <c r="U65" s="2"/>
      <c r="V65" s="6">
        <f t="shared" si="50"/>
        <v>7.366499043252086E-4</v>
      </c>
      <c r="W65" s="2"/>
      <c r="X65" s="7">
        <f t="shared" si="51"/>
        <v>-123.59999999999991</v>
      </c>
      <c r="Y65" s="2"/>
      <c r="Z65" s="6">
        <f t="shared" si="52"/>
        <v>-0.18242196147885753</v>
      </c>
    </row>
    <row r="66" spans="1:26" s="24" customFormat="1" hidden="1" outlineLevel="2" x14ac:dyDescent="0.35">
      <c r="A66" s="27"/>
      <c r="B66" s="11" t="str">
        <f>CONCATENATE("          ", "6284", " - ", "TRASH REMOVAL EXPENSE")</f>
        <v xml:space="preserve">          6284 - TRASH REMOVAL EXPENSE</v>
      </c>
      <c r="C66" s="11"/>
      <c r="D66" s="7">
        <v>761</v>
      </c>
      <c r="E66" s="2"/>
      <c r="F66" s="6">
        <f t="shared" si="45"/>
        <v>0</v>
      </c>
      <c r="G66" s="2"/>
      <c r="H66" s="7">
        <v>623</v>
      </c>
      <c r="I66" s="2"/>
      <c r="J66" s="6">
        <f t="shared" si="46"/>
        <v>2.9481871488380215E-2</v>
      </c>
      <c r="K66" s="2"/>
      <c r="L66" s="7">
        <f t="shared" si="47"/>
        <v>138</v>
      </c>
      <c r="M66" s="2"/>
      <c r="N66" s="6">
        <f t="shared" si="48"/>
        <v>0.22150882825040127</v>
      </c>
      <c r="O66" s="11"/>
      <c r="P66" s="7">
        <v>9124</v>
      </c>
      <c r="Q66" s="2"/>
      <c r="R66" s="6">
        <f t="shared" si="49"/>
        <v>1.399848238285469E-2</v>
      </c>
      <c r="S66" s="2"/>
      <c r="T66" s="7">
        <v>7732.82</v>
      </c>
      <c r="U66" s="2"/>
      <c r="V66" s="6">
        <f t="shared" si="50"/>
        <v>8.4073221358778837E-3</v>
      </c>
      <c r="W66" s="2"/>
      <c r="X66" s="7">
        <f t="shared" si="51"/>
        <v>1391.1800000000003</v>
      </c>
      <c r="Y66" s="2"/>
      <c r="Z66" s="6">
        <f t="shared" si="52"/>
        <v>0.17990590754731137</v>
      </c>
    </row>
    <row r="67" spans="1:26" s="24" customFormat="1" hidden="1" outlineLevel="2" x14ac:dyDescent="0.35">
      <c r="A67" s="27"/>
      <c r="B67" s="11" t="str">
        <f>CONCATENATE("          ", "6285", " - ", "JANITORIAL SERVICES")</f>
        <v xml:space="preserve">          6285 - JANITORIAL SERVICES</v>
      </c>
      <c r="C67" s="11"/>
      <c r="D67" s="7">
        <v>4354.7</v>
      </c>
      <c r="E67" s="2"/>
      <c r="F67" s="6">
        <f t="shared" si="45"/>
        <v>0</v>
      </c>
      <c r="G67" s="2"/>
      <c r="H67" s="7">
        <v>3040.95</v>
      </c>
      <c r="I67" s="2"/>
      <c r="J67" s="6">
        <f t="shared" si="46"/>
        <v>0.14390513178585843</v>
      </c>
      <c r="K67" s="2"/>
      <c r="L67" s="7">
        <f t="shared" si="47"/>
        <v>1313.75</v>
      </c>
      <c r="M67" s="2"/>
      <c r="N67" s="6">
        <f t="shared" si="48"/>
        <v>0.43201959913842714</v>
      </c>
      <c r="O67" s="11"/>
      <c r="P67" s="7">
        <v>34137</v>
      </c>
      <c r="Q67" s="2"/>
      <c r="R67" s="6">
        <f t="shared" si="49"/>
        <v>5.2374637560665335E-2</v>
      </c>
      <c r="S67" s="2"/>
      <c r="T67" s="7">
        <v>36349.009999999995</v>
      </c>
      <c r="U67" s="2"/>
      <c r="V67" s="6">
        <f t="shared" si="50"/>
        <v>3.9519584884976824E-2</v>
      </c>
      <c r="W67" s="2"/>
      <c r="X67" s="7">
        <f t="shared" si="51"/>
        <v>-2212.0099999999948</v>
      </c>
      <c r="Y67" s="2"/>
      <c r="Z67" s="6">
        <f t="shared" si="52"/>
        <v>-6.0854752302744834E-2</v>
      </c>
    </row>
    <row r="68" spans="1:26" s="24" customFormat="1" hidden="1" outlineLevel="2" x14ac:dyDescent="0.35">
      <c r="A68" s="27"/>
      <c r="B68" s="11" t="str">
        <f>CONCATENATE("          ", "6286", " - ", "LAUNDRY EXPENSE")</f>
        <v xml:space="preserve">          6286 - LAUNDRY EXPENSE</v>
      </c>
      <c r="C68" s="11"/>
      <c r="D68" s="7"/>
      <c r="E68" s="2"/>
      <c r="F68" s="6">
        <f t="shared" si="45"/>
        <v>0</v>
      </c>
      <c r="G68" s="2"/>
      <c r="H68" s="7">
        <v>119</v>
      </c>
      <c r="I68" s="2"/>
      <c r="J68" s="6">
        <f t="shared" si="46"/>
        <v>5.631368711263636E-3</v>
      </c>
      <c r="K68" s="2"/>
      <c r="L68" s="7">
        <f t="shared" si="47"/>
        <v>-119</v>
      </c>
      <c r="M68" s="2"/>
      <c r="N68" s="6">
        <f t="shared" si="48"/>
        <v>-1</v>
      </c>
      <c r="O68" s="11"/>
      <c r="P68" s="7">
        <v>1946.42</v>
      </c>
      <c r="Q68" s="2"/>
      <c r="R68" s="6">
        <f t="shared" si="49"/>
        <v>2.986291766729069E-3</v>
      </c>
      <c r="S68" s="2"/>
      <c r="T68" s="7">
        <v>1865.89</v>
      </c>
      <c r="U68" s="2"/>
      <c r="V68" s="6">
        <f t="shared" si="50"/>
        <v>2.0286439229302098E-3</v>
      </c>
      <c r="W68" s="2"/>
      <c r="X68" s="7">
        <f t="shared" si="51"/>
        <v>80.529999999999973</v>
      </c>
      <c r="Y68" s="2"/>
      <c r="Z68" s="6">
        <f t="shared" si="52"/>
        <v>4.3159028667284764E-2</v>
      </c>
    </row>
    <row r="69" spans="1:26" s="25" customFormat="1" outlineLevel="1" collapsed="1" x14ac:dyDescent="0.35">
      <c r="A69" s="26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SUM(OSRRefD22_13x_0)</f>
        <v>0</v>
      </c>
      <c r="E69" s="1"/>
      <c r="F69" s="5">
        <f t="shared" ref="F69:F71" si="53">IF(D$12=0,0,D69/D$12)</f>
        <v>0</v>
      </c>
      <c r="G69" s="1"/>
      <c r="H69" s="1">
        <f>SUM(OSRRefH22_13x_0)</f>
        <v>1232.74</v>
      </c>
      <c r="I69" s="1"/>
      <c r="J69" s="5">
        <f t="shared" ref="J69:J71" si="54">IF(H$12=0,0,H69/H$12)</f>
        <v>5.8336247606076766E-2</v>
      </c>
      <c r="K69" s="1"/>
      <c r="L69" s="1">
        <f t="shared" ref="L69:L71" si="55">+D69-H69</f>
        <v>-1232.74</v>
      </c>
      <c r="M69" s="1"/>
      <c r="N69" s="5">
        <f t="shared" ref="N69:N71" si="56">IF(H69=0,0,L69/H69)</f>
        <v>-1</v>
      </c>
      <c r="O69" s="12"/>
      <c r="P69" s="1">
        <f>SUM(OSRRefP22_13x_0)</f>
        <v>2638.42</v>
      </c>
      <c r="Q69" s="1"/>
      <c r="R69" s="5">
        <f t="shared" ref="R69:R71" si="57">IF(P$12=0,0,P69/P$12)</f>
        <v>4.0479916581073506E-3</v>
      </c>
      <c r="S69" s="1"/>
      <c r="T69" s="1">
        <f>SUM(OSRRefT22_13x_0)</f>
        <v>3248.86</v>
      </c>
      <c r="U69" s="1"/>
      <c r="V69" s="5">
        <f t="shared" ref="V69:V71" si="58">IF(T$12=0,0,T69/T$12)</f>
        <v>3.5322447172400524E-3</v>
      </c>
      <c r="W69" s="1"/>
      <c r="X69" s="1">
        <f t="shared" ref="X69:X71" si="59">+P69-T69</f>
        <v>-610.44000000000005</v>
      </c>
      <c r="Y69" s="1"/>
      <c r="Z69" s="5">
        <f t="shared" ref="Z69:Z71" si="60">IF(T69=0,0,X69/T69)</f>
        <v>-0.18789359960109087</v>
      </c>
    </row>
    <row r="70" spans="1:26" s="24" customFormat="1" hidden="1" outlineLevel="2" x14ac:dyDescent="0.35">
      <c r="A70" s="27"/>
      <c r="B70" s="11" t="str">
        <f>CONCATENATE("          ", "6258", " - ", "MEMBERSHIP DUES")</f>
        <v xml:space="preserve">          6258 - MEMBERSHIP DUES</v>
      </c>
      <c r="C70" s="11"/>
      <c r="D70" s="7"/>
      <c r="E70" s="2"/>
      <c r="F70" s="6">
        <f t="shared" si="53"/>
        <v>0</v>
      </c>
      <c r="G70" s="2"/>
      <c r="H70" s="7"/>
      <c r="I70" s="2"/>
      <c r="J70" s="6">
        <f t="shared" si="54"/>
        <v>0</v>
      </c>
      <c r="K70" s="2"/>
      <c r="L70" s="7">
        <f t="shared" si="55"/>
        <v>0</v>
      </c>
      <c r="M70" s="2"/>
      <c r="N70" s="6">
        <f t="shared" si="56"/>
        <v>0</v>
      </c>
      <c r="O70" s="11"/>
      <c r="P70" s="7">
        <v>978</v>
      </c>
      <c r="Q70" s="2"/>
      <c r="R70" s="6">
        <f t="shared" si="57"/>
        <v>1.5004949331906933E-3</v>
      </c>
      <c r="S70" s="2"/>
      <c r="T70" s="7"/>
      <c r="U70" s="2"/>
      <c r="V70" s="6">
        <f t="shared" si="58"/>
        <v>0</v>
      </c>
      <c r="W70" s="2"/>
      <c r="X70" s="7">
        <f t="shared" si="59"/>
        <v>978</v>
      </c>
      <c r="Y70" s="2"/>
      <c r="Z70" s="6">
        <f t="shared" si="60"/>
        <v>0</v>
      </c>
    </row>
    <row r="71" spans="1:26" s="24" customFormat="1" hidden="1" outlineLevel="2" x14ac:dyDescent="0.35">
      <c r="A71" s="27"/>
      <c r="B71" s="11" t="str">
        <f>CONCATENATE("          ", "6275", " - ", "SUBSCRIPTIONS")</f>
        <v xml:space="preserve">          6275 - SUBSCRIPTIONS</v>
      </c>
      <c r="C71" s="11"/>
      <c r="D71" s="7"/>
      <c r="E71" s="2"/>
      <c r="F71" s="6">
        <f t="shared" si="53"/>
        <v>0</v>
      </c>
      <c r="G71" s="2"/>
      <c r="H71" s="7">
        <v>1232.74</v>
      </c>
      <c r="I71" s="2"/>
      <c r="J71" s="6">
        <f t="shared" si="54"/>
        <v>5.8336247606076766E-2</v>
      </c>
      <c r="K71" s="2"/>
      <c r="L71" s="7">
        <f t="shared" si="55"/>
        <v>-1232.74</v>
      </c>
      <c r="M71" s="2"/>
      <c r="N71" s="6">
        <f t="shared" si="56"/>
        <v>-1</v>
      </c>
      <c r="O71" s="11"/>
      <c r="P71" s="7">
        <v>1660.42</v>
      </c>
      <c r="Q71" s="2"/>
      <c r="R71" s="6">
        <f t="shared" si="57"/>
        <v>2.5474967249166577E-3</v>
      </c>
      <c r="S71" s="2"/>
      <c r="T71" s="7">
        <v>3248.86</v>
      </c>
      <c r="U71" s="2"/>
      <c r="V71" s="6">
        <f t="shared" si="58"/>
        <v>3.5322447172400524E-3</v>
      </c>
      <c r="W71" s="2"/>
      <c r="X71" s="7">
        <f t="shared" si="59"/>
        <v>-1588.44</v>
      </c>
      <c r="Y71" s="2"/>
      <c r="Z71" s="6">
        <f t="shared" si="60"/>
        <v>-0.48892226811866318</v>
      </c>
    </row>
    <row r="72" spans="1:26" s="25" customFormat="1" outlineLevel="1" collapsed="1" x14ac:dyDescent="0.35">
      <c r="A72" s="26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SUM(OSRRefD22_14x_0)</f>
        <v>-171.42</v>
      </c>
      <c r="E72" s="1"/>
      <c r="F72" s="5">
        <f t="shared" ref="F72:F81" si="61">IF(D$12=0,0,D72/D$12)</f>
        <v>0</v>
      </c>
      <c r="G72" s="1"/>
      <c r="H72" s="1">
        <f>SUM(OSRRefH22_14x_0)</f>
        <v>1687.46</v>
      </c>
      <c r="I72" s="1"/>
      <c r="J72" s="5">
        <f t="shared" ref="J72:J81" si="62">IF(H$12=0,0,H72/H$12)</f>
        <v>7.9854701222764168E-2</v>
      </c>
      <c r="K72" s="1"/>
      <c r="L72" s="1">
        <f t="shared" ref="L72:L81" si="63">+D72-H72</f>
        <v>-1858.88</v>
      </c>
      <c r="M72" s="1"/>
      <c r="N72" s="5">
        <f t="shared" ref="N72:N81" si="64">IF(H72=0,0,L72/H72)</f>
        <v>-1.1015846301541963</v>
      </c>
      <c r="O72" s="12"/>
      <c r="P72" s="1">
        <f>SUM(OSRRefP22_14x_0)</f>
        <v>21603.140000000003</v>
      </c>
      <c r="Q72" s="1"/>
      <c r="R72" s="5">
        <f t="shared" ref="R72:R81" si="65">IF(P$12=0,0,P72/P$12)</f>
        <v>3.3144582935592228E-2</v>
      </c>
      <c r="S72" s="1"/>
      <c r="T72" s="1">
        <f>SUM(OSRRefT22_14x_0)</f>
        <v>28574.070000000003</v>
      </c>
      <c r="U72" s="1"/>
      <c r="V72" s="5">
        <f t="shared" ref="V72:V81" si="66">IF(T$12=0,0,T72/T$12)</f>
        <v>3.1066468794453274E-2</v>
      </c>
      <c r="W72" s="1"/>
      <c r="X72" s="1">
        <f t="shared" ref="X72:X81" si="67">+P72-T72</f>
        <v>-6970.93</v>
      </c>
      <c r="Y72" s="1"/>
      <c r="Z72" s="5">
        <f t="shared" ref="Z72:Z81" si="68">IF(T72=0,0,X72/T72)</f>
        <v>-0.24395999589837919</v>
      </c>
    </row>
    <row r="73" spans="1:26" s="24" customFormat="1" hidden="1" outlineLevel="2" x14ac:dyDescent="0.35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61"/>
        <v>0</v>
      </c>
      <c r="G73" s="2"/>
      <c r="H73" s="7"/>
      <c r="I73" s="2"/>
      <c r="J73" s="6">
        <f t="shared" si="62"/>
        <v>0</v>
      </c>
      <c r="K73" s="2"/>
      <c r="L73" s="7">
        <f t="shared" si="63"/>
        <v>0</v>
      </c>
      <c r="M73" s="2"/>
      <c r="N73" s="6">
        <f t="shared" si="64"/>
        <v>0</v>
      </c>
      <c r="O73" s="11"/>
      <c r="P73" s="7">
        <v>1090.83</v>
      </c>
      <c r="Q73" s="2"/>
      <c r="R73" s="6">
        <f t="shared" si="65"/>
        <v>1.6736041799308833E-3</v>
      </c>
      <c r="S73" s="2"/>
      <c r="T73" s="7">
        <v>1127.94</v>
      </c>
      <c r="U73" s="2"/>
      <c r="V73" s="6">
        <f t="shared" si="66"/>
        <v>1.226325574621173E-3</v>
      </c>
      <c r="W73" s="2"/>
      <c r="X73" s="7">
        <f t="shared" si="67"/>
        <v>-37.110000000000127</v>
      </c>
      <c r="Y73" s="2"/>
      <c r="Z73" s="6">
        <f t="shared" si="68"/>
        <v>-3.2900686206713235E-2</v>
      </c>
    </row>
    <row r="74" spans="1:26" s="24" customFormat="1" hidden="1" outlineLevel="2" x14ac:dyDescent="0.35">
      <c r="A74" s="27"/>
      <c r="B74" s="11" t="str">
        <f>CONCATENATE("          ", "6237", " - ", "JANITORIAL SUPPLIES")</f>
        <v xml:space="preserve">          6237 - JANITORIAL SUPPLIES</v>
      </c>
      <c r="C74" s="11"/>
      <c r="D74" s="7"/>
      <c r="E74" s="2"/>
      <c r="F74" s="6">
        <f t="shared" si="61"/>
        <v>0</v>
      </c>
      <c r="G74" s="2"/>
      <c r="H74" s="7">
        <v>1034.8800000000001</v>
      </c>
      <c r="I74" s="2"/>
      <c r="J74" s="6">
        <f t="shared" si="62"/>
        <v>4.8973032369012709E-2</v>
      </c>
      <c r="K74" s="2"/>
      <c r="L74" s="7">
        <f t="shared" si="63"/>
        <v>-1034.8800000000001</v>
      </c>
      <c r="M74" s="2"/>
      <c r="N74" s="6">
        <f t="shared" si="64"/>
        <v>-1</v>
      </c>
      <c r="O74" s="11"/>
      <c r="P74" s="7">
        <v>8948.91</v>
      </c>
      <c r="Q74" s="2"/>
      <c r="R74" s="6">
        <f t="shared" si="65"/>
        <v>1.3729850830858413E-2</v>
      </c>
      <c r="S74" s="2"/>
      <c r="T74" s="7">
        <v>12530.82</v>
      </c>
      <c r="U74" s="2"/>
      <c r="V74" s="6">
        <f t="shared" si="66"/>
        <v>1.3623831974195868E-2</v>
      </c>
      <c r="W74" s="2"/>
      <c r="X74" s="7">
        <f t="shared" si="67"/>
        <v>-3581.91</v>
      </c>
      <c r="Y74" s="2"/>
      <c r="Z74" s="6">
        <f t="shared" si="68"/>
        <v>-0.28584801313880498</v>
      </c>
    </row>
    <row r="75" spans="1:26" s="24" customFormat="1" hidden="1" outlineLevel="2" x14ac:dyDescent="0.35">
      <c r="A75" s="27"/>
      <c r="B75" s="11" t="str">
        <f>CONCATENATE("          ", "6239", " - ", "KITCHEN SUPPLIES")</f>
        <v xml:space="preserve">          6239 - KITCHEN SUPPLIES</v>
      </c>
      <c r="C75" s="11"/>
      <c r="D75" s="7"/>
      <c r="E75" s="2"/>
      <c r="F75" s="6">
        <f t="shared" si="61"/>
        <v>0</v>
      </c>
      <c r="G75" s="2"/>
      <c r="H75" s="7">
        <v>212.3</v>
      </c>
      <c r="I75" s="2"/>
      <c r="J75" s="6">
        <f t="shared" si="62"/>
        <v>1.0046551070598908E-2</v>
      </c>
      <c r="K75" s="2"/>
      <c r="L75" s="7">
        <f t="shared" si="63"/>
        <v>-212.3</v>
      </c>
      <c r="M75" s="2"/>
      <c r="N75" s="6">
        <f t="shared" si="64"/>
        <v>-1</v>
      </c>
      <c r="O75" s="11"/>
      <c r="P75" s="7">
        <v>425.78</v>
      </c>
      <c r="Q75" s="2"/>
      <c r="R75" s="6">
        <f t="shared" si="65"/>
        <v>6.5325228287723249E-4</v>
      </c>
      <c r="S75" s="2"/>
      <c r="T75" s="7">
        <v>1767.9</v>
      </c>
      <c r="U75" s="2"/>
      <c r="V75" s="6">
        <f t="shared" si="66"/>
        <v>1.9221066575994929E-3</v>
      </c>
      <c r="W75" s="2"/>
      <c r="X75" s="7">
        <f t="shared" si="67"/>
        <v>-1342.1200000000001</v>
      </c>
      <c r="Y75" s="2"/>
      <c r="Z75" s="6">
        <f t="shared" si="68"/>
        <v>-0.7591605860059959</v>
      </c>
    </row>
    <row r="76" spans="1:26" s="24" customFormat="1" hidden="1" outlineLevel="2" x14ac:dyDescent="0.35">
      <c r="A76" s="27"/>
      <c r="B76" s="11" t="str">
        <f>CONCATENATE("          ", "6241", " - ", "OFFICE EXPENSE")</f>
        <v xml:space="preserve">          6241 - OFFICE EXPENSE</v>
      </c>
      <c r="C76" s="11"/>
      <c r="D76" s="7">
        <v>-171.42</v>
      </c>
      <c r="E76" s="2"/>
      <c r="F76" s="6">
        <f t="shared" si="61"/>
        <v>0</v>
      </c>
      <c r="G76" s="2"/>
      <c r="H76" s="7">
        <v>151.9</v>
      </c>
      <c r="I76" s="2"/>
      <c r="J76" s="6">
        <f t="shared" si="62"/>
        <v>7.1882765314365245E-3</v>
      </c>
      <c r="K76" s="2"/>
      <c r="L76" s="7">
        <f t="shared" si="63"/>
        <v>-323.32</v>
      </c>
      <c r="M76" s="2"/>
      <c r="N76" s="6">
        <f t="shared" si="64"/>
        <v>-2.1285055957867018</v>
      </c>
      <c r="O76" s="11"/>
      <c r="P76" s="7">
        <v>5531.92</v>
      </c>
      <c r="Q76" s="2"/>
      <c r="R76" s="6">
        <f t="shared" si="65"/>
        <v>8.4873393975626391E-3</v>
      </c>
      <c r="S76" s="2"/>
      <c r="T76" s="7">
        <v>2814.78</v>
      </c>
      <c r="U76" s="2"/>
      <c r="V76" s="6">
        <f t="shared" si="66"/>
        <v>3.0603017012715088E-3</v>
      </c>
      <c r="W76" s="2"/>
      <c r="X76" s="7">
        <f t="shared" si="67"/>
        <v>2717.14</v>
      </c>
      <c r="Y76" s="2"/>
      <c r="Z76" s="6">
        <f t="shared" si="68"/>
        <v>0.96531167622336367</v>
      </c>
    </row>
    <row r="77" spans="1:26" s="24" customFormat="1" hidden="1" outlineLevel="2" x14ac:dyDescent="0.35">
      <c r="A77" s="27"/>
      <c r="B77" s="11" t="str">
        <f>CONCATENATE("          ", "6243", " - ", "PAPER SUPPLIES")</f>
        <v xml:space="preserve">          6243 - PAPER SUPPLIES</v>
      </c>
      <c r="C77" s="11"/>
      <c r="D77" s="7"/>
      <c r="E77" s="2"/>
      <c r="F77" s="6">
        <f t="shared" si="61"/>
        <v>0</v>
      </c>
      <c r="G77" s="2"/>
      <c r="H77" s="7">
        <v>176.34</v>
      </c>
      <c r="I77" s="2"/>
      <c r="J77" s="6">
        <f t="shared" si="62"/>
        <v>8.3448366264220978E-3</v>
      </c>
      <c r="K77" s="2"/>
      <c r="L77" s="7">
        <f t="shared" si="63"/>
        <v>-176.34</v>
      </c>
      <c r="M77" s="2"/>
      <c r="N77" s="6">
        <f t="shared" si="64"/>
        <v>-1</v>
      </c>
      <c r="O77" s="11"/>
      <c r="P77" s="7">
        <v>5123.8</v>
      </c>
      <c r="Q77" s="2"/>
      <c r="R77" s="6">
        <f t="shared" si="65"/>
        <v>7.8611819413931232E-3</v>
      </c>
      <c r="S77" s="2"/>
      <c r="T77" s="7">
        <v>7598.63</v>
      </c>
      <c r="U77" s="2"/>
      <c r="V77" s="6">
        <f t="shared" si="66"/>
        <v>8.2614272931926212E-3</v>
      </c>
      <c r="W77" s="2"/>
      <c r="X77" s="7">
        <f t="shared" si="67"/>
        <v>-2474.83</v>
      </c>
      <c r="Y77" s="2"/>
      <c r="Z77" s="6">
        <f t="shared" si="68"/>
        <v>-0.32569423698745692</v>
      </c>
    </row>
    <row r="78" spans="1:26" s="24" customFormat="1" hidden="1" outlineLevel="2" x14ac:dyDescent="0.35">
      <c r="A78" s="27"/>
      <c r="B78" s="11" t="str">
        <f>CONCATENATE("          ", "6245", " - ", "PRINTING")</f>
        <v xml:space="preserve">          6245 - PRINTING</v>
      </c>
      <c r="C78" s="11"/>
      <c r="D78" s="7"/>
      <c r="E78" s="2"/>
      <c r="F78" s="6">
        <f t="shared" si="61"/>
        <v>0</v>
      </c>
      <c r="G78" s="2"/>
      <c r="H78" s="7">
        <v>15.58</v>
      </c>
      <c r="I78" s="2"/>
      <c r="J78" s="6">
        <f t="shared" si="62"/>
        <v>7.3728339934023073E-4</v>
      </c>
      <c r="K78" s="2"/>
      <c r="L78" s="7">
        <f t="shared" si="63"/>
        <v>-15.58</v>
      </c>
      <c r="M78" s="2"/>
      <c r="N78" s="6">
        <f t="shared" si="64"/>
        <v>-1</v>
      </c>
      <c r="O78" s="11"/>
      <c r="P78" s="7"/>
      <c r="Q78" s="2"/>
      <c r="R78" s="6">
        <f t="shared" si="65"/>
        <v>0</v>
      </c>
      <c r="S78" s="2"/>
      <c r="T78" s="7">
        <v>15.58</v>
      </c>
      <c r="U78" s="2"/>
      <c r="V78" s="6">
        <f t="shared" si="66"/>
        <v>1.693897942496753E-5</v>
      </c>
      <c r="W78" s="2"/>
      <c r="X78" s="7">
        <f t="shared" si="67"/>
        <v>-15.58</v>
      </c>
      <c r="Y78" s="2"/>
      <c r="Z78" s="6">
        <f t="shared" si="68"/>
        <v>-1</v>
      </c>
    </row>
    <row r="79" spans="1:26" s="24" customFormat="1" hidden="1" outlineLevel="2" x14ac:dyDescent="0.35">
      <c r="A79" s="27"/>
      <c r="B79" s="11" t="str">
        <f>CONCATENATE("          ", "6246", " - ", "REPLACEMENTS")</f>
        <v xml:space="preserve">          6246 - REPLACEMENTS</v>
      </c>
      <c r="C79" s="11"/>
      <c r="D79" s="7"/>
      <c r="E79" s="2"/>
      <c r="F79" s="6">
        <f t="shared" si="61"/>
        <v>0</v>
      </c>
      <c r="G79" s="2"/>
      <c r="H79" s="7"/>
      <c r="I79" s="2"/>
      <c r="J79" s="6">
        <f t="shared" si="62"/>
        <v>0</v>
      </c>
      <c r="K79" s="2"/>
      <c r="L79" s="7">
        <f t="shared" si="63"/>
        <v>0</v>
      </c>
      <c r="M79" s="2"/>
      <c r="N79" s="6">
        <f t="shared" si="64"/>
        <v>0</v>
      </c>
      <c r="O79" s="11"/>
      <c r="P79" s="7">
        <v>25.87</v>
      </c>
      <c r="Q79" s="2"/>
      <c r="R79" s="6">
        <f t="shared" si="65"/>
        <v>3.9691006054849937E-5</v>
      </c>
      <c r="S79" s="2"/>
      <c r="T79" s="7"/>
      <c r="U79" s="2"/>
      <c r="V79" s="6">
        <f t="shared" si="66"/>
        <v>0</v>
      </c>
      <c r="W79" s="2"/>
      <c r="X79" s="7">
        <f t="shared" si="67"/>
        <v>25.87</v>
      </c>
      <c r="Y79" s="2"/>
      <c r="Z79" s="6">
        <f t="shared" si="68"/>
        <v>0</v>
      </c>
    </row>
    <row r="80" spans="1:26" s="24" customFormat="1" hidden="1" outlineLevel="2" x14ac:dyDescent="0.35">
      <c r="A80" s="27"/>
      <c r="B80" s="11" t="str">
        <f>CONCATENATE("          ", "6247", " - ", "STORE SUPPLIES")</f>
        <v xml:space="preserve">          6247 - STORE SUPPLIES</v>
      </c>
      <c r="C80" s="11"/>
      <c r="D80" s="7"/>
      <c r="E80" s="2"/>
      <c r="F80" s="6">
        <f t="shared" si="61"/>
        <v>0</v>
      </c>
      <c r="G80" s="2"/>
      <c r="H80" s="7">
        <v>96.46</v>
      </c>
      <c r="I80" s="2"/>
      <c r="J80" s="6">
        <f t="shared" si="62"/>
        <v>4.5647212259537001E-3</v>
      </c>
      <c r="K80" s="2"/>
      <c r="L80" s="7">
        <f t="shared" si="63"/>
        <v>-96.46</v>
      </c>
      <c r="M80" s="2"/>
      <c r="N80" s="6">
        <f t="shared" si="64"/>
        <v>-1</v>
      </c>
      <c r="O80" s="11"/>
      <c r="P80" s="7">
        <v>440.56</v>
      </c>
      <c r="Q80" s="2"/>
      <c r="R80" s="6">
        <f t="shared" si="65"/>
        <v>6.7592847419886692E-4</v>
      </c>
      <c r="S80" s="2"/>
      <c r="T80" s="7">
        <v>1260.47</v>
      </c>
      <c r="U80" s="2"/>
      <c r="V80" s="6">
        <f t="shared" si="66"/>
        <v>1.3704156223227743E-3</v>
      </c>
      <c r="W80" s="2"/>
      <c r="X80" s="7">
        <f t="shared" si="67"/>
        <v>-819.91000000000008</v>
      </c>
      <c r="Y80" s="2"/>
      <c r="Z80" s="6">
        <f t="shared" si="68"/>
        <v>-0.65047958301268582</v>
      </c>
    </row>
    <row r="81" spans="1:26" s="24" customFormat="1" hidden="1" outlineLevel="2" x14ac:dyDescent="0.35">
      <c r="A81" s="27"/>
      <c r="B81" s="11" t="str">
        <f>CONCATENATE("          ", "6248", " - ", "UNIFORMS")</f>
        <v xml:space="preserve">          6248 - UNIFORMS</v>
      </c>
      <c r="C81" s="11"/>
      <c r="D81" s="7"/>
      <c r="E81" s="2"/>
      <c r="F81" s="6">
        <f t="shared" si="61"/>
        <v>0</v>
      </c>
      <c r="G81" s="2"/>
      <c r="H81" s="7"/>
      <c r="I81" s="2"/>
      <c r="J81" s="6">
        <f t="shared" si="62"/>
        <v>0</v>
      </c>
      <c r="K81" s="2"/>
      <c r="L81" s="7">
        <f t="shared" si="63"/>
        <v>0</v>
      </c>
      <c r="M81" s="2"/>
      <c r="N81" s="6">
        <f t="shared" si="64"/>
        <v>0</v>
      </c>
      <c r="O81" s="11"/>
      <c r="P81" s="7">
        <v>15.47</v>
      </c>
      <c r="Q81" s="2"/>
      <c r="R81" s="6">
        <f t="shared" si="65"/>
        <v>2.3734822716216798E-5</v>
      </c>
      <c r="S81" s="2"/>
      <c r="T81" s="7">
        <v>1457.95</v>
      </c>
      <c r="U81" s="2"/>
      <c r="V81" s="6">
        <f t="shared" si="66"/>
        <v>1.5851209918248659E-3</v>
      </c>
      <c r="W81" s="2"/>
      <c r="X81" s="7">
        <f t="shared" si="67"/>
        <v>-1442.48</v>
      </c>
      <c r="Y81" s="2"/>
      <c r="Z81" s="6">
        <f t="shared" si="68"/>
        <v>-0.98938921087828802</v>
      </c>
    </row>
    <row r="82" spans="1:26" s="25" customFormat="1" outlineLevel="1" collapsed="1" x14ac:dyDescent="0.35">
      <c r="A82" s="26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SUM(OSRRefD22_15x_0)</f>
        <v>64</v>
      </c>
      <c r="E82" s="1"/>
      <c r="F82" s="5">
        <f t="shared" ref="F82:F89" si="69">IF(D$12=0,0,D82/D$12)</f>
        <v>0</v>
      </c>
      <c r="G82" s="1"/>
      <c r="H82" s="1">
        <f>SUM(OSRRefH22_15x_0)</f>
        <v>148.6</v>
      </c>
      <c r="I82" s="1"/>
      <c r="J82" s="5">
        <f t="shared" ref="J82:J89" si="70">IF(H$12=0,0,H82/H$12)</f>
        <v>7.0321125251577845E-3</v>
      </c>
      <c r="K82" s="1"/>
      <c r="L82" s="1">
        <f t="shared" ref="L82:L89" si="71">+D82-H82</f>
        <v>-84.6</v>
      </c>
      <c r="M82" s="1"/>
      <c r="N82" s="5">
        <f t="shared" ref="N82:N89" si="72">IF(H82=0,0,L82/H82)</f>
        <v>-0.5693135935397039</v>
      </c>
      <c r="O82" s="12"/>
      <c r="P82" s="1">
        <f>SUM(OSRRefP22_15x_0)</f>
        <v>1652.64</v>
      </c>
      <c r="Q82" s="1"/>
      <c r="R82" s="5">
        <f t="shared" ref="R82:R89" si="73">IF(P$12=0,0,P82/P$12)</f>
        <v>2.5355602723806415E-3</v>
      </c>
      <c r="S82" s="1"/>
      <c r="T82" s="1">
        <f>SUM(OSRRefT22_15x_0)</f>
        <v>1852.5</v>
      </c>
      <c r="U82" s="1"/>
      <c r="V82" s="5">
        <f t="shared" ref="V82:V89" si="74">IF(T$12=0,0,T82/T$12)</f>
        <v>2.0140859682126026E-3</v>
      </c>
      <c r="W82" s="1"/>
      <c r="X82" s="1">
        <f t="shared" ref="X82:X89" si="75">+P82-T82</f>
        <v>-199.8599999999999</v>
      </c>
      <c r="Y82" s="1"/>
      <c r="Z82" s="5">
        <f t="shared" ref="Z82:Z89" si="76">IF(T82=0,0,X82/T82)</f>
        <v>-0.10788663967611331</v>
      </c>
    </row>
    <row r="83" spans="1:26" s="24" customFormat="1" hidden="1" outlineLevel="2" x14ac:dyDescent="0.35">
      <c r="A83" s="27"/>
      <c r="B83" s="11" t="str">
        <f>CONCATENATE("          ", "6309", " - ", "TELEPHONE")</f>
        <v xml:space="preserve">          6309 - TELEPHONE</v>
      </c>
      <c r="C83" s="11"/>
      <c r="D83" s="7">
        <v>64</v>
      </c>
      <c r="E83" s="2"/>
      <c r="F83" s="6">
        <f t="shared" si="69"/>
        <v>0</v>
      </c>
      <c r="G83" s="2"/>
      <c r="H83" s="7">
        <v>148.6</v>
      </c>
      <c r="I83" s="2"/>
      <c r="J83" s="6">
        <f t="shared" si="70"/>
        <v>7.0321125251577845E-3</v>
      </c>
      <c r="K83" s="2"/>
      <c r="L83" s="7">
        <f t="shared" si="71"/>
        <v>-84.6</v>
      </c>
      <c r="M83" s="2"/>
      <c r="N83" s="6">
        <f t="shared" si="72"/>
        <v>-0.5693135935397039</v>
      </c>
      <c r="O83" s="11"/>
      <c r="P83" s="7">
        <v>1652.64</v>
      </c>
      <c r="Q83" s="2"/>
      <c r="R83" s="6">
        <f t="shared" si="73"/>
        <v>2.5355602723806415E-3</v>
      </c>
      <c r="S83" s="2"/>
      <c r="T83" s="7">
        <v>1852.5</v>
      </c>
      <c r="U83" s="2"/>
      <c r="V83" s="6">
        <f t="shared" si="74"/>
        <v>2.0140859682126026E-3</v>
      </c>
      <c r="W83" s="2"/>
      <c r="X83" s="7">
        <f t="shared" si="75"/>
        <v>-199.8599999999999</v>
      </c>
      <c r="Y83" s="2"/>
      <c r="Z83" s="6">
        <f t="shared" si="76"/>
        <v>-0.10788663967611331</v>
      </c>
    </row>
    <row r="84" spans="1:26" s="25" customFormat="1" outlineLevel="1" collapsed="1" x14ac:dyDescent="0.35">
      <c r="A84" s="26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SUM(OSRRefD22_16x_0)</f>
        <v>0</v>
      </c>
      <c r="E84" s="1"/>
      <c r="F84" s="5">
        <f t="shared" si="69"/>
        <v>0</v>
      </c>
      <c r="G84" s="1"/>
      <c r="H84" s="1">
        <f>SUM(OSRRefH22_16x_0)</f>
        <v>139</v>
      </c>
      <c r="I84" s="1"/>
      <c r="J84" s="5">
        <f t="shared" si="70"/>
        <v>6.5778172341650881E-3</v>
      </c>
      <c r="K84" s="1"/>
      <c r="L84" s="1">
        <f t="shared" si="71"/>
        <v>-139</v>
      </c>
      <c r="M84" s="1"/>
      <c r="N84" s="5">
        <f t="shared" si="72"/>
        <v>-1</v>
      </c>
      <c r="O84" s="12"/>
      <c r="P84" s="1">
        <f>SUM(OSRRefP22_16x_0)</f>
        <v>185</v>
      </c>
      <c r="Q84" s="1"/>
      <c r="R84" s="5">
        <f t="shared" si="73"/>
        <v>2.8383595361991645E-4</v>
      </c>
      <c r="S84" s="1"/>
      <c r="T84" s="1">
        <f>SUM(OSRRefT22_16x_0)</f>
        <v>237.83</v>
      </c>
      <c r="U84" s="1"/>
      <c r="V84" s="5">
        <f t="shared" si="74"/>
        <v>2.5857493431579126E-4</v>
      </c>
      <c r="W84" s="1"/>
      <c r="X84" s="1">
        <f t="shared" si="75"/>
        <v>-52.830000000000013</v>
      </c>
      <c r="Y84" s="1"/>
      <c r="Z84" s="5">
        <f t="shared" si="76"/>
        <v>-0.22213345667073123</v>
      </c>
    </row>
    <row r="85" spans="1:26" s="24" customFormat="1" hidden="1" outlineLevel="2" x14ac:dyDescent="0.35">
      <c r="A85" s="27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69"/>
        <v>0</v>
      </c>
      <c r="G85" s="2"/>
      <c r="H85" s="7">
        <v>139</v>
      </c>
      <c r="I85" s="2"/>
      <c r="J85" s="6">
        <f t="shared" si="70"/>
        <v>6.5778172341650881E-3</v>
      </c>
      <c r="K85" s="2"/>
      <c r="L85" s="7">
        <f t="shared" si="71"/>
        <v>-139</v>
      </c>
      <c r="M85" s="2"/>
      <c r="N85" s="6">
        <f t="shared" si="72"/>
        <v>-1</v>
      </c>
      <c r="O85" s="11"/>
      <c r="P85" s="7">
        <v>185</v>
      </c>
      <c r="Q85" s="2"/>
      <c r="R85" s="6">
        <f t="shared" si="73"/>
        <v>2.8383595361991645E-4</v>
      </c>
      <c r="S85" s="2"/>
      <c r="T85" s="7">
        <v>237.83</v>
      </c>
      <c r="U85" s="2"/>
      <c r="V85" s="6">
        <f t="shared" si="74"/>
        <v>2.5857493431579126E-4</v>
      </c>
      <c r="W85" s="2"/>
      <c r="X85" s="7">
        <f t="shared" si="75"/>
        <v>-52.830000000000013</v>
      </c>
      <c r="Y85" s="2"/>
      <c r="Z85" s="6">
        <f t="shared" si="76"/>
        <v>-0.22213345667073123</v>
      </c>
    </row>
    <row r="86" spans="1:26" s="25" customFormat="1" outlineLevel="1" collapsed="1" x14ac:dyDescent="0.35">
      <c r="A86" s="26"/>
      <c r="B86" s="12" t="str">
        <f>CONCATENATE("     ","Travel                                            ")</f>
        <v xml:space="preserve">     Travel                                            </v>
      </c>
      <c r="C86" s="12"/>
      <c r="D86" s="1">
        <f>SUM(OSRRefD22_17x_0)</f>
        <v>0</v>
      </c>
      <c r="E86" s="1"/>
      <c r="F86" s="5">
        <f t="shared" si="69"/>
        <v>0</v>
      </c>
      <c r="G86" s="1"/>
      <c r="H86" s="1">
        <f>SUM(OSRRefH22_17x_0)</f>
        <v>0</v>
      </c>
      <c r="I86" s="1"/>
      <c r="J86" s="5">
        <f t="shared" si="70"/>
        <v>0</v>
      </c>
      <c r="K86" s="1"/>
      <c r="L86" s="1">
        <f t="shared" si="71"/>
        <v>0</v>
      </c>
      <c r="M86" s="1"/>
      <c r="N86" s="5">
        <f t="shared" si="72"/>
        <v>0</v>
      </c>
      <c r="O86" s="12"/>
      <c r="P86" s="1">
        <f>SUM(OSRRefP22_17x_0)</f>
        <v>0</v>
      </c>
      <c r="Q86" s="1"/>
      <c r="R86" s="5">
        <f t="shared" si="73"/>
        <v>0</v>
      </c>
      <c r="S86" s="1"/>
      <c r="T86" s="1">
        <f>SUM(OSRRefT22_17x_0)</f>
        <v>6.79</v>
      </c>
      <c r="U86" s="1"/>
      <c r="V86" s="5">
        <f t="shared" si="74"/>
        <v>7.3822638187117799E-6</v>
      </c>
      <c r="W86" s="1"/>
      <c r="X86" s="1">
        <f t="shared" si="75"/>
        <v>-6.79</v>
      </c>
      <c r="Y86" s="1"/>
      <c r="Z86" s="5">
        <f t="shared" si="76"/>
        <v>-1</v>
      </c>
    </row>
    <row r="87" spans="1:26" s="24" customFormat="1" hidden="1" outlineLevel="2" x14ac:dyDescent="0.35">
      <c r="A87" s="27"/>
      <c r="B87" s="11" t="str">
        <f>CONCATENATE("          ", "6292", " - ", "TRAVEL/CONFERENCE")</f>
        <v xml:space="preserve">          6292 - TRAVEL/CONFERENCE</v>
      </c>
      <c r="C87" s="11"/>
      <c r="D87" s="7"/>
      <c r="E87" s="2"/>
      <c r="F87" s="6">
        <f t="shared" si="69"/>
        <v>0</v>
      </c>
      <c r="G87" s="2"/>
      <c r="H87" s="7"/>
      <c r="I87" s="2"/>
      <c r="J87" s="6">
        <f t="shared" si="70"/>
        <v>0</v>
      </c>
      <c r="K87" s="2"/>
      <c r="L87" s="7">
        <f t="shared" si="71"/>
        <v>0</v>
      </c>
      <c r="M87" s="2"/>
      <c r="N87" s="6">
        <f t="shared" si="72"/>
        <v>0</v>
      </c>
      <c r="O87" s="11"/>
      <c r="P87" s="7"/>
      <c r="Q87" s="2"/>
      <c r="R87" s="6">
        <f t="shared" si="73"/>
        <v>0</v>
      </c>
      <c r="S87" s="2"/>
      <c r="T87" s="7">
        <v>6.79</v>
      </c>
      <c r="U87" s="2"/>
      <c r="V87" s="6">
        <f t="shared" si="74"/>
        <v>7.3822638187117799E-6</v>
      </c>
      <c r="W87" s="2"/>
      <c r="X87" s="7">
        <f t="shared" si="75"/>
        <v>-6.79</v>
      </c>
      <c r="Y87" s="2"/>
      <c r="Z87" s="6">
        <f t="shared" si="76"/>
        <v>-1</v>
      </c>
    </row>
    <row r="88" spans="1:26" s="25" customFormat="1" outlineLevel="1" collapsed="1" x14ac:dyDescent="0.35">
      <c r="A88" s="26"/>
      <c r="B88" s="12" t="str">
        <f>CONCATENATE("     ","Utilities                                         ")</f>
        <v xml:space="preserve">     Utilities                                         </v>
      </c>
      <c r="C88" s="12"/>
      <c r="D88" s="1">
        <f>SUM(OSRRefD22_18x_0)</f>
        <v>2312</v>
      </c>
      <c r="E88" s="1"/>
      <c r="F88" s="5">
        <f t="shared" si="69"/>
        <v>0</v>
      </c>
      <c r="G88" s="1"/>
      <c r="H88" s="1">
        <f>SUM(OSRRefH22_18x_0)</f>
        <v>2031</v>
      </c>
      <c r="I88" s="1"/>
      <c r="J88" s="5">
        <f t="shared" si="70"/>
        <v>9.6111847500642403E-2</v>
      </c>
      <c r="K88" s="1"/>
      <c r="L88" s="1">
        <f t="shared" si="71"/>
        <v>281</v>
      </c>
      <c r="M88" s="1"/>
      <c r="N88" s="5">
        <f t="shared" si="72"/>
        <v>0.13835548990645002</v>
      </c>
      <c r="O88" s="12"/>
      <c r="P88" s="1">
        <f>SUM(OSRRefP22_18x_0)</f>
        <v>27084</v>
      </c>
      <c r="Q88" s="1"/>
      <c r="R88" s="5">
        <f t="shared" si="73"/>
        <v>4.1553583609955765E-2</v>
      </c>
      <c r="S88" s="1"/>
      <c r="T88" s="1">
        <f>SUM(OSRRefT22_18x_0)</f>
        <v>21994</v>
      </c>
      <c r="U88" s="1"/>
      <c r="V88" s="5">
        <f t="shared" si="74"/>
        <v>2.3912446307621044E-2</v>
      </c>
      <c r="W88" s="1"/>
      <c r="X88" s="1">
        <f t="shared" si="75"/>
        <v>5090</v>
      </c>
      <c r="Y88" s="1"/>
      <c r="Z88" s="5">
        <f t="shared" si="76"/>
        <v>0.2314267527507502</v>
      </c>
    </row>
    <row r="89" spans="1:26" s="24" customFormat="1" hidden="1" outlineLevel="2" x14ac:dyDescent="0.35">
      <c r="A89" s="27"/>
      <c r="B89" s="11" t="str">
        <f>CONCATENATE("          ", "6274", " - ", "UTILITIES")</f>
        <v xml:space="preserve">          6274 - UTILITIES</v>
      </c>
      <c r="C89" s="11"/>
      <c r="D89" s="7">
        <v>2312</v>
      </c>
      <c r="E89" s="2"/>
      <c r="F89" s="6">
        <f t="shared" si="69"/>
        <v>0</v>
      </c>
      <c r="G89" s="2"/>
      <c r="H89" s="7">
        <v>2031</v>
      </c>
      <c r="I89" s="2"/>
      <c r="J89" s="6">
        <f t="shared" si="70"/>
        <v>9.6111847500642403E-2</v>
      </c>
      <c r="K89" s="2"/>
      <c r="L89" s="7">
        <f t="shared" si="71"/>
        <v>281</v>
      </c>
      <c r="M89" s="2"/>
      <c r="N89" s="6">
        <f t="shared" si="72"/>
        <v>0.13835548990645002</v>
      </c>
      <c r="O89" s="11"/>
      <c r="P89" s="7">
        <v>27084</v>
      </c>
      <c r="Q89" s="2"/>
      <c r="R89" s="6">
        <f t="shared" si="73"/>
        <v>4.1553583609955765E-2</v>
      </c>
      <c r="S89" s="2"/>
      <c r="T89" s="7">
        <v>21994</v>
      </c>
      <c r="U89" s="2"/>
      <c r="V89" s="6">
        <f t="shared" si="74"/>
        <v>2.3912446307621044E-2</v>
      </c>
      <c r="W89" s="2"/>
      <c r="X89" s="7">
        <f t="shared" si="75"/>
        <v>5090</v>
      </c>
      <c r="Y89" s="2"/>
      <c r="Z89" s="6">
        <f t="shared" si="76"/>
        <v>0.2314267527507502</v>
      </c>
    </row>
    <row r="90" spans="1:26" s="56" customFormat="1" x14ac:dyDescent="0.35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collapsed="1" x14ac:dyDescent="0.35">
      <c r="A91" s="10"/>
      <c r="B91" s="29" t="s">
        <v>0</v>
      </c>
      <c r="C91" s="10"/>
      <c r="D91" s="4">
        <f>SUM(OSRRefD25x_0)</f>
        <v>0</v>
      </c>
      <c r="E91" s="4"/>
      <c r="F91" s="13">
        <f t="shared" ref="F91:F92" si="77">IF(D$12=0,0,D91/D$12)</f>
        <v>0</v>
      </c>
      <c r="G91" s="4"/>
      <c r="H91" s="4">
        <f>SUM(OSRRefH25x_0)</f>
        <v>0</v>
      </c>
      <c r="I91" s="4"/>
      <c r="J91" s="13">
        <f t="shared" ref="J91:J92" si="78">IF(H$12=0,0,H91/H$12)</f>
        <v>0</v>
      </c>
      <c r="K91" s="4"/>
      <c r="L91" s="4">
        <f t="shared" ref="L91:L92" si="79">+D91-H91</f>
        <v>0</v>
      </c>
      <c r="M91" s="4"/>
      <c r="N91" s="13">
        <f t="shared" ref="N91:N92" si="80">IF(H91=0,0,L91/H91)</f>
        <v>0</v>
      </c>
      <c r="O91" s="10"/>
      <c r="P91" s="4">
        <f>SUM(OSRRefP25x_0)</f>
        <v>68.760000000000005</v>
      </c>
      <c r="Q91" s="4"/>
      <c r="R91" s="13">
        <f t="shared" ref="R91:R92" si="81">IF(P$12=0,0,P91/P$12)</f>
        <v>1.0549491984273219E-4</v>
      </c>
      <c r="S91" s="4"/>
      <c r="T91" s="4">
        <f>SUM(OSRRefT25x_0)</f>
        <v>0</v>
      </c>
      <c r="U91" s="4"/>
      <c r="V91" s="13">
        <f t="shared" ref="V91:V92" si="82">IF(T$12=0,0,T91/T$12)</f>
        <v>0</v>
      </c>
      <c r="W91" s="4"/>
      <c r="X91" s="4">
        <f t="shared" ref="X91:X92" si="83">+P91-T91</f>
        <v>68.760000000000005</v>
      </c>
      <c r="Y91" s="4"/>
      <c r="Z91" s="13">
        <f t="shared" ref="Z91:Z92" si="84">IF(T91=0,0,X91/T91)</f>
        <v>0</v>
      </c>
    </row>
    <row r="92" spans="1:26" s="24" customFormat="1" hidden="1" outlineLevel="1" x14ac:dyDescent="0.35">
      <c r="A92" s="44"/>
      <c r="B92" s="11" t="str">
        <f>CONCATENATE("          ", "9150", " - ", "MISC. INCOME")</f>
        <v xml:space="preserve">          9150 - MISC. INCOME</v>
      </c>
      <c r="C92" s="11"/>
      <c r="D92" s="2">
        <f>0</f>
        <v>0</v>
      </c>
      <c r="E92" s="2"/>
      <c r="F92" s="19">
        <f t="shared" si="77"/>
        <v>0</v>
      </c>
      <c r="G92" s="2"/>
      <c r="H92" s="2">
        <f>0</f>
        <v>0</v>
      </c>
      <c r="I92" s="2"/>
      <c r="J92" s="19">
        <f t="shared" si="78"/>
        <v>0</v>
      </c>
      <c r="K92" s="2"/>
      <c r="L92" s="2">
        <f t="shared" si="79"/>
        <v>0</v>
      </c>
      <c r="M92" s="2"/>
      <c r="N92" s="19">
        <f t="shared" si="80"/>
        <v>0</v>
      </c>
      <c r="O92" s="11"/>
      <c r="P92" s="2">
        <f>--68.76</f>
        <v>68.760000000000005</v>
      </c>
      <c r="Q92" s="2"/>
      <c r="R92" s="19">
        <f t="shared" si="81"/>
        <v>1.0549491984273219E-4</v>
      </c>
      <c r="S92" s="2"/>
      <c r="T92" s="2">
        <f>0</f>
        <v>0</v>
      </c>
      <c r="U92" s="2"/>
      <c r="V92" s="19">
        <f t="shared" si="82"/>
        <v>0</v>
      </c>
      <c r="W92" s="2"/>
      <c r="X92" s="2">
        <f t="shared" si="83"/>
        <v>68.760000000000005</v>
      </c>
      <c r="Y92" s="2"/>
      <c r="Z92" s="19">
        <f t="shared" si="84"/>
        <v>0</v>
      </c>
    </row>
    <row r="93" spans="1:26" x14ac:dyDescent="0.3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5">
      <c r="A94" s="10"/>
      <c r="B94" s="28" t="s">
        <v>3</v>
      </c>
      <c r="C94" s="28"/>
      <c r="D94" s="22">
        <f>+D20-D22+D91</f>
        <v>-43381.93</v>
      </c>
      <c r="E94" s="14"/>
      <c r="F94" s="21">
        <f>IF(D$12=0,0,D94/D$12)</f>
        <v>0</v>
      </c>
      <c r="G94" s="14"/>
      <c r="H94" s="22">
        <f>+H20-H22+H91</f>
        <v>-20686.929999999993</v>
      </c>
      <c r="I94" s="14"/>
      <c r="J94" s="21">
        <f>IF(H$12=0,0,H94/H$12)</f>
        <v>-0.97895571709328588</v>
      </c>
      <c r="K94" s="15"/>
      <c r="L94" s="22">
        <f>+D94-H94</f>
        <v>-22695.000000000007</v>
      </c>
      <c r="M94" s="15"/>
      <c r="N94" s="21">
        <f>IF(H94=0,0,L94/H94)</f>
        <v>1.0970695023379504</v>
      </c>
      <c r="O94" s="29"/>
      <c r="P94" s="22">
        <f>+P20-P22+P91</f>
        <v>-317836.74000000022</v>
      </c>
      <c r="Q94" s="14"/>
      <c r="R94" s="21">
        <f>IF(P$12=0,0,P94/P$12)</f>
        <v>-0.48764050915321894</v>
      </c>
      <c r="S94" s="14"/>
      <c r="T94" s="22">
        <f>+T20-T22+T91</f>
        <v>-163179.92999999993</v>
      </c>
      <c r="U94" s="14"/>
      <c r="V94" s="21">
        <f>IF(T$12=0,0,T94/T$12)</f>
        <v>-0.17741344523989991</v>
      </c>
      <c r="W94" s="15"/>
      <c r="X94" s="22">
        <f>+P94-T94</f>
        <v>-154656.81000000029</v>
      </c>
      <c r="Y94" s="15"/>
      <c r="Z94" s="21">
        <f>IF(T94=0,0,X94/T94)</f>
        <v>0.94776857668709846</v>
      </c>
    </row>
    <row r="95" spans="1:26" x14ac:dyDescent="0.3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35">
      <c r="A96" s="51"/>
      <c r="B96" s="10" t="s">
        <v>13</v>
      </c>
      <c r="C96" s="10"/>
      <c r="D96" s="4">
        <v>21520.75</v>
      </c>
      <c r="E96" s="4"/>
      <c r="F96" s="13">
        <f>IF(D$12=0,0,D96/D$12)</f>
        <v>0</v>
      </c>
      <c r="G96" s="4"/>
      <c r="H96" s="4">
        <v>-27913.02</v>
      </c>
      <c r="I96" s="4"/>
      <c r="J96" s="13">
        <f>IF(H$12=0,0,H96/H$12)</f>
        <v>-1.3209118274359337</v>
      </c>
      <c r="K96" s="4"/>
      <c r="L96" s="4">
        <f>+D96-H96</f>
        <v>49433.770000000004</v>
      </c>
      <c r="M96" s="4"/>
      <c r="N96" s="13">
        <f>IF(H96=0,0,L96/H96)</f>
        <v>-1.7709932497451011</v>
      </c>
      <c r="O96" s="10"/>
      <c r="P96" s="4">
        <v>98705.5</v>
      </c>
      <c r="Q96" s="4"/>
      <c r="R96" s="13">
        <f>IF(P$12=0,0,P96/P$12)</f>
        <v>0.15143875524340897</v>
      </c>
      <c r="S96" s="4"/>
      <c r="T96" s="4">
        <v>65558.680000000008</v>
      </c>
      <c r="U96" s="4"/>
      <c r="V96" s="13">
        <f>IF(T$12=0,0,T96/T$12)</f>
        <v>7.1277094457511583E-2</v>
      </c>
      <c r="W96" s="4"/>
      <c r="X96" s="4">
        <f>+P96-T96</f>
        <v>33146.819999999992</v>
      </c>
      <c r="Y96" s="4"/>
      <c r="Z96" s="13">
        <f>IF(T96=0,0,X96/T96)</f>
        <v>0.50560535996148781</v>
      </c>
    </row>
    <row r="97" spans="1:26" x14ac:dyDescent="0.3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" thickBot="1" x14ac:dyDescent="0.4">
      <c r="A98" s="10"/>
      <c r="B98" s="28" t="s">
        <v>4</v>
      </c>
      <c r="C98" s="28"/>
      <c r="D98" s="34">
        <f>+D94-D96</f>
        <v>-64902.68</v>
      </c>
      <c r="E98" s="14"/>
      <c r="F98" s="32">
        <f>IF(D$12=0,0,D98/D$12)</f>
        <v>0</v>
      </c>
      <c r="G98" s="14"/>
      <c r="H98" s="34">
        <f>+H94-H96</f>
        <v>7226.0900000000074</v>
      </c>
      <c r="I98" s="14"/>
      <c r="J98" s="32">
        <f>IF(H$12=0,0,H98/H$12)</f>
        <v>0.34195611034264783</v>
      </c>
      <c r="K98" s="15"/>
      <c r="L98" s="34">
        <f>D98-H98</f>
        <v>-72128.77</v>
      </c>
      <c r="M98" s="15"/>
      <c r="N98" s="32">
        <f>IF(H98=0,0,L98/H98)</f>
        <v>-9.9817148693138247</v>
      </c>
      <c r="O98" s="29"/>
      <c r="P98" s="34">
        <f>+P94-P96</f>
        <v>-416542.24000000022</v>
      </c>
      <c r="Q98" s="14"/>
      <c r="R98" s="32">
        <f>IF(P$12=0,0,P98/P$12)</f>
        <v>-0.63907926439662788</v>
      </c>
      <c r="S98" s="14"/>
      <c r="T98" s="34">
        <f>+T94-T96</f>
        <v>-228738.60999999993</v>
      </c>
      <c r="U98" s="14"/>
      <c r="V98" s="32">
        <f>IF(T$12=0,0,T98/T$12)</f>
        <v>-0.24869053969741148</v>
      </c>
      <c r="W98" s="15"/>
      <c r="X98" s="34">
        <f>P98-T98</f>
        <v>-187803.6300000003</v>
      </c>
      <c r="Y98" s="15"/>
      <c r="Z98" s="32">
        <f>IF(T98=0,0,X98/T98)</f>
        <v>0.82104035693843014</v>
      </c>
    </row>
    <row r="99" spans="1:26" ht="15" thickTop="1" x14ac:dyDescent="0.3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3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" thickBot="1" x14ac:dyDescent="0.4">
      <c r="A101" s="10"/>
      <c r="B101" s="28" t="s">
        <v>5</v>
      </c>
      <c r="C101" s="28"/>
      <c r="D101" s="35">
        <f>SUM(D98:D100)</f>
        <v>-64902.68</v>
      </c>
      <c r="E101" s="14"/>
      <c r="F101" s="33">
        <f>IF(D$12=0,0,D101/D$12)</f>
        <v>0</v>
      </c>
      <c r="G101" s="14"/>
      <c r="H101" s="35">
        <f>SUM(H98:H100)</f>
        <v>7226.0900000000074</v>
      </c>
      <c r="I101" s="14"/>
      <c r="J101" s="33">
        <f>IF(H$12=0,0,H101/H$12)</f>
        <v>0.34195611034264783</v>
      </c>
      <c r="K101" s="15"/>
      <c r="L101" s="35">
        <f>+D101-H101</f>
        <v>-72128.77</v>
      </c>
      <c r="M101" s="15"/>
      <c r="N101" s="33">
        <f>IF(H101=0,0,L101/H101)</f>
        <v>-9.9817148693138247</v>
      </c>
      <c r="O101" s="29"/>
      <c r="P101" s="35">
        <f>SUM(P98:P100)</f>
        <v>-416542.24000000022</v>
      </c>
      <c r="Q101" s="14"/>
      <c r="R101" s="33">
        <f>IF(P$12=0,0,P101/P$12)</f>
        <v>-0.63907926439662788</v>
      </c>
      <c r="S101" s="14"/>
      <c r="T101" s="35">
        <f>SUM(T98:T100)</f>
        <v>-228738.60999999993</v>
      </c>
      <c r="U101" s="14"/>
      <c r="V101" s="33">
        <f>IF(T$12=0,0,T101/T$12)</f>
        <v>-0.24869053969741148</v>
      </c>
      <c r="W101" s="15"/>
      <c r="X101" s="35">
        <f>+P101-T101</f>
        <v>-187803.6300000003</v>
      </c>
      <c r="Y101" s="15"/>
      <c r="Z101" s="33">
        <f>IF(T101=0,0,X101/T101)</f>
        <v>0.82104035693843014</v>
      </c>
    </row>
    <row r="102" spans="1:26" ht="15" thickTop="1" x14ac:dyDescent="0.35">
      <c r="A102" s="9"/>
      <c r="C102" s="9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35">
      <c r="A103" s="9"/>
      <c r="B103" s="52">
        <v>44043.523262187497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5">
      <c r="A104" s="9"/>
      <c r="B104" s="61" t="s">
        <v>313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5">
      <c r="A105" s="9"/>
      <c r="B105" s="54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35"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","418", " - ", "Nugget")</f>
        <v>Department 418 - Nugget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39710.71</v>
      </c>
      <c r="I12" s="4"/>
      <c r="J12" s="13"/>
      <c r="K12" s="4"/>
      <c r="L12" s="4">
        <f t="shared" ref="L12:L14" si="0">+D12-H12</f>
        <v>-39710.71</v>
      </c>
      <c r="M12" s="4"/>
      <c r="N12" s="13">
        <f t="shared" ref="N12:N14" si="1">IF(H12=0,0,L12/H12)</f>
        <v>-1</v>
      </c>
      <c r="O12" s="10"/>
      <c r="P12" s="4">
        <f>SUM(OSRRefP13x_0)</f>
        <v>1068795.77</v>
      </c>
      <c r="Q12" s="4"/>
      <c r="R12" s="13"/>
      <c r="S12" s="4"/>
      <c r="T12" s="4">
        <f>SUM(OSRRefT13x_0)</f>
        <v>1539899.77</v>
      </c>
      <c r="U12" s="4"/>
      <c r="V12" s="13"/>
      <c r="W12" s="4"/>
      <c r="X12" s="4">
        <f t="shared" ref="X12:X14" si="2">+P12-T12</f>
        <v>-471104</v>
      </c>
      <c r="Y12" s="4"/>
      <c r="Z12" s="13">
        <f t="shared" ref="Z12:Z14" si="3">IF(T12=0,0,X12/T12)</f>
        <v>-0.30593159969106298</v>
      </c>
    </row>
    <row r="13" spans="1:26" s="24" customFormat="1" hidden="1" outlineLevel="1" x14ac:dyDescent="0.3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--16246.93</f>
        <v>16246.93</v>
      </c>
      <c r="I13" s="2"/>
      <c r="J13" s="19"/>
      <c r="K13" s="2"/>
      <c r="L13" s="2">
        <f t="shared" si="0"/>
        <v>-16246.93</v>
      </c>
      <c r="M13" s="2"/>
      <c r="N13" s="19">
        <f t="shared" si="1"/>
        <v>-1</v>
      </c>
      <c r="O13" s="11"/>
      <c r="P13" s="2">
        <f>--381406.04</f>
        <v>381406.04</v>
      </c>
      <c r="Q13" s="2"/>
      <c r="R13" s="19"/>
      <c r="S13" s="2"/>
      <c r="T13" s="2">
        <f>--625909.88</f>
        <v>625909.88</v>
      </c>
      <c r="U13" s="2"/>
      <c r="V13" s="19"/>
      <c r="W13" s="2"/>
      <c r="X13" s="2">
        <f t="shared" si="2"/>
        <v>-244503.84000000003</v>
      </c>
      <c r="Y13" s="2"/>
      <c r="Z13" s="19">
        <f t="shared" si="3"/>
        <v>-0.39063745087391816</v>
      </c>
    </row>
    <row r="14" spans="1:26" s="24" customFormat="1" hidden="1" outlineLevel="1" x14ac:dyDescent="0.3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--23463.78</f>
        <v>23463.78</v>
      </c>
      <c r="I14" s="2"/>
      <c r="J14" s="19"/>
      <c r="K14" s="2"/>
      <c r="L14" s="2">
        <f t="shared" si="0"/>
        <v>-23463.78</v>
      </c>
      <c r="M14" s="2"/>
      <c r="N14" s="19">
        <f t="shared" si="1"/>
        <v>-1</v>
      </c>
      <c r="O14" s="11"/>
      <c r="P14" s="2">
        <f>--687389.73</f>
        <v>687389.73</v>
      </c>
      <c r="Q14" s="2"/>
      <c r="R14" s="19"/>
      <c r="S14" s="2"/>
      <c r="T14" s="2">
        <f>--913989.89</f>
        <v>913989.89</v>
      </c>
      <c r="U14" s="2"/>
      <c r="V14" s="19"/>
      <c r="W14" s="2"/>
      <c r="X14" s="2">
        <f t="shared" si="2"/>
        <v>-226600.16000000003</v>
      </c>
      <c r="Y14" s="2"/>
      <c r="Z14" s="19">
        <f t="shared" si="3"/>
        <v>-0.24792414279330818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9" t="s">
        <v>8</v>
      </c>
      <c r="C16" s="10"/>
      <c r="D16" s="4">
        <f>SUM(OSRRefD16x_0)</f>
        <v>9455</v>
      </c>
      <c r="E16" s="4"/>
      <c r="F16" s="13">
        <f t="shared" ref="F16:F18" si="5">IF(D$12=0,0,D16/D$12)</f>
        <v>0</v>
      </c>
      <c r="G16" s="4"/>
      <c r="H16" s="4">
        <f>SUM(OSRRefH16x_0)</f>
        <v>-780.34000000000015</v>
      </c>
      <c r="I16" s="4"/>
      <c r="J16" s="13">
        <f t="shared" ref="J16:J18" si="6">IF(H$12=0,0,H16/H$12)</f>
        <v>-1.9650618183356585E-2</v>
      </c>
      <c r="K16" s="4"/>
      <c r="L16" s="4">
        <f t="shared" ref="L16:L18" si="7">+D16-H16</f>
        <v>10235.34</v>
      </c>
      <c r="M16" s="4"/>
      <c r="N16" s="13">
        <f t="shared" ref="N16:N18" si="8">IF(H16=0,0,L16/H16)</f>
        <v>-13.116513314708971</v>
      </c>
      <c r="O16" s="10"/>
      <c r="P16" s="4">
        <f>SUM(OSRRefP16x_0)</f>
        <v>371630.06999999995</v>
      </c>
      <c r="Q16" s="4"/>
      <c r="R16" s="13">
        <f t="shared" ref="R16:R18" si="9">IF(P$12=0,0,P16/P$12)</f>
        <v>0.34770915120668933</v>
      </c>
      <c r="S16" s="4"/>
      <c r="T16" s="4">
        <f>SUM(OSRRefT16x_0)</f>
        <v>473924.22000000003</v>
      </c>
      <c r="U16" s="4"/>
      <c r="V16" s="13">
        <f t="shared" ref="V16:V18" si="10">IF(T$12=0,0,T16/T$12)</f>
        <v>0.30776303057698362</v>
      </c>
      <c r="W16" s="4"/>
      <c r="X16" s="4">
        <f t="shared" ref="X16:X18" si="11">+P16-T16</f>
        <v>-102294.15000000008</v>
      </c>
      <c r="Y16" s="4"/>
      <c r="Z16" s="13">
        <f t="shared" ref="Z16:Z18" si="12">IF(T16=0,0,X16/T16)</f>
        <v>-0.21584495090797443</v>
      </c>
    </row>
    <row r="17" spans="1:26" s="24" customFormat="1" hidden="1" outlineLevel="1" x14ac:dyDescent="0.3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10250.66</v>
      </c>
      <c r="I17" s="2"/>
      <c r="J17" s="19">
        <f t="shared" si="6"/>
        <v>0.2581333851749314</v>
      </c>
      <c r="K17" s="2"/>
      <c r="L17" s="2">
        <f t="shared" si="7"/>
        <v>-10250.66</v>
      </c>
      <c r="M17" s="2"/>
      <c r="N17" s="19">
        <f t="shared" si="8"/>
        <v>-1</v>
      </c>
      <c r="O17" s="11"/>
      <c r="P17" s="2">
        <v>360936.39999999997</v>
      </c>
      <c r="Q17" s="2"/>
      <c r="R17" s="19">
        <f t="shared" si="9"/>
        <v>0.33770380659347105</v>
      </c>
      <c r="S17" s="2"/>
      <c r="T17" s="2">
        <v>475070.22000000003</v>
      </c>
      <c r="U17" s="2"/>
      <c r="V17" s="19">
        <f t="shared" si="10"/>
        <v>0.30850723485724013</v>
      </c>
      <c r="W17" s="2"/>
      <c r="X17" s="2">
        <f t="shared" si="11"/>
        <v>-114133.82000000007</v>
      </c>
      <c r="Y17" s="2"/>
      <c r="Z17" s="19">
        <f t="shared" si="12"/>
        <v>-0.24024621033917903</v>
      </c>
    </row>
    <row r="18" spans="1:26" s="24" customFormat="1" hidden="1" outlineLevel="1" x14ac:dyDescent="0.3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9455</v>
      </c>
      <c r="E18" s="2"/>
      <c r="F18" s="19">
        <f t="shared" si="5"/>
        <v>0</v>
      </c>
      <c r="G18" s="2"/>
      <c r="H18" s="2">
        <v>-11031</v>
      </c>
      <c r="I18" s="2"/>
      <c r="J18" s="19">
        <f t="shared" si="6"/>
        <v>-0.27778400335828801</v>
      </c>
      <c r="K18" s="2"/>
      <c r="L18" s="2">
        <f t="shared" si="7"/>
        <v>20486</v>
      </c>
      <c r="M18" s="2"/>
      <c r="N18" s="19">
        <f t="shared" si="8"/>
        <v>-1.857129906626779</v>
      </c>
      <c r="O18" s="11"/>
      <c r="P18" s="2">
        <v>10693.67</v>
      </c>
      <c r="Q18" s="2"/>
      <c r="R18" s="19">
        <f t="shared" si="9"/>
        <v>1.0005344613218295E-2</v>
      </c>
      <c r="S18" s="2"/>
      <c r="T18" s="2">
        <v>-1146</v>
      </c>
      <c r="U18" s="2"/>
      <c r="V18" s="19">
        <f t="shared" si="10"/>
        <v>-7.4420428025650002E-4</v>
      </c>
      <c r="W18" s="2"/>
      <c r="X18" s="2">
        <f t="shared" si="11"/>
        <v>11839.67</v>
      </c>
      <c r="Y18" s="2"/>
      <c r="Z18" s="19">
        <f t="shared" si="12"/>
        <v>-10.33130017452007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8" t="s">
        <v>6</v>
      </c>
      <c r="C20" s="28"/>
      <c r="D20" s="22">
        <f>D12-D16</f>
        <v>-9455</v>
      </c>
      <c r="E20" s="14"/>
      <c r="F20" s="21">
        <f>IF(D$12=0,0,D20/D$12)</f>
        <v>0</v>
      </c>
      <c r="G20" s="14"/>
      <c r="H20" s="22">
        <f>H12-H16</f>
        <v>40491.050000000003</v>
      </c>
      <c r="I20" s="14"/>
      <c r="J20" s="21">
        <f>IF(H$12=0,0,H20/H$12)</f>
        <v>1.0196506181833567</v>
      </c>
      <c r="K20" s="15"/>
      <c r="L20" s="22">
        <f>+D20-H20</f>
        <v>-49946.05</v>
      </c>
      <c r="M20" s="15"/>
      <c r="N20" s="21">
        <f>IF(H20=0,0,L20/H20)</f>
        <v>-1.2335083925954007</v>
      </c>
      <c r="O20" s="29"/>
      <c r="P20" s="22">
        <f>P12-P16</f>
        <v>697165.70000000007</v>
      </c>
      <c r="Q20" s="14"/>
      <c r="R20" s="21">
        <f>IF(P$12=0,0,P20/P$12)</f>
        <v>0.65229084879331067</v>
      </c>
      <c r="S20" s="14"/>
      <c r="T20" s="22">
        <f>T12-T16</f>
        <v>1065975.55</v>
      </c>
      <c r="U20" s="14"/>
      <c r="V20" s="21">
        <f>IF(T$12=0,0,T20/T$12)</f>
        <v>0.69223696942301638</v>
      </c>
      <c r="W20" s="15"/>
      <c r="X20" s="22">
        <f>+P20-T20</f>
        <v>-368809.85</v>
      </c>
      <c r="Y20" s="15"/>
      <c r="Z20" s="21">
        <f>IF(T20=0,0,X20/T20)</f>
        <v>-0.34598340459122157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9" t="s">
        <v>9</v>
      </c>
      <c r="C22" s="10"/>
      <c r="D22" s="20">
        <f>SUM(OSRRefD22x_0)</f>
        <v>19199.530000000002</v>
      </c>
      <c r="E22" s="20"/>
      <c r="F22" s="36">
        <f t="shared" ref="F22:F31" si="13">IF(D$12=0,0,D22/D$12)</f>
        <v>0</v>
      </c>
      <c r="G22" s="20"/>
      <c r="H22" s="20">
        <f>SUM(OSRRefH22x_0)</f>
        <v>42856.04</v>
      </c>
      <c r="I22" s="20"/>
      <c r="J22" s="36">
        <f t="shared" ref="J22:J31" si="14">IF(H$12=0,0,H22/H$12)</f>
        <v>1.0792060882316132</v>
      </c>
      <c r="K22" s="4"/>
      <c r="L22" s="20">
        <f t="shared" ref="L22:L31" si="15">+D22-H22</f>
        <v>-23656.51</v>
      </c>
      <c r="M22" s="4"/>
      <c r="N22" s="36">
        <f t="shared" ref="N22:N31" si="16">IF(H22=0,0,L22/H22)</f>
        <v>-0.5519994381188742</v>
      </c>
      <c r="O22" s="10"/>
      <c r="P22" s="20">
        <f>SUM(OSRRefP22x_0)</f>
        <v>613821.81999999995</v>
      </c>
      <c r="Q22" s="20"/>
      <c r="R22" s="36">
        <f t="shared" ref="R22:R31" si="17">IF(P$12=0,0,P22/P$12)</f>
        <v>0.57431161053341362</v>
      </c>
      <c r="S22" s="20"/>
      <c r="T22" s="20">
        <f>SUM(OSRRefT22x_0)</f>
        <v>715901.29999999993</v>
      </c>
      <c r="U22" s="20"/>
      <c r="V22" s="36">
        <f t="shared" ref="V22:V31" si="18">IF(T$12=0,0,T22/T$12)</f>
        <v>0.46490123185095344</v>
      </c>
      <c r="W22" s="4"/>
      <c r="X22" s="20">
        <f t="shared" ref="X22:X31" si="19">+P22-T22</f>
        <v>-102079.47999999998</v>
      </c>
      <c r="Y22" s="4"/>
      <c r="Z22" s="36">
        <f t="shared" ref="Z22:Z31" si="20">IF(T22=0,0,X22/T22)</f>
        <v>-0.14258876188658967</v>
      </c>
    </row>
    <row r="23" spans="1:26" s="25" customFormat="1" outlineLevel="1" collapsed="1" x14ac:dyDescent="0.3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5667.1100000000006</v>
      </c>
      <c r="E23" s="1"/>
      <c r="F23" s="5">
        <f t="shared" si="13"/>
        <v>0</v>
      </c>
      <c r="G23" s="1"/>
      <c r="H23" s="1">
        <f>SUM(OSRRefH22_0x_0)</f>
        <v>7661.4600000000009</v>
      </c>
      <c r="I23" s="1"/>
      <c r="J23" s="5">
        <f t="shared" si="14"/>
        <v>0.19293183123645991</v>
      </c>
      <c r="K23" s="1"/>
      <c r="L23" s="1">
        <f t="shared" si="15"/>
        <v>-1994.3500000000004</v>
      </c>
      <c r="M23" s="1"/>
      <c r="N23" s="5">
        <f t="shared" si="16"/>
        <v>-0.26030939272671266</v>
      </c>
      <c r="O23" s="12"/>
      <c r="P23" s="1">
        <f>SUM(OSRRefP22_0x_0)</f>
        <v>92443.250000000015</v>
      </c>
      <c r="Q23" s="1"/>
      <c r="R23" s="5">
        <f t="shared" si="17"/>
        <v>8.6492904065292114E-2</v>
      </c>
      <c r="S23" s="1"/>
      <c r="T23" s="1">
        <f>SUM(OSRRefT22_0x_0)</f>
        <v>103607.42000000001</v>
      </c>
      <c r="U23" s="1"/>
      <c r="V23" s="5">
        <f t="shared" si="18"/>
        <v>6.7281924459278289E-2</v>
      </c>
      <c r="W23" s="1"/>
      <c r="X23" s="1">
        <f t="shared" si="19"/>
        <v>-11164.169999999998</v>
      </c>
      <c r="Y23" s="1"/>
      <c r="Z23" s="5">
        <f t="shared" si="20"/>
        <v>-0.10775454113228566</v>
      </c>
    </row>
    <row r="24" spans="1:26" s="24" customFormat="1" hidden="1" outlineLevel="2" x14ac:dyDescent="0.35">
      <c r="A24" s="27"/>
      <c r="B24" s="11" t="str">
        <f>CONCATENATE("          ", "6111", " - ", "F.I.C.A.")</f>
        <v xml:space="preserve">          6111 - F.I.C.A.</v>
      </c>
      <c r="C24" s="11"/>
      <c r="D24" s="7">
        <v>470.3</v>
      </c>
      <c r="E24" s="2"/>
      <c r="F24" s="6">
        <f t="shared" si="13"/>
        <v>0</v>
      </c>
      <c r="G24" s="2"/>
      <c r="H24" s="7">
        <v>1461.15</v>
      </c>
      <c r="I24" s="2"/>
      <c r="J24" s="6">
        <f t="shared" si="14"/>
        <v>3.6794859623512151E-2</v>
      </c>
      <c r="K24" s="2"/>
      <c r="L24" s="7">
        <f t="shared" si="15"/>
        <v>-990.85000000000014</v>
      </c>
      <c r="M24" s="2"/>
      <c r="N24" s="6">
        <f t="shared" si="16"/>
        <v>-0.67813023987954701</v>
      </c>
      <c r="O24" s="11"/>
      <c r="P24" s="7">
        <v>19003.47</v>
      </c>
      <c r="Q24" s="2"/>
      <c r="R24" s="6">
        <f t="shared" si="17"/>
        <v>1.7780263108638613E-2</v>
      </c>
      <c r="S24" s="2"/>
      <c r="T24" s="7">
        <v>17920.710000000003</v>
      </c>
      <c r="U24" s="2"/>
      <c r="V24" s="6">
        <f t="shared" si="18"/>
        <v>1.1637582100554508E-2</v>
      </c>
      <c r="W24" s="2"/>
      <c r="X24" s="7">
        <f t="shared" si="19"/>
        <v>1082.7599999999984</v>
      </c>
      <c r="Y24" s="2"/>
      <c r="Z24" s="6">
        <f t="shared" si="20"/>
        <v>6.041948114778925E-2</v>
      </c>
    </row>
    <row r="25" spans="1:26" s="24" customFormat="1" hidden="1" outlineLevel="2" x14ac:dyDescent="0.3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20.9</v>
      </c>
      <c r="E25" s="2"/>
      <c r="F25" s="6">
        <f t="shared" si="13"/>
        <v>0</v>
      </c>
      <c r="G25" s="2"/>
      <c r="H25" s="7">
        <v>991.65</v>
      </c>
      <c r="I25" s="2"/>
      <c r="J25" s="6">
        <f t="shared" si="14"/>
        <v>2.4971852681556186E-2</v>
      </c>
      <c r="K25" s="2"/>
      <c r="L25" s="7">
        <f t="shared" si="15"/>
        <v>-970.75</v>
      </c>
      <c r="M25" s="2"/>
      <c r="N25" s="6">
        <f t="shared" si="16"/>
        <v>-0.97892401552967279</v>
      </c>
      <c r="O25" s="11"/>
      <c r="P25" s="7">
        <v>10598.72</v>
      </c>
      <c r="Q25" s="2"/>
      <c r="R25" s="6">
        <f t="shared" si="17"/>
        <v>9.9165063125203051E-3</v>
      </c>
      <c r="S25" s="2"/>
      <c r="T25" s="7">
        <v>12968.86</v>
      </c>
      <c r="U25" s="2"/>
      <c r="V25" s="6">
        <f t="shared" si="18"/>
        <v>8.4218857958528043E-3</v>
      </c>
      <c r="W25" s="2"/>
      <c r="X25" s="7">
        <f t="shared" si="19"/>
        <v>-2370.1400000000012</v>
      </c>
      <c r="Y25" s="2"/>
      <c r="Z25" s="6">
        <f t="shared" si="20"/>
        <v>-0.18275623300737312</v>
      </c>
    </row>
    <row r="26" spans="1:26" s="24" customFormat="1" hidden="1" outlineLevel="2" x14ac:dyDescent="0.35">
      <c r="A26" s="27"/>
      <c r="B26" s="11" t="str">
        <f>CONCATENATE("          ", "6113", " - ", "GROUP INSURANCE")</f>
        <v xml:space="preserve">          6113 - GROUP INSURANCE</v>
      </c>
      <c r="C26" s="11"/>
      <c r="D26" s="7">
        <v>4780.67</v>
      </c>
      <c r="E26" s="2"/>
      <c r="F26" s="6">
        <f t="shared" si="13"/>
        <v>0</v>
      </c>
      <c r="G26" s="2"/>
      <c r="H26" s="7">
        <v>3837.3</v>
      </c>
      <c r="I26" s="2"/>
      <c r="J26" s="6">
        <f t="shared" si="14"/>
        <v>9.6631362169047094E-2</v>
      </c>
      <c r="K26" s="2"/>
      <c r="L26" s="7">
        <f t="shared" si="15"/>
        <v>943.36999999999989</v>
      </c>
      <c r="M26" s="2"/>
      <c r="N26" s="6">
        <f t="shared" si="16"/>
        <v>0.2458421285799911</v>
      </c>
      <c r="O26" s="11"/>
      <c r="P26" s="7">
        <v>49586.97</v>
      </c>
      <c r="Q26" s="2"/>
      <c r="R26" s="6">
        <f t="shared" si="17"/>
        <v>4.6395178004868039E-2</v>
      </c>
      <c r="S26" s="2"/>
      <c r="T26" s="7">
        <v>45297.09</v>
      </c>
      <c r="U26" s="2"/>
      <c r="V26" s="6">
        <f t="shared" si="18"/>
        <v>2.9415609302935342E-2</v>
      </c>
      <c r="W26" s="2"/>
      <c r="X26" s="7">
        <f t="shared" si="19"/>
        <v>4289.8800000000047</v>
      </c>
      <c r="Y26" s="2"/>
      <c r="Z26" s="6">
        <f t="shared" si="20"/>
        <v>9.4705421474094803E-2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-860.67</v>
      </c>
      <c r="E27" s="2"/>
      <c r="F27" s="6">
        <f t="shared" si="13"/>
        <v>0</v>
      </c>
      <c r="G27" s="2"/>
      <c r="H27" s="7">
        <v>73.67</v>
      </c>
      <c r="I27" s="2"/>
      <c r="J27" s="6">
        <f t="shared" si="14"/>
        <v>1.8551670317654861E-3</v>
      </c>
      <c r="K27" s="2"/>
      <c r="L27" s="7">
        <f t="shared" si="15"/>
        <v>-934.33999999999992</v>
      </c>
      <c r="M27" s="2"/>
      <c r="N27" s="6">
        <f t="shared" si="16"/>
        <v>-12.682774535088909</v>
      </c>
      <c r="O27" s="11"/>
      <c r="P27" s="7">
        <v>0</v>
      </c>
      <c r="Q27" s="2"/>
      <c r="R27" s="6">
        <f t="shared" si="17"/>
        <v>0</v>
      </c>
      <c r="S27" s="2"/>
      <c r="T27" s="7">
        <v>1073.2</v>
      </c>
      <c r="U27" s="2"/>
      <c r="V27" s="6">
        <f t="shared" si="18"/>
        <v>6.9692847606568577E-4</v>
      </c>
      <c r="W27" s="2"/>
      <c r="X27" s="7">
        <f t="shared" si="19"/>
        <v>-1073.2</v>
      </c>
      <c r="Y27" s="2"/>
      <c r="Z27" s="6">
        <f t="shared" si="20"/>
        <v>-1</v>
      </c>
    </row>
    <row r="28" spans="1:26" s="24" customFormat="1" hidden="1" outlineLevel="2" x14ac:dyDescent="0.35">
      <c r="A28" s="27"/>
      <c r="B28" s="11" t="str">
        <f>CONCATENATE("          ", "6115", " - ", "P.E.R.S.")</f>
        <v xml:space="preserve">          6115 - P.E.R.S.</v>
      </c>
      <c r="C28" s="11"/>
      <c r="D28" s="7">
        <v>314.18</v>
      </c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314.18</v>
      </c>
      <c r="M28" s="2"/>
      <c r="N28" s="6">
        <f t="shared" si="16"/>
        <v>0</v>
      </c>
      <c r="O28" s="11"/>
      <c r="P28" s="7">
        <v>5982.07</v>
      </c>
      <c r="Q28" s="2"/>
      <c r="R28" s="6">
        <f t="shared" si="17"/>
        <v>5.5970187831113887E-3</v>
      </c>
      <c r="S28" s="2"/>
      <c r="T28" s="7">
        <v>7048.21</v>
      </c>
      <c r="U28" s="2"/>
      <c r="V28" s="6">
        <f t="shared" si="18"/>
        <v>4.5770576353810349E-3</v>
      </c>
      <c r="W28" s="2"/>
      <c r="X28" s="7">
        <f t="shared" si="19"/>
        <v>-1066.1400000000003</v>
      </c>
      <c r="Y28" s="2"/>
      <c r="Z28" s="6">
        <f t="shared" si="20"/>
        <v>-0.151263937936015</v>
      </c>
    </row>
    <row r="29" spans="1:26" s="24" customFormat="1" hidden="1" outlineLevel="2" x14ac:dyDescent="0.35">
      <c r="A29" s="27"/>
      <c r="B29" s="11" t="str">
        <f>CONCATENATE("          ", "6118", " - ", "VACATION")</f>
        <v xml:space="preserve">          6118 - VACATION</v>
      </c>
      <c r="C29" s="11"/>
      <c r="D29" s="7">
        <v>496.42</v>
      </c>
      <c r="E29" s="2"/>
      <c r="F29" s="6">
        <f t="shared" si="13"/>
        <v>0</v>
      </c>
      <c r="G29" s="2"/>
      <c r="H29" s="7">
        <v>473.13</v>
      </c>
      <c r="I29" s="2"/>
      <c r="J29" s="6">
        <f t="shared" si="14"/>
        <v>1.1914418049941691E-2</v>
      </c>
      <c r="K29" s="2"/>
      <c r="L29" s="7">
        <f t="shared" si="15"/>
        <v>23.29000000000002</v>
      </c>
      <c r="M29" s="2"/>
      <c r="N29" s="6">
        <f t="shared" si="16"/>
        <v>4.9225371462388819E-2</v>
      </c>
      <c r="O29" s="11"/>
      <c r="P29" s="7">
        <v>6518.73</v>
      </c>
      <c r="Q29" s="2"/>
      <c r="R29" s="6">
        <f t="shared" si="17"/>
        <v>6.0991352913007876E-3</v>
      </c>
      <c r="S29" s="2"/>
      <c r="T29" s="7">
        <v>6673.33</v>
      </c>
      <c r="U29" s="2"/>
      <c r="V29" s="6">
        <f t="shared" si="18"/>
        <v>4.3336132195149297E-3</v>
      </c>
      <c r="W29" s="2"/>
      <c r="X29" s="7">
        <f t="shared" si="19"/>
        <v>-154.60000000000036</v>
      </c>
      <c r="Y29" s="2"/>
      <c r="Z29" s="6">
        <f t="shared" si="20"/>
        <v>-2.3166844738683742E-2</v>
      </c>
    </row>
    <row r="30" spans="1:26" s="24" customFormat="1" hidden="1" outlineLevel="2" x14ac:dyDescent="0.35">
      <c r="A30" s="27"/>
      <c r="B30" s="11" t="str">
        <f>CONCATENATE("          ", "6119", " - ", "SICK LEAVE")</f>
        <v xml:space="preserve">          6119 - SICK LEAVE</v>
      </c>
      <c r="C30" s="11"/>
      <c r="D30" s="7">
        <v>283.56</v>
      </c>
      <c r="E30" s="2"/>
      <c r="F30" s="6">
        <f t="shared" si="13"/>
        <v>0</v>
      </c>
      <c r="G30" s="2"/>
      <c r="H30" s="7">
        <v>478.85</v>
      </c>
      <c r="I30" s="2"/>
      <c r="J30" s="6">
        <f t="shared" si="14"/>
        <v>1.20584597958586E-2</v>
      </c>
      <c r="K30" s="2"/>
      <c r="L30" s="7">
        <f t="shared" si="15"/>
        <v>-195.29000000000002</v>
      </c>
      <c r="M30" s="2"/>
      <c r="N30" s="6">
        <f t="shared" si="16"/>
        <v>-0.4078312623994988</v>
      </c>
      <c r="O30" s="11"/>
      <c r="P30" s="7">
        <v>-3729.23</v>
      </c>
      <c r="Q30" s="2"/>
      <c r="R30" s="6">
        <f t="shared" si="17"/>
        <v>-3.4891885846441927E-3</v>
      </c>
      <c r="S30" s="2"/>
      <c r="T30" s="7">
        <v>7445.92</v>
      </c>
      <c r="U30" s="2"/>
      <c r="V30" s="6">
        <f t="shared" si="18"/>
        <v>4.8353276914899464E-3</v>
      </c>
      <c r="W30" s="2"/>
      <c r="X30" s="7">
        <f t="shared" si="19"/>
        <v>-11175.15</v>
      </c>
      <c r="Y30" s="2"/>
      <c r="Z30" s="6">
        <f t="shared" si="20"/>
        <v>-1.5008420718997786</v>
      </c>
    </row>
    <row r="31" spans="1:26" s="24" customFormat="1" hidden="1" outlineLevel="2" x14ac:dyDescent="0.35">
      <c r="A31" s="27"/>
      <c r="B31" s="11" t="str">
        <f>CONCATENATE("          ", "6156", " - ", "EMPLOYEE MEALS")</f>
        <v xml:space="preserve">          6156 - EMPLOYEE MEALS</v>
      </c>
      <c r="C31" s="11"/>
      <c r="D31" s="7">
        <v>161.75</v>
      </c>
      <c r="E31" s="2"/>
      <c r="F31" s="6">
        <f t="shared" si="13"/>
        <v>0</v>
      </c>
      <c r="G31" s="2"/>
      <c r="H31" s="7">
        <v>345.71</v>
      </c>
      <c r="I31" s="2"/>
      <c r="J31" s="6">
        <f t="shared" si="14"/>
        <v>8.7057118847786909E-3</v>
      </c>
      <c r="K31" s="2"/>
      <c r="L31" s="7">
        <f t="shared" si="15"/>
        <v>-183.95999999999998</v>
      </c>
      <c r="M31" s="2"/>
      <c r="N31" s="6">
        <f t="shared" si="16"/>
        <v>-0.53212229903676489</v>
      </c>
      <c r="O31" s="11"/>
      <c r="P31" s="7">
        <v>4482.5200000000004</v>
      </c>
      <c r="Q31" s="2"/>
      <c r="R31" s="6">
        <f t="shared" si="17"/>
        <v>4.1939911494971579E-3</v>
      </c>
      <c r="S31" s="2"/>
      <c r="T31" s="7">
        <v>5180.1000000000004</v>
      </c>
      <c r="U31" s="2"/>
      <c r="V31" s="6">
        <f t="shared" si="18"/>
        <v>3.3639202374840279E-3</v>
      </c>
      <c r="W31" s="2"/>
      <c r="X31" s="7">
        <f t="shared" si="19"/>
        <v>-697.57999999999993</v>
      </c>
      <c r="Y31" s="2"/>
      <c r="Z31" s="6">
        <f t="shared" si="20"/>
        <v>-0.1346653539506959</v>
      </c>
    </row>
    <row r="32" spans="1:26" s="25" customFormat="1" outlineLevel="1" collapsed="1" x14ac:dyDescent="0.3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5840.3</v>
      </c>
      <c r="E32" s="1"/>
      <c r="F32" s="5">
        <f t="shared" ref="F32:F38" si="21">IF(D$12=0,0,D32/D$12)</f>
        <v>0</v>
      </c>
      <c r="G32" s="1"/>
      <c r="H32" s="1">
        <f>SUM(OSRRefH22_1x_0)</f>
        <v>16963.939999999999</v>
      </c>
      <c r="I32" s="1"/>
      <c r="J32" s="5">
        <f t="shared" ref="J32:J38" si="22">IF(H$12=0,0,H32/H$12)</f>
        <v>0.42718803063455674</v>
      </c>
      <c r="K32" s="1"/>
      <c r="L32" s="1">
        <f t="shared" ref="L32:L38" si="23">+D32-H32</f>
        <v>-11123.64</v>
      </c>
      <c r="M32" s="1"/>
      <c r="N32" s="5">
        <f t="shared" ref="N32:N38" si="24">IF(H32=0,0,L32/H32)</f>
        <v>-0.65572266820090142</v>
      </c>
      <c r="O32" s="12"/>
      <c r="P32" s="1">
        <f>SUM(OSRRefP22_1x_0)</f>
        <v>322528.69</v>
      </c>
      <c r="Q32" s="1"/>
      <c r="R32" s="5">
        <f t="shared" ref="R32:R38" si="25">IF(P$12=0,0,P32/P$12)</f>
        <v>0.30176830696102025</v>
      </c>
      <c r="S32" s="1"/>
      <c r="T32" s="1">
        <f>SUM(OSRRefT22_1x_0)</f>
        <v>379586.98000000004</v>
      </c>
      <c r="U32" s="1"/>
      <c r="V32" s="5">
        <f t="shared" ref="V32:V38" si="26">IF(T$12=0,0,T32/T$12)</f>
        <v>0.2465010953277823</v>
      </c>
      <c r="W32" s="1"/>
      <c r="X32" s="1">
        <f t="shared" ref="X32:X38" si="27">+P32-T32</f>
        <v>-57058.290000000037</v>
      </c>
      <c r="Y32" s="1"/>
      <c r="Z32" s="5">
        <f t="shared" ref="Z32:Z38" si="28">IF(T32=0,0,X32/T32)</f>
        <v>-0.15031677324654294</v>
      </c>
    </row>
    <row r="33" spans="1:26" s="24" customFormat="1" hidden="1" outlineLevel="2" x14ac:dyDescent="0.35">
      <c r="A33" s="27"/>
      <c r="B33" s="11" t="str">
        <f>CONCATENATE("          ", "6002", " - ", "STAFF SALARIES")</f>
        <v xml:space="preserve">          6002 - STAFF SALARIES</v>
      </c>
      <c r="C33" s="11"/>
      <c r="D33" s="7">
        <v>5840.3</v>
      </c>
      <c r="E33" s="2"/>
      <c r="F33" s="6">
        <f t="shared" si="21"/>
        <v>0</v>
      </c>
      <c r="G33" s="2"/>
      <c r="H33" s="7">
        <v>4686.8100000000004</v>
      </c>
      <c r="I33" s="2"/>
      <c r="J33" s="6">
        <f t="shared" si="22"/>
        <v>0.11802382782881496</v>
      </c>
      <c r="K33" s="2"/>
      <c r="L33" s="7">
        <f t="shared" si="23"/>
        <v>1153.4899999999998</v>
      </c>
      <c r="M33" s="2"/>
      <c r="N33" s="6">
        <f t="shared" si="24"/>
        <v>0.24611409466140075</v>
      </c>
      <c r="O33" s="11"/>
      <c r="P33" s="7">
        <v>90172.72</v>
      </c>
      <c r="Q33" s="2"/>
      <c r="R33" s="6">
        <f t="shared" si="25"/>
        <v>8.4368522528864426E-2</v>
      </c>
      <c r="S33" s="2"/>
      <c r="T33" s="7">
        <v>103289.29</v>
      </c>
      <c r="U33" s="2"/>
      <c r="V33" s="6">
        <f t="shared" si="26"/>
        <v>6.7075333091321909E-2</v>
      </c>
      <c r="W33" s="2"/>
      <c r="X33" s="7">
        <f t="shared" si="27"/>
        <v>-13116.569999999992</v>
      </c>
      <c r="Y33" s="2"/>
      <c r="Z33" s="6">
        <f t="shared" si="28"/>
        <v>-0.12698867423718369</v>
      </c>
    </row>
    <row r="34" spans="1:26" s="24" customFormat="1" hidden="1" outlineLevel="2" x14ac:dyDescent="0.3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1"/>
        <v>0</v>
      </c>
      <c r="G34" s="2"/>
      <c r="H34" s="7">
        <v>2341.75</v>
      </c>
      <c r="I34" s="2"/>
      <c r="J34" s="6">
        <f t="shared" si="22"/>
        <v>5.897023750016054E-2</v>
      </c>
      <c r="K34" s="2"/>
      <c r="L34" s="7">
        <f t="shared" si="23"/>
        <v>-2341.75</v>
      </c>
      <c r="M34" s="2"/>
      <c r="N34" s="6">
        <f t="shared" si="24"/>
        <v>-1</v>
      </c>
      <c r="O34" s="11"/>
      <c r="P34" s="7">
        <v>38197.160000000003</v>
      </c>
      <c r="Q34" s="2"/>
      <c r="R34" s="6">
        <f t="shared" si="25"/>
        <v>3.5738502221055762E-2</v>
      </c>
      <c r="S34" s="2"/>
      <c r="T34" s="7">
        <v>29037.38</v>
      </c>
      <c r="U34" s="2"/>
      <c r="V34" s="6">
        <f t="shared" si="26"/>
        <v>1.8856668833712471E-2</v>
      </c>
      <c r="W34" s="2"/>
      <c r="X34" s="7">
        <f t="shared" si="27"/>
        <v>9159.7800000000025</v>
      </c>
      <c r="Y34" s="2"/>
      <c r="Z34" s="6">
        <f t="shared" si="28"/>
        <v>0.31544788131711615</v>
      </c>
    </row>
    <row r="35" spans="1:26" s="24" customFormat="1" hidden="1" outlineLevel="2" x14ac:dyDescent="0.3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1"/>
        <v>0</v>
      </c>
      <c r="G35" s="2"/>
      <c r="H35" s="7">
        <v>6359.03</v>
      </c>
      <c r="I35" s="2"/>
      <c r="J35" s="6">
        <f t="shared" si="22"/>
        <v>0.1601338782409078</v>
      </c>
      <c r="K35" s="2"/>
      <c r="L35" s="7">
        <f t="shared" si="23"/>
        <v>-6359.03</v>
      </c>
      <c r="M35" s="2"/>
      <c r="N35" s="6">
        <f t="shared" si="24"/>
        <v>-1</v>
      </c>
      <c r="O35" s="11"/>
      <c r="P35" s="7">
        <v>91629.97</v>
      </c>
      <c r="Q35" s="2"/>
      <c r="R35" s="6">
        <f t="shared" si="25"/>
        <v>8.5731972910034995E-2</v>
      </c>
      <c r="S35" s="2"/>
      <c r="T35" s="7">
        <v>74247.650000000009</v>
      </c>
      <c r="U35" s="2"/>
      <c r="V35" s="6">
        <f t="shared" si="26"/>
        <v>4.8215897843792786E-2</v>
      </c>
      <c r="W35" s="2"/>
      <c r="X35" s="7">
        <f t="shared" si="27"/>
        <v>17382.319999999992</v>
      </c>
      <c r="Y35" s="2"/>
      <c r="Z35" s="6">
        <f t="shared" si="28"/>
        <v>0.2341127294937953</v>
      </c>
    </row>
    <row r="36" spans="1:26" s="24" customFormat="1" hidden="1" outlineLevel="2" x14ac:dyDescent="0.3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1"/>
        <v>0</v>
      </c>
      <c r="G36" s="2"/>
      <c r="H36" s="7">
        <v>1511.25</v>
      </c>
      <c r="I36" s="2"/>
      <c r="J36" s="6">
        <f t="shared" si="22"/>
        <v>3.8056484006455692E-2</v>
      </c>
      <c r="K36" s="2"/>
      <c r="L36" s="7">
        <f t="shared" si="23"/>
        <v>-1511.25</v>
      </c>
      <c r="M36" s="2"/>
      <c r="N36" s="6">
        <f t="shared" si="24"/>
        <v>-1</v>
      </c>
      <c r="O36" s="11"/>
      <c r="P36" s="7">
        <v>7215.01</v>
      </c>
      <c r="Q36" s="2"/>
      <c r="R36" s="6">
        <f t="shared" si="25"/>
        <v>6.7505974504371404E-3</v>
      </c>
      <c r="S36" s="2"/>
      <c r="T36" s="7">
        <v>1511.25</v>
      </c>
      <c r="U36" s="2"/>
      <c r="V36" s="6">
        <f t="shared" si="26"/>
        <v>9.8139504235395794E-4</v>
      </c>
      <c r="W36" s="2"/>
      <c r="X36" s="7">
        <f t="shared" si="27"/>
        <v>5703.76</v>
      </c>
      <c r="Y36" s="2"/>
      <c r="Z36" s="6">
        <f t="shared" si="28"/>
        <v>3.774200165425972</v>
      </c>
    </row>
    <row r="37" spans="1:26" s="24" customFormat="1" hidden="1" outlineLevel="2" x14ac:dyDescent="0.3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1"/>
        <v>0</v>
      </c>
      <c r="G37" s="2"/>
      <c r="H37" s="7">
        <v>2065.1</v>
      </c>
      <c r="I37" s="2"/>
      <c r="J37" s="6">
        <f t="shared" si="22"/>
        <v>5.2003603058217794E-2</v>
      </c>
      <c r="K37" s="2"/>
      <c r="L37" s="7">
        <f t="shared" si="23"/>
        <v>-2065.1</v>
      </c>
      <c r="M37" s="2"/>
      <c r="N37" s="6">
        <f t="shared" si="24"/>
        <v>-1</v>
      </c>
      <c r="O37" s="11"/>
      <c r="P37" s="7">
        <v>93483.83</v>
      </c>
      <c r="Q37" s="2"/>
      <c r="R37" s="6">
        <f t="shared" si="25"/>
        <v>8.7466504475405993E-2</v>
      </c>
      <c r="S37" s="2"/>
      <c r="T37" s="7">
        <v>160756.09</v>
      </c>
      <c r="U37" s="2"/>
      <c r="V37" s="6">
        <f t="shared" si="26"/>
        <v>0.10439386584232037</v>
      </c>
      <c r="W37" s="2"/>
      <c r="X37" s="7">
        <f t="shared" si="27"/>
        <v>-67272.259999999995</v>
      </c>
      <c r="Y37" s="2"/>
      <c r="Z37" s="6">
        <f t="shared" si="28"/>
        <v>-0.41847409948823711</v>
      </c>
    </row>
    <row r="38" spans="1:26" s="24" customFormat="1" hidden="1" outlineLevel="2" x14ac:dyDescent="0.3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1"/>
        <v>0</v>
      </c>
      <c r="G38" s="2"/>
      <c r="H38" s="7"/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>
        <v>1830</v>
      </c>
      <c r="Q38" s="2"/>
      <c r="R38" s="6">
        <f t="shared" si="25"/>
        <v>1.7122073752219285E-3</v>
      </c>
      <c r="S38" s="2"/>
      <c r="T38" s="7">
        <v>10745.32</v>
      </c>
      <c r="U38" s="2"/>
      <c r="V38" s="6">
        <f t="shared" si="26"/>
        <v>6.9779346742807813E-3</v>
      </c>
      <c r="W38" s="2"/>
      <c r="X38" s="7">
        <f t="shared" si="27"/>
        <v>-8915.32</v>
      </c>
      <c r="Y38" s="2"/>
      <c r="Z38" s="6">
        <f t="shared" si="28"/>
        <v>-0.82969329903623157</v>
      </c>
    </row>
    <row r="39" spans="1:26" s="25" customFormat="1" outlineLevel="1" collapsed="1" x14ac:dyDescent="0.3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47" si="29">IF(D$12=0,0,D39/D$12)</f>
        <v>0</v>
      </c>
      <c r="G39" s="1"/>
      <c r="H39" s="1">
        <f>SUM(OSRRefH22_2x_0)</f>
        <v>410</v>
      </c>
      <c r="I39" s="1"/>
      <c r="J39" s="5">
        <f t="shared" ref="J39:J47" si="30">IF(H$12=0,0,H39/H$12)</f>
        <v>1.0324670598939179E-2</v>
      </c>
      <c r="K39" s="1"/>
      <c r="L39" s="1">
        <f t="shared" ref="L39:L47" si="31">+D39-H39</f>
        <v>-410</v>
      </c>
      <c r="M39" s="1"/>
      <c r="N39" s="5">
        <f t="shared" ref="N39:N47" si="32">IF(H39=0,0,L39/H39)</f>
        <v>-1</v>
      </c>
      <c r="O39" s="12"/>
      <c r="P39" s="1">
        <f>SUM(OSRRefP22_2x_0)</f>
        <v>4363.6499999999996</v>
      </c>
      <c r="Q39" s="1"/>
      <c r="R39" s="5">
        <f t="shared" ref="R39:R47" si="33">IF(P$12=0,0,P39/P$12)</f>
        <v>4.0827725207033703E-3</v>
      </c>
      <c r="S39" s="1"/>
      <c r="T39" s="1">
        <f>SUM(OSRRefT22_2x_0)</f>
        <v>5442.5</v>
      </c>
      <c r="U39" s="1"/>
      <c r="V39" s="5">
        <f t="shared" ref="V39:V47" si="34">IF(T$12=0,0,T39/T$12)</f>
        <v>3.5343209383036662E-3</v>
      </c>
      <c r="W39" s="1"/>
      <c r="X39" s="1">
        <f t="shared" ref="X39:X47" si="35">+P39-T39</f>
        <v>-1078.8500000000004</v>
      </c>
      <c r="Y39" s="1"/>
      <c r="Z39" s="5">
        <f t="shared" ref="Z39:Z47" si="36">IF(T39=0,0,X39/T39)</f>
        <v>-0.19822691777675708</v>
      </c>
    </row>
    <row r="40" spans="1:26" s="24" customFormat="1" hidden="1" outlineLevel="2" x14ac:dyDescent="0.35">
      <c r="A40" s="27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29"/>
        <v>0</v>
      </c>
      <c r="G40" s="2"/>
      <c r="H40" s="7">
        <v>410</v>
      </c>
      <c r="I40" s="2"/>
      <c r="J40" s="6">
        <f t="shared" si="30"/>
        <v>1.0324670598939179E-2</v>
      </c>
      <c r="K40" s="2"/>
      <c r="L40" s="7">
        <f t="shared" si="31"/>
        <v>-410</v>
      </c>
      <c r="M40" s="2"/>
      <c r="N40" s="6">
        <f t="shared" si="32"/>
        <v>-1</v>
      </c>
      <c r="O40" s="11"/>
      <c r="P40" s="7">
        <v>4363.6499999999996</v>
      </c>
      <c r="Q40" s="2"/>
      <c r="R40" s="6">
        <f t="shared" si="33"/>
        <v>4.0827725207033703E-3</v>
      </c>
      <c r="S40" s="2"/>
      <c r="T40" s="7">
        <v>5442.5</v>
      </c>
      <c r="U40" s="2"/>
      <c r="V40" s="6">
        <f t="shared" si="34"/>
        <v>3.5343209383036662E-3</v>
      </c>
      <c r="W40" s="2"/>
      <c r="X40" s="7">
        <f t="shared" si="35"/>
        <v>-1078.8500000000004</v>
      </c>
      <c r="Y40" s="2"/>
      <c r="Z40" s="6">
        <f t="shared" si="36"/>
        <v>-0.19822691777675708</v>
      </c>
    </row>
    <row r="41" spans="1:26" s="25" customFormat="1" outlineLevel="1" collapsed="1" x14ac:dyDescent="0.3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2150.48</v>
      </c>
      <c r="I41" s="1"/>
      <c r="J41" s="5">
        <f t="shared" si="30"/>
        <v>5.4153652755138351E-2</v>
      </c>
      <c r="K41" s="1"/>
      <c r="L41" s="1">
        <f t="shared" si="31"/>
        <v>-2150.48</v>
      </c>
      <c r="M41" s="1"/>
      <c r="N41" s="5">
        <f t="shared" si="32"/>
        <v>-1</v>
      </c>
      <c r="O41" s="12"/>
      <c r="P41" s="1">
        <f>SUM(OSRRefP22_3x_0)</f>
        <v>-326.89</v>
      </c>
      <c r="Q41" s="1"/>
      <c r="R41" s="5">
        <f t="shared" si="33"/>
        <v>-3.0584889010180119E-4</v>
      </c>
      <c r="S41" s="1"/>
      <c r="T41" s="1">
        <f>SUM(OSRRefT22_3x_0)</f>
        <v>1943.88</v>
      </c>
      <c r="U41" s="1"/>
      <c r="V41" s="5">
        <f t="shared" si="34"/>
        <v>1.2623418990445074E-3</v>
      </c>
      <c r="W41" s="1"/>
      <c r="X41" s="1">
        <f t="shared" si="35"/>
        <v>-2270.77</v>
      </c>
      <c r="Y41" s="1"/>
      <c r="Z41" s="5">
        <f t="shared" si="36"/>
        <v>-1.1681636726546905</v>
      </c>
    </row>
    <row r="42" spans="1:26" s="24" customFormat="1" hidden="1" outlineLevel="2" x14ac:dyDescent="0.35">
      <c r="A42" s="27"/>
      <c r="B42" s="11" t="str">
        <f>CONCATENATE("          ", "6272", " - ", "CASH (OVER/SHORT)")</f>
        <v xml:space="preserve">          6272 - CASH (OVER/SHORT)</v>
      </c>
      <c r="C42" s="11"/>
      <c r="D42" s="7"/>
      <c r="E42" s="2"/>
      <c r="F42" s="6">
        <f t="shared" si="29"/>
        <v>0</v>
      </c>
      <c r="G42" s="2"/>
      <c r="H42" s="7">
        <v>2150.48</v>
      </c>
      <c r="I42" s="2"/>
      <c r="J42" s="6">
        <f t="shared" si="30"/>
        <v>5.4153652755138351E-2</v>
      </c>
      <c r="K42" s="2"/>
      <c r="L42" s="7">
        <f t="shared" si="31"/>
        <v>-2150.48</v>
      </c>
      <c r="M42" s="2"/>
      <c r="N42" s="6">
        <f t="shared" si="32"/>
        <v>-1</v>
      </c>
      <c r="O42" s="11"/>
      <c r="P42" s="7">
        <v>-326.89</v>
      </c>
      <c r="Q42" s="2"/>
      <c r="R42" s="6">
        <f t="shared" si="33"/>
        <v>-3.0584889010180119E-4</v>
      </c>
      <c r="S42" s="2"/>
      <c r="T42" s="7">
        <v>1943.88</v>
      </c>
      <c r="U42" s="2"/>
      <c r="V42" s="6">
        <f t="shared" si="34"/>
        <v>1.2623418990445074E-3</v>
      </c>
      <c r="W42" s="2"/>
      <c r="X42" s="7">
        <f t="shared" si="35"/>
        <v>-2270.77</v>
      </c>
      <c r="Y42" s="2"/>
      <c r="Z42" s="6">
        <f t="shared" si="36"/>
        <v>-1.1681636726546905</v>
      </c>
    </row>
    <row r="43" spans="1:26" s="25" customFormat="1" outlineLevel="1" collapsed="1" x14ac:dyDescent="0.3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2460.77</v>
      </c>
      <c r="I43" s="1"/>
      <c r="J43" s="5">
        <f t="shared" si="30"/>
        <v>6.1967413828662346E-2</v>
      </c>
      <c r="K43" s="1"/>
      <c r="L43" s="1">
        <f t="shared" si="31"/>
        <v>-2460.77</v>
      </c>
      <c r="M43" s="1"/>
      <c r="N43" s="5">
        <f t="shared" si="32"/>
        <v>-1</v>
      </c>
      <c r="O43" s="12"/>
      <c r="P43" s="1">
        <f>SUM(OSRRefP22_4x_0)</f>
        <v>42823.43</v>
      </c>
      <c r="Q43" s="1"/>
      <c r="R43" s="5">
        <f t="shared" si="33"/>
        <v>4.0066990534590161E-2</v>
      </c>
      <c r="S43" s="1"/>
      <c r="T43" s="1">
        <f>SUM(OSRRefT22_4x_0)</f>
        <v>63614.450000000004</v>
      </c>
      <c r="U43" s="1"/>
      <c r="V43" s="5">
        <f t="shared" si="34"/>
        <v>4.1310773103109176E-2</v>
      </c>
      <c r="W43" s="1"/>
      <c r="X43" s="1">
        <f t="shared" si="35"/>
        <v>-20791.020000000004</v>
      </c>
      <c r="Y43" s="1"/>
      <c r="Z43" s="5">
        <f t="shared" si="36"/>
        <v>-0.3268285743254874</v>
      </c>
    </row>
    <row r="44" spans="1:26" s="24" customFormat="1" hidden="1" outlineLevel="2" x14ac:dyDescent="0.35">
      <c r="A44" s="27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9"/>
        <v>0</v>
      </c>
      <c r="G44" s="2"/>
      <c r="H44" s="7">
        <v>2460.77</v>
      </c>
      <c r="I44" s="2"/>
      <c r="J44" s="6">
        <f t="shared" si="30"/>
        <v>6.1967413828662346E-2</v>
      </c>
      <c r="K44" s="2"/>
      <c r="L44" s="7">
        <f t="shared" si="31"/>
        <v>-2460.77</v>
      </c>
      <c r="M44" s="2"/>
      <c r="N44" s="6">
        <f t="shared" si="32"/>
        <v>-1</v>
      </c>
      <c r="O44" s="11"/>
      <c r="P44" s="7">
        <v>42823.43</v>
      </c>
      <c r="Q44" s="2"/>
      <c r="R44" s="6">
        <f t="shared" si="33"/>
        <v>4.0066990534590161E-2</v>
      </c>
      <c r="S44" s="2"/>
      <c r="T44" s="7">
        <v>63614.450000000004</v>
      </c>
      <c r="U44" s="2"/>
      <c r="V44" s="6">
        <f t="shared" si="34"/>
        <v>4.1310773103109176E-2</v>
      </c>
      <c r="W44" s="2"/>
      <c r="X44" s="7">
        <f t="shared" si="35"/>
        <v>-20791.020000000004</v>
      </c>
      <c r="Y44" s="2"/>
      <c r="Z44" s="6">
        <f t="shared" si="36"/>
        <v>-0.3268285743254874</v>
      </c>
    </row>
    <row r="45" spans="1:26" s="25" customFormat="1" outlineLevel="1" collapsed="1" x14ac:dyDescent="0.3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7177.5300000000007</v>
      </c>
      <c r="E45" s="1"/>
      <c r="F45" s="5">
        <f t="shared" si="29"/>
        <v>0</v>
      </c>
      <c r="G45" s="1"/>
      <c r="H45" s="1">
        <f>SUM(OSRRefH22_5x_0)</f>
        <v>8263.42</v>
      </c>
      <c r="I45" s="1"/>
      <c r="J45" s="5">
        <f t="shared" si="30"/>
        <v>0.20809046224557556</v>
      </c>
      <c r="K45" s="1"/>
      <c r="L45" s="1">
        <f t="shared" si="31"/>
        <v>-1085.8899999999994</v>
      </c>
      <c r="M45" s="1"/>
      <c r="N45" s="5">
        <f t="shared" si="32"/>
        <v>-0.13140927122184271</v>
      </c>
      <c r="O45" s="12"/>
      <c r="P45" s="1">
        <f>SUM(OSRRefP22_5x_0)</f>
        <v>96111.98</v>
      </c>
      <c r="Q45" s="1"/>
      <c r="R45" s="5">
        <f t="shared" si="33"/>
        <v>8.9925486886984957E-2</v>
      </c>
      <c r="S45" s="1"/>
      <c r="T45" s="1">
        <f>SUM(OSRRefT22_5x_0)</f>
        <v>100774.3</v>
      </c>
      <c r="U45" s="1"/>
      <c r="V45" s="5">
        <f t="shared" si="34"/>
        <v>6.5442116404757958E-2</v>
      </c>
      <c r="W45" s="1"/>
      <c r="X45" s="1">
        <f t="shared" si="35"/>
        <v>-4662.320000000007</v>
      </c>
      <c r="Y45" s="1"/>
      <c r="Z45" s="5">
        <f t="shared" si="36"/>
        <v>-4.6264970334698501E-2</v>
      </c>
    </row>
    <row r="46" spans="1:26" s="24" customFormat="1" hidden="1" outlineLevel="2" x14ac:dyDescent="0.35">
      <c r="A46" s="27"/>
      <c r="B46" s="11" t="str">
        <f>CONCATENATE("          ", "6321", " - ", "BUILDING DEPRECIATION")</f>
        <v xml:space="preserve">          6321 - BUILDING DEPRECIATION</v>
      </c>
      <c r="C46" s="11"/>
      <c r="D46" s="7">
        <v>6537.06</v>
      </c>
      <c r="E46" s="2"/>
      <c r="F46" s="6">
        <f t="shared" si="29"/>
        <v>0</v>
      </c>
      <c r="G46" s="2"/>
      <c r="H46" s="7">
        <v>6537.06</v>
      </c>
      <c r="I46" s="2"/>
      <c r="J46" s="6">
        <f t="shared" si="30"/>
        <v>0.16461705167195451</v>
      </c>
      <c r="K46" s="2"/>
      <c r="L46" s="7">
        <f t="shared" si="31"/>
        <v>0</v>
      </c>
      <c r="M46" s="2"/>
      <c r="N46" s="6">
        <f t="shared" si="32"/>
        <v>0</v>
      </c>
      <c r="O46" s="11"/>
      <c r="P46" s="7">
        <v>78444.61</v>
      </c>
      <c r="Q46" s="2"/>
      <c r="R46" s="6">
        <f t="shared" si="33"/>
        <v>7.3395322288747455E-2</v>
      </c>
      <c r="S46" s="2"/>
      <c r="T46" s="7">
        <v>78444.61</v>
      </c>
      <c r="U46" s="2"/>
      <c r="V46" s="6">
        <f t="shared" si="34"/>
        <v>5.0941373931109812E-2</v>
      </c>
      <c r="W46" s="2"/>
      <c r="X46" s="7">
        <f t="shared" si="35"/>
        <v>0</v>
      </c>
      <c r="Y46" s="2"/>
      <c r="Z46" s="6">
        <f t="shared" si="36"/>
        <v>0</v>
      </c>
    </row>
    <row r="47" spans="1:26" s="24" customFormat="1" hidden="1" outlineLevel="2" x14ac:dyDescent="0.3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640.47</v>
      </c>
      <c r="E47" s="2"/>
      <c r="F47" s="6">
        <f t="shared" si="29"/>
        <v>0</v>
      </c>
      <c r="G47" s="2"/>
      <c r="H47" s="7">
        <v>1726.36</v>
      </c>
      <c r="I47" s="2"/>
      <c r="J47" s="6">
        <f t="shared" si="30"/>
        <v>4.3473410573621071E-2</v>
      </c>
      <c r="K47" s="2"/>
      <c r="L47" s="7">
        <f t="shared" si="31"/>
        <v>-1085.8899999999999</v>
      </c>
      <c r="M47" s="2"/>
      <c r="N47" s="6">
        <f t="shared" si="32"/>
        <v>-0.62900553766305978</v>
      </c>
      <c r="O47" s="11"/>
      <c r="P47" s="7">
        <v>17667.37</v>
      </c>
      <c r="Q47" s="2"/>
      <c r="R47" s="6">
        <f t="shared" si="33"/>
        <v>1.6530164598237508E-2</v>
      </c>
      <c r="S47" s="2"/>
      <c r="T47" s="7">
        <v>22329.69</v>
      </c>
      <c r="U47" s="2"/>
      <c r="V47" s="6">
        <f t="shared" si="34"/>
        <v>1.4500742473648139E-2</v>
      </c>
      <c r="W47" s="2"/>
      <c r="X47" s="7">
        <f t="shared" si="35"/>
        <v>-4662.32</v>
      </c>
      <c r="Y47" s="2"/>
      <c r="Z47" s="6">
        <f t="shared" si="36"/>
        <v>-0.20879465859131946</v>
      </c>
    </row>
    <row r="48" spans="1:26" s="25" customFormat="1" outlineLevel="1" collapsed="1" x14ac:dyDescent="0.35">
      <c r="A48" s="26"/>
      <c r="B48" s="12" t="str">
        <f>CONCATENATE("     ","Discounts and Markdowns                           ")</f>
        <v xml:space="preserve">     Discounts and Markdowns                           </v>
      </c>
      <c r="C48" s="12"/>
      <c r="D48" s="1">
        <f>SUM(OSRRefD22_6x_0)</f>
        <v>0</v>
      </c>
      <c r="E48" s="1"/>
      <c r="F48" s="5">
        <f t="shared" ref="F48:F60" si="37">IF(D$12=0,0,D48/D$12)</f>
        <v>0</v>
      </c>
      <c r="G48" s="1"/>
      <c r="H48" s="1">
        <f>SUM(OSRRefH22_6x_0)</f>
        <v>0</v>
      </c>
      <c r="I48" s="1"/>
      <c r="J48" s="5">
        <f t="shared" ref="J48:J60" si="38">IF(H$12=0,0,H48/H$12)</f>
        <v>0</v>
      </c>
      <c r="K48" s="1"/>
      <c r="L48" s="1">
        <f t="shared" ref="L48:L60" si="39">+D48-H48</f>
        <v>0</v>
      </c>
      <c r="M48" s="1"/>
      <c r="N48" s="5">
        <f t="shared" ref="N48:N60" si="40">IF(H48=0,0,L48/H48)</f>
        <v>0</v>
      </c>
      <c r="O48" s="12"/>
      <c r="P48" s="1">
        <f>SUM(OSRRefP22_6x_0)</f>
        <v>0.09</v>
      </c>
      <c r="Q48" s="1"/>
      <c r="R48" s="5">
        <f t="shared" ref="R48:R60" si="41">IF(P$12=0,0,P48/P$12)</f>
        <v>8.4206920092881724E-8</v>
      </c>
      <c r="S48" s="1"/>
      <c r="T48" s="1">
        <f>SUM(OSRRefT22_6x_0)</f>
        <v>0</v>
      </c>
      <c r="U48" s="1"/>
      <c r="V48" s="5">
        <f t="shared" ref="V48:V60" si="42">IF(T$12=0,0,T48/T$12)</f>
        <v>0</v>
      </c>
      <c r="W48" s="1"/>
      <c r="X48" s="1">
        <f t="shared" ref="X48:X60" si="43">+P48-T48</f>
        <v>0.09</v>
      </c>
      <c r="Y48" s="1"/>
      <c r="Z48" s="5">
        <f t="shared" ref="Z48:Z60" si="44">IF(T48=0,0,X48/T48)</f>
        <v>0</v>
      </c>
    </row>
    <row r="49" spans="1:26" s="24" customFormat="1" hidden="1" outlineLevel="2" x14ac:dyDescent="0.35">
      <c r="A49" s="27"/>
      <c r="B49" s="11" t="str">
        <f>CONCATENATE("          ", "6382", " - ", "DISCOUNTS/MARK DOWNS")</f>
        <v xml:space="preserve">          6382 - DISCOUNTS/MARK DOWNS</v>
      </c>
      <c r="C49" s="11"/>
      <c r="D49" s="7"/>
      <c r="E49" s="2"/>
      <c r="F49" s="6">
        <f t="shared" si="37"/>
        <v>0</v>
      </c>
      <c r="G49" s="2"/>
      <c r="H49" s="7"/>
      <c r="I49" s="2"/>
      <c r="J49" s="6">
        <f t="shared" si="38"/>
        <v>0</v>
      </c>
      <c r="K49" s="2"/>
      <c r="L49" s="7">
        <f t="shared" si="39"/>
        <v>0</v>
      </c>
      <c r="M49" s="2"/>
      <c r="N49" s="6">
        <f t="shared" si="40"/>
        <v>0</v>
      </c>
      <c r="O49" s="11"/>
      <c r="P49" s="7">
        <v>0.09</v>
      </c>
      <c r="Q49" s="2"/>
      <c r="R49" s="6">
        <f t="shared" si="41"/>
        <v>8.4206920092881724E-8</v>
      </c>
      <c r="S49" s="2"/>
      <c r="T49" s="7"/>
      <c r="U49" s="2"/>
      <c r="V49" s="6">
        <f t="shared" si="42"/>
        <v>0</v>
      </c>
      <c r="W49" s="2"/>
      <c r="X49" s="7">
        <f t="shared" si="43"/>
        <v>0.09</v>
      </c>
      <c r="Y49" s="2"/>
      <c r="Z49" s="6">
        <f t="shared" si="44"/>
        <v>0</v>
      </c>
    </row>
    <row r="50" spans="1:26" s="25" customFormat="1" outlineLevel="1" collapsed="1" x14ac:dyDescent="0.35">
      <c r="A50" s="26"/>
      <c r="B50" s="12" t="str">
        <f>CONCATENATE("     ","Donations                                         ")</f>
        <v xml:space="preserve">     Donations                                         </v>
      </c>
      <c r="C50" s="12"/>
      <c r="D50" s="1">
        <f>SUM(OSRRefD22_7x_0)</f>
        <v>0</v>
      </c>
      <c r="E50" s="1"/>
      <c r="F50" s="5">
        <f t="shared" si="37"/>
        <v>0</v>
      </c>
      <c r="G50" s="1"/>
      <c r="H50" s="1">
        <f>SUM(OSRRefH22_7x_0)</f>
        <v>0</v>
      </c>
      <c r="I50" s="1"/>
      <c r="J50" s="5">
        <f t="shared" si="38"/>
        <v>0</v>
      </c>
      <c r="K50" s="1"/>
      <c r="L50" s="1">
        <f t="shared" si="39"/>
        <v>0</v>
      </c>
      <c r="M50" s="1"/>
      <c r="N50" s="5">
        <f t="shared" si="40"/>
        <v>0</v>
      </c>
      <c r="O50" s="12"/>
      <c r="P50" s="1">
        <f>SUM(OSRRefP22_7x_0)</f>
        <v>73</v>
      </c>
      <c r="Q50" s="1"/>
      <c r="R50" s="5">
        <f t="shared" si="41"/>
        <v>6.8301168519781851E-5</v>
      </c>
      <c r="S50" s="1"/>
      <c r="T50" s="1">
        <f>SUM(OSRRefT22_7x_0)</f>
        <v>162</v>
      </c>
      <c r="U50" s="1"/>
      <c r="V50" s="5">
        <f t="shared" si="42"/>
        <v>1.0520165218285603E-4</v>
      </c>
      <c r="W50" s="1"/>
      <c r="X50" s="1">
        <f t="shared" si="43"/>
        <v>-89</v>
      </c>
      <c r="Y50" s="1"/>
      <c r="Z50" s="5">
        <f t="shared" si="44"/>
        <v>-0.54938271604938271</v>
      </c>
    </row>
    <row r="51" spans="1:26" s="24" customFormat="1" hidden="1" outlineLevel="2" x14ac:dyDescent="0.35">
      <c r="A51" s="27"/>
      <c r="B51" s="11" t="str">
        <f>CONCATENATE("          ", "6399", " - ", "DONATION-ON CAMPUS")</f>
        <v xml:space="preserve">          6399 - DONATION-ON CAMPUS</v>
      </c>
      <c r="C51" s="11"/>
      <c r="D51" s="7"/>
      <c r="E51" s="2"/>
      <c r="F51" s="6">
        <f t="shared" si="37"/>
        <v>0</v>
      </c>
      <c r="G51" s="2"/>
      <c r="H51" s="7"/>
      <c r="I51" s="2"/>
      <c r="J51" s="6">
        <f t="shared" si="38"/>
        <v>0</v>
      </c>
      <c r="K51" s="2"/>
      <c r="L51" s="7">
        <f t="shared" si="39"/>
        <v>0</v>
      </c>
      <c r="M51" s="2"/>
      <c r="N51" s="6">
        <f t="shared" si="40"/>
        <v>0</v>
      </c>
      <c r="O51" s="11"/>
      <c r="P51" s="7">
        <v>73</v>
      </c>
      <c r="Q51" s="2"/>
      <c r="R51" s="6">
        <f t="shared" si="41"/>
        <v>6.8301168519781851E-5</v>
      </c>
      <c r="S51" s="2"/>
      <c r="T51" s="7">
        <v>162</v>
      </c>
      <c r="U51" s="2"/>
      <c r="V51" s="6">
        <f t="shared" si="42"/>
        <v>1.0520165218285603E-4</v>
      </c>
      <c r="W51" s="2"/>
      <c r="X51" s="7">
        <f t="shared" si="43"/>
        <v>-89</v>
      </c>
      <c r="Y51" s="2"/>
      <c r="Z51" s="6">
        <f t="shared" si="44"/>
        <v>-0.54938271604938271</v>
      </c>
    </row>
    <row r="52" spans="1:26" s="25" customFormat="1" outlineLevel="1" collapsed="1" x14ac:dyDescent="0.35">
      <c r="A52" s="26"/>
      <c r="B52" s="12" t="str">
        <f>CONCATENATE("     ","Employees' Appreciation                           ")</f>
        <v xml:space="preserve">     Employees' Appreciation                           </v>
      </c>
      <c r="C52" s="12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204.29</v>
      </c>
      <c r="I52" s="1"/>
      <c r="J52" s="5">
        <f t="shared" si="38"/>
        <v>5.144455991847036E-3</v>
      </c>
      <c r="K52" s="1"/>
      <c r="L52" s="1">
        <f t="shared" si="39"/>
        <v>-204.29</v>
      </c>
      <c r="M52" s="1"/>
      <c r="N52" s="5">
        <f t="shared" si="40"/>
        <v>-1</v>
      </c>
      <c r="O52" s="12"/>
      <c r="P52" s="1">
        <f>SUM(OSRRefP22_8x_0)</f>
        <v>8.25</v>
      </c>
      <c r="Q52" s="1"/>
      <c r="R52" s="5">
        <f t="shared" si="41"/>
        <v>7.7189676751808245E-6</v>
      </c>
      <c r="S52" s="1"/>
      <c r="T52" s="1">
        <f>SUM(OSRRefT22_8x_0)</f>
        <v>606.92999999999995</v>
      </c>
      <c r="U52" s="1"/>
      <c r="V52" s="5">
        <f t="shared" si="42"/>
        <v>3.9413604172432593E-4</v>
      </c>
      <c r="W52" s="1"/>
      <c r="X52" s="1">
        <f t="shared" si="43"/>
        <v>-598.67999999999995</v>
      </c>
      <c r="Y52" s="1"/>
      <c r="Z52" s="5">
        <f t="shared" si="44"/>
        <v>-0.98640699915970542</v>
      </c>
    </row>
    <row r="53" spans="1:26" s="24" customFormat="1" hidden="1" outlineLevel="2" x14ac:dyDescent="0.35">
      <c r="A53" s="27"/>
      <c r="B53" s="11" t="str">
        <f>CONCATENATE("          ", "6277", " - ", "EMPLOYEE APPRECIATION")</f>
        <v xml:space="preserve">          6277 - EMPLOYEE APPRECIATION</v>
      </c>
      <c r="C53" s="11"/>
      <c r="D53" s="7"/>
      <c r="E53" s="2"/>
      <c r="F53" s="6">
        <f t="shared" si="37"/>
        <v>0</v>
      </c>
      <c r="G53" s="2"/>
      <c r="H53" s="7">
        <v>204.29</v>
      </c>
      <c r="I53" s="2"/>
      <c r="J53" s="6">
        <f t="shared" si="38"/>
        <v>5.144455991847036E-3</v>
      </c>
      <c r="K53" s="2"/>
      <c r="L53" s="7">
        <f t="shared" si="39"/>
        <v>-204.29</v>
      </c>
      <c r="M53" s="2"/>
      <c r="N53" s="6">
        <f t="shared" si="40"/>
        <v>-1</v>
      </c>
      <c r="O53" s="11"/>
      <c r="P53" s="7">
        <v>8.25</v>
      </c>
      <c r="Q53" s="2"/>
      <c r="R53" s="6">
        <f t="shared" si="41"/>
        <v>7.7189676751808245E-6</v>
      </c>
      <c r="S53" s="2"/>
      <c r="T53" s="7">
        <v>606.92999999999995</v>
      </c>
      <c r="U53" s="2"/>
      <c r="V53" s="6">
        <f t="shared" si="42"/>
        <v>3.9413604172432593E-4</v>
      </c>
      <c r="W53" s="2"/>
      <c r="X53" s="7">
        <f t="shared" si="43"/>
        <v>-598.67999999999995</v>
      </c>
      <c r="Y53" s="2"/>
      <c r="Z53" s="6">
        <f t="shared" si="44"/>
        <v>-0.98640699915970542</v>
      </c>
    </row>
    <row r="54" spans="1:26" s="25" customFormat="1" outlineLevel="1" collapsed="1" x14ac:dyDescent="0.35">
      <c r="A54" s="26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SUM(OSRRefD22_9x_0)</f>
        <v>263.72000000000003</v>
      </c>
      <c r="E54" s="1"/>
      <c r="F54" s="5">
        <f t="shared" si="37"/>
        <v>0</v>
      </c>
      <c r="G54" s="1"/>
      <c r="H54" s="1">
        <f>SUM(OSRRefH22_9x_0)</f>
        <v>60.58</v>
      </c>
      <c r="I54" s="1"/>
      <c r="J54" s="5">
        <f t="shared" si="38"/>
        <v>1.5255330363017937E-3</v>
      </c>
      <c r="K54" s="1"/>
      <c r="L54" s="1">
        <f t="shared" si="39"/>
        <v>203.14000000000004</v>
      </c>
      <c r="M54" s="1"/>
      <c r="N54" s="5">
        <f t="shared" si="40"/>
        <v>3.3532518983162767</v>
      </c>
      <c r="O54" s="12"/>
      <c r="P54" s="1">
        <f>SUM(OSRRefP22_9x_0)</f>
        <v>7114.86</v>
      </c>
      <c r="Q54" s="1"/>
      <c r="R54" s="5">
        <f t="shared" si="41"/>
        <v>6.6568938610226721E-3</v>
      </c>
      <c r="S54" s="1"/>
      <c r="T54" s="1">
        <f>SUM(OSRRefT22_9x_0)</f>
        <v>178.9</v>
      </c>
      <c r="U54" s="1"/>
      <c r="V54" s="5">
        <f t="shared" si="42"/>
        <v>1.1617639244143793E-4</v>
      </c>
      <c r="W54" s="1"/>
      <c r="X54" s="1">
        <f t="shared" si="43"/>
        <v>6935.96</v>
      </c>
      <c r="Y54" s="1"/>
      <c r="Z54" s="5">
        <f t="shared" si="44"/>
        <v>38.77003912800447</v>
      </c>
    </row>
    <row r="55" spans="1:26" s="24" customFormat="1" hidden="1" outlineLevel="2" x14ac:dyDescent="0.35">
      <c r="A55" s="27"/>
      <c r="B55" s="11" t="str">
        <f>CONCATENATE("          ", "6351", " - ", "EQUIPMENT RENTAL")</f>
        <v xml:space="preserve">          6351 - EQUIPMENT RENTAL</v>
      </c>
      <c r="C55" s="11"/>
      <c r="D55" s="7">
        <v>263.72000000000003</v>
      </c>
      <c r="E55" s="2"/>
      <c r="F55" s="6">
        <f t="shared" si="37"/>
        <v>0</v>
      </c>
      <c r="G55" s="2"/>
      <c r="H55" s="7">
        <v>60.58</v>
      </c>
      <c r="I55" s="2"/>
      <c r="J55" s="6">
        <f t="shared" si="38"/>
        <v>1.5255330363017937E-3</v>
      </c>
      <c r="K55" s="2"/>
      <c r="L55" s="7">
        <f t="shared" si="39"/>
        <v>203.14000000000004</v>
      </c>
      <c r="M55" s="2"/>
      <c r="N55" s="6">
        <f t="shared" si="40"/>
        <v>3.3532518983162767</v>
      </c>
      <c r="O55" s="11"/>
      <c r="P55" s="7">
        <v>7114.86</v>
      </c>
      <c r="Q55" s="2"/>
      <c r="R55" s="6">
        <f t="shared" si="41"/>
        <v>6.6568938610226721E-3</v>
      </c>
      <c r="S55" s="2"/>
      <c r="T55" s="7">
        <v>178.9</v>
      </c>
      <c r="U55" s="2"/>
      <c r="V55" s="6">
        <f t="shared" si="42"/>
        <v>1.1617639244143793E-4</v>
      </c>
      <c r="W55" s="2"/>
      <c r="X55" s="7">
        <f t="shared" si="43"/>
        <v>6935.96</v>
      </c>
      <c r="Y55" s="2"/>
      <c r="Z55" s="6">
        <f t="shared" si="44"/>
        <v>38.77003912800447</v>
      </c>
    </row>
    <row r="56" spans="1:26" s="25" customFormat="1" outlineLevel="1" collapsed="1" x14ac:dyDescent="0.35">
      <c r="A56" s="26"/>
      <c r="B56" s="12" t="str">
        <f>CONCATENATE("     ","Freight out/Postage                               ")</f>
        <v xml:space="preserve">     Freight out/Postage                               </v>
      </c>
      <c r="C56" s="12"/>
      <c r="D56" s="1">
        <f>SUM(OSRRefD22_10x_0)</f>
        <v>0</v>
      </c>
      <c r="E56" s="1"/>
      <c r="F56" s="5">
        <f t="shared" si="37"/>
        <v>0</v>
      </c>
      <c r="G56" s="1"/>
      <c r="H56" s="1">
        <f>SUM(OSRRefH22_10x_0)</f>
        <v>35</v>
      </c>
      <c r="I56" s="1"/>
      <c r="J56" s="5">
        <f t="shared" si="38"/>
        <v>8.8137431942163713E-4</v>
      </c>
      <c r="K56" s="1"/>
      <c r="L56" s="1">
        <f t="shared" si="39"/>
        <v>-35</v>
      </c>
      <c r="M56" s="1"/>
      <c r="N56" s="5">
        <f t="shared" si="40"/>
        <v>-1</v>
      </c>
      <c r="O56" s="12"/>
      <c r="P56" s="1">
        <f>SUM(OSRRefP22_10x_0)</f>
        <v>0</v>
      </c>
      <c r="Q56" s="1"/>
      <c r="R56" s="5">
        <f t="shared" si="41"/>
        <v>0</v>
      </c>
      <c r="S56" s="1"/>
      <c r="T56" s="1">
        <f>SUM(OSRRefT22_10x_0)</f>
        <v>35</v>
      </c>
      <c r="U56" s="1"/>
      <c r="V56" s="5">
        <f t="shared" si="42"/>
        <v>2.2728752014814573E-5</v>
      </c>
      <c r="W56" s="1"/>
      <c r="X56" s="1">
        <f t="shared" si="43"/>
        <v>-35</v>
      </c>
      <c r="Y56" s="1"/>
      <c r="Z56" s="5">
        <f t="shared" si="44"/>
        <v>-1</v>
      </c>
    </row>
    <row r="57" spans="1:26" s="24" customFormat="1" hidden="1" outlineLevel="2" x14ac:dyDescent="0.35">
      <c r="A57" s="27"/>
      <c r="B57" s="11" t="str">
        <f>CONCATENATE("          ", "6307", " - ", "POSTAGE")</f>
        <v xml:space="preserve">          6307 - POSTAGE</v>
      </c>
      <c r="C57" s="11"/>
      <c r="D57" s="7"/>
      <c r="E57" s="2"/>
      <c r="F57" s="6">
        <f t="shared" si="37"/>
        <v>0</v>
      </c>
      <c r="G57" s="2"/>
      <c r="H57" s="7">
        <v>35</v>
      </c>
      <c r="I57" s="2"/>
      <c r="J57" s="6">
        <f t="shared" si="38"/>
        <v>8.8137431942163713E-4</v>
      </c>
      <c r="K57" s="2"/>
      <c r="L57" s="7">
        <f t="shared" si="39"/>
        <v>-35</v>
      </c>
      <c r="M57" s="2"/>
      <c r="N57" s="6">
        <f t="shared" si="40"/>
        <v>-1</v>
      </c>
      <c r="O57" s="11"/>
      <c r="P57" s="7"/>
      <c r="Q57" s="2"/>
      <c r="R57" s="6">
        <f t="shared" si="41"/>
        <v>0</v>
      </c>
      <c r="S57" s="2"/>
      <c r="T57" s="7">
        <v>35</v>
      </c>
      <c r="U57" s="2"/>
      <c r="V57" s="6">
        <f t="shared" si="42"/>
        <v>2.2728752014814573E-5</v>
      </c>
      <c r="W57" s="2"/>
      <c r="X57" s="7">
        <f t="shared" si="43"/>
        <v>-35</v>
      </c>
      <c r="Y57" s="2"/>
      <c r="Z57" s="6">
        <f t="shared" si="44"/>
        <v>-1</v>
      </c>
    </row>
    <row r="58" spans="1:26" s="25" customFormat="1" outlineLevel="1" collapsed="1" x14ac:dyDescent="0.35">
      <c r="A58" s="26"/>
      <c r="B58" s="12" t="str">
        <f>CONCATENATE("     ","General                                           ")</f>
        <v xml:space="preserve">     General                                           </v>
      </c>
      <c r="C58" s="12"/>
      <c r="D58" s="1">
        <f>SUM(OSRRefD22_11x_0)</f>
        <v>0</v>
      </c>
      <c r="E58" s="1"/>
      <c r="F58" s="5">
        <f t="shared" si="37"/>
        <v>0</v>
      </c>
      <c r="G58" s="1"/>
      <c r="H58" s="1">
        <f>SUM(OSRRefH22_11x_0)</f>
        <v>0</v>
      </c>
      <c r="I58" s="1"/>
      <c r="J58" s="5">
        <f t="shared" si="38"/>
        <v>0</v>
      </c>
      <c r="K58" s="1"/>
      <c r="L58" s="1">
        <f t="shared" si="39"/>
        <v>0</v>
      </c>
      <c r="M58" s="1"/>
      <c r="N58" s="5">
        <f t="shared" si="40"/>
        <v>0</v>
      </c>
      <c r="O58" s="12"/>
      <c r="P58" s="1">
        <f>SUM(OSRRefP22_11x_0)</f>
        <v>13442.380000000001</v>
      </c>
      <c r="Q58" s="1"/>
      <c r="R58" s="5">
        <f t="shared" si="41"/>
        <v>1.2577126872423907E-2</v>
      </c>
      <c r="S58" s="1"/>
      <c r="T58" s="1">
        <f>SUM(OSRRefT22_11x_0)</f>
        <v>13664.14</v>
      </c>
      <c r="U58" s="1"/>
      <c r="V58" s="5">
        <f t="shared" si="42"/>
        <v>8.8733957015916694E-3</v>
      </c>
      <c r="W58" s="1"/>
      <c r="X58" s="1">
        <f t="shared" si="43"/>
        <v>-221.7599999999984</v>
      </c>
      <c r="Y58" s="1"/>
      <c r="Z58" s="5">
        <f t="shared" si="44"/>
        <v>-1.6229341912480287E-2</v>
      </c>
    </row>
    <row r="59" spans="1:26" s="24" customFormat="1" hidden="1" outlineLevel="2" x14ac:dyDescent="0.35">
      <c r="A59" s="27"/>
      <c r="B59" s="11" t="str">
        <f>CONCATENATE("          ", "6269", " - ", "ENTERTAINMENT")</f>
        <v xml:space="preserve">          6269 - ENTERTAINMENT</v>
      </c>
      <c r="C59" s="11"/>
      <c r="D59" s="7"/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0</v>
      </c>
      <c r="M59" s="2"/>
      <c r="N59" s="6">
        <f t="shared" si="40"/>
        <v>0</v>
      </c>
      <c r="O59" s="11"/>
      <c r="P59" s="7">
        <v>10050</v>
      </c>
      <c r="Q59" s="2"/>
      <c r="R59" s="6">
        <f t="shared" si="41"/>
        <v>9.4031060770384603E-3</v>
      </c>
      <c r="S59" s="2"/>
      <c r="T59" s="7">
        <v>10824.27</v>
      </c>
      <c r="U59" s="2"/>
      <c r="V59" s="6">
        <f t="shared" si="42"/>
        <v>7.0292042448970565E-3</v>
      </c>
      <c r="W59" s="2"/>
      <c r="X59" s="7">
        <f t="shared" si="43"/>
        <v>-774.27000000000044</v>
      </c>
      <c r="Y59" s="2"/>
      <c r="Z59" s="6">
        <f t="shared" si="44"/>
        <v>-7.1530920791887151E-2</v>
      </c>
    </row>
    <row r="60" spans="1:26" s="24" customFormat="1" hidden="1" outlineLevel="2" x14ac:dyDescent="0.35">
      <c r="A60" s="27"/>
      <c r="B60" s="11" t="str">
        <f>CONCATENATE("          ", "6279", " - ", "GENERAL EXPENSE")</f>
        <v xml:space="preserve">          6279 - GENERAL EXPENSE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3392.38</v>
      </c>
      <c r="Q60" s="2"/>
      <c r="R60" s="6">
        <f t="shared" si="41"/>
        <v>3.1740207953854459E-3</v>
      </c>
      <c r="S60" s="2"/>
      <c r="T60" s="7">
        <v>2839.87</v>
      </c>
      <c r="U60" s="2"/>
      <c r="V60" s="6">
        <f t="shared" si="42"/>
        <v>1.8441914566946131E-3</v>
      </c>
      <c r="W60" s="2"/>
      <c r="X60" s="7">
        <f t="shared" si="43"/>
        <v>552.51000000000022</v>
      </c>
      <c r="Y60" s="2"/>
      <c r="Z60" s="6">
        <f t="shared" si="44"/>
        <v>0.19455468031987388</v>
      </c>
    </row>
    <row r="61" spans="1:26" s="25" customFormat="1" outlineLevel="1" collapsed="1" x14ac:dyDescent="0.35">
      <c r="A61" s="26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SUM(OSRRefD22_12x_0)</f>
        <v>198.87</v>
      </c>
      <c r="E61" s="1"/>
      <c r="F61" s="5">
        <f t="shared" ref="F61:F64" si="45">IF(D$12=0,0,D61/D$12)</f>
        <v>0</v>
      </c>
      <c r="G61" s="1"/>
      <c r="H61" s="1">
        <f>SUM(OSRRefH22_12x_0)</f>
        <v>2520.73</v>
      </c>
      <c r="I61" s="1"/>
      <c r="J61" s="5">
        <f t="shared" ref="J61:J64" si="46">IF(H$12=0,0,H61/H$12)</f>
        <v>6.3477333948448664E-2</v>
      </c>
      <c r="K61" s="1"/>
      <c r="L61" s="1">
        <f t="shared" ref="L61:L64" si="47">+D61-H61</f>
        <v>-2321.86</v>
      </c>
      <c r="M61" s="1"/>
      <c r="N61" s="5">
        <f t="shared" ref="N61:N64" si="48">IF(H61=0,0,L61/H61)</f>
        <v>-0.92110618749330553</v>
      </c>
      <c r="O61" s="12"/>
      <c r="P61" s="1">
        <f>SUM(OSRRefP22_12x_0)</f>
        <v>18055.849999999999</v>
      </c>
      <c r="Q61" s="1"/>
      <c r="R61" s="5">
        <f t="shared" ref="R61:R64" si="49">IF(P$12=0,0,P61/P$12)</f>
        <v>1.6893639090656203E-2</v>
      </c>
      <c r="S61" s="1"/>
      <c r="T61" s="1">
        <f>SUM(OSRRefT22_12x_0)</f>
        <v>22515.08</v>
      </c>
      <c r="U61" s="1"/>
      <c r="V61" s="5">
        <f t="shared" ref="V61:V64" si="50">IF(T$12=0,0,T61/T$12)</f>
        <v>1.4621133426106039E-2</v>
      </c>
      <c r="W61" s="1"/>
      <c r="X61" s="1">
        <f t="shared" ref="X61:X64" si="51">+P61-T61</f>
        <v>-4459.2300000000032</v>
      </c>
      <c r="Y61" s="1"/>
      <c r="Z61" s="5">
        <f t="shared" ref="Z61:Z64" si="52">IF(T61=0,0,X61/T61)</f>
        <v>-0.19805525896421433</v>
      </c>
    </row>
    <row r="62" spans="1:26" s="24" customFormat="1" hidden="1" outlineLevel="2" x14ac:dyDescent="0.35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45"/>
        <v>0</v>
      </c>
      <c r="G62" s="2"/>
      <c r="H62" s="7"/>
      <c r="I62" s="2"/>
      <c r="J62" s="6">
        <f t="shared" si="46"/>
        <v>0</v>
      </c>
      <c r="K62" s="2"/>
      <c r="L62" s="7">
        <f t="shared" si="47"/>
        <v>0</v>
      </c>
      <c r="M62" s="2"/>
      <c r="N62" s="6">
        <f t="shared" si="48"/>
        <v>0</v>
      </c>
      <c r="O62" s="11"/>
      <c r="P62" s="7">
        <v>2623.85</v>
      </c>
      <c r="Q62" s="2"/>
      <c r="R62" s="6">
        <f t="shared" si="49"/>
        <v>2.454959192063419E-3</v>
      </c>
      <c r="S62" s="2"/>
      <c r="T62" s="7">
        <v>324.45</v>
      </c>
      <c r="U62" s="2"/>
      <c r="V62" s="6">
        <f t="shared" si="50"/>
        <v>2.106955311773311E-4</v>
      </c>
      <c r="W62" s="2"/>
      <c r="X62" s="7">
        <f t="shared" si="51"/>
        <v>2299.4</v>
      </c>
      <c r="Y62" s="2"/>
      <c r="Z62" s="6">
        <f t="shared" si="52"/>
        <v>7.0870704268762523</v>
      </c>
    </row>
    <row r="63" spans="1:26" s="24" customFormat="1" hidden="1" outlineLevel="2" x14ac:dyDescent="0.35">
      <c r="A63" s="27"/>
      <c r="B63" s="11" t="str">
        <f>CONCATENATE("          ", "6373", " - ", "MAINTENANCE CONTRACTS")</f>
        <v xml:space="preserve">          6373 - MAINTENANCE CONTRACTS</v>
      </c>
      <c r="C63" s="11"/>
      <c r="D63" s="7">
        <v>198.87</v>
      </c>
      <c r="E63" s="2"/>
      <c r="F63" s="6">
        <f t="shared" si="45"/>
        <v>0</v>
      </c>
      <c r="G63" s="2"/>
      <c r="H63" s="7">
        <v>188.2</v>
      </c>
      <c r="I63" s="2"/>
      <c r="J63" s="6">
        <f t="shared" si="46"/>
        <v>4.7392756261472029E-3</v>
      </c>
      <c r="K63" s="2"/>
      <c r="L63" s="7">
        <f t="shared" si="47"/>
        <v>10.670000000000016</v>
      </c>
      <c r="M63" s="2"/>
      <c r="N63" s="6">
        <f t="shared" si="48"/>
        <v>5.6695005313496367E-2</v>
      </c>
      <c r="O63" s="11"/>
      <c r="P63" s="7">
        <v>1642.82</v>
      </c>
      <c r="Q63" s="2"/>
      <c r="R63" s="6">
        <f t="shared" si="49"/>
        <v>1.537075694077644E-3</v>
      </c>
      <c r="S63" s="2"/>
      <c r="T63" s="7">
        <v>3142.8</v>
      </c>
      <c r="U63" s="2"/>
      <c r="V63" s="6">
        <f t="shared" si="50"/>
        <v>2.040912052347407E-3</v>
      </c>
      <c r="W63" s="2"/>
      <c r="X63" s="7">
        <f t="shared" si="51"/>
        <v>-1499.9800000000002</v>
      </c>
      <c r="Y63" s="2"/>
      <c r="Z63" s="6">
        <f t="shared" si="52"/>
        <v>-0.47727504136438847</v>
      </c>
    </row>
    <row r="64" spans="1:26" s="24" customFormat="1" hidden="1" outlineLevel="2" x14ac:dyDescent="0.3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7"/>
      <c r="E64" s="2"/>
      <c r="F64" s="6">
        <f t="shared" si="45"/>
        <v>0</v>
      </c>
      <c r="G64" s="2"/>
      <c r="H64" s="7">
        <v>2332.5300000000002</v>
      </c>
      <c r="I64" s="2"/>
      <c r="J64" s="6">
        <f t="shared" si="46"/>
        <v>5.8738058322301473E-2</v>
      </c>
      <c r="K64" s="2"/>
      <c r="L64" s="7">
        <f t="shared" si="47"/>
        <v>-2332.5300000000002</v>
      </c>
      <c r="M64" s="2"/>
      <c r="N64" s="6">
        <f t="shared" si="48"/>
        <v>-1</v>
      </c>
      <c r="O64" s="11"/>
      <c r="P64" s="7">
        <v>13789.18</v>
      </c>
      <c r="Q64" s="2"/>
      <c r="R64" s="6">
        <f t="shared" si="49"/>
        <v>1.2901604204515143E-2</v>
      </c>
      <c r="S64" s="2"/>
      <c r="T64" s="7">
        <v>19047.830000000002</v>
      </c>
      <c r="U64" s="2"/>
      <c r="V64" s="6">
        <f t="shared" si="50"/>
        <v>1.2369525842581301E-2</v>
      </c>
      <c r="W64" s="2"/>
      <c r="X64" s="7">
        <f t="shared" si="51"/>
        <v>-5258.6500000000015</v>
      </c>
      <c r="Y64" s="2"/>
      <c r="Z64" s="6">
        <f t="shared" si="52"/>
        <v>-0.27607606745755298</v>
      </c>
    </row>
    <row r="65" spans="1:26" s="25" customFormat="1" outlineLevel="1" collapsed="1" x14ac:dyDescent="0.35">
      <c r="A65" s="26"/>
      <c r="B65" s="12" t="str">
        <f>CONCATENATE("     ","Services                                          ")</f>
        <v xml:space="preserve">     Services                                          </v>
      </c>
      <c r="C65" s="12"/>
      <c r="D65" s="1">
        <f>SUM(OSRRefD22_13x_0)</f>
        <v>0</v>
      </c>
      <c r="E65" s="1"/>
      <c r="F65" s="5">
        <f t="shared" ref="F65:F68" si="53">IF(D$12=0,0,D65/D$12)</f>
        <v>0</v>
      </c>
      <c r="G65" s="1"/>
      <c r="H65" s="1">
        <f>SUM(OSRRefH22_13x_0)</f>
        <v>223.35</v>
      </c>
      <c r="I65" s="1"/>
      <c r="J65" s="5">
        <f t="shared" ref="J65:J68" si="54">IF(H$12=0,0,H65/H$12)</f>
        <v>5.6244272640806475E-3</v>
      </c>
      <c r="K65" s="1"/>
      <c r="L65" s="1">
        <f t="shared" ref="L65:L68" si="55">+D65-H65</f>
        <v>-223.35</v>
      </c>
      <c r="M65" s="1"/>
      <c r="N65" s="5">
        <f t="shared" ref="N65:N68" si="56">IF(H65=0,0,L65/H65)</f>
        <v>-1</v>
      </c>
      <c r="O65" s="12"/>
      <c r="P65" s="1">
        <f>SUM(OSRRefP22_13x_0)</f>
        <v>3851.3999999999996</v>
      </c>
      <c r="Q65" s="1"/>
      <c r="R65" s="5">
        <f t="shared" ref="R65:R68" si="57">IF(P$12=0,0,P65/P$12)</f>
        <v>3.6034948005080518E-3</v>
      </c>
      <c r="S65" s="1"/>
      <c r="T65" s="1">
        <f>SUM(OSRRefT22_13x_0)</f>
        <v>4015.37</v>
      </c>
      <c r="U65" s="1"/>
      <c r="V65" s="5">
        <f t="shared" ref="V65:V68" si="58">IF(T$12=0,0,T65/T$12)</f>
        <v>2.6075528279350282E-3</v>
      </c>
      <c r="W65" s="1"/>
      <c r="X65" s="1">
        <f t="shared" ref="X65:X68" si="59">+P65-T65</f>
        <v>-163.97000000000025</v>
      </c>
      <c r="Y65" s="1"/>
      <c r="Z65" s="5">
        <f t="shared" ref="Z65:Z68" si="60">IF(T65=0,0,X65/T65)</f>
        <v>-4.0835589248313424E-2</v>
      </c>
    </row>
    <row r="66" spans="1:26" s="24" customFormat="1" hidden="1" outlineLevel="2" x14ac:dyDescent="0.35">
      <c r="A66" s="27"/>
      <c r="B66" s="11" t="str">
        <f>CONCATENATE("          ", "6283", " - ", "PLANT SERVICE")</f>
        <v xml:space="preserve">          6283 - PLANT SERVICE</v>
      </c>
      <c r="C66" s="11"/>
      <c r="D66" s="7"/>
      <c r="E66" s="2"/>
      <c r="F66" s="6">
        <f t="shared" si="53"/>
        <v>0</v>
      </c>
      <c r="G66" s="2"/>
      <c r="H66" s="7">
        <v>39.75</v>
      </c>
      <c r="I66" s="2"/>
      <c r="J66" s="6">
        <f t="shared" si="54"/>
        <v>1.0009894056288594E-3</v>
      </c>
      <c r="K66" s="2"/>
      <c r="L66" s="7">
        <f t="shared" si="55"/>
        <v>-39.75</v>
      </c>
      <c r="M66" s="2"/>
      <c r="N66" s="6">
        <f t="shared" si="56"/>
        <v>-1</v>
      </c>
      <c r="O66" s="11"/>
      <c r="P66" s="7">
        <v>357.75</v>
      </c>
      <c r="Q66" s="2"/>
      <c r="R66" s="6">
        <f t="shared" si="57"/>
        <v>3.3472250736920489E-4</v>
      </c>
      <c r="S66" s="2"/>
      <c r="T66" s="7">
        <v>369.75</v>
      </c>
      <c r="U66" s="2"/>
      <c r="V66" s="6">
        <f t="shared" si="58"/>
        <v>2.4011303021364826E-4</v>
      </c>
      <c r="W66" s="2"/>
      <c r="X66" s="7">
        <f t="shared" si="59"/>
        <v>-12</v>
      </c>
      <c r="Y66" s="2"/>
      <c r="Z66" s="6">
        <f t="shared" si="60"/>
        <v>-3.2454361054766734E-2</v>
      </c>
    </row>
    <row r="67" spans="1:26" s="24" customFormat="1" hidden="1" outlineLevel="2" x14ac:dyDescent="0.35">
      <c r="A67" s="27"/>
      <c r="B67" s="11" t="str">
        <f>CONCATENATE("          ", "6285", " - ", "JANITORIAL SERVICES")</f>
        <v xml:space="preserve">          6285 - JANITORIAL SERVICES</v>
      </c>
      <c r="C67" s="11"/>
      <c r="D67" s="7"/>
      <c r="E67" s="2"/>
      <c r="F67" s="6">
        <f t="shared" si="53"/>
        <v>0</v>
      </c>
      <c r="G67" s="2"/>
      <c r="H67" s="7"/>
      <c r="I67" s="2"/>
      <c r="J67" s="6">
        <f t="shared" si="54"/>
        <v>0</v>
      </c>
      <c r="K67" s="2"/>
      <c r="L67" s="7">
        <f t="shared" si="55"/>
        <v>0</v>
      </c>
      <c r="M67" s="2"/>
      <c r="N67" s="6">
        <f t="shared" si="56"/>
        <v>0</v>
      </c>
      <c r="O67" s="11"/>
      <c r="P67" s="7">
        <v>1876.6</v>
      </c>
      <c r="Q67" s="2"/>
      <c r="R67" s="6">
        <f t="shared" si="57"/>
        <v>1.7558078471811315E-3</v>
      </c>
      <c r="S67" s="2"/>
      <c r="T67" s="7">
        <v>1168</v>
      </c>
      <c r="U67" s="2"/>
      <c r="V67" s="6">
        <f t="shared" si="58"/>
        <v>7.5849092438009776E-4</v>
      </c>
      <c r="W67" s="2"/>
      <c r="X67" s="7">
        <f t="shared" si="59"/>
        <v>708.59999999999991</v>
      </c>
      <c r="Y67" s="2"/>
      <c r="Z67" s="6">
        <f t="shared" si="60"/>
        <v>0.60667808219178077</v>
      </c>
    </row>
    <row r="68" spans="1:26" s="24" customFormat="1" hidden="1" outlineLevel="2" x14ac:dyDescent="0.35">
      <c r="A68" s="27"/>
      <c r="B68" s="11" t="str">
        <f>CONCATENATE("          ", "6286", " - ", "LAUNDRY EXPENSE")</f>
        <v xml:space="preserve">          6286 - LAUNDRY EXPENSE</v>
      </c>
      <c r="C68" s="11"/>
      <c r="D68" s="7"/>
      <c r="E68" s="2"/>
      <c r="F68" s="6">
        <f t="shared" si="53"/>
        <v>0</v>
      </c>
      <c r="G68" s="2"/>
      <c r="H68" s="7">
        <v>183.6</v>
      </c>
      <c r="I68" s="2"/>
      <c r="J68" s="6">
        <f t="shared" si="54"/>
        <v>4.6234378584517882E-3</v>
      </c>
      <c r="K68" s="2"/>
      <c r="L68" s="7">
        <f t="shared" si="55"/>
        <v>-183.6</v>
      </c>
      <c r="M68" s="2"/>
      <c r="N68" s="6">
        <f t="shared" si="56"/>
        <v>-1</v>
      </c>
      <c r="O68" s="11"/>
      <c r="P68" s="7">
        <v>1617.05</v>
      </c>
      <c r="Q68" s="2"/>
      <c r="R68" s="6">
        <f t="shared" si="57"/>
        <v>1.5129644459577155E-3</v>
      </c>
      <c r="S68" s="2"/>
      <c r="T68" s="7">
        <v>2477.62</v>
      </c>
      <c r="U68" s="2"/>
      <c r="V68" s="6">
        <f t="shared" si="58"/>
        <v>1.6089488733412823E-3</v>
      </c>
      <c r="W68" s="2"/>
      <c r="X68" s="7">
        <f t="shared" si="59"/>
        <v>-860.56999999999994</v>
      </c>
      <c r="Y68" s="2"/>
      <c r="Z68" s="6">
        <f t="shared" si="60"/>
        <v>-0.34733736408327348</v>
      </c>
    </row>
    <row r="69" spans="1:26" s="25" customFormat="1" outlineLevel="1" collapsed="1" x14ac:dyDescent="0.35">
      <c r="A69" s="26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SUM(OSRRefD22_14x_0)</f>
        <v>0</v>
      </c>
      <c r="E69" s="1"/>
      <c r="F69" s="5">
        <f t="shared" ref="F69:F71" si="61">IF(D$12=0,0,D69/D$12)</f>
        <v>0</v>
      </c>
      <c r="G69" s="1"/>
      <c r="H69" s="1">
        <f>SUM(OSRRefH22_14x_0)</f>
        <v>1232.75</v>
      </c>
      <c r="I69" s="1"/>
      <c r="J69" s="5">
        <f t="shared" ref="J69:J71" si="62">IF(H$12=0,0,H69/H$12)</f>
        <v>3.1043262636200664E-2</v>
      </c>
      <c r="K69" s="1"/>
      <c r="L69" s="1">
        <f t="shared" ref="L69:L71" si="63">+D69-H69</f>
        <v>-1232.75</v>
      </c>
      <c r="M69" s="1"/>
      <c r="N69" s="5">
        <f t="shared" ref="N69:N71" si="64">IF(H69=0,0,L69/H69)</f>
        <v>-1</v>
      </c>
      <c r="O69" s="12"/>
      <c r="P69" s="1">
        <f>SUM(OSRRefP22_14x_0)</f>
        <v>2642.69</v>
      </c>
      <c r="Q69" s="1"/>
      <c r="R69" s="5">
        <f t="shared" ref="R69:R71" si="65">IF(P$12=0,0,P69/P$12)</f>
        <v>2.4725865073361958E-3</v>
      </c>
      <c r="S69" s="1"/>
      <c r="T69" s="1">
        <f>SUM(OSRRefT22_14x_0)</f>
        <v>2958.23</v>
      </c>
      <c r="U69" s="1"/>
      <c r="V69" s="5">
        <f t="shared" ref="V69:V71" si="66">IF(T$12=0,0,T69/T$12)</f>
        <v>1.9210536020795692E-3</v>
      </c>
      <c r="W69" s="1"/>
      <c r="X69" s="1">
        <f t="shared" ref="X69:X71" si="67">+P69-T69</f>
        <v>-315.53999999999996</v>
      </c>
      <c r="Y69" s="1"/>
      <c r="Z69" s="5">
        <f t="shared" ref="Z69:Z71" si="68">IF(T69=0,0,X69/T69)</f>
        <v>-0.1066651342187727</v>
      </c>
    </row>
    <row r="70" spans="1:26" s="24" customFormat="1" hidden="1" outlineLevel="2" x14ac:dyDescent="0.35">
      <c r="A70" s="27"/>
      <c r="B70" s="11" t="str">
        <f>CONCATENATE("          ", "6258", " - ", "MEMBERSHIP DUES")</f>
        <v xml:space="preserve">          6258 - MEMBERSHIP DUES</v>
      </c>
      <c r="C70" s="11"/>
      <c r="D70" s="7"/>
      <c r="E70" s="2"/>
      <c r="F70" s="6">
        <f t="shared" si="61"/>
        <v>0</v>
      </c>
      <c r="G70" s="2"/>
      <c r="H70" s="7"/>
      <c r="I70" s="2"/>
      <c r="J70" s="6">
        <f t="shared" si="62"/>
        <v>0</v>
      </c>
      <c r="K70" s="2"/>
      <c r="L70" s="7">
        <f t="shared" si="63"/>
        <v>0</v>
      </c>
      <c r="M70" s="2"/>
      <c r="N70" s="6">
        <f t="shared" si="64"/>
        <v>0</v>
      </c>
      <c r="O70" s="11"/>
      <c r="P70" s="7">
        <v>978</v>
      </c>
      <c r="Q70" s="2"/>
      <c r="R70" s="6">
        <f t="shared" si="65"/>
        <v>9.1504853167598146E-4</v>
      </c>
      <c r="S70" s="2"/>
      <c r="T70" s="7"/>
      <c r="U70" s="2"/>
      <c r="V70" s="6">
        <f t="shared" si="66"/>
        <v>0</v>
      </c>
      <c r="W70" s="2"/>
      <c r="X70" s="7">
        <f t="shared" si="67"/>
        <v>978</v>
      </c>
      <c r="Y70" s="2"/>
      <c r="Z70" s="6">
        <f t="shared" si="68"/>
        <v>0</v>
      </c>
    </row>
    <row r="71" spans="1:26" s="24" customFormat="1" hidden="1" outlineLevel="2" x14ac:dyDescent="0.35">
      <c r="A71" s="27"/>
      <c r="B71" s="11" t="str">
        <f>CONCATENATE("          ", "6275", " - ", "SUBSCRIPTIONS")</f>
        <v xml:space="preserve">          6275 - SUBSCRIPTIONS</v>
      </c>
      <c r="C71" s="11"/>
      <c r="D71" s="7"/>
      <c r="E71" s="2"/>
      <c r="F71" s="6">
        <f t="shared" si="61"/>
        <v>0</v>
      </c>
      <c r="G71" s="2"/>
      <c r="H71" s="7">
        <v>1232.75</v>
      </c>
      <c r="I71" s="2"/>
      <c r="J71" s="6">
        <f t="shared" si="62"/>
        <v>3.1043262636200664E-2</v>
      </c>
      <c r="K71" s="2"/>
      <c r="L71" s="7">
        <f t="shared" si="63"/>
        <v>-1232.75</v>
      </c>
      <c r="M71" s="2"/>
      <c r="N71" s="6">
        <f t="shared" si="64"/>
        <v>-1</v>
      </c>
      <c r="O71" s="11"/>
      <c r="P71" s="7">
        <v>1664.69</v>
      </c>
      <c r="Q71" s="2"/>
      <c r="R71" s="6">
        <f t="shared" si="65"/>
        <v>1.5575379756602144E-3</v>
      </c>
      <c r="S71" s="2"/>
      <c r="T71" s="7">
        <v>2958.23</v>
      </c>
      <c r="U71" s="2"/>
      <c r="V71" s="6">
        <f t="shared" si="66"/>
        <v>1.9210536020795692E-3</v>
      </c>
      <c r="W71" s="2"/>
      <c r="X71" s="7">
        <f t="shared" si="67"/>
        <v>-1293.54</v>
      </c>
      <c r="Y71" s="2"/>
      <c r="Z71" s="6">
        <f t="shared" si="68"/>
        <v>-0.43726823134103837</v>
      </c>
    </row>
    <row r="72" spans="1:26" s="25" customFormat="1" outlineLevel="1" collapsed="1" x14ac:dyDescent="0.35">
      <c r="A72" s="26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SUM(OSRRefD22_15x_0)</f>
        <v>0</v>
      </c>
      <c r="E72" s="1"/>
      <c r="F72" s="5">
        <f t="shared" ref="F72:F80" si="69">IF(D$12=0,0,D72/D$12)</f>
        <v>0</v>
      </c>
      <c r="G72" s="1"/>
      <c r="H72" s="1">
        <f>SUM(OSRRefH22_15x_0)</f>
        <v>508.57</v>
      </c>
      <c r="I72" s="1"/>
      <c r="J72" s="5">
        <f t="shared" ref="J72:J80" si="70">IF(H$12=0,0,H72/H$12)</f>
        <v>1.2806872503664628E-2</v>
      </c>
      <c r="K72" s="1"/>
      <c r="L72" s="1">
        <f t="shared" ref="L72:L80" si="71">+D72-H72</f>
        <v>-508.57</v>
      </c>
      <c r="M72" s="1"/>
      <c r="N72" s="5">
        <f t="shared" ref="N72:N80" si="72">IF(H72=0,0,L72/H72)</f>
        <v>-1</v>
      </c>
      <c r="O72" s="12"/>
      <c r="P72" s="1">
        <f>SUM(OSRRefP22_15x_0)</f>
        <v>8790.9</v>
      </c>
      <c r="Q72" s="1"/>
      <c r="R72" s="5">
        <f t="shared" ref="R72:R80" si="73">IF(P$12=0,0,P72/P$12)</f>
        <v>8.2250512649390435E-3</v>
      </c>
      <c r="S72" s="1"/>
      <c r="T72" s="1">
        <f>SUM(OSRRefT22_15x_0)</f>
        <v>14746.919999999998</v>
      </c>
      <c r="U72" s="1"/>
      <c r="V72" s="5">
        <f t="shared" ref="V72:V80" si="74">IF(T$12=0,0,T72/T$12)</f>
        <v>9.576545361780266E-3</v>
      </c>
      <c r="W72" s="1"/>
      <c r="X72" s="1">
        <f t="shared" ref="X72:X80" si="75">+P72-T72</f>
        <v>-5956.0199999999986</v>
      </c>
      <c r="Y72" s="1"/>
      <c r="Z72" s="5">
        <f t="shared" ref="Z72:Z80" si="76">IF(T72=0,0,X72/T72)</f>
        <v>-0.403882302202765</v>
      </c>
    </row>
    <row r="73" spans="1:26" s="24" customFormat="1" hidden="1" outlineLevel="2" x14ac:dyDescent="0.35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69"/>
        <v>0</v>
      </c>
      <c r="G73" s="2"/>
      <c r="H73" s="7"/>
      <c r="I73" s="2"/>
      <c r="J73" s="6">
        <f t="shared" si="70"/>
        <v>0</v>
      </c>
      <c r="K73" s="2"/>
      <c r="L73" s="7">
        <f t="shared" si="71"/>
        <v>0</v>
      </c>
      <c r="M73" s="2"/>
      <c r="N73" s="6">
        <f t="shared" si="72"/>
        <v>0</v>
      </c>
      <c r="O73" s="11"/>
      <c r="P73" s="7">
        <v>333.92</v>
      </c>
      <c r="Q73" s="2"/>
      <c r="R73" s="6">
        <f t="shared" si="73"/>
        <v>3.1242638619350077E-4</v>
      </c>
      <c r="S73" s="2"/>
      <c r="T73" s="7">
        <v>14.99</v>
      </c>
      <c r="U73" s="2"/>
      <c r="V73" s="6">
        <f t="shared" si="74"/>
        <v>9.7343997914877285E-6</v>
      </c>
      <c r="W73" s="2"/>
      <c r="X73" s="7">
        <f t="shared" si="75"/>
        <v>318.93</v>
      </c>
      <c r="Y73" s="2"/>
      <c r="Z73" s="6">
        <f t="shared" si="76"/>
        <v>21.2761841227485</v>
      </c>
    </row>
    <row r="74" spans="1:26" s="24" customFormat="1" hidden="1" outlineLevel="2" x14ac:dyDescent="0.35">
      <c r="A74" s="27"/>
      <c r="B74" s="11" t="str">
        <f>CONCATENATE("          ", "6237", " - ", "JANITORIAL SUPPLIES")</f>
        <v xml:space="preserve">          6237 - JANITORIAL SUPPLIES</v>
      </c>
      <c r="C74" s="11"/>
      <c r="D74" s="7"/>
      <c r="E74" s="2"/>
      <c r="F74" s="6">
        <f t="shared" si="69"/>
        <v>0</v>
      </c>
      <c r="G74" s="2"/>
      <c r="H74" s="7">
        <v>333.98</v>
      </c>
      <c r="I74" s="2"/>
      <c r="J74" s="6">
        <f t="shared" si="70"/>
        <v>8.4103255771553823E-3</v>
      </c>
      <c r="K74" s="2"/>
      <c r="L74" s="7">
        <f t="shared" si="71"/>
        <v>-333.98</v>
      </c>
      <c r="M74" s="2"/>
      <c r="N74" s="6">
        <f t="shared" si="72"/>
        <v>-1</v>
      </c>
      <c r="O74" s="11"/>
      <c r="P74" s="7">
        <v>17.62</v>
      </c>
      <c r="Q74" s="2"/>
      <c r="R74" s="6">
        <f t="shared" si="73"/>
        <v>1.6485843689295292E-5</v>
      </c>
      <c r="S74" s="2"/>
      <c r="T74" s="7">
        <v>2912.07</v>
      </c>
      <c r="U74" s="2"/>
      <c r="V74" s="6">
        <f t="shared" si="74"/>
        <v>1.8910776251366023E-3</v>
      </c>
      <c r="W74" s="2"/>
      <c r="X74" s="7">
        <f t="shared" si="75"/>
        <v>-2894.4500000000003</v>
      </c>
      <c r="Y74" s="2"/>
      <c r="Z74" s="6">
        <f t="shared" si="76"/>
        <v>-0.99394932127318369</v>
      </c>
    </row>
    <row r="75" spans="1:26" s="24" customFormat="1" hidden="1" outlineLevel="2" x14ac:dyDescent="0.35">
      <c r="A75" s="27"/>
      <c r="B75" s="11" t="str">
        <f>CONCATENATE("          ", "6239", " - ", "KITCHEN SUPPLIES")</f>
        <v xml:space="preserve">          6239 - KITCHEN SUPPLIES</v>
      </c>
      <c r="C75" s="11"/>
      <c r="D75" s="7"/>
      <c r="E75" s="2"/>
      <c r="F75" s="6">
        <f t="shared" si="69"/>
        <v>0</v>
      </c>
      <c r="G75" s="2"/>
      <c r="H75" s="7"/>
      <c r="I75" s="2"/>
      <c r="J75" s="6">
        <f t="shared" si="70"/>
        <v>0</v>
      </c>
      <c r="K75" s="2"/>
      <c r="L75" s="7">
        <f t="shared" si="71"/>
        <v>0</v>
      </c>
      <c r="M75" s="2"/>
      <c r="N75" s="6">
        <f t="shared" si="72"/>
        <v>0</v>
      </c>
      <c r="O75" s="11"/>
      <c r="P75" s="7">
        <v>788.08</v>
      </c>
      <c r="Q75" s="2"/>
      <c r="R75" s="6">
        <f t="shared" si="73"/>
        <v>7.3735321763109148E-4</v>
      </c>
      <c r="S75" s="2"/>
      <c r="T75" s="7">
        <v>933.38</v>
      </c>
      <c r="U75" s="2"/>
      <c r="V75" s="6">
        <f t="shared" si="74"/>
        <v>6.0613035873107509E-4</v>
      </c>
      <c r="W75" s="2"/>
      <c r="X75" s="7">
        <f t="shared" si="75"/>
        <v>-145.29999999999995</v>
      </c>
      <c r="Y75" s="2"/>
      <c r="Z75" s="6">
        <f t="shared" si="76"/>
        <v>-0.15567078788917693</v>
      </c>
    </row>
    <row r="76" spans="1:26" s="24" customFormat="1" hidden="1" outlineLevel="2" x14ac:dyDescent="0.35">
      <c r="A76" s="27"/>
      <c r="B76" s="11" t="str">
        <f>CONCATENATE("          ", "6241", " - ", "OFFICE EXPENSE")</f>
        <v xml:space="preserve">          6241 - OFFICE EXPENSE</v>
      </c>
      <c r="C76" s="11"/>
      <c r="D76" s="7"/>
      <c r="E76" s="2"/>
      <c r="F76" s="6">
        <f t="shared" si="69"/>
        <v>0</v>
      </c>
      <c r="G76" s="2"/>
      <c r="H76" s="7">
        <v>58.85</v>
      </c>
      <c r="I76" s="2"/>
      <c r="J76" s="6">
        <f t="shared" si="70"/>
        <v>1.4819679627989528E-3</v>
      </c>
      <c r="K76" s="2"/>
      <c r="L76" s="7">
        <f t="shared" si="71"/>
        <v>-58.85</v>
      </c>
      <c r="M76" s="2"/>
      <c r="N76" s="6">
        <f t="shared" si="72"/>
        <v>-1</v>
      </c>
      <c r="O76" s="11"/>
      <c r="P76" s="7">
        <v>1698.1</v>
      </c>
      <c r="Q76" s="2"/>
      <c r="R76" s="6">
        <f t="shared" si="73"/>
        <v>1.5887974556635829E-3</v>
      </c>
      <c r="S76" s="2"/>
      <c r="T76" s="7">
        <v>1397.97</v>
      </c>
      <c r="U76" s="2"/>
      <c r="V76" s="6">
        <f t="shared" si="74"/>
        <v>9.0783181297572374E-4</v>
      </c>
      <c r="W76" s="2"/>
      <c r="X76" s="7">
        <f t="shared" si="75"/>
        <v>300.12999999999988</v>
      </c>
      <c r="Y76" s="2"/>
      <c r="Z76" s="6">
        <f t="shared" si="76"/>
        <v>0.2146898717425981</v>
      </c>
    </row>
    <row r="77" spans="1:26" s="24" customFormat="1" hidden="1" outlineLevel="2" x14ac:dyDescent="0.35">
      <c r="A77" s="27"/>
      <c r="B77" s="11" t="str">
        <f>CONCATENATE("          ", "6243", " - ", "PAPER SUPPLIES")</f>
        <v xml:space="preserve">          6243 - PAPER SUPPLIES</v>
      </c>
      <c r="C77" s="11"/>
      <c r="D77" s="7"/>
      <c r="E77" s="2"/>
      <c r="F77" s="6">
        <f t="shared" si="69"/>
        <v>0</v>
      </c>
      <c r="G77" s="2"/>
      <c r="H77" s="7">
        <v>100.16</v>
      </c>
      <c r="I77" s="2"/>
      <c r="J77" s="6">
        <f t="shared" si="70"/>
        <v>2.522241480950605E-3</v>
      </c>
      <c r="K77" s="2"/>
      <c r="L77" s="7">
        <f t="shared" si="71"/>
        <v>-100.16</v>
      </c>
      <c r="M77" s="2"/>
      <c r="N77" s="6">
        <f t="shared" si="72"/>
        <v>-1</v>
      </c>
      <c r="O77" s="11"/>
      <c r="P77" s="7">
        <v>3574.75</v>
      </c>
      <c r="Q77" s="2"/>
      <c r="R77" s="6">
        <f t="shared" si="73"/>
        <v>3.3446520844669886E-3</v>
      </c>
      <c r="S77" s="2"/>
      <c r="T77" s="7">
        <v>6817.01</v>
      </c>
      <c r="U77" s="2"/>
      <c r="V77" s="6">
        <f t="shared" si="74"/>
        <v>4.4269179935003174E-3</v>
      </c>
      <c r="W77" s="2"/>
      <c r="X77" s="7">
        <f t="shared" si="75"/>
        <v>-3242.26</v>
      </c>
      <c r="Y77" s="2"/>
      <c r="Z77" s="6">
        <f t="shared" si="76"/>
        <v>-0.47561320872347262</v>
      </c>
    </row>
    <row r="78" spans="1:26" s="24" customFormat="1" hidden="1" outlineLevel="2" x14ac:dyDescent="0.35">
      <c r="A78" s="27"/>
      <c r="B78" s="11" t="str">
        <f>CONCATENATE("          ", "6245", " - ", "PRINTING")</f>
        <v xml:space="preserve">          6245 - PRINTING</v>
      </c>
      <c r="C78" s="11"/>
      <c r="D78" s="7"/>
      <c r="E78" s="2"/>
      <c r="F78" s="6">
        <f t="shared" si="69"/>
        <v>0</v>
      </c>
      <c r="G78" s="2"/>
      <c r="H78" s="7">
        <v>15.58</v>
      </c>
      <c r="I78" s="2"/>
      <c r="J78" s="6">
        <f t="shared" si="70"/>
        <v>3.9233748275968876E-4</v>
      </c>
      <c r="K78" s="2"/>
      <c r="L78" s="7">
        <f t="shared" si="71"/>
        <v>-15.58</v>
      </c>
      <c r="M78" s="2"/>
      <c r="N78" s="6">
        <f t="shared" si="72"/>
        <v>-1</v>
      </c>
      <c r="O78" s="11"/>
      <c r="P78" s="7">
        <v>22.05</v>
      </c>
      <c r="Q78" s="2"/>
      <c r="R78" s="6">
        <f t="shared" si="73"/>
        <v>2.0630695422756023E-5</v>
      </c>
      <c r="S78" s="2"/>
      <c r="T78" s="7">
        <v>15.58</v>
      </c>
      <c r="U78" s="2"/>
      <c r="V78" s="6">
        <f t="shared" si="74"/>
        <v>1.011754161116603E-5</v>
      </c>
      <c r="W78" s="2"/>
      <c r="X78" s="7">
        <f t="shared" si="75"/>
        <v>6.4700000000000006</v>
      </c>
      <c r="Y78" s="2"/>
      <c r="Z78" s="6">
        <f t="shared" si="76"/>
        <v>0.41527599486521183</v>
      </c>
    </row>
    <row r="79" spans="1:26" s="24" customFormat="1" hidden="1" outlineLevel="2" x14ac:dyDescent="0.35">
      <c r="A79" s="27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69"/>
        <v>0</v>
      </c>
      <c r="G79" s="2"/>
      <c r="H79" s="7"/>
      <c r="I79" s="2"/>
      <c r="J79" s="6">
        <f t="shared" si="70"/>
        <v>0</v>
      </c>
      <c r="K79" s="2"/>
      <c r="L79" s="7">
        <f t="shared" si="71"/>
        <v>0</v>
      </c>
      <c r="M79" s="2"/>
      <c r="N79" s="6">
        <f t="shared" si="72"/>
        <v>0</v>
      </c>
      <c r="O79" s="11"/>
      <c r="P79" s="7">
        <v>1534.61</v>
      </c>
      <c r="Q79" s="2"/>
      <c r="R79" s="6">
        <f t="shared" si="73"/>
        <v>1.4358309071526357E-3</v>
      </c>
      <c r="S79" s="2"/>
      <c r="T79" s="7">
        <v>1201.3</v>
      </c>
      <c r="U79" s="2"/>
      <c r="V79" s="6">
        <f t="shared" si="74"/>
        <v>7.8011570843990706E-4</v>
      </c>
      <c r="W79" s="2"/>
      <c r="X79" s="7">
        <f t="shared" si="75"/>
        <v>333.30999999999995</v>
      </c>
      <c r="Y79" s="2"/>
      <c r="Z79" s="6">
        <f t="shared" si="76"/>
        <v>0.27745775409972528</v>
      </c>
    </row>
    <row r="80" spans="1:26" s="24" customFormat="1" hidden="1" outlineLevel="2" x14ac:dyDescent="0.35">
      <c r="A80" s="27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69"/>
        <v>0</v>
      </c>
      <c r="G80" s="2"/>
      <c r="H80" s="7"/>
      <c r="I80" s="2"/>
      <c r="J80" s="6">
        <f t="shared" si="70"/>
        <v>0</v>
      </c>
      <c r="K80" s="2"/>
      <c r="L80" s="7">
        <f t="shared" si="71"/>
        <v>0</v>
      </c>
      <c r="M80" s="2"/>
      <c r="N80" s="6">
        <f t="shared" si="72"/>
        <v>0</v>
      </c>
      <c r="O80" s="11"/>
      <c r="P80" s="7">
        <v>821.77</v>
      </c>
      <c r="Q80" s="2"/>
      <c r="R80" s="6">
        <f t="shared" si="73"/>
        <v>7.6887467471919351E-4</v>
      </c>
      <c r="S80" s="2"/>
      <c r="T80" s="7">
        <v>1454.62</v>
      </c>
      <c r="U80" s="2"/>
      <c r="V80" s="6">
        <f t="shared" si="74"/>
        <v>9.4461992159398781E-4</v>
      </c>
      <c r="W80" s="2"/>
      <c r="X80" s="7">
        <f t="shared" si="75"/>
        <v>-632.84999999999991</v>
      </c>
      <c r="Y80" s="2"/>
      <c r="Z80" s="6">
        <f t="shared" si="76"/>
        <v>-0.43506207806849895</v>
      </c>
    </row>
    <row r="81" spans="1:26" s="25" customFormat="1" outlineLevel="1" collapsed="1" x14ac:dyDescent="0.35">
      <c r="A81" s="26"/>
      <c r="B81" s="12" t="str">
        <f>CONCATENATE("     ","Telephone/Data Lines                              ")</f>
        <v xml:space="preserve">     Telephone/Data Lines                              </v>
      </c>
      <c r="C81" s="12"/>
      <c r="D81" s="1">
        <f>SUM(OSRRefD22_16x_0)</f>
        <v>52</v>
      </c>
      <c r="E81" s="1"/>
      <c r="F81" s="5">
        <f t="shared" ref="F81:F84" si="77">IF(D$12=0,0,D81/D$12)</f>
        <v>0</v>
      </c>
      <c r="G81" s="1"/>
      <c r="H81" s="1">
        <f>SUM(OSRRefH22_16x_0)</f>
        <v>160.69999999999999</v>
      </c>
      <c r="I81" s="1"/>
      <c r="J81" s="5">
        <f t="shared" ref="J81:J84" si="78">IF(H$12=0,0,H81/H$12)</f>
        <v>4.0467672323159162E-3</v>
      </c>
      <c r="K81" s="1"/>
      <c r="L81" s="1">
        <f t="shared" ref="L81:L84" si="79">+D81-H81</f>
        <v>-108.69999999999999</v>
      </c>
      <c r="M81" s="1"/>
      <c r="N81" s="5">
        <f t="shared" ref="N81:N84" si="80">IF(H81=0,0,L81/H81)</f>
        <v>-0.67641568139390162</v>
      </c>
      <c r="O81" s="12"/>
      <c r="P81" s="1">
        <f>SUM(OSRRefP22_16x_0)</f>
        <v>1618.34</v>
      </c>
      <c r="Q81" s="1"/>
      <c r="R81" s="5">
        <f t="shared" ref="R81:R84" si="81">IF(P$12=0,0,P81/P$12)</f>
        <v>1.5141714118123801E-3</v>
      </c>
      <c r="S81" s="1"/>
      <c r="T81" s="1">
        <f>SUM(OSRRefT22_16x_0)</f>
        <v>1909.2</v>
      </c>
      <c r="U81" s="1"/>
      <c r="V81" s="5">
        <f t="shared" ref="V81:V84" si="82">IF(T$12=0,0,T81/T$12)</f>
        <v>1.2398209527623996E-3</v>
      </c>
      <c r="W81" s="1"/>
      <c r="X81" s="1">
        <f t="shared" ref="X81:X84" si="83">+P81-T81</f>
        <v>-290.86000000000013</v>
      </c>
      <c r="Y81" s="1"/>
      <c r="Z81" s="5">
        <f t="shared" ref="Z81:Z84" si="84">IF(T81=0,0,X81/T81)</f>
        <v>-0.15234653257909078</v>
      </c>
    </row>
    <row r="82" spans="1:26" s="24" customFormat="1" hidden="1" outlineLevel="2" x14ac:dyDescent="0.35">
      <c r="A82" s="27"/>
      <c r="B82" s="11" t="str">
        <f>CONCATENATE("          ", "6309", " - ", "TELEPHONE")</f>
        <v xml:space="preserve">          6309 - TELEPHONE</v>
      </c>
      <c r="C82" s="11"/>
      <c r="D82" s="7">
        <v>52</v>
      </c>
      <c r="E82" s="2"/>
      <c r="F82" s="6">
        <f t="shared" si="77"/>
        <v>0</v>
      </c>
      <c r="G82" s="2"/>
      <c r="H82" s="7">
        <v>160.69999999999999</v>
      </c>
      <c r="I82" s="2"/>
      <c r="J82" s="6">
        <f t="shared" si="78"/>
        <v>4.0467672323159162E-3</v>
      </c>
      <c r="K82" s="2"/>
      <c r="L82" s="7">
        <f t="shared" si="79"/>
        <v>-108.69999999999999</v>
      </c>
      <c r="M82" s="2"/>
      <c r="N82" s="6">
        <f t="shared" si="80"/>
        <v>-0.67641568139390162</v>
      </c>
      <c r="O82" s="11"/>
      <c r="P82" s="7">
        <v>1618.34</v>
      </c>
      <c r="Q82" s="2"/>
      <c r="R82" s="6">
        <f t="shared" si="81"/>
        <v>1.5141714118123801E-3</v>
      </c>
      <c r="S82" s="2"/>
      <c r="T82" s="7">
        <v>1909.2</v>
      </c>
      <c r="U82" s="2"/>
      <c r="V82" s="6">
        <f t="shared" si="82"/>
        <v>1.2398209527623996E-3</v>
      </c>
      <c r="W82" s="2"/>
      <c r="X82" s="7">
        <f t="shared" si="83"/>
        <v>-290.86000000000013</v>
      </c>
      <c r="Y82" s="2"/>
      <c r="Z82" s="6">
        <f t="shared" si="84"/>
        <v>-0.15234653257909078</v>
      </c>
    </row>
    <row r="83" spans="1:26" s="25" customFormat="1" outlineLevel="1" collapsed="1" x14ac:dyDescent="0.35">
      <c r="A83" s="26"/>
      <c r="B83" s="12" t="str">
        <f>CONCATENATE("     ","Training                                          ")</f>
        <v xml:space="preserve">     Training                                          </v>
      </c>
      <c r="C83" s="12"/>
      <c r="D83" s="1">
        <f>SUM(OSRRefD22_17x_0)</f>
        <v>0</v>
      </c>
      <c r="E83" s="1"/>
      <c r="F83" s="5">
        <f t="shared" si="77"/>
        <v>0</v>
      </c>
      <c r="G83" s="1"/>
      <c r="H83" s="1">
        <f>SUM(OSRRefH22_17x_0)</f>
        <v>0</v>
      </c>
      <c r="I83" s="1"/>
      <c r="J83" s="5">
        <f t="shared" si="78"/>
        <v>0</v>
      </c>
      <c r="K83" s="1"/>
      <c r="L83" s="1">
        <f t="shared" si="79"/>
        <v>0</v>
      </c>
      <c r="M83" s="1"/>
      <c r="N83" s="5">
        <f t="shared" si="80"/>
        <v>0</v>
      </c>
      <c r="O83" s="12"/>
      <c r="P83" s="1">
        <f>SUM(OSRRefP22_17x_0)</f>
        <v>279.95</v>
      </c>
      <c r="Q83" s="1"/>
      <c r="R83" s="5">
        <f t="shared" si="81"/>
        <v>2.6193030311113597E-4</v>
      </c>
      <c r="S83" s="1"/>
      <c r="T83" s="1">
        <f>SUM(OSRRefT22_17x_0)</f>
        <v>140</v>
      </c>
      <c r="U83" s="1"/>
      <c r="V83" s="5">
        <f t="shared" si="82"/>
        <v>9.0915008059258291E-5</v>
      </c>
      <c r="W83" s="1"/>
      <c r="X83" s="1">
        <f t="shared" si="83"/>
        <v>139.94999999999999</v>
      </c>
      <c r="Y83" s="1"/>
      <c r="Z83" s="5">
        <f t="shared" si="84"/>
        <v>0.99964285714285706</v>
      </c>
    </row>
    <row r="84" spans="1:26" s="24" customFormat="1" hidden="1" outlineLevel="2" x14ac:dyDescent="0.35">
      <c r="A84" s="27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77"/>
        <v>0</v>
      </c>
      <c r="G84" s="2"/>
      <c r="H84" s="7"/>
      <c r="I84" s="2"/>
      <c r="J84" s="6">
        <f t="shared" si="78"/>
        <v>0</v>
      </c>
      <c r="K84" s="2"/>
      <c r="L84" s="7">
        <f t="shared" si="79"/>
        <v>0</v>
      </c>
      <c r="M84" s="2"/>
      <c r="N84" s="6">
        <f t="shared" si="80"/>
        <v>0</v>
      </c>
      <c r="O84" s="11"/>
      <c r="P84" s="7">
        <v>279.95</v>
      </c>
      <c r="Q84" s="2"/>
      <c r="R84" s="6">
        <f t="shared" si="81"/>
        <v>2.6193030311113597E-4</v>
      </c>
      <c r="S84" s="2"/>
      <c r="T84" s="7">
        <v>140</v>
      </c>
      <c r="U84" s="2"/>
      <c r="V84" s="6">
        <f t="shared" si="82"/>
        <v>9.0915008059258291E-5</v>
      </c>
      <c r="W84" s="2"/>
      <c r="X84" s="7">
        <f t="shared" si="83"/>
        <v>139.94999999999999</v>
      </c>
      <c r="Y84" s="2"/>
      <c r="Z84" s="6">
        <f t="shared" si="84"/>
        <v>0.99964285714285706</v>
      </c>
    </row>
    <row r="85" spans="1:26" s="56" customFormat="1" x14ac:dyDescent="0.3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collapsed="1" x14ac:dyDescent="0.35">
      <c r="A86" s="10"/>
      <c r="B86" s="29" t="s">
        <v>0</v>
      </c>
      <c r="C86" s="10"/>
      <c r="D86" s="4">
        <f>SUM(OSRRefD25x_0)</f>
        <v>0</v>
      </c>
      <c r="E86" s="4"/>
      <c r="F86" s="13">
        <f t="shared" ref="F86:F87" si="85">IF(D$12=0,0,D86/D$12)</f>
        <v>0</v>
      </c>
      <c r="G86" s="4"/>
      <c r="H86" s="4">
        <f>SUM(OSRRefH25x_0)</f>
        <v>0</v>
      </c>
      <c r="I86" s="4"/>
      <c r="J86" s="13">
        <f t="shared" ref="J86:J87" si="86">IF(H$12=0,0,H86/H$12)</f>
        <v>0</v>
      </c>
      <c r="K86" s="4"/>
      <c r="L86" s="4">
        <f t="shared" ref="L86:L87" si="87">+D86-H86</f>
        <v>0</v>
      </c>
      <c r="M86" s="4"/>
      <c r="N86" s="13">
        <f t="shared" ref="N86:N87" si="88">IF(H86=0,0,L86/H86)</f>
        <v>0</v>
      </c>
      <c r="O86" s="10"/>
      <c r="P86" s="4">
        <f>SUM(OSRRefP25x_0)</f>
        <v>0</v>
      </c>
      <c r="Q86" s="4"/>
      <c r="R86" s="13">
        <f t="shared" ref="R86:R87" si="89">IF(P$12=0,0,P86/P$12)</f>
        <v>0</v>
      </c>
      <c r="S86" s="4"/>
      <c r="T86" s="4">
        <f>SUM(OSRRefT25x_0)</f>
        <v>1269.75</v>
      </c>
      <c r="U86" s="4"/>
      <c r="V86" s="13">
        <f t="shared" ref="V86:V87" si="90">IF(T$12=0,0,T86/T$12)</f>
        <v>8.2456665345173727E-4</v>
      </c>
      <c r="W86" s="4"/>
      <c r="X86" s="4">
        <f t="shared" ref="X86:X87" si="91">+P86-T86</f>
        <v>-1269.75</v>
      </c>
      <c r="Y86" s="4"/>
      <c r="Z86" s="13">
        <f t="shared" ref="Z86:Z87" si="92">IF(T86=0,0,X86/T86)</f>
        <v>-1</v>
      </c>
    </row>
    <row r="87" spans="1:26" s="24" customFormat="1" hidden="1" outlineLevel="1" x14ac:dyDescent="0.35">
      <c r="A87" s="44"/>
      <c r="B87" s="11" t="str">
        <f>CONCATENATE("          ", "9150", " - ", "MISC. INCOME")</f>
        <v xml:space="preserve">          9150 - MISC. INCOME</v>
      </c>
      <c r="C87" s="11"/>
      <c r="D87" s="2">
        <f>0</f>
        <v>0</v>
      </c>
      <c r="E87" s="2"/>
      <c r="F87" s="19">
        <f t="shared" si="85"/>
        <v>0</v>
      </c>
      <c r="G87" s="2"/>
      <c r="H87" s="2">
        <f>0</f>
        <v>0</v>
      </c>
      <c r="I87" s="2"/>
      <c r="J87" s="19">
        <f t="shared" si="86"/>
        <v>0</v>
      </c>
      <c r="K87" s="2"/>
      <c r="L87" s="2">
        <f t="shared" si="87"/>
        <v>0</v>
      </c>
      <c r="M87" s="2"/>
      <c r="N87" s="19">
        <f t="shared" si="88"/>
        <v>0</v>
      </c>
      <c r="O87" s="11"/>
      <c r="P87" s="2">
        <f>0</f>
        <v>0</v>
      </c>
      <c r="Q87" s="2"/>
      <c r="R87" s="19">
        <f t="shared" si="89"/>
        <v>0</v>
      </c>
      <c r="S87" s="2"/>
      <c r="T87" s="2">
        <f>--1269.75</f>
        <v>1269.75</v>
      </c>
      <c r="U87" s="2"/>
      <c r="V87" s="19">
        <f t="shared" si="90"/>
        <v>8.2456665345173727E-4</v>
      </c>
      <c r="W87" s="2"/>
      <c r="X87" s="2">
        <f t="shared" si="91"/>
        <v>-1269.75</v>
      </c>
      <c r="Y87" s="2"/>
      <c r="Z87" s="19">
        <f t="shared" si="92"/>
        <v>-1</v>
      </c>
    </row>
    <row r="88" spans="1:26" x14ac:dyDescent="0.3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5">
      <c r="A89" s="10"/>
      <c r="B89" s="28" t="s">
        <v>3</v>
      </c>
      <c r="C89" s="28"/>
      <c r="D89" s="22">
        <f>+D20-D22+D86</f>
        <v>-28654.530000000002</v>
      </c>
      <c r="E89" s="14"/>
      <c r="F89" s="21">
        <f>IF(D$12=0,0,D89/D$12)</f>
        <v>0</v>
      </c>
      <c r="G89" s="14"/>
      <c r="H89" s="22">
        <f>+H20-H22+H86</f>
        <v>-2364.989999999998</v>
      </c>
      <c r="I89" s="14"/>
      <c r="J89" s="21">
        <f>IF(H$12=0,0,H89/H$12)</f>
        <v>-5.9555470048256454E-2</v>
      </c>
      <c r="K89" s="15"/>
      <c r="L89" s="22">
        <f>+D89-H89</f>
        <v>-26289.540000000005</v>
      </c>
      <c r="M89" s="15"/>
      <c r="N89" s="21">
        <f>IF(H89=0,0,L89/H89)</f>
        <v>11.11613156926669</v>
      </c>
      <c r="O89" s="29"/>
      <c r="P89" s="22">
        <f>+P20-P22+P86</f>
        <v>83343.880000000121</v>
      </c>
      <c r="Q89" s="14"/>
      <c r="R89" s="21">
        <f>IF(P$12=0,0,P89/P$12)</f>
        <v>7.7979238259897041E-2</v>
      </c>
      <c r="S89" s="14"/>
      <c r="T89" s="22">
        <f>+T20-T22+T86</f>
        <v>351344.00000000012</v>
      </c>
      <c r="U89" s="14"/>
      <c r="V89" s="21">
        <f>IF(T$12=0,0,T89/T$12)</f>
        <v>0.2281603042255147</v>
      </c>
      <c r="W89" s="15"/>
      <c r="X89" s="22">
        <f>+P89-T89</f>
        <v>-268000.12</v>
      </c>
      <c r="Y89" s="15"/>
      <c r="Z89" s="21">
        <f>IF(T89=0,0,X89/T89)</f>
        <v>-0.76278553212805655</v>
      </c>
    </row>
    <row r="90" spans="1:26" x14ac:dyDescent="0.3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5">
      <c r="A91" s="51"/>
      <c r="B91" s="10" t="s">
        <v>13</v>
      </c>
      <c r="C91" s="10"/>
      <c r="D91" s="4">
        <v>35289.68</v>
      </c>
      <c r="E91" s="4"/>
      <c r="F91" s="13">
        <f>IF(D$12=0,0,D91/D$12)</f>
        <v>0</v>
      </c>
      <c r="G91" s="4"/>
      <c r="H91" s="4">
        <v>-46281.950000000004</v>
      </c>
      <c r="I91" s="4"/>
      <c r="J91" s="13">
        <f>IF(H$12=0,0,H91/H$12)</f>
        <v>-1.1654777766501785</v>
      </c>
      <c r="K91" s="4"/>
      <c r="L91" s="4">
        <f>+D91-H91</f>
        <v>81571.63</v>
      </c>
      <c r="M91" s="4"/>
      <c r="N91" s="13">
        <f>IF(H91=0,0,L91/H91)</f>
        <v>-1.7624933694453238</v>
      </c>
      <c r="O91" s="10"/>
      <c r="P91" s="4">
        <v>161857.09</v>
      </c>
      <c r="Q91" s="4"/>
      <c r="R91" s="13">
        <f>IF(P$12=0,0,P91/P$12)</f>
        <v>0.15143874493440407</v>
      </c>
      <c r="S91" s="4"/>
      <c r="T91" s="4">
        <v>109759.58</v>
      </c>
      <c r="U91" s="4"/>
      <c r="V91" s="13">
        <f>IF(T$12=0,0,T91/T$12)</f>
        <v>7.1277093573434328E-2</v>
      </c>
      <c r="W91" s="4"/>
      <c r="X91" s="4">
        <f>+P91-T91</f>
        <v>52097.509999999995</v>
      </c>
      <c r="Y91" s="4"/>
      <c r="Z91" s="13">
        <f>IF(T91=0,0,X91/T91)</f>
        <v>0.47465114206887449</v>
      </c>
    </row>
    <row r="92" spans="1:26" x14ac:dyDescent="0.3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4">
      <c r="A93" s="10"/>
      <c r="B93" s="28" t="s">
        <v>4</v>
      </c>
      <c r="C93" s="28"/>
      <c r="D93" s="34">
        <f>+D89-D91</f>
        <v>-63944.210000000006</v>
      </c>
      <c r="E93" s="14"/>
      <c r="F93" s="32">
        <f>IF(D$12=0,0,D93/D$12)</f>
        <v>0</v>
      </c>
      <c r="G93" s="14"/>
      <c r="H93" s="34">
        <f>+H89-H91</f>
        <v>43916.960000000006</v>
      </c>
      <c r="I93" s="14"/>
      <c r="J93" s="32">
        <f>IF(H$12=0,0,H93/H$12)</f>
        <v>1.1059223066019219</v>
      </c>
      <c r="K93" s="15"/>
      <c r="L93" s="34">
        <f>D93-H93</f>
        <v>-107861.17000000001</v>
      </c>
      <c r="M93" s="15"/>
      <c r="N93" s="32">
        <f>IF(H93=0,0,L93/H93)</f>
        <v>-2.4560254170598328</v>
      </c>
      <c r="O93" s="29"/>
      <c r="P93" s="34">
        <f>+P89-P91</f>
        <v>-78513.209999999875</v>
      </c>
      <c r="Q93" s="14"/>
      <c r="R93" s="32">
        <f>IF(P$12=0,0,P93/P$12)</f>
        <v>-7.3459506674507027E-2</v>
      </c>
      <c r="S93" s="14"/>
      <c r="T93" s="34">
        <f>+T89-T91</f>
        <v>241584.4200000001</v>
      </c>
      <c r="U93" s="14"/>
      <c r="V93" s="32">
        <f>IF(T$12=0,0,T93/T$12)</f>
        <v>0.15688321065208036</v>
      </c>
      <c r="W93" s="15"/>
      <c r="X93" s="34">
        <f>P93-T93</f>
        <v>-320097.63</v>
      </c>
      <c r="Y93" s="15"/>
      <c r="Z93" s="32">
        <f>IF(T93=0,0,X93/T93)</f>
        <v>-1.3249928534298687</v>
      </c>
    </row>
    <row r="94" spans="1:26" ht="15" thickTop="1" x14ac:dyDescent="0.3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3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4">
      <c r="A96" s="10"/>
      <c r="B96" s="28" t="s">
        <v>5</v>
      </c>
      <c r="C96" s="28"/>
      <c r="D96" s="35">
        <f>SUM(D93:D95)</f>
        <v>-63944.210000000006</v>
      </c>
      <c r="E96" s="14"/>
      <c r="F96" s="33">
        <f>IF(D$12=0,0,D96/D$12)</f>
        <v>0</v>
      </c>
      <c r="G96" s="14"/>
      <c r="H96" s="35">
        <f>SUM(H93:H95)</f>
        <v>43916.960000000006</v>
      </c>
      <c r="I96" s="14"/>
      <c r="J96" s="33">
        <f>IF(H$12=0,0,H96/H$12)</f>
        <v>1.1059223066019219</v>
      </c>
      <c r="K96" s="15"/>
      <c r="L96" s="35">
        <f>+D96-H96</f>
        <v>-107861.17000000001</v>
      </c>
      <c r="M96" s="15"/>
      <c r="N96" s="33">
        <f>IF(H96=0,0,L96/H96)</f>
        <v>-2.4560254170598328</v>
      </c>
      <c r="O96" s="29"/>
      <c r="P96" s="35">
        <f>SUM(P93:P95)</f>
        <v>-78513.209999999875</v>
      </c>
      <c r="Q96" s="14"/>
      <c r="R96" s="33">
        <f>IF(P$12=0,0,P96/P$12)</f>
        <v>-7.3459506674507027E-2</v>
      </c>
      <c r="S96" s="14"/>
      <c r="T96" s="35">
        <f>SUM(T93:T95)</f>
        <v>241584.4200000001</v>
      </c>
      <c r="U96" s="14"/>
      <c r="V96" s="33">
        <f>IF(T$12=0,0,T96/T$12)</f>
        <v>0.15688321065208036</v>
      </c>
      <c r="W96" s="15"/>
      <c r="X96" s="35">
        <f>+P96-T96</f>
        <v>-320097.63</v>
      </c>
      <c r="Y96" s="15"/>
      <c r="Z96" s="33">
        <f>IF(T96=0,0,X96/T96)</f>
        <v>-1.3249928534298687</v>
      </c>
    </row>
    <row r="97" spans="1:24" ht="15" thickTop="1" x14ac:dyDescent="0.35">
      <c r="A97" s="9"/>
      <c r="C97" s="9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5">
      <c r="A98" s="9"/>
      <c r="B98" s="52">
        <v>44043.52329568287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5">
      <c r="A99" s="9"/>
      <c r="B99" s="61" t="s">
        <v>313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35">
      <c r="A100" s="9"/>
      <c r="B100" s="54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4" x14ac:dyDescent="0.35"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","423", " - ", "Contract Revenue")</f>
        <v>Department 423 - Contract Revenue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5">
      <c r="A14" s="10"/>
      <c r="B14" s="29" t="s">
        <v>8</v>
      </c>
      <c r="C14" s="10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0</v>
      </c>
      <c r="I14" s="4"/>
      <c r="J14" s="13">
        <f t="shared" ref="J14:J15" si="1">IF(H$12=0,0,H14/H$12)</f>
        <v>0</v>
      </c>
      <c r="K14" s="4"/>
      <c r="L14" s="4">
        <f t="shared" ref="L14:L15" si="2">+D14-H14</f>
        <v>0</v>
      </c>
      <c r="M14" s="4"/>
      <c r="N14" s="13">
        <f t="shared" ref="N14:N15" si="3">IF(H14=0,0,L14/H14)</f>
        <v>0</v>
      </c>
      <c r="O14" s="10"/>
      <c r="P14" s="4">
        <f>SUM(OSRRefP16x_0)</f>
        <v>-729.38</v>
      </c>
      <c r="Q14" s="4"/>
      <c r="R14" s="13">
        <f t="shared" ref="R14:R15" si="4">IF(P$12=0,0,P14/P$12)</f>
        <v>0</v>
      </c>
      <c r="S14" s="4"/>
      <c r="T14" s="4">
        <f>SUM(OSRRefT16x_0)</f>
        <v>0</v>
      </c>
      <c r="U14" s="4"/>
      <c r="V14" s="13">
        <f t="shared" ref="V14:V15" si="5">IF(T$12=0,0,T14/T$12)</f>
        <v>0</v>
      </c>
      <c r="W14" s="4"/>
      <c r="X14" s="4">
        <f t="shared" ref="X14:X15" si="6">+P14-T14</f>
        <v>-729.38</v>
      </c>
      <c r="Y14" s="4"/>
      <c r="Z14" s="13">
        <f t="shared" ref="Z14:Z15" si="7">IF(T14=0,0,X14/T14)</f>
        <v>0</v>
      </c>
    </row>
    <row r="15" spans="1:26" s="24" customFormat="1" hidden="1" outlineLevel="1" x14ac:dyDescent="0.3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-729.38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-729.38</v>
      </c>
      <c r="Y15" s="2"/>
      <c r="Z15" s="19">
        <f t="shared" si="7"/>
        <v>0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8" t="s">
        <v>6</v>
      </c>
      <c r="C17" s="28"/>
      <c r="D17" s="22">
        <f>D12-D14</f>
        <v>0</v>
      </c>
      <c r="E17" s="14"/>
      <c r="F17" s="21">
        <f>IF(D$12=0,0,D17/D$12)</f>
        <v>0</v>
      </c>
      <c r="G17" s="14"/>
      <c r="H17" s="22">
        <f>H12-H14</f>
        <v>0</v>
      </c>
      <c r="I17" s="14"/>
      <c r="J17" s="21">
        <f>IF(H$12=0,0,H17/H$12)</f>
        <v>0</v>
      </c>
      <c r="K17" s="15"/>
      <c r="L17" s="22">
        <f>+D17-H17</f>
        <v>0</v>
      </c>
      <c r="M17" s="15"/>
      <c r="N17" s="21">
        <f>IF(H17=0,0,L17/H17)</f>
        <v>0</v>
      </c>
      <c r="O17" s="29"/>
      <c r="P17" s="22">
        <f>P12-P14</f>
        <v>729.38</v>
      </c>
      <c r="Q17" s="14"/>
      <c r="R17" s="21">
        <f>IF(P$12=0,0,P17/P$12)</f>
        <v>0</v>
      </c>
      <c r="S17" s="14"/>
      <c r="T17" s="22">
        <f>T12-T14</f>
        <v>0</v>
      </c>
      <c r="U17" s="14"/>
      <c r="V17" s="21">
        <f>IF(T$12=0,0,T17/T$12)</f>
        <v>0</v>
      </c>
      <c r="W17" s="15"/>
      <c r="X17" s="22">
        <f>+P17-T17</f>
        <v>729.38</v>
      </c>
      <c r="Y17" s="15"/>
      <c r="Z17" s="21">
        <f>IF(T17=0,0,X17/T17)</f>
        <v>0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9" t="s">
        <v>9</v>
      </c>
      <c r="C19" s="10"/>
      <c r="D19" s="20">
        <f>SUM(OSRRefD22x_0)</f>
        <v>17788.2</v>
      </c>
      <c r="E19" s="20"/>
      <c r="F19" s="36">
        <f t="shared" ref="F19:F28" si="8">IF(D$12=0,0,D19/D$12)</f>
        <v>0</v>
      </c>
      <c r="G19" s="20"/>
      <c r="H19" s="20">
        <f>SUM(OSRRefH22x_0)</f>
        <v>6909.4999999999991</v>
      </c>
      <c r="I19" s="20"/>
      <c r="J19" s="36">
        <f t="shared" ref="J19:J28" si="9">IF(H$12=0,0,H19/H$12)</f>
        <v>0</v>
      </c>
      <c r="K19" s="4"/>
      <c r="L19" s="20">
        <f t="shared" ref="L19:L28" si="10">+D19-H19</f>
        <v>10878.7</v>
      </c>
      <c r="M19" s="4"/>
      <c r="N19" s="36">
        <f t="shared" ref="N19:N28" si="11">IF(H19=0,0,L19/H19)</f>
        <v>1.5744554598740867</v>
      </c>
      <c r="O19" s="10"/>
      <c r="P19" s="20">
        <f>SUM(OSRRefP22x_0)</f>
        <v>169909</v>
      </c>
      <c r="Q19" s="20"/>
      <c r="R19" s="36">
        <f t="shared" ref="R19:R28" si="12">IF(P$12=0,0,P19/P$12)</f>
        <v>0</v>
      </c>
      <c r="S19" s="20"/>
      <c r="T19" s="20">
        <f>SUM(OSRRefT22x_0)</f>
        <v>105613.94999999998</v>
      </c>
      <c r="U19" s="20"/>
      <c r="V19" s="36">
        <f t="shared" ref="V19:V28" si="13">IF(T$12=0,0,T19/T$12)</f>
        <v>0</v>
      </c>
      <c r="W19" s="4"/>
      <c r="X19" s="20">
        <f t="shared" ref="X19:X28" si="14">+P19-T19</f>
        <v>64295.050000000017</v>
      </c>
      <c r="Y19" s="4"/>
      <c r="Z19" s="36">
        <f t="shared" ref="Z19:Z28" si="15">IF(T19=0,0,X19/T19)</f>
        <v>0.60877421969351608</v>
      </c>
    </row>
    <row r="20" spans="1:26" s="25" customFormat="1" outlineLevel="1" collapsed="1" x14ac:dyDescent="0.35">
      <c r="A20" s="26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5296.6399999999994</v>
      </c>
      <c r="E20" s="1"/>
      <c r="F20" s="5">
        <f t="shared" si="8"/>
        <v>0</v>
      </c>
      <c r="G20" s="1"/>
      <c r="H20" s="1">
        <f>SUM(OSRRefH22_0x_0)</f>
        <v>2366.69</v>
      </c>
      <c r="I20" s="1"/>
      <c r="J20" s="5">
        <f t="shared" si="9"/>
        <v>0</v>
      </c>
      <c r="K20" s="1"/>
      <c r="L20" s="1">
        <f t="shared" si="10"/>
        <v>2929.9499999999994</v>
      </c>
      <c r="M20" s="1"/>
      <c r="N20" s="5">
        <f t="shared" si="11"/>
        <v>1.2379948366706242</v>
      </c>
      <c r="O20" s="12"/>
      <c r="P20" s="1">
        <f>SUM(OSRRefP22_0x_0)</f>
        <v>69521.09</v>
      </c>
      <c r="Q20" s="1"/>
      <c r="R20" s="5">
        <f t="shared" si="12"/>
        <v>0</v>
      </c>
      <c r="S20" s="1"/>
      <c r="T20" s="1">
        <f>SUM(OSRRefT22_0x_0)</f>
        <v>36722.839999999997</v>
      </c>
      <c r="U20" s="1"/>
      <c r="V20" s="5">
        <f t="shared" si="13"/>
        <v>0</v>
      </c>
      <c r="W20" s="1"/>
      <c r="X20" s="1">
        <f t="shared" si="14"/>
        <v>32798.25</v>
      </c>
      <c r="Y20" s="1"/>
      <c r="Z20" s="5">
        <f t="shared" si="15"/>
        <v>0.8931294529508067</v>
      </c>
    </row>
    <row r="21" spans="1:26" s="24" customFormat="1" hidden="1" outlineLevel="2" x14ac:dyDescent="0.35">
      <c r="A21" s="27"/>
      <c r="B21" s="11" t="str">
        <f>CONCATENATE("          ", "6111", " - ", "F.I.C.A.")</f>
        <v xml:space="preserve">          6111 - F.I.C.A.</v>
      </c>
      <c r="C21" s="11"/>
      <c r="D21" s="7">
        <v>846.8</v>
      </c>
      <c r="E21" s="2"/>
      <c r="F21" s="6">
        <f t="shared" si="8"/>
        <v>0</v>
      </c>
      <c r="G21" s="2"/>
      <c r="H21" s="7">
        <v>339.74</v>
      </c>
      <c r="I21" s="2"/>
      <c r="J21" s="6">
        <f t="shared" si="9"/>
        <v>0</v>
      </c>
      <c r="K21" s="2"/>
      <c r="L21" s="7">
        <f t="shared" si="10"/>
        <v>507.05999999999995</v>
      </c>
      <c r="M21" s="2"/>
      <c r="N21" s="6">
        <f t="shared" si="11"/>
        <v>1.4924942603167126</v>
      </c>
      <c r="O21" s="11"/>
      <c r="P21" s="7">
        <v>8369.75</v>
      </c>
      <c r="Q21" s="2"/>
      <c r="R21" s="6">
        <f t="shared" si="12"/>
        <v>0</v>
      </c>
      <c r="S21" s="2"/>
      <c r="T21" s="7">
        <v>5685.77</v>
      </c>
      <c r="U21" s="2"/>
      <c r="V21" s="6">
        <f t="shared" si="13"/>
        <v>0</v>
      </c>
      <c r="W21" s="2"/>
      <c r="X21" s="7">
        <f t="shared" si="14"/>
        <v>2683.9799999999996</v>
      </c>
      <c r="Y21" s="2"/>
      <c r="Z21" s="6">
        <f t="shared" si="15"/>
        <v>0.472052158282871</v>
      </c>
    </row>
    <row r="22" spans="1:26" s="24" customFormat="1" hidden="1" outlineLevel="2" x14ac:dyDescent="0.3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37.64</v>
      </c>
      <c r="E22" s="2"/>
      <c r="F22" s="6">
        <f t="shared" si="8"/>
        <v>0</v>
      </c>
      <c r="G22" s="2"/>
      <c r="H22" s="7">
        <v>233.15</v>
      </c>
      <c r="I22" s="2"/>
      <c r="J22" s="6">
        <f t="shared" si="9"/>
        <v>0</v>
      </c>
      <c r="K22" s="2"/>
      <c r="L22" s="7">
        <f t="shared" si="10"/>
        <v>-195.51</v>
      </c>
      <c r="M22" s="2"/>
      <c r="N22" s="6">
        <f t="shared" si="11"/>
        <v>-0.83855886768174992</v>
      </c>
      <c r="O22" s="11"/>
      <c r="P22" s="7">
        <v>328.69</v>
      </c>
      <c r="Q22" s="2"/>
      <c r="R22" s="6">
        <f t="shared" si="12"/>
        <v>0</v>
      </c>
      <c r="S22" s="2"/>
      <c r="T22" s="7">
        <v>2162.9</v>
      </c>
      <c r="U22" s="2"/>
      <c r="V22" s="6">
        <f t="shared" si="13"/>
        <v>0</v>
      </c>
      <c r="W22" s="2"/>
      <c r="X22" s="7">
        <f t="shared" si="14"/>
        <v>-1834.21</v>
      </c>
      <c r="Y22" s="2"/>
      <c r="Z22" s="6">
        <f t="shared" si="15"/>
        <v>-0.84803273382958066</v>
      </c>
    </row>
    <row r="23" spans="1:26" s="24" customFormat="1" hidden="1" outlineLevel="2" x14ac:dyDescent="0.35">
      <c r="A23" s="27"/>
      <c r="B23" s="11" t="str">
        <f>CONCATENATE("          ", "6113", " - ", "GROUP INSURANCE")</f>
        <v xml:space="preserve">          6113 - GROUP INSURANCE</v>
      </c>
      <c r="C23" s="11"/>
      <c r="D23" s="7">
        <v>1950.75</v>
      </c>
      <c r="E23" s="2"/>
      <c r="F23" s="6">
        <f t="shared" si="8"/>
        <v>0</v>
      </c>
      <c r="G23" s="2"/>
      <c r="H23" s="7">
        <v>1011.43</v>
      </c>
      <c r="I23" s="2"/>
      <c r="J23" s="6">
        <f t="shared" si="9"/>
        <v>0</v>
      </c>
      <c r="K23" s="2"/>
      <c r="L23" s="7">
        <f t="shared" si="10"/>
        <v>939.32</v>
      </c>
      <c r="M23" s="2"/>
      <c r="N23" s="6">
        <f t="shared" si="11"/>
        <v>0.92870490295917674</v>
      </c>
      <c r="O23" s="11"/>
      <c r="P23" s="7">
        <v>14888.230000000001</v>
      </c>
      <c r="Q23" s="2"/>
      <c r="R23" s="6">
        <f t="shared" si="12"/>
        <v>0</v>
      </c>
      <c r="S23" s="2"/>
      <c r="T23" s="7">
        <v>11605.89</v>
      </c>
      <c r="U23" s="2"/>
      <c r="V23" s="6">
        <f t="shared" si="13"/>
        <v>0</v>
      </c>
      <c r="W23" s="2"/>
      <c r="X23" s="7">
        <f t="shared" si="14"/>
        <v>3282.340000000002</v>
      </c>
      <c r="Y23" s="2"/>
      <c r="Z23" s="6">
        <f t="shared" si="15"/>
        <v>0.2828167421886647</v>
      </c>
    </row>
    <row r="24" spans="1:26" s="24" customFormat="1" hidden="1" outlineLevel="2" x14ac:dyDescent="0.3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-235.04</v>
      </c>
      <c r="E24" s="2"/>
      <c r="F24" s="6">
        <f t="shared" si="8"/>
        <v>0</v>
      </c>
      <c r="G24" s="2"/>
      <c r="H24" s="7">
        <v>17.32</v>
      </c>
      <c r="I24" s="2"/>
      <c r="J24" s="6">
        <f t="shared" si="9"/>
        <v>0</v>
      </c>
      <c r="K24" s="2"/>
      <c r="L24" s="7">
        <f t="shared" si="10"/>
        <v>-252.35999999999999</v>
      </c>
      <c r="M24" s="2"/>
      <c r="N24" s="6">
        <f t="shared" si="11"/>
        <v>-14.570438799076211</v>
      </c>
      <c r="O24" s="11"/>
      <c r="P24" s="7">
        <v>0</v>
      </c>
      <c r="Q24" s="2"/>
      <c r="R24" s="6">
        <f t="shared" si="12"/>
        <v>0</v>
      </c>
      <c r="S24" s="2"/>
      <c r="T24" s="7">
        <v>178.25</v>
      </c>
      <c r="U24" s="2"/>
      <c r="V24" s="6">
        <f t="shared" si="13"/>
        <v>0</v>
      </c>
      <c r="W24" s="2"/>
      <c r="X24" s="7">
        <f t="shared" si="14"/>
        <v>-178.25</v>
      </c>
      <c r="Y24" s="2"/>
      <c r="Z24" s="6">
        <f t="shared" si="15"/>
        <v>-1</v>
      </c>
    </row>
    <row r="25" spans="1:26" s="24" customFormat="1" hidden="1" outlineLevel="2" x14ac:dyDescent="0.35">
      <c r="A25" s="27"/>
      <c r="B25" s="11" t="str">
        <f>CONCATENATE("          ", "6115", " - ", "P.E.R.S.")</f>
        <v xml:space="preserve">          6115 - P.E.R.S.</v>
      </c>
      <c r="C25" s="11"/>
      <c r="D25" s="7">
        <v>1131.3900000000001</v>
      </c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1131.3900000000001</v>
      </c>
      <c r="M25" s="2"/>
      <c r="N25" s="6">
        <f t="shared" si="11"/>
        <v>0</v>
      </c>
      <c r="O25" s="11"/>
      <c r="P25" s="7">
        <v>9806.17</v>
      </c>
      <c r="Q25" s="2"/>
      <c r="R25" s="6">
        <f t="shared" si="12"/>
        <v>0</v>
      </c>
      <c r="S25" s="2"/>
      <c r="T25" s="7">
        <v>5822.79</v>
      </c>
      <c r="U25" s="2"/>
      <c r="V25" s="6">
        <f t="shared" si="13"/>
        <v>0</v>
      </c>
      <c r="W25" s="2"/>
      <c r="X25" s="7">
        <f t="shared" si="14"/>
        <v>3983.38</v>
      </c>
      <c r="Y25" s="2"/>
      <c r="Z25" s="6">
        <f t="shared" si="15"/>
        <v>0.68410160764856709</v>
      </c>
    </row>
    <row r="26" spans="1:26" s="24" customFormat="1" hidden="1" outlineLevel="2" x14ac:dyDescent="0.35">
      <c r="A26" s="27"/>
      <c r="B26" s="11" t="str">
        <f>CONCATENATE("          ", "6118", " - ", "VACATION")</f>
        <v xml:space="preserve">          6118 - VACATION</v>
      </c>
      <c r="C26" s="11"/>
      <c r="D26" s="7">
        <v>1022.52</v>
      </c>
      <c r="E26" s="2"/>
      <c r="F26" s="6">
        <f t="shared" si="8"/>
        <v>0</v>
      </c>
      <c r="G26" s="2"/>
      <c r="H26" s="7">
        <v>410.22</v>
      </c>
      <c r="I26" s="2"/>
      <c r="J26" s="6">
        <f t="shared" si="9"/>
        <v>0</v>
      </c>
      <c r="K26" s="2"/>
      <c r="L26" s="7">
        <f t="shared" si="10"/>
        <v>612.29999999999995</v>
      </c>
      <c r="M26" s="2"/>
      <c r="N26" s="6">
        <f t="shared" si="11"/>
        <v>1.4926137194676026</v>
      </c>
      <c r="O26" s="11"/>
      <c r="P26" s="7">
        <v>12265.5</v>
      </c>
      <c r="Q26" s="2"/>
      <c r="R26" s="6">
        <f t="shared" si="12"/>
        <v>0</v>
      </c>
      <c r="S26" s="2"/>
      <c r="T26" s="7">
        <v>5688.57</v>
      </c>
      <c r="U26" s="2"/>
      <c r="V26" s="6">
        <f t="shared" si="13"/>
        <v>0</v>
      </c>
      <c r="W26" s="2"/>
      <c r="X26" s="7">
        <f t="shared" si="14"/>
        <v>6576.93</v>
      </c>
      <c r="Y26" s="2"/>
      <c r="Z26" s="6">
        <f t="shared" si="15"/>
        <v>1.1561657850742806</v>
      </c>
    </row>
    <row r="27" spans="1:26" s="24" customFormat="1" hidden="1" outlineLevel="2" x14ac:dyDescent="0.35">
      <c r="A27" s="27"/>
      <c r="B27" s="11" t="str">
        <f>CONCATENATE("          ", "6119", " - ", "SICK LEAVE")</f>
        <v xml:space="preserve">          6119 - SICK LEAVE</v>
      </c>
      <c r="C27" s="11"/>
      <c r="D27" s="7">
        <v>510.58</v>
      </c>
      <c r="E27" s="2"/>
      <c r="F27" s="6">
        <f t="shared" si="8"/>
        <v>0</v>
      </c>
      <c r="G27" s="2"/>
      <c r="H27" s="7">
        <v>204.83</v>
      </c>
      <c r="I27" s="2"/>
      <c r="J27" s="6">
        <f t="shared" si="9"/>
        <v>0</v>
      </c>
      <c r="K27" s="2"/>
      <c r="L27" s="7">
        <f t="shared" si="10"/>
        <v>305.75</v>
      </c>
      <c r="M27" s="2"/>
      <c r="N27" s="6">
        <f t="shared" si="11"/>
        <v>1.4927012644632134</v>
      </c>
      <c r="O27" s="11"/>
      <c r="P27" s="7">
        <v>22540.66</v>
      </c>
      <c r="Q27" s="2"/>
      <c r="R27" s="6">
        <f t="shared" si="12"/>
        <v>0</v>
      </c>
      <c r="S27" s="2"/>
      <c r="T27" s="7">
        <v>4033.14</v>
      </c>
      <c r="U27" s="2"/>
      <c r="V27" s="6">
        <f t="shared" si="13"/>
        <v>0</v>
      </c>
      <c r="W27" s="2"/>
      <c r="X27" s="7">
        <f t="shared" si="14"/>
        <v>18507.52</v>
      </c>
      <c r="Y27" s="2"/>
      <c r="Z27" s="6">
        <f t="shared" si="15"/>
        <v>4.5888612842599068</v>
      </c>
    </row>
    <row r="28" spans="1:26" s="24" customFormat="1" hidden="1" outlineLevel="2" x14ac:dyDescent="0.35">
      <c r="A28" s="27"/>
      <c r="B28" s="11" t="str">
        <f>CONCATENATE("          ", "6156", " - ", "EMPLOYEE MEALS")</f>
        <v xml:space="preserve">          6156 - EMPLOYEE MEALS</v>
      </c>
      <c r="C28" s="11"/>
      <c r="D28" s="7">
        <v>32</v>
      </c>
      <c r="E28" s="2"/>
      <c r="F28" s="6">
        <f t="shared" si="8"/>
        <v>0</v>
      </c>
      <c r="G28" s="2"/>
      <c r="H28" s="7">
        <v>150</v>
      </c>
      <c r="I28" s="2"/>
      <c r="J28" s="6">
        <f t="shared" si="9"/>
        <v>0</v>
      </c>
      <c r="K28" s="2"/>
      <c r="L28" s="7">
        <f t="shared" si="10"/>
        <v>-118</v>
      </c>
      <c r="M28" s="2"/>
      <c r="N28" s="6">
        <f t="shared" si="11"/>
        <v>-0.78666666666666663</v>
      </c>
      <c r="O28" s="11"/>
      <c r="P28" s="7">
        <v>1322.09</v>
      </c>
      <c r="Q28" s="2"/>
      <c r="R28" s="6">
        <f t="shared" si="12"/>
        <v>0</v>
      </c>
      <c r="S28" s="2"/>
      <c r="T28" s="7">
        <v>1545.53</v>
      </c>
      <c r="U28" s="2"/>
      <c r="V28" s="6">
        <f t="shared" si="13"/>
        <v>0</v>
      </c>
      <c r="W28" s="2"/>
      <c r="X28" s="7">
        <f t="shared" si="14"/>
        <v>-223.44000000000005</v>
      </c>
      <c r="Y28" s="2"/>
      <c r="Z28" s="6">
        <f t="shared" si="15"/>
        <v>-0.14457176502558997</v>
      </c>
    </row>
    <row r="29" spans="1:26" s="25" customFormat="1" outlineLevel="1" collapsed="1" x14ac:dyDescent="0.3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7748.5</v>
      </c>
      <c r="E29" s="1"/>
      <c r="F29" s="5">
        <f t="shared" ref="F29:F31" si="16">IF(D$12=0,0,D29/D$12)</f>
        <v>0</v>
      </c>
      <c r="G29" s="1"/>
      <c r="H29" s="1">
        <f>SUM(OSRRefH22_1x_0)</f>
        <v>4440.8599999999997</v>
      </c>
      <c r="I29" s="1"/>
      <c r="J29" s="5">
        <f t="shared" ref="J29:J31" si="17">IF(H$12=0,0,H29/H$12)</f>
        <v>0</v>
      </c>
      <c r="K29" s="1"/>
      <c r="L29" s="1">
        <f t="shared" ref="L29:L31" si="18">+D29-H29</f>
        <v>3307.6400000000003</v>
      </c>
      <c r="M29" s="1"/>
      <c r="N29" s="5">
        <f t="shared" ref="N29:N31" si="19">IF(H29=0,0,L29/H29)</f>
        <v>0.74481969708569973</v>
      </c>
      <c r="O29" s="12"/>
      <c r="P29" s="1">
        <f>SUM(OSRRefP22_1x_0)</f>
        <v>78697.180000000008</v>
      </c>
      <c r="Q29" s="1"/>
      <c r="R29" s="5">
        <f t="shared" ref="R29:R31" si="20">IF(P$12=0,0,P29/P$12)</f>
        <v>0</v>
      </c>
      <c r="S29" s="1"/>
      <c r="T29" s="1">
        <f>SUM(OSRRefT22_1x_0)</f>
        <v>51291.93</v>
      </c>
      <c r="U29" s="1"/>
      <c r="V29" s="5">
        <f t="shared" ref="V29:V31" si="21">IF(T$12=0,0,T29/T$12)</f>
        <v>0</v>
      </c>
      <c r="W29" s="1"/>
      <c r="X29" s="1">
        <f t="shared" ref="X29:X31" si="22">+P29-T29</f>
        <v>27405.250000000007</v>
      </c>
      <c r="Y29" s="1"/>
      <c r="Z29" s="5">
        <f t="shared" ref="Z29:Z31" si="23">IF(T29=0,0,X29/T29)</f>
        <v>0.53429945022540593</v>
      </c>
    </row>
    <row r="30" spans="1:26" s="24" customFormat="1" hidden="1" outlineLevel="2" x14ac:dyDescent="0.3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7748.5</v>
      </c>
      <c r="E30" s="2"/>
      <c r="F30" s="6">
        <f t="shared" si="16"/>
        <v>0</v>
      </c>
      <c r="G30" s="2"/>
      <c r="H30" s="7">
        <v>4440.8599999999997</v>
      </c>
      <c r="I30" s="2"/>
      <c r="J30" s="6">
        <f t="shared" si="17"/>
        <v>0</v>
      </c>
      <c r="K30" s="2"/>
      <c r="L30" s="7">
        <f t="shared" si="18"/>
        <v>3307.6400000000003</v>
      </c>
      <c r="M30" s="2"/>
      <c r="N30" s="6">
        <f t="shared" si="19"/>
        <v>0.74481969708569973</v>
      </c>
      <c r="O30" s="11"/>
      <c r="P30" s="7">
        <v>82571.430000000008</v>
      </c>
      <c r="Q30" s="2"/>
      <c r="R30" s="6">
        <f t="shared" si="20"/>
        <v>0</v>
      </c>
      <c r="S30" s="2"/>
      <c r="T30" s="7">
        <v>51291.93</v>
      </c>
      <c r="U30" s="2"/>
      <c r="V30" s="6">
        <f t="shared" si="21"/>
        <v>0</v>
      </c>
      <c r="W30" s="2"/>
      <c r="X30" s="7">
        <f t="shared" si="22"/>
        <v>31279.500000000007</v>
      </c>
      <c r="Y30" s="2"/>
      <c r="Z30" s="6">
        <f t="shared" si="23"/>
        <v>0.60983277486341436</v>
      </c>
    </row>
    <row r="31" spans="1:26" s="24" customFormat="1" hidden="1" outlineLevel="2" x14ac:dyDescent="0.35">
      <c r="A31" s="27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>
        <v>-3874.25</v>
      </c>
      <c r="Q31" s="2"/>
      <c r="R31" s="6">
        <f t="shared" si="20"/>
        <v>0</v>
      </c>
      <c r="S31" s="2"/>
      <c r="T31" s="7"/>
      <c r="U31" s="2"/>
      <c r="V31" s="6">
        <f t="shared" si="21"/>
        <v>0</v>
      </c>
      <c r="W31" s="2"/>
      <c r="X31" s="7">
        <f t="shared" si="22"/>
        <v>-3874.25</v>
      </c>
      <c r="Y31" s="2"/>
      <c r="Z31" s="6">
        <f t="shared" si="23"/>
        <v>0</v>
      </c>
    </row>
    <row r="32" spans="1:26" s="25" customFormat="1" outlineLevel="1" collapsed="1" x14ac:dyDescent="0.35">
      <c r="A32" s="26"/>
      <c r="B32" s="12" t="str">
        <f>CONCATENATE("     ","General                                           ")</f>
        <v xml:space="preserve">     General                                           </v>
      </c>
      <c r="C32" s="12"/>
      <c r="D32" s="1">
        <f>SUM(OSRRefD22_2x_0)</f>
        <v>4574.0600000000004</v>
      </c>
      <c r="E32" s="1"/>
      <c r="F32" s="5">
        <f t="shared" ref="F32:F41" si="24">IF(D$12=0,0,D32/D$12)</f>
        <v>0</v>
      </c>
      <c r="G32" s="1"/>
      <c r="H32" s="1">
        <f>SUM(OSRRefH22_2x_0)</f>
        <v>0</v>
      </c>
      <c r="I32" s="1"/>
      <c r="J32" s="5">
        <f t="shared" ref="J32:J41" si="25">IF(H$12=0,0,H32/H$12)</f>
        <v>0</v>
      </c>
      <c r="K32" s="1"/>
      <c r="L32" s="1">
        <f t="shared" ref="L32:L41" si="26">+D32-H32</f>
        <v>4574.0600000000004</v>
      </c>
      <c r="M32" s="1"/>
      <c r="N32" s="5">
        <f t="shared" ref="N32:N41" si="27">IF(H32=0,0,L32/H32)</f>
        <v>0</v>
      </c>
      <c r="O32" s="12"/>
      <c r="P32" s="1">
        <f>SUM(OSRRefP22_2x_0)</f>
        <v>7017.71</v>
      </c>
      <c r="Q32" s="1"/>
      <c r="R32" s="5">
        <f t="shared" ref="R32:R41" si="28">IF(P$12=0,0,P32/P$12)</f>
        <v>0</v>
      </c>
      <c r="S32" s="1"/>
      <c r="T32" s="1">
        <f>SUM(OSRRefT22_2x_0)</f>
        <v>2357.6</v>
      </c>
      <c r="U32" s="1"/>
      <c r="V32" s="5">
        <f t="shared" ref="V32:V41" si="29">IF(T$12=0,0,T32/T$12)</f>
        <v>0</v>
      </c>
      <c r="W32" s="1"/>
      <c r="X32" s="1">
        <f t="shared" ref="X32:X41" si="30">+P32-T32</f>
        <v>4660.1100000000006</v>
      </c>
      <c r="Y32" s="1"/>
      <c r="Z32" s="5">
        <f t="shared" ref="Z32:Z41" si="31">IF(T32=0,0,X32/T32)</f>
        <v>1.9766330166270787</v>
      </c>
    </row>
    <row r="33" spans="1:26" s="24" customFormat="1" hidden="1" outlineLevel="2" x14ac:dyDescent="0.35">
      <c r="A33" s="27"/>
      <c r="B33" s="11" t="str">
        <f>CONCATENATE("          ", "6279", " - ", "GENERAL EXPENSE")</f>
        <v xml:space="preserve">          6279 - GENERAL EXPENSE</v>
      </c>
      <c r="C33" s="11"/>
      <c r="D33" s="7">
        <v>4574.0600000000004</v>
      </c>
      <c r="E33" s="2"/>
      <c r="F33" s="6">
        <f t="shared" si="24"/>
        <v>0</v>
      </c>
      <c r="G33" s="2"/>
      <c r="H33" s="7"/>
      <c r="I33" s="2"/>
      <c r="J33" s="6">
        <f t="shared" si="25"/>
        <v>0</v>
      </c>
      <c r="K33" s="2"/>
      <c r="L33" s="7">
        <f t="shared" si="26"/>
        <v>4574.0600000000004</v>
      </c>
      <c r="M33" s="2"/>
      <c r="N33" s="6">
        <f t="shared" si="27"/>
        <v>0</v>
      </c>
      <c r="O33" s="11"/>
      <c r="P33" s="7">
        <v>7017.71</v>
      </c>
      <c r="Q33" s="2"/>
      <c r="R33" s="6">
        <f t="shared" si="28"/>
        <v>0</v>
      </c>
      <c r="S33" s="2"/>
      <c r="T33" s="7">
        <v>2357.6</v>
      </c>
      <c r="U33" s="2"/>
      <c r="V33" s="6">
        <f t="shared" si="29"/>
        <v>0</v>
      </c>
      <c r="W33" s="2"/>
      <c r="X33" s="7">
        <f t="shared" si="30"/>
        <v>4660.1100000000006</v>
      </c>
      <c r="Y33" s="2"/>
      <c r="Z33" s="6">
        <f t="shared" si="31"/>
        <v>1.9766330166270787</v>
      </c>
    </row>
    <row r="34" spans="1:26" s="25" customFormat="1" outlineLevel="1" collapsed="1" x14ac:dyDescent="0.35">
      <c r="A34" s="26"/>
      <c r="B34" s="12" t="str">
        <f>CONCATENATE("     ","Royalty &amp; Commissions                             ")</f>
        <v xml:space="preserve">     Royalty &amp; Commissions                             </v>
      </c>
      <c r="C34" s="12"/>
      <c r="D34" s="1">
        <f>SUM(OSRRefD22_3x_0)</f>
        <v>0</v>
      </c>
      <c r="E34" s="1"/>
      <c r="F34" s="5">
        <f t="shared" si="24"/>
        <v>0</v>
      </c>
      <c r="G34" s="1"/>
      <c r="H34" s="1">
        <f>SUM(OSRRefH22_3x_0)</f>
        <v>0</v>
      </c>
      <c r="I34" s="1"/>
      <c r="J34" s="5">
        <f t="shared" si="25"/>
        <v>0</v>
      </c>
      <c r="K34" s="1"/>
      <c r="L34" s="1">
        <f t="shared" si="26"/>
        <v>0</v>
      </c>
      <c r="M34" s="1"/>
      <c r="N34" s="5">
        <f t="shared" si="27"/>
        <v>0</v>
      </c>
      <c r="O34" s="12"/>
      <c r="P34" s="1">
        <f>SUM(OSRRefP22_3x_0)</f>
        <v>10393.31</v>
      </c>
      <c r="Q34" s="1"/>
      <c r="R34" s="5">
        <f t="shared" si="28"/>
        <v>0</v>
      </c>
      <c r="S34" s="1"/>
      <c r="T34" s="1">
        <f>SUM(OSRRefT22_3x_0)</f>
        <v>11506.26</v>
      </c>
      <c r="U34" s="1"/>
      <c r="V34" s="5">
        <f t="shared" si="29"/>
        <v>0</v>
      </c>
      <c r="W34" s="1"/>
      <c r="X34" s="1">
        <f t="shared" si="30"/>
        <v>-1112.9500000000007</v>
      </c>
      <c r="Y34" s="1"/>
      <c r="Z34" s="5">
        <f t="shared" si="31"/>
        <v>-9.6725608494854162E-2</v>
      </c>
    </row>
    <row r="35" spans="1:26" s="24" customFormat="1" hidden="1" outlineLevel="2" x14ac:dyDescent="0.35">
      <c r="A35" s="27"/>
      <c r="B35" s="11" t="str">
        <f>CONCATENATE("          ", "6254", " - ", "ROYALTY &amp; COMMISSIONS")</f>
        <v xml:space="preserve">          6254 - ROYALTY &amp; COMMISSIONS</v>
      </c>
      <c r="C35" s="11"/>
      <c r="D35" s="7"/>
      <c r="E35" s="2"/>
      <c r="F35" s="6">
        <f t="shared" si="24"/>
        <v>0</v>
      </c>
      <c r="G35" s="2"/>
      <c r="H35" s="7"/>
      <c r="I35" s="2"/>
      <c r="J35" s="6">
        <f t="shared" si="25"/>
        <v>0</v>
      </c>
      <c r="K35" s="2"/>
      <c r="L35" s="7">
        <f t="shared" si="26"/>
        <v>0</v>
      </c>
      <c r="M35" s="2"/>
      <c r="N35" s="6">
        <f t="shared" si="27"/>
        <v>0</v>
      </c>
      <c r="O35" s="11"/>
      <c r="P35" s="7">
        <v>10393.31</v>
      </c>
      <c r="Q35" s="2"/>
      <c r="R35" s="6">
        <f t="shared" si="28"/>
        <v>0</v>
      </c>
      <c r="S35" s="2"/>
      <c r="T35" s="7">
        <v>11506.26</v>
      </c>
      <c r="U35" s="2"/>
      <c r="V35" s="6">
        <f t="shared" si="29"/>
        <v>0</v>
      </c>
      <c r="W35" s="2"/>
      <c r="X35" s="7">
        <f t="shared" si="30"/>
        <v>-1112.9500000000007</v>
      </c>
      <c r="Y35" s="2"/>
      <c r="Z35" s="6">
        <f t="shared" si="31"/>
        <v>-9.6725608494854162E-2</v>
      </c>
    </row>
    <row r="36" spans="1:26" s="25" customFormat="1" outlineLevel="1" collapsed="1" x14ac:dyDescent="0.35">
      <c r="A36" s="26"/>
      <c r="B36" s="12" t="str">
        <f>CONCATENATE("     ","Supplies                                          ")</f>
        <v xml:space="preserve">     Supplies                                          </v>
      </c>
      <c r="C36" s="12"/>
      <c r="D36" s="1">
        <f>SUM(OSRRefD22_4x_0)</f>
        <v>56.3</v>
      </c>
      <c r="E36" s="1"/>
      <c r="F36" s="5">
        <f t="shared" si="24"/>
        <v>0</v>
      </c>
      <c r="G36" s="1"/>
      <c r="H36" s="1">
        <f>SUM(OSRRefH22_4x_0)</f>
        <v>9.9</v>
      </c>
      <c r="I36" s="1"/>
      <c r="J36" s="5">
        <f t="shared" si="25"/>
        <v>0</v>
      </c>
      <c r="K36" s="1"/>
      <c r="L36" s="1">
        <f t="shared" si="26"/>
        <v>46.4</v>
      </c>
      <c r="M36" s="1"/>
      <c r="N36" s="5">
        <f t="shared" si="27"/>
        <v>4.6868686868686869</v>
      </c>
      <c r="O36" s="12"/>
      <c r="P36" s="1">
        <f>SUM(OSRRefP22_4x_0)</f>
        <v>196.85</v>
      </c>
      <c r="Q36" s="1"/>
      <c r="R36" s="5">
        <f t="shared" si="28"/>
        <v>0</v>
      </c>
      <c r="S36" s="1"/>
      <c r="T36" s="1">
        <f>SUM(OSRRefT22_4x_0)</f>
        <v>2706.12</v>
      </c>
      <c r="U36" s="1"/>
      <c r="V36" s="5">
        <f t="shared" si="29"/>
        <v>0</v>
      </c>
      <c r="W36" s="1"/>
      <c r="X36" s="1">
        <f t="shared" si="30"/>
        <v>-2509.27</v>
      </c>
      <c r="Y36" s="1"/>
      <c r="Z36" s="5">
        <f t="shared" si="31"/>
        <v>-0.92725747564779093</v>
      </c>
    </row>
    <row r="37" spans="1:26" s="24" customFormat="1" hidden="1" outlineLevel="2" x14ac:dyDescent="0.35">
      <c r="A37" s="27"/>
      <c r="B37" s="11" t="str">
        <f>CONCATENATE("          ", "6241", " - ", "OFFICE EXPENSE")</f>
        <v xml:space="preserve">          6241 - OFFICE EXPENSE</v>
      </c>
      <c r="C37" s="11"/>
      <c r="D37" s="7">
        <v>56.3</v>
      </c>
      <c r="E37" s="2"/>
      <c r="F37" s="6">
        <f t="shared" si="24"/>
        <v>0</v>
      </c>
      <c r="G37" s="2"/>
      <c r="H37" s="7">
        <v>9.9</v>
      </c>
      <c r="I37" s="2"/>
      <c r="J37" s="6">
        <f t="shared" si="25"/>
        <v>0</v>
      </c>
      <c r="K37" s="2"/>
      <c r="L37" s="7">
        <f t="shared" si="26"/>
        <v>46.4</v>
      </c>
      <c r="M37" s="2"/>
      <c r="N37" s="6">
        <f t="shared" si="27"/>
        <v>4.6868686868686869</v>
      </c>
      <c r="O37" s="11"/>
      <c r="P37" s="7">
        <v>196.85</v>
      </c>
      <c r="Q37" s="2"/>
      <c r="R37" s="6">
        <f t="shared" si="28"/>
        <v>0</v>
      </c>
      <c r="S37" s="2"/>
      <c r="T37" s="7">
        <v>2706.12</v>
      </c>
      <c r="U37" s="2"/>
      <c r="V37" s="6">
        <f t="shared" si="29"/>
        <v>0</v>
      </c>
      <c r="W37" s="2"/>
      <c r="X37" s="7">
        <f t="shared" si="30"/>
        <v>-2509.27</v>
      </c>
      <c r="Y37" s="2"/>
      <c r="Z37" s="6">
        <f t="shared" si="31"/>
        <v>-0.92725747564779093</v>
      </c>
    </row>
    <row r="38" spans="1:26" s="25" customFormat="1" outlineLevel="1" collapsed="1" x14ac:dyDescent="0.35">
      <c r="A38" s="26"/>
      <c r="B38" s="12" t="str">
        <f>CONCATENATE("     ","Telephone/Data Lines                              ")</f>
        <v xml:space="preserve">     Telephone/Data Lines                              </v>
      </c>
      <c r="C38" s="12"/>
      <c r="D38" s="1">
        <f>SUM(OSRRefD22_5x_0)</f>
        <v>112.7</v>
      </c>
      <c r="E38" s="1"/>
      <c r="F38" s="5">
        <f t="shared" si="24"/>
        <v>0</v>
      </c>
      <c r="G38" s="1"/>
      <c r="H38" s="1">
        <f>SUM(OSRRefH22_5x_0)</f>
        <v>92.05</v>
      </c>
      <c r="I38" s="1"/>
      <c r="J38" s="5">
        <f t="shared" si="25"/>
        <v>0</v>
      </c>
      <c r="K38" s="1"/>
      <c r="L38" s="1">
        <f t="shared" si="26"/>
        <v>20.650000000000006</v>
      </c>
      <c r="M38" s="1"/>
      <c r="N38" s="5">
        <f t="shared" si="27"/>
        <v>0.22433460076045633</v>
      </c>
      <c r="O38" s="12"/>
      <c r="P38" s="1">
        <f>SUM(OSRRefP22_5x_0)</f>
        <v>1323.05</v>
      </c>
      <c r="Q38" s="1"/>
      <c r="R38" s="5">
        <f t="shared" si="28"/>
        <v>0</v>
      </c>
      <c r="S38" s="1"/>
      <c r="T38" s="1">
        <f>SUM(OSRRefT22_5x_0)</f>
        <v>1029.2</v>
      </c>
      <c r="U38" s="1"/>
      <c r="V38" s="5">
        <f t="shared" si="29"/>
        <v>0</v>
      </c>
      <c r="W38" s="1"/>
      <c r="X38" s="1">
        <f t="shared" si="30"/>
        <v>293.84999999999991</v>
      </c>
      <c r="Y38" s="1"/>
      <c r="Z38" s="5">
        <f t="shared" si="31"/>
        <v>0.28551301982122024</v>
      </c>
    </row>
    <row r="39" spans="1:26" s="24" customFormat="1" hidden="1" outlineLevel="2" x14ac:dyDescent="0.35">
      <c r="A39" s="27"/>
      <c r="B39" s="11" t="str">
        <f>CONCATENATE("          ", "6309", " - ", "TELEPHONE")</f>
        <v xml:space="preserve">          6309 - TELEPHONE</v>
      </c>
      <c r="C39" s="11"/>
      <c r="D39" s="7">
        <v>112.7</v>
      </c>
      <c r="E39" s="2"/>
      <c r="F39" s="6">
        <f t="shared" si="24"/>
        <v>0</v>
      </c>
      <c r="G39" s="2"/>
      <c r="H39" s="7">
        <v>92.05</v>
      </c>
      <c r="I39" s="2"/>
      <c r="J39" s="6">
        <f t="shared" si="25"/>
        <v>0</v>
      </c>
      <c r="K39" s="2"/>
      <c r="L39" s="7">
        <f t="shared" si="26"/>
        <v>20.650000000000006</v>
      </c>
      <c r="M39" s="2"/>
      <c r="N39" s="6">
        <f t="shared" si="27"/>
        <v>0.22433460076045633</v>
      </c>
      <c r="O39" s="11"/>
      <c r="P39" s="7">
        <v>1323.05</v>
      </c>
      <c r="Q39" s="2"/>
      <c r="R39" s="6">
        <f t="shared" si="28"/>
        <v>0</v>
      </c>
      <c r="S39" s="2"/>
      <c r="T39" s="7">
        <v>1029.2</v>
      </c>
      <c r="U39" s="2"/>
      <c r="V39" s="6">
        <f t="shared" si="29"/>
        <v>0</v>
      </c>
      <c r="W39" s="2"/>
      <c r="X39" s="7">
        <f t="shared" si="30"/>
        <v>293.84999999999991</v>
      </c>
      <c r="Y39" s="2"/>
      <c r="Z39" s="6">
        <f t="shared" si="31"/>
        <v>0.28551301982122024</v>
      </c>
    </row>
    <row r="40" spans="1:26" s="25" customFormat="1" outlineLevel="1" collapsed="1" x14ac:dyDescent="0.35">
      <c r="A40" s="26"/>
      <c r="B40" s="12" t="str">
        <f>CONCATENATE("     ","Travel                                            ")</f>
        <v xml:space="preserve">     Travel                                            </v>
      </c>
      <c r="C40" s="12"/>
      <c r="D40" s="1">
        <f>SUM(OSRRefD22_6x_0)</f>
        <v>0</v>
      </c>
      <c r="E40" s="1"/>
      <c r="F40" s="5">
        <f t="shared" si="24"/>
        <v>0</v>
      </c>
      <c r="G40" s="1"/>
      <c r="H40" s="1">
        <f>SUM(OSRRefH22_6x_0)</f>
        <v>0</v>
      </c>
      <c r="I40" s="1"/>
      <c r="J40" s="5">
        <f t="shared" si="25"/>
        <v>0</v>
      </c>
      <c r="K40" s="1"/>
      <c r="L40" s="1">
        <f t="shared" si="26"/>
        <v>0</v>
      </c>
      <c r="M40" s="1"/>
      <c r="N40" s="5">
        <f t="shared" si="27"/>
        <v>0</v>
      </c>
      <c r="O40" s="12"/>
      <c r="P40" s="1">
        <f>SUM(OSRRefP22_6x_0)</f>
        <v>2759.81</v>
      </c>
      <c r="Q40" s="1"/>
      <c r="R40" s="5">
        <f t="shared" si="28"/>
        <v>0</v>
      </c>
      <c r="S40" s="1"/>
      <c r="T40" s="1">
        <f>SUM(OSRRefT22_6x_0)</f>
        <v>0</v>
      </c>
      <c r="U40" s="1"/>
      <c r="V40" s="5">
        <f t="shared" si="29"/>
        <v>0</v>
      </c>
      <c r="W40" s="1"/>
      <c r="X40" s="1">
        <f t="shared" si="30"/>
        <v>2759.81</v>
      </c>
      <c r="Y40" s="1"/>
      <c r="Z40" s="5">
        <f t="shared" si="31"/>
        <v>0</v>
      </c>
    </row>
    <row r="41" spans="1:26" s="24" customFormat="1" hidden="1" outlineLevel="2" x14ac:dyDescent="0.35">
      <c r="A41" s="27"/>
      <c r="B41" s="11" t="str">
        <f>CONCATENATE("          ", "6292", " - ", "TRAVEL/CONFERENCE")</f>
        <v xml:space="preserve">          6292 - TRAVEL/CONFERENCE</v>
      </c>
      <c r="C41" s="11"/>
      <c r="D41" s="7"/>
      <c r="E41" s="2"/>
      <c r="F41" s="6">
        <f t="shared" si="24"/>
        <v>0</v>
      </c>
      <c r="G41" s="2"/>
      <c r="H41" s="7"/>
      <c r="I41" s="2"/>
      <c r="J41" s="6">
        <f t="shared" si="25"/>
        <v>0</v>
      </c>
      <c r="K41" s="2"/>
      <c r="L41" s="7">
        <f t="shared" si="26"/>
        <v>0</v>
      </c>
      <c r="M41" s="2"/>
      <c r="N41" s="6">
        <f t="shared" si="27"/>
        <v>0</v>
      </c>
      <c r="O41" s="11"/>
      <c r="P41" s="7">
        <v>2759.81</v>
      </c>
      <c r="Q41" s="2"/>
      <c r="R41" s="6">
        <f t="shared" si="28"/>
        <v>0</v>
      </c>
      <c r="S41" s="2"/>
      <c r="T41" s="7"/>
      <c r="U41" s="2"/>
      <c r="V41" s="6">
        <f t="shared" si="29"/>
        <v>0</v>
      </c>
      <c r="W41" s="2"/>
      <c r="X41" s="7">
        <f t="shared" si="30"/>
        <v>2759.81</v>
      </c>
      <c r="Y41" s="2"/>
      <c r="Z41" s="6">
        <f t="shared" si="31"/>
        <v>0</v>
      </c>
    </row>
    <row r="42" spans="1:26" s="56" customFormat="1" x14ac:dyDescent="0.3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collapsed="1" x14ac:dyDescent="0.35">
      <c r="A43" s="10"/>
      <c r="B43" s="29" t="s">
        <v>0</v>
      </c>
      <c r="C43" s="10"/>
      <c r="D43" s="4">
        <f>SUM(OSRRefD25x_0)</f>
        <v>0</v>
      </c>
      <c r="E43" s="4"/>
      <c r="F43" s="13">
        <f t="shared" ref="F43:F44" si="32">IF(D$12=0,0,D43/D$12)</f>
        <v>0</v>
      </c>
      <c r="G43" s="4"/>
      <c r="H43" s="4">
        <f>SUM(OSRRefH25x_0)</f>
        <v>24963.19</v>
      </c>
      <c r="I43" s="4"/>
      <c r="J43" s="13">
        <f t="shared" ref="J43:J44" si="33">IF(H$12=0,0,H43/H$12)</f>
        <v>0</v>
      </c>
      <c r="K43" s="4"/>
      <c r="L43" s="4">
        <f t="shared" ref="L43:L44" si="34">+D43-H43</f>
        <v>-24963.19</v>
      </c>
      <c r="M43" s="4"/>
      <c r="N43" s="13">
        <f t="shared" ref="N43:N44" si="35">IF(H43=0,0,L43/H43)</f>
        <v>-1</v>
      </c>
      <c r="O43" s="10"/>
      <c r="P43" s="4">
        <f>SUM(OSRRefP25x_0)</f>
        <v>155658.1</v>
      </c>
      <c r="Q43" s="4"/>
      <c r="R43" s="13">
        <f t="shared" ref="R43:R44" si="36">IF(P$12=0,0,P43/P$12)</f>
        <v>0</v>
      </c>
      <c r="S43" s="4"/>
      <c r="T43" s="4">
        <f>SUM(OSRRefT25x_0)</f>
        <v>205642.88</v>
      </c>
      <c r="U43" s="4"/>
      <c r="V43" s="13">
        <f t="shared" ref="V43:V44" si="37">IF(T$12=0,0,T43/T$12)</f>
        <v>0</v>
      </c>
      <c r="W43" s="4"/>
      <c r="X43" s="4">
        <f t="shared" ref="X43:X44" si="38">+P43-T43</f>
        <v>-49984.78</v>
      </c>
      <c r="Y43" s="4"/>
      <c r="Z43" s="13">
        <f t="shared" ref="Z43:Z44" si="39">IF(T43=0,0,X43/T43)</f>
        <v>-0.24306594033306672</v>
      </c>
    </row>
    <row r="44" spans="1:26" s="24" customFormat="1" hidden="1" outlineLevel="1" x14ac:dyDescent="0.35">
      <c r="A44" s="44"/>
      <c r="B44" s="11" t="str">
        <f>CONCATENATE("          ", "9150", " - ", "MISC. INCOME")</f>
        <v xml:space="preserve">          9150 - MISC. INCOME</v>
      </c>
      <c r="C44" s="11"/>
      <c r="D44" s="2">
        <f>0</f>
        <v>0</v>
      </c>
      <c r="E44" s="2"/>
      <c r="F44" s="19">
        <f t="shared" si="32"/>
        <v>0</v>
      </c>
      <c r="G44" s="2"/>
      <c r="H44" s="2">
        <f>--24963.19</f>
        <v>24963.19</v>
      </c>
      <c r="I44" s="2"/>
      <c r="J44" s="19">
        <f t="shared" si="33"/>
        <v>0</v>
      </c>
      <c r="K44" s="2"/>
      <c r="L44" s="2">
        <f t="shared" si="34"/>
        <v>-24963.19</v>
      </c>
      <c r="M44" s="2"/>
      <c r="N44" s="19">
        <f t="shared" si="35"/>
        <v>-1</v>
      </c>
      <c r="O44" s="11"/>
      <c r="P44" s="2">
        <f>--155658.1</f>
        <v>155658.1</v>
      </c>
      <c r="Q44" s="2"/>
      <c r="R44" s="19">
        <f t="shared" si="36"/>
        <v>0</v>
      </c>
      <c r="S44" s="2"/>
      <c r="T44" s="2">
        <f>--205642.88</f>
        <v>205642.88</v>
      </c>
      <c r="U44" s="2"/>
      <c r="V44" s="19">
        <f t="shared" si="37"/>
        <v>0</v>
      </c>
      <c r="W44" s="2"/>
      <c r="X44" s="2">
        <f t="shared" si="38"/>
        <v>-49984.78</v>
      </c>
      <c r="Y44" s="2"/>
      <c r="Z44" s="19">
        <f t="shared" si="39"/>
        <v>-0.24306594033306672</v>
      </c>
    </row>
    <row r="45" spans="1:26" x14ac:dyDescent="0.3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5">
      <c r="A46" s="10"/>
      <c r="B46" s="28" t="s">
        <v>3</v>
      </c>
      <c r="C46" s="28"/>
      <c r="D46" s="22">
        <f>+D17-D19+D43</f>
        <v>-17788.2</v>
      </c>
      <c r="E46" s="14"/>
      <c r="F46" s="21">
        <f>IF(D$12=0,0,D46/D$12)</f>
        <v>0</v>
      </c>
      <c r="G46" s="14"/>
      <c r="H46" s="22">
        <f>+H17-H19+H43</f>
        <v>18053.689999999999</v>
      </c>
      <c r="I46" s="14"/>
      <c r="J46" s="21">
        <f>IF(H$12=0,0,H46/H$12)</f>
        <v>0</v>
      </c>
      <c r="K46" s="15"/>
      <c r="L46" s="22">
        <f>+D46-H46</f>
        <v>-35841.89</v>
      </c>
      <c r="M46" s="15"/>
      <c r="N46" s="21">
        <f>IF(H46=0,0,L46/H46)</f>
        <v>-1.9852944190356654</v>
      </c>
      <c r="O46" s="29"/>
      <c r="P46" s="22">
        <f>+P17-P19+P43</f>
        <v>-13521.51999999999</v>
      </c>
      <c r="Q46" s="14"/>
      <c r="R46" s="21">
        <f>IF(P$12=0,0,P46/P$12)</f>
        <v>0</v>
      </c>
      <c r="S46" s="14"/>
      <c r="T46" s="22">
        <f>+T17-T19+T43</f>
        <v>100028.93000000002</v>
      </c>
      <c r="U46" s="14"/>
      <c r="V46" s="21">
        <f>IF(T$12=0,0,T46/T$12)</f>
        <v>0</v>
      </c>
      <c r="W46" s="15"/>
      <c r="X46" s="22">
        <f>+P46-T46</f>
        <v>-113550.45000000001</v>
      </c>
      <c r="Y46" s="15"/>
      <c r="Z46" s="21">
        <f>IF(T46=0,0,X46/T46)</f>
        <v>-1.1351760935561341</v>
      </c>
    </row>
    <row r="47" spans="1:26" x14ac:dyDescent="0.3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35">
      <c r="A48" s="51"/>
      <c r="B48" s="10" t="s">
        <v>13</v>
      </c>
      <c r="C48" s="10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0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3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" thickBot="1" x14ac:dyDescent="0.4">
      <c r="A50" s="10"/>
      <c r="B50" s="28" t="s">
        <v>4</v>
      </c>
      <c r="C50" s="28"/>
      <c r="D50" s="34">
        <f>+D46-D48</f>
        <v>-17788.2</v>
      </c>
      <c r="E50" s="14"/>
      <c r="F50" s="32">
        <f>IF(D$12=0,0,D50/D$12)</f>
        <v>0</v>
      </c>
      <c r="G50" s="14"/>
      <c r="H50" s="34">
        <f>+H46-H48</f>
        <v>18053.689999999999</v>
      </c>
      <c r="I50" s="14"/>
      <c r="J50" s="32">
        <f>IF(H$12=0,0,H50/H$12)</f>
        <v>0</v>
      </c>
      <c r="K50" s="15"/>
      <c r="L50" s="34">
        <f>D50-H50</f>
        <v>-35841.89</v>
      </c>
      <c r="M50" s="15"/>
      <c r="N50" s="32">
        <f>IF(H50=0,0,L50/H50)</f>
        <v>-1.9852944190356654</v>
      </c>
      <c r="O50" s="29"/>
      <c r="P50" s="34">
        <f>+P46-P48</f>
        <v>-13521.51999999999</v>
      </c>
      <c r="Q50" s="14"/>
      <c r="R50" s="32">
        <f>IF(P$12=0,0,P50/P$12)</f>
        <v>0</v>
      </c>
      <c r="S50" s="14"/>
      <c r="T50" s="34">
        <f>+T46-T48</f>
        <v>100028.93000000002</v>
      </c>
      <c r="U50" s="14"/>
      <c r="V50" s="32">
        <f>IF(T$12=0,0,T50/T$12)</f>
        <v>0</v>
      </c>
      <c r="W50" s="15"/>
      <c r="X50" s="34">
        <f>P50-T50</f>
        <v>-113550.45000000001</v>
      </c>
      <c r="Y50" s="15"/>
      <c r="Z50" s="32">
        <f>IF(T50=0,0,X50/T50)</f>
        <v>-1.1351760935561341</v>
      </c>
    </row>
    <row r="51" spans="1:26" ht="15" thickTop="1" x14ac:dyDescent="0.3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3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" thickBot="1" x14ac:dyDescent="0.4">
      <c r="A53" s="10"/>
      <c r="B53" s="28" t="s">
        <v>5</v>
      </c>
      <c r="C53" s="28"/>
      <c r="D53" s="35">
        <f>SUM(D50:D52)</f>
        <v>-17788.2</v>
      </c>
      <c r="E53" s="14"/>
      <c r="F53" s="33">
        <f>IF(D$12=0,0,D53/D$12)</f>
        <v>0</v>
      </c>
      <c r="G53" s="14"/>
      <c r="H53" s="35">
        <f>SUM(H50:H52)</f>
        <v>18053.689999999999</v>
      </c>
      <c r="I53" s="14"/>
      <c r="J53" s="33">
        <f>IF(H$12=0,0,H53/H$12)</f>
        <v>0</v>
      </c>
      <c r="K53" s="15"/>
      <c r="L53" s="35">
        <f>+D53-H53</f>
        <v>-35841.89</v>
      </c>
      <c r="M53" s="15"/>
      <c r="N53" s="33">
        <f>IF(H53=0,0,L53/H53)</f>
        <v>-1.9852944190356654</v>
      </c>
      <c r="O53" s="29"/>
      <c r="P53" s="35">
        <f>SUM(P50:P52)</f>
        <v>-13521.51999999999</v>
      </c>
      <c r="Q53" s="14"/>
      <c r="R53" s="33">
        <f>IF(P$12=0,0,P53/P$12)</f>
        <v>0</v>
      </c>
      <c r="S53" s="14"/>
      <c r="T53" s="35">
        <f>SUM(T50:T52)</f>
        <v>100028.93000000002</v>
      </c>
      <c r="U53" s="14"/>
      <c r="V53" s="33">
        <f>IF(T$12=0,0,T53/T$12)</f>
        <v>0</v>
      </c>
      <c r="W53" s="15"/>
      <c r="X53" s="35">
        <f>+P53-T53</f>
        <v>-113550.45000000001</v>
      </c>
      <c r="Y53" s="15"/>
      <c r="Z53" s="33">
        <f>IF(T53=0,0,X53/T53)</f>
        <v>-1.1351760935561341</v>
      </c>
    </row>
    <row r="54" spans="1:26" ht="15" thickTop="1" x14ac:dyDescent="0.35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35">
      <c r="A55" s="9"/>
      <c r="B55" s="52">
        <v>44043.52332792824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5">
      <c r="A56" s="9"/>
      <c r="B56" s="61" t="s">
        <v>313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35">
      <c r="A57" s="9"/>
      <c r="B57" s="54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35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","424", " - ", "Blair Field")</f>
        <v>Department 424 - Blair Field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6" si="0">+D12-H12</f>
        <v>0</v>
      </c>
      <c r="M12" s="4"/>
      <c r="N12" s="13">
        <f t="shared" ref="N12:N16" si="1">IF(H12=0,0,L12/H12)</f>
        <v>0</v>
      </c>
      <c r="O12" s="10"/>
      <c r="P12" s="4">
        <f>SUM(OSRRefP13x_0)</f>
        <v>157290.23000000001</v>
      </c>
      <c r="Q12" s="4"/>
      <c r="R12" s="13"/>
      <c r="S12" s="4"/>
      <c r="T12" s="4">
        <f>SUM(OSRRefT13x_0)</f>
        <v>214328.97999999998</v>
      </c>
      <c r="U12" s="4"/>
      <c r="V12" s="13"/>
      <c r="W12" s="4"/>
      <c r="X12" s="4">
        <f t="shared" ref="X12:X16" si="2">+P12-T12</f>
        <v>-57038.749999999971</v>
      </c>
      <c r="Y12" s="4"/>
      <c r="Z12" s="13">
        <f t="shared" ref="Z12:Z16" si="3">IF(T12=0,0,X12/T12)</f>
        <v>-0.26612710049756211</v>
      </c>
    </row>
    <row r="13" spans="1:26" s="24" customFormat="1" hidden="1" outlineLevel="1" x14ac:dyDescent="0.3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19"/>
      <c r="G13" s="2"/>
      <c r="H13" s="2">
        <f t="shared" ref="H13:H16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--157788.64</f>
        <v>157788.64000000001</v>
      </c>
      <c r="Q13" s="2"/>
      <c r="R13" s="19"/>
      <c r="S13" s="2"/>
      <c r="T13" s="2">
        <f>--202614.9</f>
        <v>202614.9</v>
      </c>
      <c r="U13" s="2"/>
      <c r="V13" s="19"/>
      <c r="W13" s="2"/>
      <c r="X13" s="2">
        <f t="shared" si="2"/>
        <v>-44826.25999999998</v>
      </c>
      <c r="Y13" s="2"/>
      <c r="Z13" s="19">
        <f t="shared" si="3"/>
        <v>-0.22123871442820831</v>
      </c>
    </row>
    <row r="14" spans="1:26" s="24" customFormat="1" hidden="1" outlineLevel="1" x14ac:dyDescent="0.35">
      <c r="A14" s="44"/>
      <c r="B14" s="11" t="str">
        <f>CONCATENATE("          ", "4057", " - ", "TAXABLE SALES-FOOD")</f>
        <v xml:space="preserve">          4057 - 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--11506.08</f>
        <v>11506.08</v>
      </c>
      <c r="U14" s="2"/>
      <c r="V14" s="19"/>
      <c r="W14" s="2"/>
      <c r="X14" s="2">
        <f t="shared" si="2"/>
        <v>-11506.08</v>
      </c>
      <c r="Y14" s="2"/>
      <c r="Z14" s="19">
        <f t="shared" si="3"/>
        <v>-1</v>
      </c>
    </row>
    <row r="15" spans="1:26" s="24" customFormat="1" hidden="1" outlineLevel="1" x14ac:dyDescent="0.3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-498.41</f>
        <v>-498.41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-498.41</v>
      </c>
      <c r="Y15" s="2"/>
      <c r="Z15" s="19">
        <f t="shared" si="3"/>
        <v>0</v>
      </c>
    </row>
    <row r="16" spans="1:26" s="24" customFormat="1" hidden="1" outlineLevel="1" x14ac:dyDescent="0.35">
      <c r="A16" s="44"/>
      <c r="B16" s="11" t="str">
        <f>CONCATENATE("          ", "4157", " - ", "NON-TAXABLE SALES-FOOD")</f>
        <v xml:space="preserve">          4157 - NON-TAXABLE SALES-FOOD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--208</f>
        <v>208</v>
      </c>
      <c r="U16" s="2"/>
      <c r="V16" s="19"/>
      <c r="W16" s="2"/>
      <c r="X16" s="2">
        <f t="shared" si="2"/>
        <v>-208</v>
      </c>
      <c r="Y16" s="2"/>
      <c r="Z16" s="19">
        <f t="shared" si="3"/>
        <v>-1</v>
      </c>
    </row>
    <row r="17" spans="1:26" x14ac:dyDescent="0.3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5">
      <c r="A18" s="10"/>
      <c r="B18" s="29" t="s">
        <v>8</v>
      </c>
      <c r="C18" s="10"/>
      <c r="D18" s="4">
        <f>SUM(OSRRefD16x_0)</f>
        <v>0</v>
      </c>
      <c r="E18" s="4"/>
      <c r="F18" s="13">
        <f t="shared" ref="F18:F20" si="6">IF(D$12=0,0,D18/D$12)</f>
        <v>0</v>
      </c>
      <c r="G18" s="4"/>
      <c r="H18" s="4">
        <f>SUM(OSRRefH16x_0)</f>
        <v>15364.46</v>
      </c>
      <c r="I18" s="4"/>
      <c r="J18" s="13">
        <f t="shared" ref="J18:J20" si="7">IF(H$12=0,0,H18/H$12)</f>
        <v>0</v>
      </c>
      <c r="K18" s="4"/>
      <c r="L18" s="4">
        <f t="shared" ref="L18:L20" si="8">+D18-H18</f>
        <v>-15364.46</v>
      </c>
      <c r="M18" s="4"/>
      <c r="N18" s="13">
        <f t="shared" ref="N18:N20" si="9">IF(H18=0,0,L18/H18)</f>
        <v>-1</v>
      </c>
      <c r="O18" s="10"/>
      <c r="P18" s="4">
        <f>SUM(OSRRefP16x_0)</f>
        <v>43321.25</v>
      </c>
      <c r="Q18" s="4"/>
      <c r="R18" s="13">
        <f t="shared" ref="R18:R20" si="10">IF(P$12=0,0,P18/P$12)</f>
        <v>0.27542238319570134</v>
      </c>
      <c r="S18" s="4"/>
      <c r="T18" s="4">
        <f>SUM(OSRRefT16x_0)</f>
        <v>66297.459999999992</v>
      </c>
      <c r="U18" s="4"/>
      <c r="V18" s="13">
        <f t="shared" ref="V18:V20" si="11">IF(T$12=0,0,T18/T$12)</f>
        <v>0.3093256917473316</v>
      </c>
      <c r="W18" s="4"/>
      <c r="X18" s="4">
        <f t="shared" ref="X18:X20" si="12">+P18-T18</f>
        <v>-22976.209999999992</v>
      </c>
      <c r="Y18" s="4"/>
      <c r="Z18" s="13">
        <f t="shared" ref="Z18:Z20" si="13">IF(T18=0,0,X18/T18)</f>
        <v>-0.34656244749044679</v>
      </c>
    </row>
    <row r="19" spans="1:26" s="24" customFormat="1" hidden="1" outlineLevel="1" x14ac:dyDescent="0.3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6"/>
        <v>0</v>
      </c>
      <c r="G19" s="2"/>
      <c r="H19" s="2">
        <v>2912.46</v>
      </c>
      <c r="I19" s="2"/>
      <c r="J19" s="19">
        <f t="shared" si="7"/>
        <v>0</v>
      </c>
      <c r="K19" s="2"/>
      <c r="L19" s="2">
        <f t="shared" si="8"/>
        <v>-2912.46</v>
      </c>
      <c r="M19" s="2"/>
      <c r="N19" s="19">
        <f t="shared" si="9"/>
        <v>-1</v>
      </c>
      <c r="O19" s="11"/>
      <c r="P19" s="2">
        <v>43126.25</v>
      </c>
      <c r="Q19" s="2"/>
      <c r="R19" s="19">
        <f t="shared" si="10"/>
        <v>0.27418263677279892</v>
      </c>
      <c r="S19" s="2"/>
      <c r="T19" s="2">
        <v>56073.46</v>
      </c>
      <c r="U19" s="2"/>
      <c r="V19" s="19">
        <f t="shared" si="11"/>
        <v>0.26162332317356246</v>
      </c>
      <c r="W19" s="2"/>
      <c r="X19" s="2">
        <f t="shared" si="12"/>
        <v>-12947.21</v>
      </c>
      <c r="Y19" s="2"/>
      <c r="Z19" s="19">
        <f t="shared" si="13"/>
        <v>-0.23089729080388474</v>
      </c>
    </row>
    <row r="20" spans="1:26" s="24" customFormat="1" hidden="1" outlineLevel="1" x14ac:dyDescent="0.3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6"/>
        <v>0</v>
      </c>
      <c r="G20" s="2"/>
      <c r="H20" s="2">
        <v>12452</v>
      </c>
      <c r="I20" s="2"/>
      <c r="J20" s="19">
        <f t="shared" si="7"/>
        <v>0</v>
      </c>
      <c r="K20" s="2"/>
      <c r="L20" s="2">
        <f t="shared" si="8"/>
        <v>-12452</v>
      </c>
      <c r="M20" s="2"/>
      <c r="N20" s="19">
        <f t="shared" si="9"/>
        <v>-1</v>
      </c>
      <c r="O20" s="11"/>
      <c r="P20" s="2">
        <v>195</v>
      </c>
      <c r="Q20" s="2"/>
      <c r="R20" s="19">
        <f t="shared" si="10"/>
        <v>1.239746422902427E-3</v>
      </c>
      <c r="S20" s="2"/>
      <c r="T20" s="2">
        <v>10224</v>
      </c>
      <c r="U20" s="2"/>
      <c r="V20" s="19">
        <f t="shared" si="11"/>
        <v>4.7702368573769173E-2</v>
      </c>
      <c r="W20" s="2"/>
      <c r="X20" s="2">
        <f t="shared" si="12"/>
        <v>-10029</v>
      </c>
      <c r="Y20" s="2"/>
      <c r="Z20" s="19">
        <f t="shared" si="13"/>
        <v>-0.98092723004694837</v>
      </c>
    </row>
    <row r="21" spans="1:26" x14ac:dyDescent="0.3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5">
      <c r="A22" s="10"/>
      <c r="B22" s="28" t="s">
        <v>6</v>
      </c>
      <c r="C22" s="28"/>
      <c r="D22" s="22">
        <f>D12-D18</f>
        <v>0</v>
      </c>
      <c r="E22" s="14"/>
      <c r="F22" s="21">
        <f>IF(D$12=0,0,D22/D$12)</f>
        <v>0</v>
      </c>
      <c r="G22" s="14"/>
      <c r="H22" s="22">
        <f>H12-H18</f>
        <v>-15364.46</v>
      </c>
      <c r="I22" s="14"/>
      <c r="J22" s="21">
        <f>IF(H$12=0,0,H22/H$12)</f>
        <v>0</v>
      </c>
      <c r="K22" s="15"/>
      <c r="L22" s="22">
        <f>+D22-H22</f>
        <v>15364.46</v>
      </c>
      <c r="M22" s="15"/>
      <c r="N22" s="21">
        <f>IF(H22=0,0,L22/H22)</f>
        <v>-1</v>
      </c>
      <c r="O22" s="29"/>
      <c r="P22" s="22">
        <f>P12-P18</f>
        <v>113968.98000000001</v>
      </c>
      <c r="Q22" s="14"/>
      <c r="R22" s="21">
        <f>IF(P$12=0,0,P22/P$12)</f>
        <v>0.72457761680429866</v>
      </c>
      <c r="S22" s="14"/>
      <c r="T22" s="22">
        <f>T12-T18</f>
        <v>148031.51999999999</v>
      </c>
      <c r="U22" s="14"/>
      <c r="V22" s="21">
        <f>IF(T$12=0,0,T22/T$12)</f>
        <v>0.6906743082526684</v>
      </c>
      <c r="W22" s="15"/>
      <c r="X22" s="22">
        <f>+P22-T22</f>
        <v>-34062.539999999979</v>
      </c>
      <c r="Y22" s="15"/>
      <c r="Z22" s="21">
        <f>IF(T22=0,0,X22/T22)</f>
        <v>-0.2301032915152123</v>
      </c>
    </row>
    <row r="23" spans="1:26" x14ac:dyDescent="0.3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5">
      <c r="A24" s="10"/>
      <c r="B24" s="29" t="s">
        <v>9</v>
      </c>
      <c r="C24" s="10"/>
      <c r="D24" s="20">
        <f>SUM(OSRRefD22x_0)</f>
        <v>395.3</v>
      </c>
      <c r="E24" s="20"/>
      <c r="F24" s="36">
        <f t="shared" ref="F24:F28" si="14">IF(D$12=0,0,D24/D$12)</f>
        <v>0</v>
      </c>
      <c r="G24" s="20"/>
      <c r="H24" s="20">
        <f>SUM(OSRRefH22x_0)</f>
        <v>3508.29</v>
      </c>
      <c r="I24" s="20"/>
      <c r="J24" s="36">
        <f t="shared" ref="J24:J28" si="15">IF(H$12=0,0,H24/H$12)</f>
        <v>0</v>
      </c>
      <c r="K24" s="4"/>
      <c r="L24" s="20">
        <f t="shared" ref="L24:L28" si="16">+D24-H24</f>
        <v>-3112.99</v>
      </c>
      <c r="M24" s="4"/>
      <c r="N24" s="36">
        <f t="shared" ref="N24:N28" si="17">IF(H24=0,0,L24/H24)</f>
        <v>-0.88732402395469012</v>
      </c>
      <c r="O24" s="10"/>
      <c r="P24" s="20">
        <f>SUM(OSRRefP22x_0)</f>
        <v>90627.54</v>
      </c>
      <c r="Q24" s="20"/>
      <c r="R24" s="36">
        <f t="shared" ref="R24:R28" si="18">IF(P$12=0,0,P24/P$12)</f>
        <v>0.57618035144331592</v>
      </c>
      <c r="S24" s="20"/>
      <c r="T24" s="20">
        <f>SUM(OSRRefT22x_0)</f>
        <v>141276.17000000001</v>
      </c>
      <c r="U24" s="20"/>
      <c r="V24" s="36">
        <f t="shared" ref="V24:V28" si="19">IF(T$12=0,0,T24/T$12)</f>
        <v>0.65915570540204138</v>
      </c>
      <c r="W24" s="4"/>
      <c r="X24" s="20">
        <f t="shared" ref="X24:X28" si="20">+P24-T24</f>
        <v>-50648.630000000019</v>
      </c>
      <c r="Y24" s="4"/>
      <c r="Z24" s="36">
        <f t="shared" ref="Z24:Z28" si="21">IF(T24=0,0,X24/T24)</f>
        <v>-0.35850794935904629</v>
      </c>
    </row>
    <row r="25" spans="1:26" s="25" customFormat="1" outlineLevel="1" collapsed="1" x14ac:dyDescent="0.35">
      <c r="A25" s="26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0</v>
      </c>
      <c r="E25" s="1"/>
      <c r="F25" s="5">
        <f t="shared" si="14"/>
        <v>0</v>
      </c>
      <c r="G25" s="1"/>
      <c r="H25" s="1">
        <f>SUM(OSRRefH22_0x_0)</f>
        <v>15.92</v>
      </c>
      <c r="I25" s="1"/>
      <c r="J25" s="5">
        <f t="shared" si="15"/>
        <v>0</v>
      </c>
      <c r="K25" s="1"/>
      <c r="L25" s="1">
        <f t="shared" si="16"/>
        <v>-15.92</v>
      </c>
      <c r="M25" s="1"/>
      <c r="N25" s="5">
        <f t="shared" si="17"/>
        <v>-1</v>
      </c>
      <c r="O25" s="12"/>
      <c r="P25" s="1">
        <f>SUM(OSRRefP22_0x_0)</f>
        <v>1171.8399999999999</v>
      </c>
      <c r="Q25" s="1"/>
      <c r="R25" s="5">
        <f t="shared" si="18"/>
        <v>7.4501766575075885E-3</v>
      </c>
      <c r="S25" s="1"/>
      <c r="T25" s="1">
        <f>SUM(OSRRefT22_0x_0)</f>
        <v>973.26</v>
      </c>
      <c r="U25" s="1"/>
      <c r="V25" s="5">
        <f t="shared" si="19"/>
        <v>4.5409631492670756E-3</v>
      </c>
      <c r="W25" s="1"/>
      <c r="X25" s="1">
        <f t="shared" si="20"/>
        <v>198.57999999999993</v>
      </c>
      <c r="Y25" s="1"/>
      <c r="Z25" s="5">
        <f t="shared" si="21"/>
        <v>0.20403592051455924</v>
      </c>
    </row>
    <row r="26" spans="1:26" s="24" customFormat="1" hidden="1" outlineLevel="2" x14ac:dyDescent="0.35">
      <c r="A26" s="27"/>
      <c r="B26" s="11" t="str">
        <f>CONCATENATE("          ", "6111", " - ", "F.I.C.A.")</f>
        <v xml:space="preserve">          6111 - F.I.C.A.</v>
      </c>
      <c r="C26" s="11"/>
      <c r="D26" s="7"/>
      <c r="E26" s="2"/>
      <c r="F26" s="6">
        <f t="shared" si="14"/>
        <v>0</v>
      </c>
      <c r="G26" s="2"/>
      <c r="H26" s="7">
        <v>15.92</v>
      </c>
      <c r="I26" s="2"/>
      <c r="J26" s="6">
        <f t="shared" si="15"/>
        <v>0</v>
      </c>
      <c r="K26" s="2"/>
      <c r="L26" s="7">
        <f t="shared" si="16"/>
        <v>-15.92</v>
      </c>
      <c r="M26" s="2"/>
      <c r="N26" s="6">
        <f t="shared" si="17"/>
        <v>-1</v>
      </c>
      <c r="O26" s="11"/>
      <c r="P26" s="7">
        <v>1182.24</v>
      </c>
      <c r="Q26" s="2"/>
      <c r="R26" s="6">
        <f t="shared" si="18"/>
        <v>7.5162964667290517E-3</v>
      </c>
      <c r="S26" s="2"/>
      <c r="T26" s="7">
        <v>1019.41</v>
      </c>
      <c r="U26" s="2"/>
      <c r="V26" s="6">
        <f t="shared" si="19"/>
        <v>4.7562863407458944E-3</v>
      </c>
      <c r="W26" s="2"/>
      <c r="X26" s="7">
        <f t="shared" si="20"/>
        <v>162.83000000000004</v>
      </c>
      <c r="Y26" s="2"/>
      <c r="Z26" s="6">
        <f t="shared" si="21"/>
        <v>0.15972964754122487</v>
      </c>
    </row>
    <row r="27" spans="1:26" s="24" customFormat="1" hidden="1" outlineLevel="2" x14ac:dyDescent="0.35">
      <c r="A27" s="27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4"/>
        <v>0</v>
      </c>
      <c r="G27" s="2"/>
      <c r="H27" s="7"/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-10.4</v>
      </c>
      <c r="Q27" s="2"/>
      <c r="R27" s="6">
        <f t="shared" si="18"/>
        <v>-6.6119809221462769E-5</v>
      </c>
      <c r="S27" s="2"/>
      <c r="T27" s="7">
        <v>-51.59</v>
      </c>
      <c r="U27" s="2"/>
      <c r="V27" s="6">
        <f t="shared" si="19"/>
        <v>-2.4070473344295302E-4</v>
      </c>
      <c r="W27" s="2"/>
      <c r="X27" s="7">
        <f t="shared" si="20"/>
        <v>41.190000000000005</v>
      </c>
      <c r="Y27" s="2"/>
      <c r="Z27" s="6">
        <f t="shared" si="21"/>
        <v>-0.79841054467920147</v>
      </c>
    </row>
    <row r="28" spans="1:26" s="24" customFormat="1" hidden="1" outlineLevel="2" x14ac:dyDescent="0.3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4"/>
        <v>0</v>
      </c>
      <c r="G28" s="2"/>
      <c r="H28" s="7"/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5.44</v>
      </c>
      <c r="U28" s="2"/>
      <c r="V28" s="6">
        <f t="shared" si="19"/>
        <v>2.5381541964133832E-5</v>
      </c>
      <c r="W28" s="2"/>
      <c r="X28" s="7">
        <f t="shared" si="20"/>
        <v>-5.44</v>
      </c>
      <c r="Y28" s="2"/>
      <c r="Z28" s="6">
        <f t="shared" si="21"/>
        <v>-1</v>
      </c>
    </row>
    <row r="29" spans="1:26" s="25" customFormat="1" outlineLevel="1" collapsed="1" x14ac:dyDescent="0.3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0</v>
      </c>
      <c r="E29" s="1"/>
      <c r="F29" s="5">
        <f t="shared" ref="F29:F34" si="22">IF(D$12=0,0,D29/D$12)</f>
        <v>0</v>
      </c>
      <c r="G29" s="1"/>
      <c r="H29" s="1">
        <f>SUM(OSRRefH22_1x_0)</f>
        <v>208</v>
      </c>
      <c r="I29" s="1"/>
      <c r="J29" s="5">
        <f t="shared" ref="J29:J34" si="23">IF(H$12=0,0,H29/H$12)</f>
        <v>0</v>
      </c>
      <c r="K29" s="1"/>
      <c r="L29" s="1">
        <f t="shared" ref="L29:L34" si="24">+D29-H29</f>
        <v>-208</v>
      </c>
      <c r="M29" s="1"/>
      <c r="N29" s="5">
        <f t="shared" ref="N29:N34" si="25">IF(H29=0,0,L29/H29)</f>
        <v>-1</v>
      </c>
      <c r="O29" s="12"/>
      <c r="P29" s="1">
        <f>SUM(OSRRefP22_1x_0)</f>
        <v>29540.829999999998</v>
      </c>
      <c r="Q29" s="1"/>
      <c r="R29" s="5">
        <f t="shared" ref="R29:R34" si="26">IF(P$12=0,0,P29/P$12)</f>
        <v>0.18781096575419845</v>
      </c>
      <c r="S29" s="1"/>
      <c r="T29" s="1">
        <f>SUM(OSRRefT22_1x_0)</f>
        <v>33664.01</v>
      </c>
      <c r="U29" s="1"/>
      <c r="V29" s="5">
        <f t="shared" ref="V29:V34" si="27">IF(T$12=0,0,T29/T$12)</f>
        <v>0.15706700045882738</v>
      </c>
      <c r="W29" s="1"/>
      <c r="X29" s="1">
        <f t="shared" ref="X29:X34" si="28">+P29-T29</f>
        <v>-4123.1800000000039</v>
      </c>
      <c r="Y29" s="1"/>
      <c r="Z29" s="5">
        <f t="shared" ref="Z29:Z34" si="29">IF(T29=0,0,X29/T29)</f>
        <v>-0.1224803581035059</v>
      </c>
    </row>
    <row r="30" spans="1:26" s="24" customFormat="1" hidden="1" outlineLevel="2" x14ac:dyDescent="0.35">
      <c r="A30" s="27"/>
      <c r="B30" s="11" t="str">
        <f>CONCATENATE("          ", "6004", " - ", "STAFF HOURLY")</f>
        <v xml:space="preserve">          6004 - STAFF HOURLY</v>
      </c>
      <c r="C30" s="11"/>
      <c r="D30" s="7"/>
      <c r="E30" s="2"/>
      <c r="F30" s="6">
        <f t="shared" si="22"/>
        <v>0</v>
      </c>
      <c r="G30" s="2"/>
      <c r="H30" s="7"/>
      <c r="I30" s="2"/>
      <c r="J30" s="6">
        <f t="shared" si="23"/>
        <v>0</v>
      </c>
      <c r="K30" s="2"/>
      <c r="L30" s="7">
        <f t="shared" si="24"/>
        <v>0</v>
      </c>
      <c r="M30" s="2"/>
      <c r="N30" s="6">
        <f t="shared" si="25"/>
        <v>0</v>
      </c>
      <c r="O30" s="11"/>
      <c r="P30" s="7">
        <v>3193.41</v>
      </c>
      <c r="Q30" s="2"/>
      <c r="R30" s="6">
        <f t="shared" si="26"/>
        <v>2.0302659612106866E-2</v>
      </c>
      <c r="S30" s="2"/>
      <c r="T30" s="7"/>
      <c r="U30" s="2"/>
      <c r="V30" s="6">
        <f t="shared" si="27"/>
        <v>0</v>
      </c>
      <c r="W30" s="2"/>
      <c r="X30" s="7">
        <f t="shared" si="28"/>
        <v>3193.41</v>
      </c>
      <c r="Y30" s="2"/>
      <c r="Z30" s="6">
        <f t="shared" si="29"/>
        <v>0</v>
      </c>
    </row>
    <row r="31" spans="1:26" s="24" customFormat="1" hidden="1" outlineLevel="2" x14ac:dyDescent="0.35">
      <c r="A31" s="27"/>
      <c r="B31" s="11" t="str">
        <f>CONCATENATE("          ", "6005", " - ", "TEMPORARY WAGES-HOURLY")</f>
        <v xml:space="preserve">          6005 - TEMPORARY WAGES-HOURLY</v>
      </c>
      <c r="C31" s="11"/>
      <c r="D31" s="7"/>
      <c r="E31" s="2"/>
      <c r="F31" s="6">
        <f t="shared" si="22"/>
        <v>0</v>
      </c>
      <c r="G31" s="2"/>
      <c r="H31" s="7"/>
      <c r="I31" s="2"/>
      <c r="J31" s="6">
        <f t="shared" si="23"/>
        <v>0</v>
      </c>
      <c r="K31" s="2"/>
      <c r="L31" s="7">
        <f t="shared" si="24"/>
        <v>0</v>
      </c>
      <c r="M31" s="2"/>
      <c r="N31" s="6">
        <f t="shared" si="25"/>
        <v>0</v>
      </c>
      <c r="O31" s="11"/>
      <c r="P31" s="7">
        <v>9782.57</v>
      </c>
      <c r="Q31" s="2"/>
      <c r="R31" s="6">
        <f t="shared" si="26"/>
        <v>6.2194390586115866E-2</v>
      </c>
      <c r="S31" s="2"/>
      <c r="T31" s="7">
        <v>11485.98</v>
      </c>
      <c r="U31" s="2"/>
      <c r="V31" s="6">
        <f t="shared" si="27"/>
        <v>5.3590419736985639E-2</v>
      </c>
      <c r="W31" s="2"/>
      <c r="X31" s="7">
        <f t="shared" si="28"/>
        <v>-1703.4099999999999</v>
      </c>
      <c r="Y31" s="2"/>
      <c r="Z31" s="6">
        <f t="shared" si="29"/>
        <v>-0.14830340989623872</v>
      </c>
    </row>
    <row r="32" spans="1:26" s="24" customFormat="1" hidden="1" outlineLevel="2" x14ac:dyDescent="0.35">
      <c r="A32" s="27"/>
      <c r="B32" s="11" t="str">
        <f>CONCATENATE("          ", "6006", " - ", "TEMPORARY PART TIME")</f>
        <v xml:space="preserve">          6006 - TEMPORARY PART TIME</v>
      </c>
      <c r="C32" s="11"/>
      <c r="D32" s="7"/>
      <c r="E32" s="2"/>
      <c r="F32" s="6">
        <f t="shared" si="22"/>
        <v>0</v>
      </c>
      <c r="G32" s="2"/>
      <c r="H32" s="7">
        <v>208</v>
      </c>
      <c r="I32" s="2"/>
      <c r="J32" s="6">
        <f t="shared" si="23"/>
        <v>0</v>
      </c>
      <c r="K32" s="2"/>
      <c r="L32" s="7">
        <f t="shared" si="24"/>
        <v>-208</v>
      </c>
      <c r="M32" s="2"/>
      <c r="N32" s="6">
        <f t="shared" si="25"/>
        <v>-1</v>
      </c>
      <c r="O32" s="11"/>
      <c r="P32" s="7">
        <v>247.5</v>
      </c>
      <c r="Q32" s="2"/>
      <c r="R32" s="6">
        <f t="shared" si="26"/>
        <v>1.5735243059915418E-3</v>
      </c>
      <c r="S32" s="2"/>
      <c r="T32" s="7">
        <v>208</v>
      </c>
      <c r="U32" s="2"/>
      <c r="V32" s="6">
        <f t="shared" si="27"/>
        <v>9.7047072215805826E-4</v>
      </c>
      <c r="W32" s="2"/>
      <c r="X32" s="7">
        <f t="shared" si="28"/>
        <v>39.5</v>
      </c>
      <c r="Y32" s="2"/>
      <c r="Z32" s="6">
        <f t="shared" si="29"/>
        <v>0.18990384615384615</v>
      </c>
    </row>
    <row r="33" spans="1:26" s="24" customFormat="1" hidden="1" outlineLevel="2" x14ac:dyDescent="0.35">
      <c r="A33" s="27"/>
      <c r="B33" s="11" t="str">
        <f>CONCATENATE("          ", "6007", " - ", "STUDENT HOURLY")</f>
        <v xml:space="preserve">          6007 - STUDENT HOURLY</v>
      </c>
      <c r="C33" s="11"/>
      <c r="D33" s="7"/>
      <c r="E33" s="2"/>
      <c r="F33" s="6">
        <f t="shared" si="22"/>
        <v>0</v>
      </c>
      <c r="G33" s="2"/>
      <c r="H33" s="7"/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>
        <v>13228</v>
      </c>
      <c r="Q33" s="2"/>
      <c r="R33" s="6">
        <f t="shared" si="26"/>
        <v>8.4099311190529755E-2</v>
      </c>
      <c r="S33" s="2"/>
      <c r="T33" s="7">
        <v>20932.030000000002</v>
      </c>
      <c r="U33" s="2"/>
      <c r="V33" s="6">
        <f t="shared" si="27"/>
        <v>9.766308783814491E-2</v>
      </c>
      <c r="W33" s="2"/>
      <c r="X33" s="7">
        <f t="shared" si="28"/>
        <v>-7704.0300000000025</v>
      </c>
      <c r="Y33" s="2"/>
      <c r="Z33" s="6">
        <f t="shared" si="29"/>
        <v>-0.36804982603216224</v>
      </c>
    </row>
    <row r="34" spans="1:26" s="24" customFormat="1" hidden="1" outlineLevel="2" x14ac:dyDescent="0.35">
      <c r="A34" s="27"/>
      <c r="B34" s="11" t="str">
        <f>CONCATENATE("          ", "6008", " - ", "STUDENT HOURLY-FICA EXEMPT")</f>
        <v xml:space="preserve">          6008 - STUDENT HOURLY-FICA EXEMPT</v>
      </c>
      <c r="C34" s="11"/>
      <c r="D34" s="7"/>
      <c r="E34" s="2"/>
      <c r="F34" s="6">
        <f t="shared" si="22"/>
        <v>0</v>
      </c>
      <c r="G34" s="2"/>
      <c r="H34" s="7"/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3089.35</v>
      </c>
      <c r="Q34" s="2"/>
      <c r="R34" s="6">
        <f t="shared" si="26"/>
        <v>1.9641080059454422E-2</v>
      </c>
      <c r="S34" s="2"/>
      <c r="T34" s="7">
        <v>1038</v>
      </c>
      <c r="U34" s="2"/>
      <c r="V34" s="6">
        <f t="shared" si="27"/>
        <v>4.8430221615387717E-3</v>
      </c>
      <c r="W34" s="2"/>
      <c r="X34" s="7">
        <f t="shared" si="28"/>
        <v>2051.35</v>
      </c>
      <c r="Y34" s="2"/>
      <c r="Z34" s="6">
        <f t="shared" si="29"/>
        <v>1.9762524084778419</v>
      </c>
    </row>
    <row r="35" spans="1:26" s="25" customFormat="1" outlineLevel="1" collapsed="1" x14ac:dyDescent="0.35">
      <c r="A35" s="26"/>
      <c r="B35" s="12" t="str">
        <f>CONCATENATE("     ","Advertising/Promo                                 ")</f>
        <v xml:space="preserve">     Advertising/Promo                                 </v>
      </c>
      <c r="C35" s="12"/>
      <c r="D35" s="1">
        <f>SUM(OSRRefD22_2x_0)</f>
        <v>0</v>
      </c>
      <c r="E35" s="1"/>
      <c r="F35" s="5">
        <f t="shared" ref="F35:F51" si="30">IF(D$12=0,0,D35/D$12)</f>
        <v>0</v>
      </c>
      <c r="G35" s="1"/>
      <c r="H35" s="1">
        <f>SUM(OSRRefH22_2x_0)</f>
        <v>0</v>
      </c>
      <c r="I35" s="1"/>
      <c r="J35" s="5">
        <f t="shared" ref="J35:J51" si="31">IF(H$12=0,0,H35/H$12)</f>
        <v>0</v>
      </c>
      <c r="K35" s="1"/>
      <c r="L35" s="1">
        <f t="shared" ref="L35:L51" si="32">+D35-H35</f>
        <v>0</v>
      </c>
      <c r="M35" s="1"/>
      <c r="N35" s="5">
        <f t="shared" ref="N35:N51" si="33">IF(H35=0,0,L35/H35)</f>
        <v>0</v>
      </c>
      <c r="O35" s="12"/>
      <c r="P35" s="1">
        <f>SUM(OSRRefP22_2x_0)</f>
        <v>3023.77</v>
      </c>
      <c r="Q35" s="1"/>
      <c r="R35" s="5">
        <f t="shared" ref="R35:R51" si="34">IF(P$12=0,0,P35/P$12)</f>
        <v>1.9224143800921391E-2</v>
      </c>
      <c r="S35" s="1"/>
      <c r="T35" s="1">
        <f>SUM(OSRRefT22_2x_0)</f>
        <v>2561.98</v>
      </c>
      <c r="U35" s="1"/>
      <c r="V35" s="5">
        <f t="shared" ref="V35:V51" si="35">IF(T$12=0,0,T35/T$12)</f>
        <v>1.1953493176704336E-2</v>
      </c>
      <c r="W35" s="1"/>
      <c r="X35" s="1">
        <f t="shared" ref="X35:X51" si="36">+P35-T35</f>
        <v>461.78999999999996</v>
      </c>
      <c r="Y35" s="1"/>
      <c r="Z35" s="5">
        <f t="shared" ref="Z35:Z51" si="37">IF(T35=0,0,X35/T35)</f>
        <v>0.18024730872216019</v>
      </c>
    </row>
    <row r="36" spans="1:26" s="24" customFormat="1" hidden="1" outlineLevel="2" x14ac:dyDescent="0.35">
      <c r="A36" s="27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30"/>
        <v>0</v>
      </c>
      <c r="G36" s="2"/>
      <c r="H36" s="7"/>
      <c r="I36" s="2"/>
      <c r="J36" s="6">
        <f t="shared" si="31"/>
        <v>0</v>
      </c>
      <c r="K36" s="2"/>
      <c r="L36" s="7">
        <f t="shared" si="32"/>
        <v>0</v>
      </c>
      <c r="M36" s="2"/>
      <c r="N36" s="6">
        <f t="shared" si="33"/>
        <v>0</v>
      </c>
      <c r="O36" s="11"/>
      <c r="P36" s="7">
        <v>3023.77</v>
      </c>
      <c r="Q36" s="2"/>
      <c r="R36" s="6">
        <f t="shared" si="34"/>
        <v>1.9224143800921391E-2</v>
      </c>
      <c r="S36" s="2"/>
      <c r="T36" s="7">
        <v>2561.98</v>
      </c>
      <c r="U36" s="2"/>
      <c r="V36" s="6">
        <f t="shared" si="35"/>
        <v>1.1953493176704336E-2</v>
      </c>
      <c r="W36" s="2"/>
      <c r="X36" s="7">
        <f t="shared" si="36"/>
        <v>461.78999999999996</v>
      </c>
      <c r="Y36" s="2"/>
      <c r="Z36" s="6">
        <f t="shared" si="37"/>
        <v>0.18024730872216019</v>
      </c>
    </row>
    <row r="37" spans="1:26" s="25" customFormat="1" outlineLevel="1" collapsed="1" x14ac:dyDescent="0.35">
      <c r="A37" s="26"/>
      <c r="B37" s="12" t="str">
        <f>CONCATENATE("     ","Bad Debts/Over/Short                              ")</f>
        <v xml:space="preserve">     Bad Debts/Over/Short                              </v>
      </c>
      <c r="C37" s="12"/>
      <c r="D37" s="1">
        <f>SUM(OSRRefD22_3x_0)</f>
        <v>0</v>
      </c>
      <c r="E37" s="1"/>
      <c r="F37" s="5">
        <f t="shared" si="30"/>
        <v>0</v>
      </c>
      <c r="G37" s="1"/>
      <c r="H37" s="1">
        <f>SUM(OSRRefH22_3x_0)</f>
        <v>0</v>
      </c>
      <c r="I37" s="1"/>
      <c r="J37" s="5">
        <f t="shared" si="31"/>
        <v>0</v>
      </c>
      <c r="K37" s="1"/>
      <c r="L37" s="1">
        <f t="shared" si="32"/>
        <v>0</v>
      </c>
      <c r="M37" s="1"/>
      <c r="N37" s="5">
        <f t="shared" si="33"/>
        <v>0</v>
      </c>
      <c r="O37" s="12"/>
      <c r="P37" s="1">
        <f>SUM(OSRRefP22_3x_0)</f>
        <v>19.399999999999999</v>
      </c>
      <c r="Q37" s="1"/>
      <c r="R37" s="5">
        <f t="shared" si="34"/>
        <v>1.2333887489388246E-4</v>
      </c>
      <c r="S37" s="1"/>
      <c r="T37" s="1">
        <f>SUM(OSRRefT22_3x_0)</f>
        <v>-47.59</v>
      </c>
      <c r="U37" s="1"/>
      <c r="V37" s="5">
        <f t="shared" si="35"/>
        <v>-2.2204183493991343E-4</v>
      </c>
      <c r="W37" s="1"/>
      <c r="X37" s="1">
        <f t="shared" si="36"/>
        <v>66.990000000000009</v>
      </c>
      <c r="Y37" s="1"/>
      <c r="Z37" s="5">
        <f t="shared" si="37"/>
        <v>-1.4076486656860685</v>
      </c>
    </row>
    <row r="38" spans="1:26" s="24" customFormat="1" hidden="1" outlineLevel="2" x14ac:dyDescent="0.35">
      <c r="A38" s="27"/>
      <c r="B38" s="11" t="str">
        <f>CONCATENATE("          ", "6272", " - ", "CASH (OVER/SHORT)")</f>
        <v xml:space="preserve">          6272 - CASH (OVER/SHORT)</v>
      </c>
      <c r="C38" s="11"/>
      <c r="D38" s="7"/>
      <c r="E38" s="2"/>
      <c r="F38" s="6">
        <f t="shared" si="30"/>
        <v>0</v>
      </c>
      <c r="G38" s="2"/>
      <c r="H38" s="7"/>
      <c r="I38" s="2"/>
      <c r="J38" s="6">
        <f t="shared" si="31"/>
        <v>0</v>
      </c>
      <c r="K38" s="2"/>
      <c r="L38" s="7">
        <f t="shared" si="32"/>
        <v>0</v>
      </c>
      <c r="M38" s="2"/>
      <c r="N38" s="6">
        <f t="shared" si="33"/>
        <v>0</v>
      </c>
      <c r="O38" s="11"/>
      <c r="P38" s="7">
        <v>19.399999999999999</v>
      </c>
      <c r="Q38" s="2"/>
      <c r="R38" s="6">
        <f t="shared" si="34"/>
        <v>1.2333887489388246E-4</v>
      </c>
      <c r="S38" s="2"/>
      <c r="T38" s="7">
        <v>-47.59</v>
      </c>
      <c r="U38" s="2"/>
      <c r="V38" s="6">
        <f t="shared" si="35"/>
        <v>-2.2204183493991343E-4</v>
      </c>
      <c r="W38" s="2"/>
      <c r="X38" s="7">
        <f t="shared" si="36"/>
        <v>66.990000000000009</v>
      </c>
      <c r="Y38" s="2"/>
      <c r="Z38" s="6">
        <f t="shared" si="37"/>
        <v>-1.4076486656860685</v>
      </c>
    </row>
    <row r="39" spans="1:26" s="25" customFormat="1" outlineLevel="1" collapsed="1" x14ac:dyDescent="0.35">
      <c r="A39" s="26"/>
      <c r="B39" s="12" t="str">
        <f>CONCATENATE("     ","Bank/card Fees                                    ")</f>
        <v xml:space="preserve">     Bank/card Fees                                    </v>
      </c>
      <c r="C39" s="12"/>
      <c r="D39" s="1">
        <f>SUM(OSRRefD22_4x_0)</f>
        <v>0</v>
      </c>
      <c r="E39" s="1"/>
      <c r="F39" s="5">
        <f t="shared" si="30"/>
        <v>0</v>
      </c>
      <c r="G39" s="1"/>
      <c r="H39" s="1">
        <f>SUM(OSRRefH22_4x_0)</f>
        <v>0</v>
      </c>
      <c r="I39" s="1"/>
      <c r="J39" s="5">
        <f t="shared" si="31"/>
        <v>0</v>
      </c>
      <c r="K39" s="1"/>
      <c r="L39" s="1">
        <f t="shared" si="32"/>
        <v>0</v>
      </c>
      <c r="M39" s="1"/>
      <c r="N39" s="5">
        <f t="shared" si="33"/>
        <v>0</v>
      </c>
      <c r="O39" s="12"/>
      <c r="P39" s="1">
        <f>SUM(OSRRefP22_4x_0)</f>
        <v>4064.54</v>
      </c>
      <c r="Q39" s="1"/>
      <c r="R39" s="5">
        <f t="shared" si="34"/>
        <v>2.5841020132019641E-2</v>
      </c>
      <c r="S39" s="1"/>
      <c r="T39" s="1">
        <f>SUM(OSRRefT22_4x_0)</f>
        <v>5464.26</v>
      </c>
      <c r="U39" s="1"/>
      <c r="V39" s="5">
        <f t="shared" si="35"/>
        <v>2.5494732443554765E-2</v>
      </c>
      <c r="W39" s="1"/>
      <c r="X39" s="1">
        <f t="shared" si="36"/>
        <v>-1399.7200000000003</v>
      </c>
      <c r="Y39" s="1"/>
      <c r="Z39" s="5">
        <f t="shared" si="37"/>
        <v>-0.25615911395138596</v>
      </c>
    </row>
    <row r="40" spans="1:26" s="24" customFormat="1" hidden="1" outlineLevel="2" x14ac:dyDescent="0.35">
      <c r="A40" s="27"/>
      <c r="B40" s="11" t="str">
        <f>CONCATENATE("          ", "6381", " - ", "BANK/CREDIT CARD FEES")</f>
        <v xml:space="preserve">          6381 - BANK/CREDIT CARD FEES</v>
      </c>
      <c r="C40" s="11"/>
      <c r="D40" s="7"/>
      <c r="E40" s="2"/>
      <c r="F40" s="6">
        <f t="shared" si="30"/>
        <v>0</v>
      </c>
      <c r="G40" s="2"/>
      <c r="H40" s="7"/>
      <c r="I40" s="2"/>
      <c r="J40" s="6">
        <f t="shared" si="31"/>
        <v>0</v>
      </c>
      <c r="K40" s="2"/>
      <c r="L40" s="7">
        <f t="shared" si="32"/>
        <v>0</v>
      </c>
      <c r="M40" s="2"/>
      <c r="N40" s="6">
        <f t="shared" si="33"/>
        <v>0</v>
      </c>
      <c r="O40" s="11"/>
      <c r="P40" s="7">
        <v>4064.54</v>
      </c>
      <c r="Q40" s="2"/>
      <c r="R40" s="6">
        <f t="shared" si="34"/>
        <v>2.5841020132019641E-2</v>
      </c>
      <c r="S40" s="2"/>
      <c r="T40" s="7">
        <v>5464.26</v>
      </c>
      <c r="U40" s="2"/>
      <c r="V40" s="6">
        <f t="shared" si="35"/>
        <v>2.5494732443554765E-2</v>
      </c>
      <c r="W40" s="2"/>
      <c r="X40" s="7">
        <f t="shared" si="36"/>
        <v>-1399.7200000000003</v>
      </c>
      <c r="Y40" s="2"/>
      <c r="Z40" s="6">
        <f t="shared" si="37"/>
        <v>-0.25615911395138596</v>
      </c>
    </row>
    <row r="41" spans="1:26" s="25" customFormat="1" outlineLevel="1" collapsed="1" x14ac:dyDescent="0.35">
      <c r="A41" s="26"/>
      <c r="B41" s="12" t="str">
        <f>CONCATENATE("     ","Depreciation                                      ")</f>
        <v xml:space="preserve">     Depreciation                                      </v>
      </c>
      <c r="C41" s="12"/>
      <c r="D41" s="1">
        <f>SUM(OSRRefD22_5x_0)</f>
        <v>479.29</v>
      </c>
      <c r="E41" s="1"/>
      <c r="F41" s="5">
        <f t="shared" si="30"/>
        <v>0</v>
      </c>
      <c r="G41" s="1"/>
      <c r="H41" s="1">
        <f>SUM(OSRRefH22_5x_0)</f>
        <v>0</v>
      </c>
      <c r="I41" s="1"/>
      <c r="J41" s="5">
        <f t="shared" si="31"/>
        <v>0</v>
      </c>
      <c r="K41" s="1"/>
      <c r="L41" s="1">
        <f t="shared" si="32"/>
        <v>479.29</v>
      </c>
      <c r="M41" s="1"/>
      <c r="N41" s="5">
        <f t="shared" si="33"/>
        <v>0</v>
      </c>
      <c r="O41" s="12"/>
      <c r="P41" s="1">
        <f>SUM(OSRRefP22_5x_0)</f>
        <v>1917.16</v>
      </c>
      <c r="Q41" s="1"/>
      <c r="R41" s="5">
        <f t="shared" si="34"/>
        <v>1.2188678216059573E-2</v>
      </c>
      <c r="S41" s="1"/>
      <c r="T41" s="1">
        <f>SUM(OSRRefT22_5x_0)</f>
        <v>0</v>
      </c>
      <c r="U41" s="1"/>
      <c r="V41" s="5">
        <f t="shared" si="35"/>
        <v>0</v>
      </c>
      <c r="W41" s="1"/>
      <c r="X41" s="1">
        <f t="shared" si="36"/>
        <v>1917.16</v>
      </c>
      <c r="Y41" s="1"/>
      <c r="Z41" s="5">
        <f t="shared" si="37"/>
        <v>0</v>
      </c>
    </row>
    <row r="42" spans="1:26" s="24" customFormat="1" hidden="1" outlineLevel="2" x14ac:dyDescent="0.35">
      <c r="A42" s="27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479.29</v>
      </c>
      <c r="E42" s="2"/>
      <c r="F42" s="6">
        <f t="shared" si="30"/>
        <v>0</v>
      </c>
      <c r="G42" s="2"/>
      <c r="H42" s="7"/>
      <c r="I42" s="2"/>
      <c r="J42" s="6">
        <f t="shared" si="31"/>
        <v>0</v>
      </c>
      <c r="K42" s="2"/>
      <c r="L42" s="7">
        <f t="shared" si="32"/>
        <v>479.29</v>
      </c>
      <c r="M42" s="2"/>
      <c r="N42" s="6">
        <f t="shared" si="33"/>
        <v>0</v>
      </c>
      <c r="O42" s="11"/>
      <c r="P42" s="7">
        <v>1917.16</v>
      </c>
      <c r="Q42" s="2"/>
      <c r="R42" s="6">
        <f t="shared" si="34"/>
        <v>1.2188678216059573E-2</v>
      </c>
      <c r="S42" s="2"/>
      <c r="T42" s="7"/>
      <c r="U42" s="2"/>
      <c r="V42" s="6">
        <f t="shared" si="35"/>
        <v>0</v>
      </c>
      <c r="W42" s="2"/>
      <c r="X42" s="7">
        <f t="shared" si="36"/>
        <v>1917.16</v>
      </c>
      <c r="Y42" s="2"/>
      <c r="Z42" s="6">
        <f t="shared" si="37"/>
        <v>0</v>
      </c>
    </row>
    <row r="43" spans="1:26" s="25" customFormat="1" outlineLevel="1" collapsed="1" x14ac:dyDescent="0.35">
      <c r="A43" s="26"/>
      <c r="B43" s="12" t="str">
        <f>CONCATENATE("     ","Employees' Appreciation                           ")</f>
        <v xml:space="preserve">     Employees' Appreciation                           </v>
      </c>
      <c r="C43" s="12"/>
      <c r="D43" s="1">
        <f>SUM(OSRRefD22_6x_0)</f>
        <v>0</v>
      </c>
      <c r="E43" s="1"/>
      <c r="F43" s="5">
        <f t="shared" si="30"/>
        <v>0</v>
      </c>
      <c r="G43" s="1"/>
      <c r="H43" s="1">
        <f>SUM(OSRRefH22_6x_0)</f>
        <v>0</v>
      </c>
      <c r="I43" s="1"/>
      <c r="J43" s="5">
        <f t="shared" si="31"/>
        <v>0</v>
      </c>
      <c r="K43" s="1"/>
      <c r="L43" s="1">
        <f t="shared" si="32"/>
        <v>0</v>
      </c>
      <c r="M43" s="1"/>
      <c r="N43" s="5">
        <f t="shared" si="33"/>
        <v>0</v>
      </c>
      <c r="O43" s="12"/>
      <c r="P43" s="1">
        <f>SUM(OSRRefP22_6x_0)</f>
        <v>307.2</v>
      </c>
      <c r="Q43" s="1"/>
      <c r="R43" s="5">
        <f t="shared" si="34"/>
        <v>1.9530774416185923E-3</v>
      </c>
      <c r="S43" s="1"/>
      <c r="T43" s="1">
        <f>SUM(OSRRefT22_6x_0)</f>
        <v>182.42</v>
      </c>
      <c r="U43" s="1"/>
      <c r="V43" s="5">
        <f t="shared" si="35"/>
        <v>8.5112148623112008E-4</v>
      </c>
      <c r="W43" s="1"/>
      <c r="X43" s="1">
        <f t="shared" si="36"/>
        <v>124.78</v>
      </c>
      <c r="Y43" s="1"/>
      <c r="Z43" s="5">
        <f t="shared" si="37"/>
        <v>0.68402587435588214</v>
      </c>
    </row>
    <row r="44" spans="1:26" s="24" customFormat="1" hidden="1" outlineLevel="2" x14ac:dyDescent="0.35">
      <c r="A44" s="27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30"/>
        <v>0</v>
      </c>
      <c r="G44" s="2"/>
      <c r="H44" s="7"/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>
        <v>307.2</v>
      </c>
      <c r="Q44" s="2"/>
      <c r="R44" s="6">
        <f t="shared" si="34"/>
        <v>1.9530774416185923E-3</v>
      </c>
      <c r="S44" s="2"/>
      <c r="T44" s="7">
        <v>182.42</v>
      </c>
      <c r="U44" s="2"/>
      <c r="V44" s="6">
        <f t="shared" si="35"/>
        <v>8.5112148623112008E-4</v>
      </c>
      <c r="W44" s="2"/>
      <c r="X44" s="7">
        <f t="shared" si="36"/>
        <v>124.78</v>
      </c>
      <c r="Y44" s="2"/>
      <c r="Z44" s="6">
        <f t="shared" si="37"/>
        <v>0.68402587435588214</v>
      </c>
    </row>
    <row r="45" spans="1:26" s="25" customFormat="1" outlineLevel="1" collapsed="1" x14ac:dyDescent="0.35">
      <c r="A45" s="26"/>
      <c r="B45" s="12" t="str">
        <f>CONCATENATE("     ","Equipment Rental                                  ")</f>
        <v xml:space="preserve">     Equipment Rental                                  </v>
      </c>
      <c r="C45" s="12"/>
      <c r="D45" s="1">
        <f>SUM(OSRRefD22_7x_0)</f>
        <v>0</v>
      </c>
      <c r="E45" s="1"/>
      <c r="F45" s="5">
        <f t="shared" si="30"/>
        <v>0</v>
      </c>
      <c r="G45" s="1"/>
      <c r="H45" s="1">
        <f>SUM(OSRRefH22_7x_0)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2"/>
      <c r="P45" s="1">
        <f>SUM(OSRRefP22_7x_0)</f>
        <v>0</v>
      </c>
      <c r="Q45" s="1"/>
      <c r="R45" s="5">
        <f t="shared" si="34"/>
        <v>0</v>
      </c>
      <c r="S45" s="1"/>
      <c r="T45" s="1">
        <f>SUM(OSRRefT22_7x_0)</f>
        <v>100</v>
      </c>
      <c r="U45" s="1"/>
      <c r="V45" s="5">
        <f t="shared" si="35"/>
        <v>4.6657246257598951E-4</v>
      </c>
      <c r="W45" s="1"/>
      <c r="X45" s="1">
        <f t="shared" si="36"/>
        <v>-100</v>
      </c>
      <c r="Y45" s="1"/>
      <c r="Z45" s="5">
        <f t="shared" si="37"/>
        <v>-1</v>
      </c>
    </row>
    <row r="46" spans="1:26" s="24" customFormat="1" hidden="1" outlineLevel="2" x14ac:dyDescent="0.35">
      <c r="A46" s="27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30"/>
        <v>0</v>
      </c>
      <c r="G46" s="2"/>
      <c r="H46" s="7"/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100</v>
      </c>
      <c r="U46" s="2"/>
      <c r="V46" s="6">
        <f t="shared" si="35"/>
        <v>4.6657246257598951E-4</v>
      </c>
      <c r="W46" s="2"/>
      <c r="X46" s="7">
        <f t="shared" si="36"/>
        <v>-100</v>
      </c>
      <c r="Y46" s="2"/>
      <c r="Z46" s="6">
        <f t="shared" si="37"/>
        <v>-1</v>
      </c>
    </row>
    <row r="47" spans="1:26" s="25" customFormat="1" outlineLevel="1" collapsed="1" x14ac:dyDescent="0.35">
      <c r="A47" s="26"/>
      <c r="B47" s="12" t="str">
        <f>CONCATENATE("     ","General                                           ")</f>
        <v xml:space="preserve">     General                                           </v>
      </c>
      <c r="C47" s="12"/>
      <c r="D47" s="1">
        <f>SUM(OSRRefD22_8x_0)</f>
        <v>0</v>
      </c>
      <c r="E47" s="1"/>
      <c r="F47" s="5">
        <f t="shared" si="30"/>
        <v>0</v>
      </c>
      <c r="G47" s="1"/>
      <c r="H47" s="1">
        <f>SUM(OSRRefH22_8x_0)</f>
        <v>42.26</v>
      </c>
      <c r="I47" s="1"/>
      <c r="J47" s="5">
        <f t="shared" si="31"/>
        <v>0</v>
      </c>
      <c r="K47" s="1"/>
      <c r="L47" s="1">
        <f t="shared" si="32"/>
        <v>-42.26</v>
      </c>
      <c r="M47" s="1"/>
      <c r="N47" s="5">
        <f t="shared" si="33"/>
        <v>-1</v>
      </c>
      <c r="O47" s="12"/>
      <c r="P47" s="1">
        <f>SUM(OSRRefP22_8x_0)</f>
        <v>5005.68</v>
      </c>
      <c r="Q47" s="1"/>
      <c r="R47" s="5">
        <f t="shared" si="34"/>
        <v>3.1824481406124205E-2</v>
      </c>
      <c r="S47" s="1"/>
      <c r="T47" s="1">
        <f>SUM(OSRRefT22_8x_0)</f>
        <v>2454.92</v>
      </c>
      <c r="U47" s="1"/>
      <c r="V47" s="5">
        <f t="shared" si="35"/>
        <v>1.1453980698270482E-2</v>
      </c>
      <c r="W47" s="1"/>
      <c r="X47" s="1">
        <f t="shared" si="36"/>
        <v>2550.7600000000002</v>
      </c>
      <c r="Y47" s="1"/>
      <c r="Z47" s="5">
        <f t="shared" si="37"/>
        <v>1.0390399687158849</v>
      </c>
    </row>
    <row r="48" spans="1:26" s="24" customFormat="1" hidden="1" outlineLevel="2" x14ac:dyDescent="0.35">
      <c r="A48" s="27"/>
      <c r="B48" s="11" t="str">
        <f>CONCATENATE("          ", "6279", " - ", "GENERAL EXPENSE")</f>
        <v xml:space="preserve">          6279 - GENERAL EXPENSE</v>
      </c>
      <c r="C48" s="11"/>
      <c r="D48" s="7"/>
      <c r="E48" s="2"/>
      <c r="F48" s="6">
        <f t="shared" si="30"/>
        <v>0</v>
      </c>
      <c r="G48" s="2"/>
      <c r="H48" s="7">
        <v>42.26</v>
      </c>
      <c r="I48" s="2"/>
      <c r="J48" s="6">
        <f t="shared" si="31"/>
        <v>0</v>
      </c>
      <c r="K48" s="2"/>
      <c r="L48" s="7">
        <f t="shared" si="32"/>
        <v>-42.26</v>
      </c>
      <c r="M48" s="2"/>
      <c r="N48" s="6">
        <f t="shared" si="33"/>
        <v>-1</v>
      </c>
      <c r="O48" s="11"/>
      <c r="P48" s="7">
        <v>5005.68</v>
      </c>
      <c r="Q48" s="2"/>
      <c r="R48" s="6">
        <f t="shared" si="34"/>
        <v>3.1824481406124205E-2</v>
      </c>
      <c r="S48" s="2"/>
      <c r="T48" s="7">
        <v>2454.92</v>
      </c>
      <c r="U48" s="2"/>
      <c r="V48" s="6">
        <f t="shared" si="35"/>
        <v>1.1453980698270482E-2</v>
      </c>
      <c r="W48" s="2"/>
      <c r="X48" s="7">
        <f t="shared" si="36"/>
        <v>2550.7600000000002</v>
      </c>
      <c r="Y48" s="2"/>
      <c r="Z48" s="6">
        <f t="shared" si="37"/>
        <v>1.0390399687158849</v>
      </c>
    </row>
    <row r="49" spans="1:26" s="25" customFormat="1" outlineLevel="1" collapsed="1" x14ac:dyDescent="0.35">
      <c r="A49" s="26"/>
      <c r="B49" s="12" t="str">
        <f>CONCATENATE("     ","Repair and Maintenance                            ")</f>
        <v xml:space="preserve">     Repair and Maintenance                            </v>
      </c>
      <c r="C49" s="12"/>
      <c r="D49" s="1">
        <f>SUM(OSRRefD22_9x_0)</f>
        <v>0</v>
      </c>
      <c r="E49" s="1"/>
      <c r="F49" s="5">
        <f t="shared" si="30"/>
        <v>0</v>
      </c>
      <c r="G49" s="1"/>
      <c r="H49" s="1">
        <f>SUM(OSRRefH22_9x_0)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2"/>
      <c r="P49" s="1">
        <f>SUM(OSRRefP22_9x_0)</f>
        <v>1797.2199999999998</v>
      </c>
      <c r="Q49" s="1"/>
      <c r="R49" s="5">
        <f t="shared" si="34"/>
        <v>1.1426138800865125E-2</v>
      </c>
      <c r="S49" s="1"/>
      <c r="T49" s="1">
        <f>SUM(OSRRefT22_9x_0)</f>
        <v>2683.5099999999998</v>
      </c>
      <c r="U49" s="1"/>
      <c r="V49" s="5">
        <f t="shared" si="35"/>
        <v>1.2520518690472935E-2</v>
      </c>
      <c r="W49" s="1"/>
      <c r="X49" s="1">
        <f t="shared" si="36"/>
        <v>-886.29</v>
      </c>
      <c r="Y49" s="1"/>
      <c r="Z49" s="5">
        <f t="shared" si="37"/>
        <v>-0.33027266527793825</v>
      </c>
    </row>
    <row r="50" spans="1:26" s="24" customFormat="1" hidden="1" outlineLevel="2" x14ac:dyDescent="0.35">
      <c r="A50" s="27"/>
      <c r="B50" s="11" t="str">
        <f>CONCATENATE("          ", "6373", " - ", "MAINTENANCE CONTRACTS")</f>
        <v xml:space="preserve">          6373 - MAINTENANCE CONTRACTS</v>
      </c>
      <c r="C50" s="11"/>
      <c r="D50" s="7"/>
      <c r="E50" s="2"/>
      <c r="F50" s="6">
        <f t="shared" si="30"/>
        <v>0</v>
      </c>
      <c r="G50" s="2"/>
      <c r="H50" s="7"/>
      <c r="I50" s="2"/>
      <c r="J50" s="6">
        <f t="shared" si="31"/>
        <v>0</v>
      </c>
      <c r="K50" s="2"/>
      <c r="L50" s="7">
        <f t="shared" si="32"/>
        <v>0</v>
      </c>
      <c r="M50" s="2"/>
      <c r="N50" s="6">
        <f t="shared" si="33"/>
        <v>0</v>
      </c>
      <c r="O50" s="11"/>
      <c r="P50" s="7">
        <v>296.64</v>
      </c>
      <c r="Q50" s="2"/>
      <c r="R50" s="6">
        <f t="shared" si="34"/>
        <v>1.8859404045629532E-3</v>
      </c>
      <c r="S50" s="2"/>
      <c r="T50" s="7">
        <v>580.14</v>
      </c>
      <c r="U50" s="2"/>
      <c r="V50" s="6">
        <f t="shared" si="35"/>
        <v>2.7067734843883454E-3</v>
      </c>
      <c r="W50" s="2"/>
      <c r="X50" s="7">
        <f t="shared" si="36"/>
        <v>-283.5</v>
      </c>
      <c r="Y50" s="2"/>
      <c r="Z50" s="6">
        <f t="shared" si="37"/>
        <v>-0.48867514737821904</v>
      </c>
    </row>
    <row r="51" spans="1:26" s="24" customFormat="1" hidden="1" outlineLevel="2" x14ac:dyDescent="0.35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7"/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0</v>
      </c>
      <c r="M51" s="2"/>
      <c r="N51" s="6">
        <f t="shared" si="33"/>
        <v>0</v>
      </c>
      <c r="O51" s="11"/>
      <c r="P51" s="7">
        <v>1500.58</v>
      </c>
      <c r="Q51" s="2"/>
      <c r="R51" s="6">
        <f t="shared" si="34"/>
        <v>9.5401983963021731E-3</v>
      </c>
      <c r="S51" s="2"/>
      <c r="T51" s="7">
        <v>2103.37</v>
      </c>
      <c r="U51" s="2"/>
      <c r="V51" s="6">
        <f t="shared" si="35"/>
        <v>9.8137452060845908E-3</v>
      </c>
      <c r="W51" s="2"/>
      <c r="X51" s="7">
        <f t="shared" si="36"/>
        <v>-602.79</v>
      </c>
      <c r="Y51" s="2"/>
      <c r="Z51" s="6">
        <f t="shared" si="37"/>
        <v>-0.28658295972653408</v>
      </c>
    </row>
    <row r="52" spans="1:26" s="25" customFormat="1" outlineLevel="1" collapsed="1" x14ac:dyDescent="0.35">
      <c r="A52" s="26"/>
      <c r="B52" s="12" t="str">
        <f>CONCATENATE("     ","Royalty &amp; Commissions                             ")</f>
        <v xml:space="preserve">     Royalty &amp; Commissions                             </v>
      </c>
      <c r="C52" s="12"/>
      <c r="D52" s="1">
        <f>SUM(OSRRefD22_10x_0)</f>
        <v>0</v>
      </c>
      <c r="E52" s="1"/>
      <c r="F52" s="5">
        <f t="shared" ref="F52:F63" si="38">IF(D$12=0,0,D52/D$12)</f>
        <v>0</v>
      </c>
      <c r="G52" s="1"/>
      <c r="H52" s="1">
        <f>SUM(OSRRefH22_10x_0)</f>
        <v>3005.16</v>
      </c>
      <c r="I52" s="1"/>
      <c r="J52" s="5">
        <f t="shared" ref="J52:J63" si="39">IF(H$12=0,0,H52/H$12)</f>
        <v>0</v>
      </c>
      <c r="K52" s="1"/>
      <c r="L52" s="1">
        <f t="shared" ref="L52:L63" si="40">+D52-H52</f>
        <v>-3005.16</v>
      </c>
      <c r="M52" s="1"/>
      <c r="N52" s="5">
        <f t="shared" ref="N52:N63" si="41">IF(H52=0,0,L52/H52)</f>
        <v>-1</v>
      </c>
      <c r="O52" s="12"/>
      <c r="P52" s="1">
        <f>SUM(OSRRefP22_10x_0)</f>
        <v>35313.08</v>
      </c>
      <c r="Q52" s="1"/>
      <c r="R52" s="5">
        <f t="shared" ref="R52:R63" si="42">IF(P$12=0,0,P52/P$12)</f>
        <v>0.2245090492906012</v>
      </c>
      <c r="S52" s="1"/>
      <c r="T52" s="1">
        <f>SUM(OSRRefT22_10x_0)</f>
        <v>81614.080000000002</v>
      </c>
      <c r="U52" s="1"/>
      <c r="V52" s="5">
        <f t="shared" ref="V52:V63" si="43">IF(T$12=0,0,T52/T$12)</f>
        <v>0.38078882286473814</v>
      </c>
      <c r="W52" s="1"/>
      <c r="X52" s="1">
        <f t="shared" ref="X52:X63" si="44">+P52-T52</f>
        <v>-46301</v>
      </c>
      <c r="Y52" s="1"/>
      <c r="Z52" s="5">
        <f t="shared" ref="Z52:Z63" si="45">IF(T52=0,0,X52/T52)</f>
        <v>-0.56731632581044833</v>
      </c>
    </row>
    <row r="53" spans="1:26" s="24" customFormat="1" hidden="1" outlineLevel="2" x14ac:dyDescent="0.35">
      <c r="A53" s="27"/>
      <c r="B53" s="11" t="str">
        <f>CONCATENATE("          ", "6254", " - ", "ROYALTY &amp; COMMISSIONS")</f>
        <v xml:space="preserve">          6254 - ROYALTY &amp; COMMISSIONS</v>
      </c>
      <c r="C53" s="11"/>
      <c r="D53" s="7"/>
      <c r="E53" s="2"/>
      <c r="F53" s="6">
        <f t="shared" si="38"/>
        <v>0</v>
      </c>
      <c r="G53" s="2"/>
      <c r="H53" s="7">
        <v>3005.16</v>
      </c>
      <c r="I53" s="2"/>
      <c r="J53" s="6">
        <f t="shared" si="39"/>
        <v>0</v>
      </c>
      <c r="K53" s="2"/>
      <c r="L53" s="7">
        <f t="shared" si="40"/>
        <v>-3005.16</v>
      </c>
      <c r="M53" s="2"/>
      <c r="N53" s="6">
        <f t="shared" si="41"/>
        <v>-1</v>
      </c>
      <c r="O53" s="11"/>
      <c r="P53" s="7">
        <v>35313.08</v>
      </c>
      <c r="Q53" s="2"/>
      <c r="R53" s="6">
        <f t="shared" si="42"/>
        <v>0.2245090492906012</v>
      </c>
      <c r="S53" s="2"/>
      <c r="T53" s="7">
        <v>81614.080000000002</v>
      </c>
      <c r="U53" s="2"/>
      <c r="V53" s="6">
        <f t="shared" si="43"/>
        <v>0.38078882286473814</v>
      </c>
      <c r="W53" s="2"/>
      <c r="X53" s="7">
        <f t="shared" si="44"/>
        <v>-46301</v>
      </c>
      <c r="Y53" s="2"/>
      <c r="Z53" s="6">
        <f t="shared" si="45"/>
        <v>-0.56731632581044833</v>
      </c>
    </row>
    <row r="54" spans="1:26" s="25" customFormat="1" outlineLevel="1" collapsed="1" x14ac:dyDescent="0.35">
      <c r="A54" s="26"/>
      <c r="B54" s="12" t="str">
        <f>CONCATENATE("     ","Services                                          ")</f>
        <v xml:space="preserve">     Services                                          </v>
      </c>
      <c r="C54" s="12"/>
      <c r="D54" s="1">
        <f>SUM(OSRRefD22_11x_0)</f>
        <v>0</v>
      </c>
      <c r="E54" s="1"/>
      <c r="F54" s="5">
        <f t="shared" si="38"/>
        <v>0</v>
      </c>
      <c r="G54" s="1"/>
      <c r="H54" s="1">
        <f>SUM(OSRRefH22_11x_0)</f>
        <v>13</v>
      </c>
      <c r="I54" s="1"/>
      <c r="J54" s="5">
        <f t="shared" si="39"/>
        <v>0</v>
      </c>
      <c r="K54" s="1"/>
      <c r="L54" s="1">
        <f t="shared" si="40"/>
        <v>-13</v>
      </c>
      <c r="M54" s="1"/>
      <c r="N54" s="5">
        <f t="shared" si="41"/>
        <v>-1</v>
      </c>
      <c r="O54" s="12"/>
      <c r="P54" s="1">
        <f>SUM(OSRRefP22_11x_0)</f>
        <v>126</v>
      </c>
      <c r="Q54" s="1"/>
      <c r="R54" s="5">
        <f t="shared" si="42"/>
        <v>8.0106691941387578E-4</v>
      </c>
      <c r="S54" s="1"/>
      <c r="T54" s="1">
        <f>SUM(OSRRefT22_11x_0)</f>
        <v>253.51</v>
      </c>
      <c r="U54" s="1"/>
      <c r="V54" s="5">
        <f t="shared" si="43"/>
        <v>1.182807849876391E-3</v>
      </c>
      <c r="W54" s="1"/>
      <c r="X54" s="1">
        <f t="shared" si="44"/>
        <v>-127.50999999999999</v>
      </c>
      <c r="Y54" s="1"/>
      <c r="Z54" s="5">
        <f t="shared" si="45"/>
        <v>-0.50297818626484159</v>
      </c>
    </row>
    <row r="55" spans="1:26" s="24" customFormat="1" hidden="1" outlineLevel="2" x14ac:dyDescent="0.35">
      <c r="A55" s="27"/>
      <c r="B55" s="11" t="str">
        <f>CONCATENATE("          ", "6286", " - ", "LAUNDRY EXPENSE")</f>
        <v xml:space="preserve">          6286 - LAUNDRY EXPENSE</v>
      </c>
      <c r="C55" s="11"/>
      <c r="D55" s="7"/>
      <c r="E55" s="2"/>
      <c r="F55" s="6">
        <f t="shared" si="38"/>
        <v>0</v>
      </c>
      <c r="G55" s="2"/>
      <c r="H55" s="7">
        <v>13</v>
      </c>
      <c r="I55" s="2"/>
      <c r="J55" s="6">
        <f t="shared" si="39"/>
        <v>0</v>
      </c>
      <c r="K55" s="2"/>
      <c r="L55" s="7">
        <f t="shared" si="40"/>
        <v>-13</v>
      </c>
      <c r="M55" s="2"/>
      <c r="N55" s="6">
        <f t="shared" si="41"/>
        <v>-1</v>
      </c>
      <c r="O55" s="11"/>
      <c r="P55" s="7">
        <v>126</v>
      </c>
      <c r="Q55" s="2"/>
      <c r="R55" s="6">
        <f t="shared" si="42"/>
        <v>8.0106691941387578E-4</v>
      </c>
      <c r="S55" s="2"/>
      <c r="T55" s="7">
        <v>253.51</v>
      </c>
      <c r="U55" s="2"/>
      <c r="V55" s="6">
        <f t="shared" si="43"/>
        <v>1.182807849876391E-3</v>
      </c>
      <c r="W55" s="2"/>
      <c r="X55" s="7">
        <f t="shared" si="44"/>
        <v>-127.50999999999999</v>
      </c>
      <c r="Y55" s="2"/>
      <c r="Z55" s="6">
        <f t="shared" si="45"/>
        <v>-0.50297818626484159</v>
      </c>
    </row>
    <row r="56" spans="1:26" s="25" customFormat="1" outlineLevel="1" collapsed="1" x14ac:dyDescent="0.35">
      <c r="A56" s="26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SUM(OSRRefD22_12x_0)</f>
        <v>0</v>
      </c>
      <c r="E56" s="1"/>
      <c r="F56" s="5">
        <f t="shared" si="38"/>
        <v>0</v>
      </c>
      <c r="G56" s="1"/>
      <c r="H56" s="1">
        <f>SUM(OSRRefH22_12x_0)</f>
        <v>9.94</v>
      </c>
      <c r="I56" s="1"/>
      <c r="J56" s="5">
        <f t="shared" si="39"/>
        <v>0</v>
      </c>
      <c r="K56" s="1"/>
      <c r="L56" s="1">
        <f t="shared" si="40"/>
        <v>-9.94</v>
      </c>
      <c r="M56" s="1"/>
      <c r="N56" s="5">
        <f t="shared" si="41"/>
        <v>-1</v>
      </c>
      <c r="O56" s="12"/>
      <c r="P56" s="1">
        <f>SUM(OSRRefP22_12x_0)</f>
        <v>6070.7100000000009</v>
      </c>
      <c r="Q56" s="1"/>
      <c r="R56" s="5">
        <f t="shared" si="42"/>
        <v>3.8595594907579453E-2</v>
      </c>
      <c r="S56" s="1"/>
      <c r="T56" s="1">
        <f>SUM(OSRRefT22_12x_0)</f>
        <v>8515.69</v>
      </c>
      <c r="U56" s="1"/>
      <c r="V56" s="5">
        <f t="shared" si="43"/>
        <v>3.9731864538337283E-2</v>
      </c>
      <c r="W56" s="1"/>
      <c r="X56" s="1">
        <f t="shared" si="44"/>
        <v>-2444.9799999999996</v>
      </c>
      <c r="Y56" s="1"/>
      <c r="Z56" s="5">
        <f t="shared" si="45"/>
        <v>-0.28711472587658776</v>
      </c>
    </row>
    <row r="57" spans="1:26" s="24" customFormat="1" hidden="1" outlineLevel="2" x14ac:dyDescent="0.35">
      <c r="A57" s="27"/>
      <c r="B57" s="11" t="str">
        <f>CONCATENATE("          ", "6234", " - ", "EXPENDABLE SUPPLIES &amp; EQUIPMEN")</f>
        <v xml:space="preserve">          6234 - EXPENDABLE SUPPLIES &amp; EQUIPMEN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/>
      <c r="Q57" s="2"/>
      <c r="R57" s="6">
        <f t="shared" si="42"/>
        <v>0</v>
      </c>
      <c r="S57" s="2"/>
      <c r="T57" s="7">
        <v>106.94</v>
      </c>
      <c r="U57" s="2"/>
      <c r="V57" s="6">
        <f t="shared" si="43"/>
        <v>4.989525914787632E-4</v>
      </c>
      <c r="W57" s="2"/>
      <c r="X57" s="7">
        <f t="shared" si="44"/>
        <v>-106.94</v>
      </c>
      <c r="Y57" s="2"/>
      <c r="Z57" s="6">
        <f t="shared" si="45"/>
        <v>-1</v>
      </c>
    </row>
    <row r="58" spans="1:26" s="24" customFormat="1" hidden="1" outlineLevel="2" x14ac:dyDescent="0.35">
      <c r="A58" s="27"/>
      <c r="B58" s="11" t="str">
        <f>CONCATENATE("          ", "6237", " - ", "JANITORIAL SUPPLIES")</f>
        <v xml:space="preserve">          6237 - JANITORIAL SUPPLIES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78.81</v>
      </c>
      <c r="Q58" s="2"/>
      <c r="R58" s="6">
        <f t="shared" si="42"/>
        <v>5.0104828507148858E-4</v>
      </c>
      <c r="S58" s="2"/>
      <c r="T58" s="7">
        <v>505.41</v>
      </c>
      <c r="U58" s="2"/>
      <c r="V58" s="6">
        <f t="shared" si="43"/>
        <v>2.3581038831053088E-3</v>
      </c>
      <c r="W58" s="2"/>
      <c r="X58" s="7">
        <f t="shared" si="44"/>
        <v>-426.6</v>
      </c>
      <c r="Y58" s="2"/>
      <c r="Z58" s="6">
        <f t="shared" si="45"/>
        <v>-0.84406719297204247</v>
      </c>
    </row>
    <row r="59" spans="1:26" s="24" customFormat="1" hidden="1" outlineLevel="2" x14ac:dyDescent="0.35">
      <c r="A59" s="27"/>
      <c r="B59" s="11" t="str">
        <f>CONCATENATE("          ", "6239", " - ", "KITCHEN SUPPLIES")</f>
        <v xml:space="preserve">          6239 - KITCHEN SUPPLIES</v>
      </c>
      <c r="C59" s="11"/>
      <c r="D59" s="7"/>
      <c r="E59" s="2"/>
      <c r="F59" s="6">
        <f t="shared" si="38"/>
        <v>0</v>
      </c>
      <c r="G59" s="2"/>
      <c r="H59" s="7">
        <v>9.94</v>
      </c>
      <c r="I59" s="2"/>
      <c r="J59" s="6">
        <f t="shared" si="39"/>
        <v>0</v>
      </c>
      <c r="K59" s="2"/>
      <c r="L59" s="7">
        <f t="shared" si="40"/>
        <v>-9.94</v>
      </c>
      <c r="M59" s="2"/>
      <c r="N59" s="6">
        <f t="shared" si="41"/>
        <v>-1</v>
      </c>
      <c r="O59" s="11"/>
      <c r="P59" s="7">
        <v>4802.42</v>
      </c>
      <c r="Q59" s="2"/>
      <c r="R59" s="6">
        <f t="shared" si="42"/>
        <v>3.0532220596282425E-2</v>
      </c>
      <c r="S59" s="2"/>
      <c r="T59" s="7">
        <v>5726.05</v>
      </c>
      <c r="U59" s="2"/>
      <c r="V59" s="6">
        <f t="shared" si="43"/>
        <v>2.6716172493332451E-2</v>
      </c>
      <c r="W59" s="2"/>
      <c r="X59" s="7">
        <f t="shared" si="44"/>
        <v>-923.63000000000011</v>
      </c>
      <c r="Y59" s="2"/>
      <c r="Z59" s="6">
        <f t="shared" si="45"/>
        <v>-0.16130316710472317</v>
      </c>
    </row>
    <row r="60" spans="1:26" s="24" customFormat="1" hidden="1" outlineLevel="2" x14ac:dyDescent="0.35">
      <c r="A60" s="27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38"/>
        <v>0</v>
      </c>
      <c r="G60" s="2"/>
      <c r="H60" s="7"/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135.93</v>
      </c>
      <c r="Q60" s="2"/>
      <c r="R60" s="6">
        <f t="shared" si="42"/>
        <v>8.6419862187244562E-4</v>
      </c>
      <c r="S60" s="2"/>
      <c r="T60" s="7">
        <v>147.29</v>
      </c>
      <c r="U60" s="2"/>
      <c r="V60" s="6">
        <f t="shared" si="43"/>
        <v>6.8721458012817489E-4</v>
      </c>
      <c r="W60" s="2"/>
      <c r="X60" s="7">
        <f t="shared" si="44"/>
        <v>-11.359999999999985</v>
      </c>
      <c r="Y60" s="2"/>
      <c r="Z60" s="6">
        <f t="shared" si="45"/>
        <v>-7.7126756738407132E-2</v>
      </c>
    </row>
    <row r="61" spans="1:26" s="24" customFormat="1" hidden="1" outlineLevel="2" x14ac:dyDescent="0.35">
      <c r="A61" s="27"/>
      <c r="B61" s="11" t="str">
        <f>CONCATENATE("          ", "6243", " - ", "PAPER SUPPLIES")</f>
        <v xml:space="preserve">          6243 - PAPER SUPPLIES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>
        <v>-642.03</v>
      </c>
      <c r="Q61" s="2"/>
      <c r="R61" s="6">
        <f t="shared" si="42"/>
        <v>-4.0818174148515131E-3</v>
      </c>
      <c r="S61" s="2"/>
      <c r="T61" s="7">
        <v>2004.74</v>
      </c>
      <c r="U61" s="2"/>
      <c r="V61" s="6">
        <f t="shared" si="43"/>
        <v>9.353564786245893E-3</v>
      </c>
      <c r="W61" s="2"/>
      <c r="X61" s="7">
        <f t="shared" si="44"/>
        <v>-2646.77</v>
      </c>
      <c r="Y61" s="2"/>
      <c r="Z61" s="6">
        <f t="shared" si="45"/>
        <v>-1.3202559932958888</v>
      </c>
    </row>
    <row r="62" spans="1:26" s="24" customFormat="1" hidden="1" outlineLevel="2" x14ac:dyDescent="0.35">
      <c r="A62" s="27"/>
      <c r="B62" s="11" t="str">
        <f>CONCATENATE("          ", "6247", " - ", "STORE SUPPLIES")</f>
        <v xml:space="preserve">          6247 - STORE SUPPLIES</v>
      </c>
      <c r="C62" s="11"/>
      <c r="D62" s="7"/>
      <c r="E62" s="2"/>
      <c r="F62" s="6">
        <f t="shared" si="38"/>
        <v>0</v>
      </c>
      <c r="G62" s="2"/>
      <c r="H62" s="7"/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>
        <v>1695.58</v>
      </c>
      <c r="Q62" s="2"/>
      <c r="R62" s="6">
        <f t="shared" si="42"/>
        <v>1.07799448192046E-2</v>
      </c>
      <c r="S62" s="2"/>
      <c r="T62" s="7"/>
      <c r="U62" s="2"/>
      <c r="V62" s="6">
        <f t="shared" si="43"/>
        <v>0</v>
      </c>
      <c r="W62" s="2"/>
      <c r="X62" s="7">
        <f t="shared" si="44"/>
        <v>1695.58</v>
      </c>
      <c r="Y62" s="2"/>
      <c r="Z62" s="6">
        <f t="shared" si="45"/>
        <v>0</v>
      </c>
    </row>
    <row r="63" spans="1:26" s="24" customFormat="1" hidden="1" outlineLevel="2" x14ac:dyDescent="0.35">
      <c r="A63" s="27"/>
      <c r="B63" s="11" t="str">
        <f>CONCATENATE("          ", "6248", " - ", "UNIFORMS")</f>
        <v xml:space="preserve">          6248 - UNIFORMS</v>
      </c>
      <c r="C63" s="11"/>
      <c r="D63" s="7"/>
      <c r="E63" s="2"/>
      <c r="F63" s="6">
        <f t="shared" si="38"/>
        <v>0</v>
      </c>
      <c r="G63" s="2"/>
      <c r="H63" s="7"/>
      <c r="I63" s="2"/>
      <c r="J63" s="6">
        <f t="shared" si="39"/>
        <v>0</v>
      </c>
      <c r="K63" s="2"/>
      <c r="L63" s="7">
        <f t="shared" si="40"/>
        <v>0</v>
      </c>
      <c r="M63" s="2"/>
      <c r="N63" s="6">
        <f t="shared" si="41"/>
        <v>0</v>
      </c>
      <c r="O63" s="11"/>
      <c r="P63" s="7"/>
      <c r="Q63" s="2"/>
      <c r="R63" s="6">
        <f t="shared" si="42"/>
        <v>0</v>
      </c>
      <c r="S63" s="2"/>
      <c r="T63" s="7">
        <v>25.26</v>
      </c>
      <c r="U63" s="2"/>
      <c r="V63" s="6">
        <f t="shared" si="43"/>
        <v>1.1785620404669496E-4</v>
      </c>
      <c r="W63" s="2"/>
      <c r="X63" s="7">
        <f t="shared" si="44"/>
        <v>-25.26</v>
      </c>
      <c r="Y63" s="2"/>
      <c r="Z63" s="6">
        <f t="shared" si="45"/>
        <v>-1</v>
      </c>
    </row>
    <row r="64" spans="1:26" s="25" customFormat="1" outlineLevel="1" collapsed="1" x14ac:dyDescent="0.35">
      <c r="A64" s="26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SUM(OSRRefD22_13x_0)</f>
        <v>-83.99</v>
      </c>
      <c r="E64" s="1"/>
      <c r="F64" s="5">
        <f t="shared" ref="F64:F65" si="46">IF(D$12=0,0,D64/D$12)</f>
        <v>0</v>
      </c>
      <c r="G64" s="1"/>
      <c r="H64" s="1">
        <f>SUM(OSRRefH22_13x_0)</f>
        <v>214.01</v>
      </c>
      <c r="I64" s="1"/>
      <c r="J64" s="5">
        <f t="shared" ref="J64:J65" si="47">IF(H$12=0,0,H64/H$12)</f>
        <v>0</v>
      </c>
      <c r="K64" s="1"/>
      <c r="L64" s="1">
        <f t="shared" ref="L64:L65" si="48">+D64-H64</f>
        <v>-298</v>
      </c>
      <c r="M64" s="1"/>
      <c r="N64" s="5">
        <f t="shared" ref="N64:N65" si="49">IF(H64=0,0,L64/H64)</f>
        <v>-1.3924582963412926</v>
      </c>
      <c r="O64" s="12"/>
      <c r="P64" s="1">
        <f>SUM(OSRRefP22_13x_0)</f>
        <v>2270.11</v>
      </c>
      <c r="Q64" s="1"/>
      <c r="R64" s="5">
        <f t="shared" ref="R64:R65" si="50">IF(P$12=0,0,P64/P$12)</f>
        <v>1.4432619241512967E-2</v>
      </c>
      <c r="S64" s="1"/>
      <c r="T64" s="1">
        <f>SUM(OSRRefT22_13x_0)</f>
        <v>2856.12</v>
      </c>
      <c r="U64" s="1"/>
      <c r="V64" s="5">
        <f t="shared" ref="V64:V65" si="51">IF(T$12=0,0,T64/T$12)</f>
        <v>1.3325869418125351E-2</v>
      </c>
      <c r="W64" s="1"/>
      <c r="X64" s="1">
        <f t="shared" ref="X64:X65" si="52">+P64-T64</f>
        <v>-586.00999999999976</v>
      </c>
      <c r="Y64" s="1"/>
      <c r="Z64" s="5">
        <f t="shared" ref="Z64:Z65" si="53">IF(T64=0,0,X64/T64)</f>
        <v>-0.20517695334929897</v>
      </c>
    </row>
    <row r="65" spans="1:26" s="24" customFormat="1" hidden="1" outlineLevel="2" x14ac:dyDescent="0.35">
      <c r="A65" s="27"/>
      <c r="B65" s="11" t="str">
        <f>CONCATENATE("          ", "6309", " - ", "TELEPHONE")</f>
        <v xml:space="preserve">          6309 - TELEPHONE</v>
      </c>
      <c r="C65" s="11"/>
      <c r="D65" s="7">
        <v>-83.99</v>
      </c>
      <c r="E65" s="2"/>
      <c r="F65" s="6">
        <f t="shared" si="46"/>
        <v>0</v>
      </c>
      <c r="G65" s="2"/>
      <c r="H65" s="7">
        <v>214.01</v>
      </c>
      <c r="I65" s="2"/>
      <c r="J65" s="6">
        <f t="shared" si="47"/>
        <v>0</v>
      </c>
      <c r="K65" s="2"/>
      <c r="L65" s="7">
        <f t="shared" si="48"/>
        <v>-298</v>
      </c>
      <c r="M65" s="2"/>
      <c r="N65" s="6">
        <f t="shared" si="49"/>
        <v>-1.3924582963412926</v>
      </c>
      <c r="O65" s="11"/>
      <c r="P65" s="7">
        <v>2270.11</v>
      </c>
      <c r="Q65" s="2"/>
      <c r="R65" s="6">
        <f t="shared" si="50"/>
        <v>1.4432619241512967E-2</v>
      </c>
      <c r="S65" s="2"/>
      <c r="T65" s="7">
        <v>2856.12</v>
      </c>
      <c r="U65" s="2"/>
      <c r="V65" s="6">
        <f t="shared" si="51"/>
        <v>1.3325869418125351E-2</v>
      </c>
      <c r="W65" s="2"/>
      <c r="X65" s="7">
        <f t="shared" si="52"/>
        <v>-586.00999999999976</v>
      </c>
      <c r="Y65" s="2"/>
      <c r="Z65" s="6">
        <f t="shared" si="53"/>
        <v>-0.20517695334929897</v>
      </c>
    </row>
    <row r="66" spans="1:26" s="56" customFormat="1" x14ac:dyDescent="0.3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35">
      <c r="A67" s="10"/>
      <c r="B67" s="29" t="s">
        <v>0</v>
      </c>
      <c r="C67" s="10"/>
      <c r="D67" s="4">
        <f>SUM(OSRRefD25x_0)</f>
        <v>0</v>
      </c>
      <c r="E67" s="4"/>
      <c r="F67" s="13">
        <f t="shared" ref="F67:F68" si="54">IF(D$12=0,0,D67/D$12)</f>
        <v>0</v>
      </c>
      <c r="G67" s="4"/>
      <c r="H67" s="4">
        <f>SUM(OSRRefH25x_0)</f>
        <v>6010.33</v>
      </c>
      <c r="I67" s="4"/>
      <c r="J67" s="13">
        <f t="shared" ref="J67:J68" si="55">IF(H$12=0,0,H67/H$12)</f>
        <v>0</v>
      </c>
      <c r="K67" s="4"/>
      <c r="L67" s="4">
        <f t="shared" ref="L67:L68" si="56">+D67-H67</f>
        <v>-6010.33</v>
      </c>
      <c r="M67" s="4"/>
      <c r="N67" s="13">
        <f t="shared" ref="N67:N68" si="57">IF(H67=0,0,L67/H67)</f>
        <v>-1</v>
      </c>
      <c r="O67" s="10"/>
      <c r="P67" s="4">
        <f>SUM(OSRRefP25x_0)</f>
        <v>8452.17</v>
      </c>
      <c r="Q67" s="4"/>
      <c r="R67" s="13">
        <f t="shared" ref="R67:R68" si="58">IF(P$12=0,0,P67/P$12)</f>
        <v>5.3736141144939513E-2</v>
      </c>
      <c r="S67" s="4"/>
      <c r="T67" s="4">
        <f>SUM(OSRRefT25x_0)</f>
        <v>24696.54</v>
      </c>
      <c r="U67" s="4"/>
      <c r="V67" s="13">
        <f t="shared" ref="V67:V68" si="59">IF(T$12=0,0,T67/T$12)</f>
        <v>0.11522725484906429</v>
      </c>
      <c r="W67" s="4"/>
      <c r="X67" s="4">
        <f t="shared" ref="X67:X68" si="60">+P67-T67</f>
        <v>-16244.37</v>
      </c>
      <c r="Y67" s="4"/>
      <c r="Z67" s="13">
        <f t="shared" ref="Z67:Z68" si="61">IF(T67=0,0,X67/T67)</f>
        <v>-0.65775894113102484</v>
      </c>
    </row>
    <row r="68" spans="1:26" s="24" customFormat="1" hidden="1" outlineLevel="1" x14ac:dyDescent="0.35">
      <c r="A68" s="44"/>
      <c r="B68" s="11" t="str">
        <f>CONCATENATE("          ", "9150", " - ", "MISC. INCOME")</f>
        <v xml:space="preserve">          9150 - MISC. INCOME</v>
      </c>
      <c r="C68" s="11"/>
      <c r="D68" s="2">
        <f>0</f>
        <v>0</v>
      </c>
      <c r="E68" s="2"/>
      <c r="F68" s="19">
        <f t="shared" si="54"/>
        <v>0</v>
      </c>
      <c r="G68" s="2"/>
      <c r="H68" s="2">
        <f>--6010.33</f>
        <v>6010.33</v>
      </c>
      <c r="I68" s="2"/>
      <c r="J68" s="19">
        <f t="shared" si="55"/>
        <v>0</v>
      </c>
      <c r="K68" s="2"/>
      <c r="L68" s="2">
        <f t="shared" si="56"/>
        <v>-6010.33</v>
      </c>
      <c r="M68" s="2"/>
      <c r="N68" s="19">
        <f t="shared" si="57"/>
        <v>-1</v>
      </c>
      <c r="O68" s="11"/>
      <c r="P68" s="2">
        <f>--8452.17</f>
        <v>8452.17</v>
      </c>
      <c r="Q68" s="2"/>
      <c r="R68" s="19">
        <f t="shared" si="58"/>
        <v>5.3736141144939513E-2</v>
      </c>
      <c r="S68" s="2"/>
      <c r="T68" s="2">
        <f>--24696.54</f>
        <v>24696.54</v>
      </c>
      <c r="U68" s="2"/>
      <c r="V68" s="19">
        <f t="shared" si="59"/>
        <v>0.11522725484906429</v>
      </c>
      <c r="W68" s="2"/>
      <c r="X68" s="2">
        <f t="shared" si="60"/>
        <v>-16244.37</v>
      </c>
      <c r="Y68" s="2"/>
      <c r="Z68" s="19">
        <f t="shared" si="61"/>
        <v>-0.65775894113102484</v>
      </c>
    </row>
    <row r="69" spans="1:26" x14ac:dyDescent="0.3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35">
      <c r="A70" s="10"/>
      <c r="B70" s="28" t="s">
        <v>3</v>
      </c>
      <c r="C70" s="28"/>
      <c r="D70" s="22">
        <f>+D22-D24+D67</f>
        <v>-395.3</v>
      </c>
      <c r="E70" s="14"/>
      <c r="F70" s="21">
        <f>IF(D$12=0,0,D70/D$12)</f>
        <v>0</v>
      </c>
      <c r="G70" s="14"/>
      <c r="H70" s="22">
        <f>+H22-H24+H67</f>
        <v>-12862.42</v>
      </c>
      <c r="I70" s="14"/>
      <c r="J70" s="21">
        <f>IF(H$12=0,0,H70/H$12)</f>
        <v>0</v>
      </c>
      <c r="K70" s="15"/>
      <c r="L70" s="22">
        <f>+D70-H70</f>
        <v>12467.12</v>
      </c>
      <c r="M70" s="15"/>
      <c r="N70" s="21">
        <f>IF(H70=0,0,L70/H70)</f>
        <v>-0.96926705860949969</v>
      </c>
      <c r="O70" s="29"/>
      <c r="P70" s="22">
        <f>+P22-P24+P67</f>
        <v>31793.610000000015</v>
      </c>
      <c r="Q70" s="14"/>
      <c r="R70" s="21">
        <f>IF(P$12=0,0,P70/P$12)</f>
        <v>0.20213340650592229</v>
      </c>
      <c r="S70" s="14"/>
      <c r="T70" s="22">
        <f>+T22-T24+T67</f>
        <v>31451.889999999978</v>
      </c>
      <c r="U70" s="14"/>
      <c r="V70" s="21">
        <f>IF(T$12=0,0,T70/T$12)</f>
        <v>0.14674585769969128</v>
      </c>
      <c r="W70" s="15"/>
      <c r="X70" s="22">
        <f>+P70-T70</f>
        <v>341.72000000003754</v>
      </c>
      <c r="Y70" s="15"/>
      <c r="Z70" s="21">
        <f>IF(T70=0,0,X70/T70)</f>
        <v>1.0864847867649218E-2</v>
      </c>
    </row>
    <row r="71" spans="1:26" x14ac:dyDescent="0.3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5">
      <c r="A72" s="51"/>
      <c r="B72" s="10" t="s">
        <v>13</v>
      </c>
      <c r="C72" s="10"/>
      <c r="D72" s="4">
        <v>5193.4399999999996</v>
      </c>
      <c r="E72" s="4"/>
      <c r="F72" s="13">
        <f>IF(D$12=0,0,D72/D$12)</f>
        <v>0</v>
      </c>
      <c r="G72" s="4"/>
      <c r="H72" s="4">
        <v>-7016.59</v>
      </c>
      <c r="I72" s="4"/>
      <c r="J72" s="13">
        <f>IF(H$12=0,0,H72/H$12)</f>
        <v>0</v>
      </c>
      <c r="K72" s="4"/>
      <c r="L72" s="4">
        <f>+D72-H72</f>
        <v>12210.029999999999</v>
      </c>
      <c r="M72" s="4"/>
      <c r="N72" s="13">
        <f>IF(H72=0,0,L72/H72)</f>
        <v>-1.7401658070373214</v>
      </c>
      <c r="O72" s="10"/>
      <c r="P72" s="4">
        <v>23819.84</v>
      </c>
      <c r="Q72" s="4"/>
      <c r="R72" s="13">
        <f>IF(P$12=0,0,P72/P$12)</f>
        <v>0.15143877658516997</v>
      </c>
      <c r="S72" s="4"/>
      <c r="T72" s="4">
        <v>15276.750000000002</v>
      </c>
      <c r="U72" s="4"/>
      <c r="V72" s="13">
        <f>IF(T$12=0,0,T72/T$12)</f>
        <v>7.1277108676577494E-2</v>
      </c>
      <c r="W72" s="4"/>
      <c r="X72" s="4">
        <f>+P72-T72</f>
        <v>8543.0899999999983</v>
      </c>
      <c r="Y72" s="4"/>
      <c r="Z72" s="13">
        <f>IF(T72=0,0,X72/T72)</f>
        <v>0.55922169309571712</v>
      </c>
    </row>
    <row r="73" spans="1:26" x14ac:dyDescent="0.3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4">
      <c r="A74" s="10"/>
      <c r="B74" s="28" t="s">
        <v>4</v>
      </c>
      <c r="C74" s="28"/>
      <c r="D74" s="34">
        <f>+D70-D72</f>
        <v>-5588.74</v>
      </c>
      <c r="E74" s="14"/>
      <c r="F74" s="32">
        <f>IF(D$12=0,0,D74/D$12)</f>
        <v>0</v>
      </c>
      <c r="G74" s="14"/>
      <c r="H74" s="34">
        <f>+H70-H72</f>
        <v>-5845.83</v>
      </c>
      <c r="I74" s="14"/>
      <c r="J74" s="32">
        <f>IF(H$12=0,0,H74/H$12)</f>
        <v>0</v>
      </c>
      <c r="K74" s="15"/>
      <c r="L74" s="34">
        <f>D74-H74</f>
        <v>257.09000000000015</v>
      </c>
      <c r="M74" s="15"/>
      <c r="N74" s="32">
        <f>IF(H74=0,0,L74/H74)</f>
        <v>-4.3978357222156671E-2</v>
      </c>
      <c r="O74" s="29"/>
      <c r="P74" s="34">
        <f>+P70-P72</f>
        <v>7973.770000000015</v>
      </c>
      <c r="Q74" s="14"/>
      <c r="R74" s="32">
        <f>IF(P$12=0,0,P74/P$12)</f>
        <v>5.069462992075232E-2</v>
      </c>
      <c r="S74" s="14"/>
      <c r="T74" s="34">
        <f>+T70-T72</f>
        <v>16175.139999999976</v>
      </c>
      <c r="U74" s="14"/>
      <c r="V74" s="32">
        <f>IF(T$12=0,0,T74/T$12)</f>
        <v>7.5468749023113804E-2</v>
      </c>
      <c r="W74" s="15"/>
      <c r="X74" s="34">
        <f>P74-T74</f>
        <v>-8201.3699999999608</v>
      </c>
      <c r="Y74" s="15"/>
      <c r="Z74" s="32">
        <f>IF(T74=0,0,X74/T74)</f>
        <v>-0.50703548779175778</v>
      </c>
    </row>
    <row r="75" spans="1:26" ht="15" thickTop="1" x14ac:dyDescent="0.3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3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4">
      <c r="A77" s="10"/>
      <c r="B77" s="28" t="s">
        <v>5</v>
      </c>
      <c r="C77" s="28"/>
      <c r="D77" s="35">
        <f>SUM(D74:D76)</f>
        <v>-5588.74</v>
      </c>
      <c r="E77" s="14"/>
      <c r="F77" s="33">
        <f>IF(D$12=0,0,D77/D$12)</f>
        <v>0</v>
      </c>
      <c r="G77" s="14"/>
      <c r="H77" s="35">
        <f>SUM(H74:H76)</f>
        <v>-5845.83</v>
      </c>
      <c r="I77" s="14"/>
      <c r="J77" s="33">
        <f>IF(H$12=0,0,H77/H$12)</f>
        <v>0</v>
      </c>
      <c r="K77" s="15"/>
      <c r="L77" s="35">
        <f>+D77-H77</f>
        <v>257.09000000000015</v>
      </c>
      <c r="M77" s="15"/>
      <c r="N77" s="33">
        <f>IF(H77=0,0,L77/H77)</f>
        <v>-4.3978357222156671E-2</v>
      </c>
      <c r="O77" s="29"/>
      <c r="P77" s="35">
        <f>SUM(P74:P76)</f>
        <v>7973.770000000015</v>
      </c>
      <c r="Q77" s="14"/>
      <c r="R77" s="33">
        <f>IF(P$12=0,0,P77/P$12)</f>
        <v>5.069462992075232E-2</v>
      </c>
      <c r="S77" s="14"/>
      <c r="T77" s="35">
        <f>SUM(T74:T76)</f>
        <v>16175.139999999976</v>
      </c>
      <c r="U77" s="14"/>
      <c r="V77" s="33">
        <f>IF(T$12=0,0,T77/T$12)</f>
        <v>7.5468749023113804E-2</v>
      </c>
      <c r="W77" s="15"/>
      <c r="X77" s="35">
        <f>+P77-T77</f>
        <v>-8201.3699999999608</v>
      </c>
      <c r="Y77" s="15"/>
      <c r="Z77" s="33">
        <f>IF(T77=0,0,X77/T77)</f>
        <v>-0.50703548779175778</v>
      </c>
    </row>
    <row r="78" spans="1:26" ht="15" thickTop="1" x14ac:dyDescent="0.3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35">
      <c r="A79" s="9"/>
      <c r="B79" s="52">
        <v>44043.52334699074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35">
      <c r="A80" s="9"/>
      <c r="B80" s="61" t="s">
        <v>313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5">
      <c r="A81" s="9"/>
      <c r="B81" s="54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","425", " - ", "Events Center")</f>
        <v>Department 425 - Events Center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15149.869999999999</v>
      </c>
      <c r="I12" s="4"/>
      <c r="J12" s="13"/>
      <c r="K12" s="4"/>
      <c r="L12" s="4">
        <f t="shared" ref="L12:L17" si="0">+D12-H12</f>
        <v>-15149.869999999999</v>
      </c>
      <c r="M12" s="4"/>
      <c r="N12" s="13">
        <f t="shared" ref="N12:N17" si="1">IF(H12=0,0,L12/H12)</f>
        <v>-1</v>
      </c>
      <c r="O12" s="10"/>
      <c r="P12" s="4">
        <f>SUM(OSRRefP13x_0)</f>
        <v>392328.46</v>
      </c>
      <c r="Q12" s="4"/>
      <c r="R12" s="13"/>
      <c r="S12" s="4"/>
      <c r="T12" s="4">
        <f>SUM(OSRRefT13x_0)</f>
        <v>714741.99</v>
      </c>
      <c r="U12" s="4"/>
      <c r="V12" s="13"/>
      <c r="W12" s="4"/>
      <c r="X12" s="4">
        <f t="shared" ref="X12:X17" si="2">+P12-T12</f>
        <v>-322413.52999999997</v>
      </c>
      <c r="Y12" s="4"/>
      <c r="Z12" s="13">
        <f t="shared" ref="Z12:Z17" si="3">IF(T12=0,0,X12/T12)</f>
        <v>-0.45109079151764958</v>
      </c>
    </row>
    <row r="13" spans="1:26" s="24" customFormat="1" hidden="1" outlineLevel="1" x14ac:dyDescent="0.3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7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--33241.92</f>
        <v>33241.919999999998</v>
      </c>
      <c r="U13" s="2"/>
      <c r="V13" s="19"/>
      <c r="W13" s="2"/>
      <c r="X13" s="2">
        <f t="shared" si="2"/>
        <v>-33241.919999999998</v>
      </c>
      <c r="Y13" s="2"/>
      <c r="Z13" s="19">
        <f t="shared" si="3"/>
        <v>-1</v>
      </c>
    </row>
    <row r="14" spans="1:26" s="24" customFormat="1" hidden="1" outlineLevel="1" x14ac:dyDescent="0.3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>
        <f>--3611.56</f>
        <v>3611.56</v>
      </c>
      <c r="I14" s="2"/>
      <c r="J14" s="19"/>
      <c r="K14" s="2"/>
      <c r="L14" s="2">
        <f t="shared" si="0"/>
        <v>-3611.56</v>
      </c>
      <c r="M14" s="2"/>
      <c r="N14" s="19">
        <f t="shared" si="1"/>
        <v>-1</v>
      </c>
      <c r="O14" s="11"/>
      <c r="P14" s="2">
        <f>--296449.41</f>
        <v>296449.40999999997</v>
      </c>
      <c r="Q14" s="2"/>
      <c r="R14" s="19"/>
      <c r="S14" s="2"/>
      <c r="T14" s="2">
        <f>--558294.67</f>
        <v>558294.67000000004</v>
      </c>
      <c r="U14" s="2"/>
      <c r="V14" s="19"/>
      <c r="W14" s="2"/>
      <c r="X14" s="2">
        <f t="shared" si="2"/>
        <v>-261845.26000000007</v>
      </c>
      <c r="Y14" s="2"/>
      <c r="Z14" s="19">
        <f t="shared" si="3"/>
        <v>-0.46900906290221261</v>
      </c>
    </row>
    <row r="15" spans="1:26" s="24" customFormat="1" hidden="1" outlineLevel="1" x14ac:dyDescent="0.3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>
        <f>--11538.31</f>
        <v>11538.31</v>
      </c>
      <c r="I15" s="2"/>
      <c r="J15" s="19"/>
      <c r="K15" s="2"/>
      <c r="L15" s="2">
        <f t="shared" si="0"/>
        <v>-11538.31</v>
      </c>
      <c r="M15" s="2"/>
      <c r="N15" s="19">
        <f t="shared" si="1"/>
        <v>-1</v>
      </c>
      <c r="O15" s="11"/>
      <c r="P15" s="2">
        <f>--95481.76</f>
        <v>95481.76</v>
      </c>
      <c r="Q15" s="2"/>
      <c r="R15" s="19"/>
      <c r="S15" s="2"/>
      <c r="T15" s="2">
        <f>--122675.73</f>
        <v>122675.73</v>
      </c>
      <c r="U15" s="2"/>
      <c r="V15" s="19"/>
      <c r="W15" s="2"/>
      <c r="X15" s="2">
        <f t="shared" si="2"/>
        <v>-27193.97</v>
      </c>
      <c r="Y15" s="2"/>
      <c r="Z15" s="19">
        <f t="shared" si="3"/>
        <v>-0.22167359427981395</v>
      </c>
    </row>
    <row r="16" spans="1:26" s="24" customFormat="1" hidden="1" outlineLevel="1" x14ac:dyDescent="0.3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19"/>
      <c r="G16" s="2"/>
      <c r="H16" s="2">
        <f t="shared" ref="H16:H17" si="5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--0.08</f>
        <v>0.08</v>
      </c>
      <c r="Q16" s="2"/>
      <c r="R16" s="19"/>
      <c r="S16" s="2"/>
      <c r="T16" s="2">
        <f>--396.83</f>
        <v>396.83</v>
      </c>
      <c r="U16" s="2"/>
      <c r="V16" s="19"/>
      <c r="W16" s="2"/>
      <c r="X16" s="2">
        <f t="shared" si="2"/>
        <v>-396.75</v>
      </c>
      <c r="Y16" s="2"/>
      <c r="Z16" s="19">
        <f t="shared" si="3"/>
        <v>-0.9997984023385329</v>
      </c>
    </row>
    <row r="17" spans="1:26" s="24" customFormat="1" hidden="1" outlineLevel="1" x14ac:dyDescent="0.35">
      <c r="A17" s="44"/>
      <c r="B17" s="11" t="str">
        <f>CONCATENATE("          ", "4152", " - ", "NON-TAXABLE SALES-FOOD")</f>
        <v xml:space="preserve">          4152 - NON-TAXABLE SALES-FOOD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--397.21</f>
        <v>397.21</v>
      </c>
      <c r="Q17" s="2"/>
      <c r="R17" s="19"/>
      <c r="S17" s="2"/>
      <c r="T17" s="2">
        <f>--132.84</f>
        <v>132.84</v>
      </c>
      <c r="U17" s="2"/>
      <c r="V17" s="19"/>
      <c r="W17" s="2"/>
      <c r="X17" s="2">
        <f t="shared" si="2"/>
        <v>264.37</v>
      </c>
      <c r="Y17" s="2"/>
      <c r="Z17" s="19">
        <f t="shared" si="3"/>
        <v>1.9901385124962361</v>
      </c>
    </row>
    <row r="18" spans="1:26" x14ac:dyDescent="0.3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5">
      <c r="A19" s="10"/>
      <c r="B19" s="29" t="s">
        <v>8</v>
      </c>
      <c r="C19" s="10"/>
      <c r="D19" s="4">
        <f>SUM(OSRRefD16x_0)</f>
        <v>0</v>
      </c>
      <c r="E19" s="4"/>
      <c r="F19" s="13">
        <f t="shared" ref="F19:F21" si="6">IF(D$12=0,0,D19/D$12)</f>
        <v>0</v>
      </c>
      <c r="G19" s="4"/>
      <c r="H19" s="4">
        <f>SUM(OSRRefH16x_0)</f>
        <v>12231.27</v>
      </c>
      <c r="I19" s="4"/>
      <c r="J19" s="13">
        <f t="shared" ref="J19:J21" si="7">IF(H$12=0,0,H19/H$12)</f>
        <v>0.80735148222393993</v>
      </c>
      <c r="K19" s="4"/>
      <c r="L19" s="4">
        <f t="shared" ref="L19:L21" si="8">+D19-H19</f>
        <v>-12231.27</v>
      </c>
      <c r="M19" s="4"/>
      <c r="N19" s="13">
        <f t="shared" ref="N19:N21" si="9">IF(H19=0,0,L19/H19)</f>
        <v>-1</v>
      </c>
      <c r="O19" s="10"/>
      <c r="P19" s="4">
        <f>SUM(OSRRefP16x_0)</f>
        <v>141393.09</v>
      </c>
      <c r="Q19" s="4"/>
      <c r="R19" s="13">
        <f t="shared" ref="R19:R21" si="10">IF(P$12=0,0,P19/P$12)</f>
        <v>0.36039468051846146</v>
      </c>
      <c r="S19" s="4"/>
      <c r="T19" s="4">
        <f>SUM(OSRRefT16x_0)</f>
        <v>171884.91999999998</v>
      </c>
      <c r="U19" s="4"/>
      <c r="V19" s="13">
        <f t="shared" ref="V19:V21" si="11">IF(T$12=0,0,T19/T$12)</f>
        <v>0.24048526937671591</v>
      </c>
      <c r="W19" s="4"/>
      <c r="X19" s="4">
        <f t="shared" ref="X19:X21" si="12">+P19-T19</f>
        <v>-30491.829999999987</v>
      </c>
      <c r="Y19" s="4"/>
      <c r="Z19" s="13">
        <f t="shared" ref="Z19:Z21" si="13">IF(T19=0,0,X19/T19)</f>
        <v>-0.17739677221247793</v>
      </c>
    </row>
    <row r="20" spans="1:26" s="24" customFormat="1" hidden="1" outlineLevel="1" x14ac:dyDescent="0.3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6"/>
        <v>0</v>
      </c>
      <c r="G20" s="2"/>
      <c r="H20" s="2">
        <v>3537.27</v>
      </c>
      <c r="I20" s="2"/>
      <c r="J20" s="19">
        <f t="shared" si="7"/>
        <v>0.23348517181995623</v>
      </c>
      <c r="K20" s="2"/>
      <c r="L20" s="2">
        <f t="shared" si="8"/>
        <v>-3537.27</v>
      </c>
      <c r="M20" s="2"/>
      <c r="N20" s="19">
        <f t="shared" si="9"/>
        <v>-1</v>
      </c>
      <c r="O20" s="11"/>
      <c r="P20" s="2">
        <v>115476.09</v>
      </c>
      <c r="Q20" s="2"/>
      <c r="R20" s="19">
        <f t="shared" si="10"/>
        <v>0.29433523634762565</v>
      </c>
      <c r="S20" s="2"/>
      <c r="T20" s="2">
        <v>194395.62</v>
      </c>
      <c r="U20" s="2"/>
      <c r="V20" s="19">
        <f t="shared" si="11"/>
        <v>0.27198013090010287</v>
      </c>
      <c r="W20" s="2"/>
      <c r="X20" s="2">
        <f t="shared" si="12"/>
        <v>-78919.53</v>
      </c>
      <c r="Y20" s="2"/>
      <c r="Z20" s="19">
        <f t="shared" si="13"/>
        <v>-0.40597380743455025</v>
      </c>
    </row>
    <row r="21" spans="1:26" s="24" customFormat="1" hidden="1" outlineLevel="1" x14ac:dyDescent="0.3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6"/>
        <v>0</v>
      </c>
      <c r="G21" s="2"/>
      <c r="H21" s="2">
        <v>8694</v>
      </c>
      <c r="I21" s="2"/>
      <c r="J21" s="19">
        <f t="shared" si="7"/>
        <v>0.57386631040398373</v>
      </c>
      <c r="K21" s="2"/>
      <c r="L21" s="2">
        <f t="shared" si="8"/>
        <v>-8694</v>
      </c>
      <c r="M21" s="2"/>
      <c r="N21" s="19">
        <f t="shared" si="9"/>
        <v>-1</v>
      </c>
      <c r="O21" s="11"/>
      <c r="P21" s="2">
        <v>25917</v>
      </c>
      <c r="Q21" s="2"/>
      <c r="R21" s="19">
        <f t="shared" si="10"/>
        <v>6.6059444170835827E-2</v>
      </c>
      <c r="S21" s="2"/>
      <c r="T21" s="2">
        <v>-22510.7</v>
      </c>
      <c r="U21" s="2"/>
      <c r="V21" s="19">
        <f t="shared" si="11"/>
        <v>-3.1494861523386923E-2</v>
      </c>
      <c r="W21" s="2"/>
      <c r="X21" s="2">
        <f t="shared" si="12"/>
        <v>48427.7</v>
      </c>
      <c r="Y21" s="2"/>
      <c r="Z21" s="19">
        <f t="shared" si="13"/>
        <v>-2.1513191504484532</v>
      </c>
    </row>
    <row r="22" spans="1:26" x14ac:dyDescent="0.3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5">
      <c r="A23" s="10"/>
      <c r="B23" s="28" t="s">
        <v>6</v>
      </c>
      <c r="C23" s="28"/>
      <c r="D23" s="22">
        <f>D12-D19</f>
        <v>0</v>
      </c>
      <c r="E23" s="14"/>
      <c r="F23" s="21">
        <f>IF(D$12=0,0,D23/D$12)</f>
        <v>0</v>
      </c>
      <c r="G23" s="14"/>
      <c r="H23" s="22">
        <f>H12-H19</f>
        <v>2918.5999999999985</v>
      </c>
      <c r="I23" s="14"/>
      <c r="J23" s="21">
        <f>IF(H$12=0,0,H23/H$12)</f>
        <v>0.19264851777606004</v>
      </c>
      <c r="K23" s="15"/>
      <c r="L23" s="22">
        <f>+D23-H23</f>
        <v>-2918.5999999999985</v>
      </c>
      <c r="M23" s="15"/>
      <c r="N23" s="21">
        <f>IF(H23=0,0,L23/H23)</f>
        <v>-1</v>
      </c>
      <c r="O23" s="29"/>
      <c r="P23" s="22">
        <f>P12-P19</f>
        <v>250935.37000000002</v>
      </c>
      <c r="Q23" s="14"/>
      <c r="R23" s="21">
        <f>IF(P$12=0,0,P23/P$12)</f>
        <v>0.63960531948153854</v>
      </c>
      <c r="S23" s="14"/>
      <c r="T23" s="22">
        <f>T12-T19</f>
        <v>542857.07000000007</v>
      </c>
      <c r="U23" s="14"/>
      <c r="V23" s="21">
        <f>IF(T$12=0,0,T23/T$12)</f>
        <v>0.75951473062328423</v>
      </c>
      <c r="W23" s="15"/>
      <c r="X23" s="22">
        <f>+P23-T23</f>
        <v>-291921.70000000007</v>
      </c>
      <c r="Y23" s="15"/>
      <c r="Z23" s="21">
        <f>IF(T23=0,0,X23/T23)</f>
        <v>-0.53775057217178734</v>
      </c>
    </row>
    <row r="24" spans="1:26" x14ac:dyDescent="0.3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5">
      <c r="A25" s="10"/>
      <c r="B25" s="29" t="s">
        <v>9</v>
      </c>
      <c r="C25" s="10"/>
      <c r="D25" s="20">
        <f>SUM(OSRRefD22x_0)</f>
        <v>5915.2800000000007</v>
      </c>
      <c r="E25" s="20"/>
      <c r="F25" s="36">
        <f t="shared" ref="F25:F35" si="14">IF(D$12=0,0,D25/D$12)</f>
        <v>0</v>
      </c>
      <c r="G25" s="20"/>
      <c r="H25" s="20">
        <f>SUM(OSRRefH22x_0)</f>
        <v>22616.930000000008</v>
      </c>
      <c r="I25" s="20"/>
      <c r="J25" s="36">
        <f t="shared" ref="J25:J35" si="15">IF(H$12=0,0,H25/H$12)</f>
        <v>1.4928794768535973</v>
      </c>
      <c r="K25" s="4"/>
      <c r="L25" s="20">
        <f t="shared" ref="L25:L35" si="16">+D25-H25</f>
        <v>-16701.650000000009</v>
      </c>
      <c r="M25" s="4"/>
      <c r="N25" s="36">
        <f t="shared" ref="N25:N35" si="17">IF(H25=0,0,L25/H25)</f>
        <v>-0.73845787204541036</v>
      </c>
      <c r="O25" s="10"/>
      <c r="P25" s="20">
        <f>SUM(OSRRefP22x_0)</f>
        <v>336938.18</v>
      </c>
      <c r="Q25" s="20"/>
      <c r="R25" s="36">
        <f t="shared" ref="R25:R35" si="18">IF(P$12=0,0,P25/P$12)</f>
        <v>0.85881656405961471</v>
      </c>
      <c r="S25" s="20"/>
      <c r="T25" s="20">
        <f>SUM(OSRRefT22x_0)</f>
        <v>504525.3</v>
      </c>
      <c r="U25" s="20"/>
      <c r="V25" s="36">
        <f t="shared" ref="V25:V35" si="19">IF(T$12=0,0,T25/T$12)</f>
        <v>0.70588451085684778</v>
      </c>
      <c r="W25" s="4"/>
      <c r="X25" s="20">
        <f t="shared" ref="X25:X35" si="20">+P25-T25</f>
        <v>-167587.12</v>
      </c>
      <c r="Y25" s="4"/>
      <c r="Z25" s="36">
        <f t="shared" ref="Z25:Z35" si="21">IF(T25=0,0,X25/T25)</f>
        <v>-0.33216792101407006</v>
      </c>
    </row>
    <row r="26" spans="1:26" s="25" customFormat="1" outlineLevel="1" collapsed="1" x14ac:dyDescent="0.35">
      <c r="A26" s="26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1446.2</v>
      </c>
      <c r="E26" s="1"/>
      <c r="F26" s="5">
        <f t="shared" si="14"/>
        <v>0</v>
      </c>
      <c r="G26" s="1"/>
      <c r="H26" s="1">
        <f>SUM(OSRRefH22_0x_0)</f>
        <v>2897.8500000000008</v>
      </c>
      <c r="I26" s="1"/>
      <c r="J26" s="5">
        <f t="shared" si="15"/>
        <v>0.19127886905960256</v>
      </c>
      <c r="K26" s="1"/>
      <c r="L26" s="1">
        <f t="shared" si="16"/>
        <v>-1451.6500000000008</v>
      </c>
      <c r="M26" s="1"/>
      <c r="N26" s="5">
        <f t="shared" si="17"/>
        <v>-0.50094035233017598</v>
      </c>
      <c r="O26" s="12"/>
      <c r="P26" s="1">
        <f>SUM(OSRRefP22_0x_0)</f>
        <v>37882.54</v>
      </c>
      <c r="Q26" s="1"/>
      <c r="R26" s="5">
        <f t="shared" si="18"/>
        <v>9.6558225727493743E-2</v>
      </c>
      <c r="S26" s="1"/>
      <c r="T26" s="1">
        <f>SUM(OSRRefT22_0x_0)</f>
        <v>34119.340000000004</v>
      </c>
      <c r="U26" s="1"/>
      <c r="V26" s="5">
        <f t="shared" si="19"/>
        <v>4.7736582539386001E-2</v>
      </c>
      <c r="W26" s="1"/>
      <c r="X26" s="1">
        <f t="shared" si="20"/>
        <v>3763.1999999999971</v>
      </c>
      <c r="Y26" s="1"/>
      <c r="Z26" s="5">
        <f t="shared" si="21"/>
        <v>0.11029521673045248</v>
      </c>
    </row>
    <row r="27" spans="1:26" s="24" customFormat="1" hidden="1" outlineLevel="2" x14ac:dyDescent="0.35">
      <c r="A27" s="27"/>
      <c r="B27" s="11" t="str">
        <f>CONCATENATE("          ", "6111", " - ", "F.I.C.A.")</f>
        <v xml:space="preserve">          6111 - F.I.C.A.</v>
      </c>
      <c r="C27" s="11"/>
      <c r="D27" s="7">
        <v>341.58</v>
      </c>
      <c r="E27" s="2"/>
      <c r="F27" s="6">
        <f t="shared" si="14"/>
        <v>0</v>
      </c>
      <c r="G27" s="2"/>
      <c r="H27" s="7">
        <v>652.54</v>
      </c>
      <c r="I27" s="2"/>
      <c r="J27" s="6">
        <f t="shared" si="15"/>
        <v>4.3072316792157291E-2</v>
      </c>
      <c r="K27" s="2"/>
      <c r="L27" s="7">
        <f t="shared" si="16"/>
        <v>-310.95999999999998</v>
      </c>
      <c r="M27" s="2"/>
      <c r="N27" s="6">
        <f t="shared" si="17"/>
        <v>-0.47653783676096484</v>
      </c>
      <c r="O27" s="11"/>
      <c r="P27" s="7">
        <v>8664.3700000000008</v>
      </c>
      <c r="Q27" s="2"/>
      <c r="R27" s="6">
        <f t="shared" si="18"/>
        <v>2.2084479927864525E-2</v>
      </c>
      <c r="S27" s="2"/>
      <c r="T27" s="7">
        <v>10460.18</v>
      </c>
      <c r="U27" s="2"/>
      <c r="V27" s="6">
        <f t="shared" si="19"/>
        <v>1.4634903428578473E-2</v>
      </c>
      <c r="W27" s="2"/>
      <c r="X27" s="7">
        <f t="shared" si="20"/>
        <v>-1795.8099999999995</v>
      </c>
      <c r="Y27" s="2"/>
      <c r="Z27" s="6">
        <f t="shared" si="21"/>
        <v>-0.17168060205464911</v>
      </c>
    </row>
    <row r="28" spans="1:26" s="24" customFormat="1" hidden="1" outlineLevel="2" x14ac:dyDescent="0.3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173.25</v>
      </c>
      <c r="E28" s="2"/>
      <c r="F28" s="6">
        <f t="shared" si="14"/>
        <v>0</v>
      </c>
      <c r="G28" s="2"/>
      <c r="H28" s="7">
        <v>949.07</v>
      </c>
      <c r="I28" s="2"/>
      <c r="J28" s="6">
        <f t="shared" si="15"/>
        <v>6.2645422039925097E-2</v>
      </c>
      <c r="K28" s="2"/>
      <c r="L28" s="7">
        <f t="shared" si="16"/>
        <v>-775.82</v>
      </c>
      <c r="M28" s="2"/>
      <c r="N28" s="6">
        <f t="shared" si="17"/>
        <v>-0.81745287491965823</v>
      </c>
      <c r="O28" s="11"/>
      <c r="P28" s="7">
        <v>6750.72</v>
      </c>
      <c r="Q28" s="2"/>
      <c r="R28" s="6">
        <f t="shared" si="18"/>
        <v>1.7206806765943005E-2</v>
      </c>
      <c r="S28" s="2"/>
      <c r="T28" s="7">
        <v>7210.37</v>
      </c>
      <c r="U28" s="2"/>
      <c r="V28" s="6">
        <f t="shared" si="19"/>
        <v>1.0088073879638721E-2</v>
      </c>
      <c r="W28" s="2"/>
      <c r="X28" s="7">
        <f t="shared" si="20"/>
        <v>-459.64999999999964</v>
      </c>
      <c r="Y28" s="2"/>
      <c r="Z28" s="6">
        <f t="shared" si="21"/>
        <v>-6.3748462284182322E-2</v>
      </c>
    </row>
    <row r="29" spans="1:26" s="24" customFormat="1" hidden="1" outlineLevel="2" x14ac:dyDescent="0.35">
      <c r="A29" s="27"/>
      <c r="B29" s="11" t="str">
        <f>CONCATENATE("          ", "6113", " - ", "GROUP INSURANCE")</f>
        <v xml:space="preserve">          6113 - GROUP INSURANCE</v>
      </c>
      <c r="C29" s="11"/>
      <c r="D29" s="7">
        <v>699.3</v>
      </c>
      <c r="E29" s="2"/>
      <c r="F29" s="6">
        <f t="shared" si="14"/>
        <v>0</v>
      </c>
      <c r="G29" s="2"/>
      <c r="H29" s="7">
        <v>698.2</v>
      </c>
      <c r="I29" s="2"/>
      <c r="J29" s="6">
        <f t="shared" si="15"/>
        <v>4.6086204040034676E-2</v>
      </c>
      <c r="K29" s="2"/>
      <c r="L29" s="7">
        <f t="shared" si="16"/>
        <v>1.0999999999999091</v>
      </c>
      <c r="M29" s="2"/>
      <c r="N29" s="6">
        <f t="shared" si="17"/>
        <v>1.5754798052132755E-3</v>
      </c>
      <c r="O29" s="11"/>
      <c r="P29" s="7">
        <v>9773.43</v>
      </c>
      <c r="Q29" s="2"/>
      <c r="R29" s="6">
        <f t="shared" si="18"/>
        <v>2.4911345967610913E-2</v>
      </c>
      <c r="S29" s="2"/>
      <c r="T29" s="7">
        <v>11081.55</v>
      </c>
      <c r="U29" s="2"/>
      <c r="V29" s="6">
        <f t="shared" si="19"/>
        <v>1.5504266091880232E-2</v>
      </c>
      <c r="W29" s="2"/>
      <c r="X29" s="7">
        <f t="shared" si="20"/>
        <v>-1308.119999999999</v>
      </c>
      <c r="Y29" s="2"/>
      <c r="Z29" s="6">
        <f t="shared" si="21"/>
        <v>-0.11804485834562846</v>
      </c>
    </row>
    <row r="30" spans="1:26" s="24" customFormat="1" hidden="1" outlineLevel="2" x14ac:dyDescent="0.3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-514.21</v>
      </c>
      <c r="E30" s="2"/>
      <c r="F30" s="6">
        <f t="shared" si="14"/>
        <v>0</v>
      </c>
      <c r="G30" s="2"/>
      <c r="H30" s="7">
        <v>70.5</v>
      </c>
      <c r="I30" s="2"/>
      <c r="J30" s="6">
        <f t="shared" si="15"/>
        <v>4.6535052776030426E-3</v>
      </c>
      <c r="K30" s="2"/>
      <c r="L30" s="7">
        <f t="shared" si="16"/>
        <v>-584.71</v>
      </c>
      <c r="M30" s="2"/>
      <c r="N30" s="6">
        <f t="shared" si="17"/>
        <v>-8.2937588652482273</v>
      </c>
      <c r="O30" s="11"/>
      <c r="P30" s="7">
        <v>0</v>
      </c>
      <c r="Q30" s="2"/>
      <c r="R30" s="6">
        <f t="shared" si="18"/>
        <v>0</v>
      </c>
      <c r="S30" s="2"/>
      <c r="T30" s="7">
        <v>574.23</v>
      </c>
      <c r="U30" s="2"/>
      <c r="V30" s="6">
        <f t="shared" si="19"/>
        <v>8.0340879371030096E-4</v>
      </c>
      <c r="W30" s="2"/>
      <c r="X30" s="7">
        <f t="shared" si="20"/>
        <v>-574.23</v>
      </c>
      <c r="Y30" s="2"/>
      <c r="Z30" s="6">
        <f t="shared" si="21"/>
        <v>-1</v>
      </c>
    </row>
    <row r="31" spans="1:26" s="24" customFormat="1" hidden="1" outlineLevel="2" x14ac:dyDescent="0.35">
      <c r="A31" s="27"/>
      <c r="B31" s="11" t="str">
        <f>CONCATENATE("          ", "6115", " - ", "P.E.R.S.")</f>
        <v xml:space="preserve">          6115 - P.E.R.S.</v>
      </c>
      <c r="C31" s="11"/>
      <c r="D31" s="7">
        <v>320.99</v>
      </c>
      <c r="E31" s="2"/>
      <c r="F31" s="6">
        <f t="shared" si="14"/>
        <v>0</v>
      </c>
      <c r="G31" s="2"/>
      <c r="H31" s="7"/>
      <c r="I31" s="2"/>
      <c r="J31" s="6">
        <f t="shared" si="15"/>
        <v>0</v>
      </c>
      <c r="K31" s="2"/>
      <c r="L31" s="7">
        <f t="shared" si="16"/>
        <v>320.99</v>
      </c>
      <c r="M31" s="2"/>
      <c r="N31" s="6">
        <f t="shared" si="17"/>
        <v>0</v>
      </c>
      <c r="O31" s="11"/>
      <c r="P31" s="7">
        <v>4012.37</v>
      </c>
      <c r="Q31" s="2"/>
      <c r="R31" s="6">
        <f t="shared" si="18"/>
        <v>1.0227068410994196E-2</v>
      </c>
      <c r="S31" s="2"/>
      <c r="T31" s="7">
        <v>3985.02</v>
      </c>
      <c r="U31" s="2"/>
      <c r="V31" s="6">
        <f t="shared" si="19"/>
        <v>5.5754664700754467E-3</v>
      </c>
      <c r="W31" s="2"/>
      <c r="X31" s="7">
        <f t="shared" si="20"/>
        <v>27.349999999999909</v>
      </c>
      <c r="Y31" s="2"/>
      <c r="Z31" s="6">
        <f t="shared" si="21"/>
        <v>6.8632026940893421E-3</v>
      </c>
    </row>
    <row r="32" spans="1:26" s="24" customFormat="1" hidden="1" outlineLevel="2" x14ac:dyDescent="0.35">
      <c r="A32" s="27"/>
      <c r="B32" s="11" t="str">
        <f>CONCATENATE("          ", "6117", " - ", "RETIREMENT STAFF HOURLY")</f>
        <v xml:space="preserve">          6117 - RETIREMENT STAFF HOURLY</v>
      </c>
      <c r="C32" s="11"/>
      <c r="D32" s="7"/>
      <c r="E32" s="2"/>
      <c r="F32" s="6">
        <f t="shared" si="14"/>
        <v>0</v>
      </c>
      <c r="G32" s="2"/>
      <c r="H32" s="7"/>
      <c r="I32" s="2"/>
      <c r="J32" s="6">
        <f t="shared" si="15"/>
        <v>0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>
        <v>764.45</v>
      </c>
      <c r="Q32" s="2"/>
      <c r="R32" s="6">
        <f t="shared" si="18"/>
        <v>1.9484948912449533E-3</v>
      </c>
      <c r="S32" s="2"/>
      <c r="T32" s="7"/>
      <c r="U32" s="2"/>
      <c r="V32" s="6">
        <f t="shared" si="19"/>
        <v>0</v>
      </c>
      <c r="W32" s="2"/>
      <c r="X32" s="7">
        <f t="shared" si="20"/>
        <v>764.45</v>
      </c>
      <c r="Y32" s="2"/>
      <c r="Z32" s="6">
        <f t="shared" si="21"/>
        <v>0</v>
      </c>
    </row>
    <row r="33" spans="1:26" s="24" customFormat="1" hidden="1" outlineLevel="2" x14ac:dyDescent="0.35">
      <c r="A33" s="27"/>
      <c r="B33" s="11" t="str">
        <f>CONCATENATE("          ", "6118", " - ", "VACATION")</f>
        <v xml:space="preserve">          6118 - VACATION</v>
      </c>
      <c r="C33" s="11"/>
      <c r="D33" s="7">
        <v>176.92</v>
      </c>
      <c r="E33" s="2"/>
      <c r="F33" s="6">
        <f t="shared" si="14"/>
        <v>0</v>
      </c>
      <c r="G33" s="2"/>
      <c r="H33" s="7">
        <v>171.76</v>
      </c>
      <c r="I33" s="2"/>
      <c r="J33" s="6">
        <f t="shared" si="15"/>
        <v>1.133739101391629E-2</v>
      </c>
      <c r="K33" s="2"/>
      <c r="L33" s="7">
        <f t="shared" si="16"/>
        <v>5.1599999999999966</v>
      </c>
      <c r="M33" s="2"/>
      <c r="N33" s="6">
        <f t="shared" si="17"/>
        <v>3.0041918956683726E-2</v>
      </c>
      <c r="O33" s="11"/>
      <c r="P33" s="7">
        <v>2815.98</v>
      </c>
      <c r="Q33" s="2"/>
      <c r="R33" s="6">
        <f t="shared" si="18"/>
        <v>7.1776082724154143E-3</v>
      </c>
      <c r="S33" s="2"/>
      <c r="T33" s="7">
        <v>2857.55</v>
      </c>
      <c r="U33" s="2"/>
      <c r="V33" s="6">
        <f t="shared" si="19"/>
        <v>3.9980161232726795E-3</v>
      </c>
      <c r="W33" s="2"/>
      <c r="X33" s="7">
        <f t="shared" si="20"/>
        <v>-41.570000000000164</v>
      </c>
      <c r="Y33" s="2"/>
      <c r="Z33" s="6">
        <f t="shared" si="21"/>
        <v>-1.4547426991653746E-2</v>
      </c>
    </row>
    <row r="34" spans="1:26" s="24" customFormat="1" hidden="1" outlineLevel="2" x14ac:dyDescent="0.35">
      <c r="A34" s="27"/>
      <c r="B34" s="11" t="str">
        <f>CONCATENATE("          ", "6119", " - ", "SICK LEAVE")</f>
        <v xml:space="preserve">          6119 - SICK LEAVE</v>
      </c>
      <c r="C34" s="11"/>
      <c r="D34" s="7">
        <v>211.96</v>
      </c>
      <c r="E34" s="2"/>
      <c r="F34" s="6">
        <f t="shared" si="14"/>
        <v>0</v>
      </c>
      <c r="G34" s="2"/>
      <c r="H34" s="7">
        <v>205.78</v>
      </c>
      <c r="I34" s="2"/>
      <c r="J34" s="6">
        <f t="shared" si="15"/>
        <v>1.3582954837236228E-2</v>
      </c>
      <c r="K34" s="2"/>
      <c r="L34" s="7">
        <f t="shared" si="16"/>
        <v>6.1800000000000068</v>
      </c>
      <c r="M34" s="2"/>
      <c r="N34" s="6">
        <f t="shared" si="17"/>
        <v>3.0032073087763664E-2</v>
      </c>
      <c r="O34" s="11"/>
      <c r="P34" s="7">
        <v>3061.35</v>
      </c>
      <c r="Q34" s="2"/>
      <c r="R34" s="6">
        <f t="shared" si="18"/>
        <v>7.8030281055827553E-3</v>
      </c>
      <c r="S34" s="2"/>
      <c r="T34" s="7">
        <v>-3785.73</v>
      </c>
      <c r="U34" s="2"/>
      <c r="V34" s="6">
        <f t="shared" si="19"/>
        <v>-5.2966385814271245E-3</v>
      </c>
      <c r="W34" s="2"/>
      <c r="X34" s="7">
        <f t="shared" si="20"/>
        <v>6847.08</v>
      </c>
      <c r="Y34" s="2"/>
      <c r="Z34" s="6">
        <f t="shared" si="21"/>
        <v>-1.80865513388435</v>
      </c>
    </row>
    <row r="35" spans="1:26" s="24" customFormat="1" hidden="1" outlineLevel="2" x14ac:dyDescent="0.35">
      <c r="A35" s="27"/>
      <c r="B35" s="11" t="str">
        <f>CONCATENATE("          ", "6156", " - ", "EMPLOYEE MEALS")</f>
        <v xml:space="preserve">          6156 - EMPLOYEE MEALS</v>
      </c>
      <c r="C35" s="11"/>
      <c r="D35" s="7">
        <v>36.409999999999997</v>
      </c>
      <c r="E35" s="2"/>
      <c r="F35" s="6">
        <f t="shared" si="14"/>
        <v>0</v>
      </c>
      <c r="G35" s="2"/>
      <c r="H35" s="7">
        <v>150</v>
      </c>
      <c r="I35" s="2"/>
      <c r="J35" s="6">
        <f t="shared" si="15"/>
        <v>9.9010750587298774E-3</v>
      </c>
      <c r="K35" s="2"/>
      <c r="L35" s="7">
        <f t="shared" si="16"/>
        <v>-113.59</v>
      </c>
      <c r="M35" s="2"/>
      <c r="N35" s="6">
        <f t="shared" si="17"/>
        <v>-0.75726666666666664</v>
      </c>
      <c r="O35" s="11"/>
      <c r="P35" s="7">
        <v>2039.87</v>
      </c>
      <c r="Q35" s="2"/>
      <c r="R35" s="6">
        <f t="shared" si="18"/>
        <v>5.199393385837978E-3</v>
      </c>
      <c r="S35" s="2"/>
      <c r="T35" s="7">
        <v>1736.17</v>
      </c>
      <c r="U35" s="2"/>
      <c r="V35" s="6">
        <f t="shared" si="19"/>
        <v>2.4290863336572685E-3</v>
      </c>
      <c r="W35" s="2"/>
      <c r="X35" s="7">
        <f t="shared" si="20"/>
        <v>303.69999999999982</v>
      </c>
      <c r="Y35" s="2"/>
      <c r="Z35" s="6">
        <f t="shared" si="21"/>
        <v>0.17492526653495902</v>
      </c>
    </row>
    <row r="36" spans="1:26" s="25" customFormat="1" outlineLevel="1" collapsed="1" x14ac:dyDescent="0.35">
      <c r="A36" s="26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3446.53</v>
      </c>
      <c r="E36" s="1"/>
      <c r="F36" s="5">
        <f t="shared" ref="F36:F42" si="22">IF(D$12=0,0,D36/D$12)</f>
        <v>0</v>
      </c>
      <c r="G36" s="1"/>
      <c r="H36" s="1">
        <f>SUM(OSRRefH22_1x_0)</f>
        <v>8021.95</v>
      </c>
      <c r="I36" s="1"/>
      <c r="J36" s="5">
        <f t="shared" ref="J36:J42" si="23">IF(H$12=0,0,H36/H$12)</f>
        <v>0.52950619378252095</v>
      </c>
      <c r="K36" s="1"/>
      <c r="L36" s="1">
        <f t="shared" ref="L36:L42" si="24">+D36-H36</f>
        <v>-4575.42</v>
      </c>
      <c r="M36" s="1"/>
      <c r="N36" s="5">
        <f t="shared" ref="N36:N42" si="25">IF(H36=0,0,L36/H36)</f>
        <v>-0.57036256770485982</v>
      </c>
      <c r="O36" s="12"/>
      <c r="P36" s="1">
        <f>SUM(OSRRefP22_1x_0)</f>
        <v>156105.16999999998</v>
      </c>
      <c r="Q36" s="1"/>
      <c r="R36" s="5">
        <f t="shared" ref="R36:R42" si="26">IF(P$12=0,0,P36/P$12)</f>
        <v>0.39789407579557184</v>
      </c>
      <c r="S36" s="1"/>
      <c r="T36" s="1">
        <f>SUM(OSRRefT22_1x_0)</f>
        <v>197542.66</v>
      </c>
      <c r="U36" s="1"/>
      <c r="V36" s="5">
        <f t="shared" ref="V36:V42" si="27">IF(T$12=0,0,T36/T$12)</f>
        <v>0.2763831742976231</v>
      </c>
      <c r="W36" s="1"/>
      <c r="X36" s="1">
        <f t="shared" ref="X36:X42" si="28">+P36-T36</f>
        <v>-41437.49000000002</v>
      </c>
      <c r="Y36" s="1"/>
      <c r="Z36" s="5">
        <f t="shared" ref="Z36:Z42" si="29">IF(T36=0,0,X36/T36)</f>
        <v>-0.20976476675974709</v>
      </c>
    </row>
    <row r="37" spans="1:26" s="24" customFormat="1" hidden="1" outlineLevel="2" x14ac:dyDescent="0.35">
      <c r="A37" s="27"/>
      <c r="B37" s="11" t="str">
        <f>CONCATENATE("          ", "6002", " - ", "STAFF SALARIES")</f>
        <v xml:space="preserve">          6002 - STAFF SALARIES</v>
      </c>
      <c r="C37" s="11"/>
      <c r="D37" s="7">
        <v>3446.53</v>
      </c>
      <c r="E37" s="2"/>
      <c r="F37" s="6">
        <f t="shared" si="22"/>
        <v>0</v>
      </c>
      <c r="G37" s="2"/>
      <c r="H37" s="7">
        <v>3792.31</v>
      </c>
      <c r="I37" s="2"/>
      <c r="J37" s="6">
        <f t="shared" si="23"/>
        <v>0.25031963970647936</v>
      </c>
      <c r="K37" s="2"/>
      <c r="L37" s="7">
        <f t="shared" si="24"/>
        <v>-345.77999999999975</v>
      </c>
      <c r="M37" s="2"/>
      <c r="N37" s="6">
        <f t="shared" si="25"/>
        <v>-9.1179254860493927E-2</v>
      </c>
      <c r="O37" s="11"/>
      <c r="P37" s="7">
        <v>53765.93</v>
      </c>
      <c r="Q37" s="2"/>
      <c r="R37" s="6">
        <f t="shared" si="26"/>
        <v>0.13704315511548665</v>
      </c>
      <c r="S37" s="2"/>
      <c r="T37" s="7">
        <v>58669.71</v>
      </c>
      <c r="U37" s="2"/>
      <c r="V37" s="6">
        <f t="shared" si="27"/>
        <v>8.2085159149527506E-2</v>
      </c>
      <c r="W37" s="2"/>
      <c r="X37" s="7">
        <f t="shared" si="28"/>
        <v>-4903.7799999999988</v>
      </c>
      <c r="Y37" s="2"/>
      <c r="Z37" s="6">
        <f t="shared" si="29"/>
        <v>-8.3582823231953915E-2</v>
      </c>
    </row>
    <row r="38" spans="1:26" s="24" customFormat="1" hidden="1" outlineLevel="2" x14ac:dyDescent="0.35">
      <c r="A38" s="27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2"/>
        <v>0</v>
      </c>
      <c r="G38" s="2"/>
      <c r="H38" s="7"/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>
        <v>12512.45</v>
      </c>
      <c r="Q38" s="2"/>
      <c r="R38" s="6">
        <f t="shared" si="26"/>
        <v>3.189279207529324E-2</v>
      </c>
      <c r="S38" s="2"/>
      <c r="T38" s="7">
        <v>138</v>
      </c>
      <c r="U38" s="2"/>
      <c r="V38" s="6">
        <f t="shared" si="27"/>
        <v>1.9307666532926098E-4</v>
      </c>
      <c r="W38" s="2"/>
      <c r="X38" s="7">
        <f t="shared" si="28"/>
        <v>12374.45</v>
      </c>
      <c r="Y38" s="2"/>
      <c r="Z38" s="6">
        <f t="shared" si="29"/>
        <v>89.669927536231896</v>
      </c>
    </row>
    <row r="39" spans="1:26" s="24" customFormat="1" hidden="1" outlineLevel="2" x14ac:dyDescent="0.35">
      <c r="A39" s="27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2"/>
        <v>0</v>
      </c>
      <c r="G39" s="2"/>
      <c r="H39" s="7">
        <v>1716.89</v>
      </c>
      <c r="I39" s="2"/>
      <c r="J39" s="6">
        <f t="shared" si="23"/>
        <v>0.11332704505055161</v>
      </c>
      <c r="K39" s="2"/>
      <c r="L39" s="7">
        <f t="shared" si="24"/>
        <v>-1716.89</v>
      </c>
      <c r="M39" s="2"/>
      <c r="N39" s="6">
        <f t="shared" si="25"/>
        <v>-1</v>
      </c>
      <c r="O39" s="11"/>
      <c r="P39" s="7">
        <v>32469.929999999997</v>
      </c>
      <c r="Q39" s="2"/>
      <c r="R39" s="6">
        <f t="shared" si="26"/>
        <v>8.2762107036537691E-2</v>
      </c>
      <c r="S39" s="2"/>
      <c r="T39" s="7">
        <v>54474.09</v>
      </c>
      <c r="U39" s="2"/>
      <c r="V39" s="6">
        <f t="shared" si="27"/>
        <v>7.6215040898884368E-2</v>
      </c>
      <c r="W39" s="2"/>
      <c r="X39" s="7">
        <f t="shared" si="28"/>
        <v>-22004.16</v>
      </c>
      <c r="Y39" s="2"/>
      <c r="Z39" s="6">
        <f t="shared" si="29"/>
        <v>-0.40393809240319573</v>
      </c>
    </row>
    <row r="40" spans="1:26" s="24" customFormat="1" hidden="1" outlineLevel="2" x14ac:dyDescent="0.35">
      <c r="A40" s="27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2"/>
        <v>0</v>
      </c>
      <c r="G40" s="2"/>
      <c r="H40" s="7">
        <v>347.75</v>
      </c>
      <c r="I40" s="2"/>
      <c r="J40" s="6">
        <f t="shared" si="23"/>
        <v>2.2953992344488767E-2</v>
      </c>
      <c r="K40" s="2"/>
      <c r="L40" s="7">
        <f t="shared" si="24"/>
        <v>-347.75</v>
      </c>
      <c r="M40" s="2"/>
      <c r="N40" s="6">
        <f t="shared" si="25"/>
        <v>-1</v>
      </c>
      <c r="O40" s="11"/>
      <c r="P40" s="7">
        <v>303.38</v>
      </c>
      <c r="Q40" s="2"/>
      <c r="R40" s="6">
        <f t="shared" si="26"/>
        <v>7.7328063327345656E-4</v>
      </c>
      <c r="S40" s="2"/>
      <c r="T40" s="7">
        <v>650.75</v>
      </c>
      <c r="U40" s="2"/>
      <c r="V40" s="6">
        <f t="shared" si="27"/>
        <v>9.1046840552910574E-4</v>
      </c>
      <c r="W40" s="2"/>
      <c r="X40" s="7">
        <f t="shared" si="28"/>
        <v>-347.37</v>
      </c>
      <c r="Y40" s="2"/>
      <c r="Z40" s="6">
        <f t="shared" si="29"/>
        <v>-0.53379946215904728</v>
      </c>
    </row>
    <row r="41" spans="1:26" s="24" customFormat="1" hidden="1" outlineLevel="2" x14ac:dyDescent="0.35">
      <c r="A41" s="27"/>
      <c r="B41" s="11" t="str">
        <f>CONCATENATE("          ", "6007", " - ", "STUDENT HOURLY")</f>
        <v xml:space="preserve">          6007 - STUDENT HOURLY</v>
      </c>
      <c r="C41" s="11"/>
      <c r="D41" s="7"/>
      <c r="E41" s="2"/>
      <c r="F41" s="6">
        <f t="shared" si="22"/>
        <v>0</v>
      </c>
      <c r="G41" s="2"/>
      <c r="H41" s="7">
        <v>2057</v>
      </c>
      <c r="I41" s="2"/>
      <c r="J41" s="6">
        <f t="shared" si="23"/>
        <v>0.13577674263871573</v>
      </c>
      <c r="K41" s="2"/>
      <c r="L41" s="7">
        <f t="shared" si="24"/>
        <v>-2057</v>
      </c>
      <c r="M41" s="2"/>
      <c r="N41" s="6">
        <f t="shared" si="25"/>
        <v>-1</v>
      </c>
      <c r="O41" s="11"/>
      <c r="P41" s="7">
        <v>49893.740000000005</v>
      </c>
      <c r="Q41" s="2"/>
      <c r="R41" s="6">
        <f t="shared" si="26"/>
        <v>0.12717338935849823</v>
      </c>
      <c r="S41" s="2"/>
      <c r="T41" s="7">
        <v>77917.41</v>
      </c>
      <c r="U41" s="2"/>
      <c r="V41" s="6">
        <f t="shared" si="27"/>
        <v>0.10901473691226676</v>
      </c>
      <c r="W41" s="2"/>
      <c r="X41" s="7">
        <f t="shared" si="28"/>
        <v>-28023.67</v>
      </c>
      <c r="Y41" s="2"/>
      <c r="Z41" s="6">
        <f t="shared" si="29"/>
        <v>-0.35965864368438322</v>
      </c>
    </row>
    <row r="42" spans="1:26" s="24" customFormat="1" hidden="1" outlineLevel="2" x14ac:dyDescent="0.3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2"/>
        <v>0</v>
      </c>
      <c r="G42" s="2"/>
      <c r="H42" s="7">
        <v>108</v>
      </c>
      <c r="I42" s="2"/>
      <c r="J42" s="6">
        <f t="shared" si="23"/>
        <v>7.1287740422855119E-3</v>
      </c>
      <c r="K42" s="2"/>
      <c r="L42" s="7">
        <f t="shared" si="24"/>
        <v>-108</v>
      </c>
      <c r="M42" s="2"/>
      <c r="N42" s="6">
        <f t="shared" si="25"/>
        <v>-1</v>
      </c>
      <c r="O42" s="11"/>
      <c r="P42" s="7">
        <v>7159.74</v>
      </c>
      <c r="Q42" s="2"/>
      <c r="R42" s="6">
        <f t="shared" si="26"/>
        <v>1.8249351576482623E-2</v>
      </c>
      <c r="S42" s="2"/>
      <c r="T42" s="7">
        <v>5692.7</v>
      </c>
      <c r="U42" s="2"/>
      <c r="V42" s="6">
        <f t="shared" si="27"/>
        <v>7.9646922660861156E-3</v>
      </c>
      <c r="W42" s="2"/>
      <c r="X42" s="7">
        <f t="shared" si="28"/>
        <v>1467.04</v>
      </c>
      <c r="Y42" s="2"/>
      <c r="Z42" s="6">
        <f t="shared" si="29"/>
        <v>0.25770548245999264</v>
      </c>
    </row>
    <row r="43" spans="1:26" s="25" customFormat="1" outlineLevel="1" collapsed="1" x14ac:dyDescent="0.35">
      <c r="A43" s="26"/>
      <c r="B43" s="12" t="str">
        <f>CONCATENATE("     ","Advertising/Promo                                 ")</f>
        <v xml:space="preserve">     Advertising/Promo                                 </v>
      </c>
      <c r="C43" s="12"/>
      <c r="D43" s="1">
        <f>SUM(OSRRefD22_2x_0)</f>
        <v>0</v>
      </c>
      <c r="E43" s="1"/>
      <c r="F43" s="5">
        <f t="shared" ref="F43:F60" si="30">IF(D$12=0,0,D43/D$12)</f>
        <v>0</v>
      </c>
      <c r="G43" s="1"/>
      <c r="H43" s="1">
        <f>SUM(OSRRefH22_2x_0)</f>
        <v>4056.02</v>
      </c>
      <c r="I43" s="1"/>
      <c r="J43" s="5">
        <f t="shared" ref="J43:J60" si="31">IF(H$12=0,0,H43/H$12)</f>
        <v>0.26772638973139706</v>
      </c>
      <c r="K43" s="1"/>
      <c r="L43" s="1">
        <f t="shared" ref="L43:L60" si="32">+D43-H43</f>
        <v>-4056.02</v>
      </c>
      <c r="M43" s="1"/>
      <c r="N43" s="5">
        <f t="shared" ref="N43:N60" si="33">IF(H43=0,0,L43/H43)</f>
        <v>-1</v>
      </c>
      <c r="O43" s="12"/>
      <c r="P43" s="1">
        <f>SUM(OSRRefP22_2x_0)</f>
        <v>1868.45</v>
      </c>
      <c r="Q43" s="1"/>
      <c r="R43" s="5">
        <f t="shared" ref="R43:R60" si="34">IF(P$12=0,0,P43/P$12)</f>
        <v>4.7624635745263039E-3</v>
      </c>
      <c r="S43" s="1"/>
      <c r="T43" s="1">
        <f>SUM(OSRRefT22_2x_0)</f>
        <v>7083.48</v>
      </c>
      <c r="U43" s="1"/>
      <c r="V43" s="5">
        <f t="shared" ref="V43:V60" si="35">IF(T$12=0,0,T43/T$12)</f>
        <v>9.9105412849747349E-3</v>
      </c>
      <c r="W43" s="1"/>
      <c r="X43" s="1">
        <f t="shared" ref="X43:X60" si="36">+P43-T43</f>
        <v>-5215.03</v>
      </c>
      <c r="Y43" s="1"/>
      <c r="Z43" s="5">
        <f t="shared" ref="Z43:Z60" si="37">IF(T43=0,0,X43/T43)</f>
        <v>-0.73622428523832917</v>
      </c>
    </row>
    <row r="44" spans="1:26" s="24" customFormat="1" hidden="1" outlineLevel="2" x14ac:dyDescent="0.35">
      <c r="A44" s="27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4056.02</v>
      </c>
      <c r="I44" s="2"/>
      <c r="J44" s="6">
        <f t="shared" si="31"/>
        <v>0.26772638973139706</v>
      </c>
      <c r="K44" s="2"/>
      <c r="L44" s="7">
        <f t="shared" si="32"/>
        <v>-4056.02</v>
      </c>
      <c r="M44" s="2"/>
      <c r="N44" s="6">
        <f t="shared" si="33"/>
        <v>-1</v>
      </c>
      <c r="O44" s="11"/>
      <c r="P44" s="7">
        <v>1868.45</v>
      </c>
      <c r="Q44" s="2"/>
      <c r="R44" s="6">
        <f t="shared" si="34"/>
        <v>4.7624635745263039E-3</v>
      </c>
      <c r="S44" s="2"/>
      <c r="T44" s="7">
        <v>7083.48</v>
      </c>
      <c r="U44" s="2"/>
      <c r="V44" s="6">
        <f t="shared" si="35"/>
        <v>9.9105412849747349E-3</v>
      </c>
      <c r="W44" s="2"/>
      <c r="X44" s="7">
        <f t="shared" si="36"/>
        <v>-5215.03</v>
      </c>
      <c r="Y44" s="2"/>
      <c r="Z44" s="6">
        <f t="shared" si="37"/>
        <v>-0.73622428523832917</v>
      </c>
    </row>
    <row r="45" spans="1:26" s="25" customFormat="1" outlineLevel="1" collapsed="1" x14ac:dyDescent="0.35">
      <c r="A45" s="26"/>
      <c r="B45" s="12" t="str">
        <f>CONCATENATE("     ","Bad Debts/Over/Short                              ")</f>
        <v xml:space="preserve">     Bad Debts/Over/Short                              </v>
      </c>
      <c r="C45" s="12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-22.54</v>
      </c>
      <c r="I45" s="1"/>
      <c r="J45" s="5">
        <f t="shared" si="31"/>
        <v>-1.4878015454918095E-3</v>
      </c>
      <c r="K45" s="1"/>
      <c r="L45" s="1">
        <f t="shared" si="32"/>
        <v>22.54</v>
      </c>
      <c r="M45" s="1"/>
      <c r="N45" s="5">
        <f t="shared" si="33"/>
        <v>-1</v>
      </c>
      <c r="O45" s="12"/>
      <c r="P45" s="1">
        <f>SUM(OSRRefP22_3x_0)</f>
        <v>-144.01</v>
      </c>
      <c r="Q45" s="1"/>
      <c r="R45" s="5">
        <f t="shared" si="34"/>
        <v>-3.6706488231824934E-4</v>
      </c>
      <c r="S45" s="1"/>
      <c r="T45" s="1">
        <f>SUM(OSRRefT22_3x_0)</f>
        <v>-719.14</v>
      </c>
      <c r="U45" s="1"/>
      <c r="V45" s="5">
        <f t="shared" si="35"/>
        <v>-1.00615328336873E-3</v>
      </c>
      <c r="W45" s="1"/>
      <c r="X45" s="1">
        <f t="shared" si="36"/>
        <v>575.13</v>
      </c>
      <c r="Y45" s="1"/>
      <c r="Z45" s="5">
        <f t="shared" si="37"/>
        <v>-0.7997469199321412</v>
      </c>
    </row>
    <row r="46" spans="1:26" s="24" customFormat="1" hidden="1" outlineLevel="2" x14ac:dyDescent="0.35">
      <c r="A46" s="27"/>
      <c r="B46" s="11" t="str">
        <f>CONCATENATE("          ", "6272", " - ", "CASH (OVER/SHORT)")</f>
        <v xml:space="preserve">          6272 - CASH (OVER/SHORT)</v>
      </c>
      <c r="C46" s="11"/>
      <c r="D46" s="7"/>
      <c r="E46" s="2"/>
      <c r="F46" s="6">
        <f t="shared" si="30"/>
        <v>0</v>
      </c>
      <c r="G46" s="2"/>
      <c r="H46" s="7">
        <v>-22.54</v>
      </c>
      <c r="I46" s="2"/>
      <c r="J46" s="6">
        <f t="shared" si="31"/>
        <v>-1.4878015454918095E-3</v>
      </c>
      <c r="K46" s="2"/>
      <c r="L46" s="7">
        <f t="shared" si="32"/>
        <v>22.54</v>
      </c>
      <c r="M46" s="2"/>
      <c r="N46" s="6">
        <f t="shared" si="33"/>
        <v>-1</v>
      </c>
      <c r="O46" s="11"/>
      <c r="P46" s="7">
        <v>-144.01</v>
      </c>
      <c r="Q46" s="2"/>
      <c r="R46" s="6">
        <f t="shared" si="34"/>
        <v>-3.6706488231824934E-4</v>
      </c>
      <c r="S46" s="2"/>
      <c r="T46" s="7">
        <v>-719.14</v>
      </c>
      <c r="U46" s="2"/>
      <c r="V46" s="6">
        <f t="shared" si="35"/>
        <v>-1.00615328336873E-3</v>
      </c>
      <c r="W46" s="2"/>
      <c r="X46" s="7">
        <f t="shared" si="36"/>
        <v>575.13</v>
      </c>
      <c r="Y46" s="2"/>
      <c r="Z46" s="6">
        <f t="shared" si="37"/>
        <v>-0.7997469199321412</v>
      </c>
    </row>
    <row r="47" spans="1:26" s="25" customFormat="1" outlineLevel="1" collapsed="1" x14ac:dyDescent="0.35">
      <c r="A47" s="26"/>
      <c r="B47" s="12" t="str">
        <f>CONCATENATE("     ","Bank/card Fees                                    ")</f>
        <v xml:space="preserve">     Bank/card Fees                                    </v>
      </c>
      <c r="C47" s="12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812</v>
      </c>
      <c r="I47" s="1"/>
      <c r="J47" s="5">
        <f t="shared" si="31"/>
        <v>5.359781965125774E-2</v>
      </c>
      <c r="K47" s="1"/>
      <c r="L47" s="1">
        <f t="shared" si="32"/>
        <v>-812</v>
      </c>
      <c r="M47" s="1"/>
      <c r="N47" s="5">
        <f t="shared" si="33"/>
        <v>-1</v>
      </c>
      <c r="O47" s="12"/>
      <c r="P47" s="1">
        <f>SUM(OSRRefP22_4x_0)</f>
        <v>7654.91</v>
      </c>
      <c r="Q47" s="1"/>
      <c r="R47" s="5">
        <f t="shared" si="34"/>
        <v>1.9511482801935907E-2</v>
      </c>
      <c r="S47" s="1"/>
      <c r="T47" s="1">
        <f>SUM(OSRRefT22_4x_0)</f>
        <v>16349.36</v>
      </c>
      <c r="U47" s="1"/>
      <c r="V47" s="5">
        <f t="shared" si="35"/>
        <v>2.2874492094692802E-2</v>
      </c>
      <c r="W47" s="1"/>
      <c r="X47" s="1">
        <f t="shared" si="36"/>
        <v>-8694.4500000000007</v>
      </c>
      <c r="Y47" s="1"/>
      <c r="Z47" s="5">
        <f t="shared" si="37"/>
        <v>-0.53179145850357445</v>
      </c>
    </row>
    <row r="48" spans="1:26" s="24" customFormat="1" hidden="1" outlineLevel="2" x14ac:dyDescent="0.35">
      <c r="A48" s="27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30"/>
        <v>0</v>
      </c>
      <c r="G48" s="2"/>
      <c r="H48" s="7">
        <v>812</v>
      </c>
      <c r="I48" s="2"/>
      <c r="J48" s="6">
        <f t="shared" si="31"/>
        <v>5.359781965125774E-2</v>
      </c>
      <c r="K48" s="2"/>
      <c r="L48" s="7">
        <f t="shared" si="32"/>
        <v>-812</v>
      </c>
      <c r="M48" s="2"/>
      <c r="N48" s="6">
        <f t="shared" si="33"/>
        <v>-1</v>
      </c>
      <c r="O48" s="11"/>
      <c r="P48" s="7">
        <v>7654.91</v>
      </c>
      <c r="Q48" s="2"/>
      <c r="R48" s="6">
        <f t="shared" si="34"/>
        <v>1.9511482801935907E-2</v>
      </c>
      <c r="S48" s="2"/>
      <c r="T48" s="7">
        <v>16349.36</v>
      </c>
      <c r="U48" s="2"/>
      <c r="V48" s="6">
        <f t="shared" si="35"/>
        <v>2.2874492094692802E-2</v>
      </c>
      <c r="W48" s="2"/>
      <c r="X48" s="7">
        <f t="shared" si="36"/>
        <v>-8694.4500000000007</v>
      </c>
      <c r="Y48" s="2"/>
      <c r="Z48" s="6">
        <f t="shared" si="37"/>
        <v>-0.53179145850357445</v>
      </c>
    </row>
    <row r="49" spans="1:26" s="25" customFormat="1" outlineLevel="1" collapsed="1" x14ac:dyDescent="0.35">
      <c r="A49" s="26"/>
      <c r="B49" s="12" t="str">
        <f>CONCATENATE("     ","Depreciation                                      ")</f>
        <v xml:space="preserve">     Depreciation                                      </v>
      </c>
      <c r="C49" s="12"/>
      <c r="D49" s="1">
        <f>SUM(OSRRefD22_5x_0)</f>
        <v>1000.93</v>
      </c>
      <c r="E49" s="1"/>
      <c r="F49" s="5">
        <f t="shared" si="30"/>
        <v>0</v>
      </c>
      <c r="G49" s="1"/>
      <c r="H49" s="1">
        <f>SUM(OSRRefH22_5x_0)</f>
        <v>250.87</v>
      </c>
      <c r="I49" s="1"/>
      <c r="J49" s="5">
        <f t="shared" si="31"/>
        <v>1.6559217999890428E-2</v>
      </c>
      <c r="K49" s="1"/>
      <c r="L49" s="1">
        <f t="shared" si="32"/>
        <v>750.06</v>
      </c>
      <c r="M49" s="1"/>
      <c r="N49" s="5">
        <f t="shared" si="33"/>
        <v>2.9898353729022995</v>
      </c>
      <c r="O49" s="12"/>
      <c r="P49" s="1">
        <f>SUM(OSRRefP22_5x_0)</f>
        <v>6046.46</v>
      </c>
      <c r="Q49" s="1"/>
      <c r="R49" s="5">
        <f t="shared" si="34"/>
        <v>1.5411729243399777E-2</v>
      </c>
      <c r="S49" s="1"/>
      <c r="T49" s="1">
        <f>SUM(OSRRefT22_5x_0)</f>
        <v>1021.4</v>
      </c>
      <c r="U49" s="1"/>
      <c r="V49" s="5">
        <f t="shared" si="35"/>
        <v>1.4290471446906316E-3</v>
      </c>
      <c r="W49" s="1"/>
      <c r="X49" s="1">
        <f t="shared" si="36"/>
        <v>5025.0600000000004</v>
      </c>
      <c r="Y49" s="1"/>
      <c r="Z49" s="5">
        <f t="shared" si="37"/>
        <v>4.9197767769727827</v>
      </c>
    </row>
    <row r="50" spans="1:26" s="24" customFormat="1" hidden="1" outlineLevel="2" x14ac:dyDescent="0.3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1000.93</v>
      </c>
      <c r="E50" s="2"/>
      <c r="F50" s="6">
        <f t="shared" si="30"/>
        <v>0</v>
      </c>
      <c r="G50" s="2"/>
      <c r="H50" s="7">
        <v>250.87</v>
      </c>
      <c r="I50" s="2"/>
      <c r="J50" s="6">
        <f t="shared" si="31"/>
        <v>1.6559217999890428E-2</v>
      </c>
      <c r="K50" s="2"/>
      <c r="L50" s="7">
        <f t="shared" si="32"/>
        <v>750.06</v>
      </c>
      <c r="M50" s="2"/>
      <c r="N50" s="6">
        <f t="shared" si="33"/>
        <v>2.9898353729022995</v>
      </c>
      <c r="O50" s="11"/>
      <c r="P50" s="7">
        <v>6046.46</v>
      </c>
      <c r="Q50" s="2"/>
      <c r="R50" s="6">
        <f t="shared" si="34"/>
        <v>1.5411729243399777E-2</v>
      </c>
      <c r="S50" s="2"/>
      <c r="T50" s="7">
        <v>1021.4</v>
      </c>
      <c r="U50" s="2"/>
      <c r="V50" s="6">
        <f t="shared" si="35"/>
        <v>1.4290471446906316E-3</v>
      </c>
      <c r="W50" s="2"/>
      <c r="X50" s="7">
        <f t="shared" si="36"/>
        <v>5025.0600000000004</v>
      </c>
      <c r="Y50" s="2"/>
      <c r="Z50" s="6">
        <f t="shared" si="37"/>
        <v>4.9197767769727827</v>
      </c>
    </row>
    <row r="51" spans="1:26" s="25" customFormat="1" outlineLevel="1" collapsed="1" x14ac:dyDescent="0.35">
      <c r="A51" s="26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116.26</v>
      </c>
      <c r="I51" s="1"/>
      <c r="J51" s="5">
        <f t="shared" si="31"/>
        <v>7.6739932421862377E-3</v>
      </c>
      <c r="K51" s="1"/>
      <c r="L51" s="1">
        <f t="shared" si="32"/>
        <v>-116.26</v>
      </c>
      <c r="M51" s="1"/>
      <c r="N51" s="5">
        <f t="shared" si="33"/>
        <v>-1</v>
      </c>
      <c r="O51" s="12"/>
      <c r="P51" s="1">
        <f>SUM(OSRRefP22_6x_0)</f>
        <v>118.6</v>
      </c>
      <c r="Q51" s="1"/>
      <c r="R51" s="5">
        <f t="shared" si="34"/>
        <v>3.022977226785943E-4</v>
      </c>
      <c r="S51" s="1"/>
      <c r="T51" s="1">
        <f>SUM(OSRRefT22_6x_0)</f>
        <v>346.69</v>
      </c>
      <c r="U51" s="1"/>
      <c r="V51" s="5">
        <f t="shared" si="35"/>
        <v>4.8505615292030065E-4</v>
      </c>
      <c r="W51" s="1"/>
      <c r="X51" s="1">
        <f t="shared" si="36"/>
        <v>-228.09</v>
      </c>
      <c r="Y51" s="1"/>
      <c r="Z51" s="5">
        <f t="shared" si="37"/>
        <v>-0.65790764083186715</v>
      </c>
    </row>
    <row r="52" spans="1:26" s="24" customFormat="1" hidden="1" outlineLevel="2" x14ac:dyDescent="0.35">
      <c r="A52" s="27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0"/>
        <v>0</v>
      </c>
      <c r="G52" s="2"/>
      <c r="H52" s="7">
        <v>116.26</v>
      </c>
      <c r="I52" s="2"/>
      <c r="J52" s="6">
        <f t="shared" si="31"/>
        <v>7.6739932421862377E-3</v>
      </c>
      <c r="K52" s="2"/>
      <c r="L52" s="7">
        <f t="shared" si="32"/>
        <v>-116.26</v>
      </c>
      <c r="M52" s="2"/>
      <c r="N52" s="6">
        <f t="shared" si="33"/>
        <v>-1</v>
      </c>
      <c r="O52" s="11"/>
      <c r="P52" s="7">
        <v>118.6</v>
      </c>
      <c r="Q52" s="2"/>
      <c r="R52" s="6">
        <f t="shared" si="34"/>
        <v>3.022977226785943E-4</v>
      </c>
      <c r="S52" s="2"/>
      <c r="T52" s="7">
        <v>346.69</v>
      </c>
      <c r="U52" s="2"/>
      <c r="V52" s="6">
        <f t="shared" si="35"/>
        <v>4.8505615292030065E-4</v>
      </c>
      <c r="W52" s="2"/>
      <c r="X52" s="7">
        <f t="shared" si="36"/>
        <v>-228.09</v>
      </c>
      <c r="Y52" s="2"/>
      <c r="Z52" s="6">
        <f t="shared" si="37"/>
        <v>-0.65790764083186715</v>
      </c>
    </row>
    <row r="53" spans="1:26" s="25" customFormat="1" outlineLevel="1" collapsed="1" x14ac:dyDescent="0.35">
      <c r="A53" s="26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2"/>
      <c r="P53" s="1">
        <f>SUM(OSRRefP22_7x_0)</f>
        <v>350</v>
      </c>
      <c r="Q53" s="1"/>
      <c r="R53" s="5">
        <f t="shared" si="34"/>
        <v>8.9210963690984841E-4</v>
      </c>
      <c r="S53" s="1"/>
      <c r="T53" s="1">
        <f>SUM(OSRRefT22_7x_0)</f>
        <v>1030</v>
      </c>
      <c r="U53" s="1"/>
      <c r="V53" s="5">
        <f t="shared" si="35"/>
        <v>1.4410794586169479E-3</v>
      </c>
      <c r="W53" s="1"/>
      <c r="X53" s="1">
        <f t="shared" si="36"/>
        <v>-680</v>
      </c>
      <c r="Y53" s="1"/>
      <c r="Z53" s="5">
        <f t="shared" si="37"/>
        <v>-0.66019417475728159</v>
      </c>
    </row>
    <row r="54" spans="1:26" s="24" customFormat="1" hidden="1" outlineLevel="2" x14ac:dyDescent="0.35">
      <c r="A54" s="27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>
        <v>350</v>
      </c>
      <c r="Q54" s="2"/>
      <c r="R54" s="6">
        <f t="shared" si="34"/>
        <v>8.9210963690984841E-4</v>
      </c>
      <c r="S54" s="2"/>
      <c r="T54" s="7">
        <v>1030</v>
      </c>
      <c r="U54" s="2"/>
      <c r="V54" s="6">
        <f t="shared" si="35"/>
        <v>1.4410794586169479E-3</v>
      </c>
      <c r="W54" s="2"/>
      <c r="X54" s="7">
        <f t="shared" si="36"/>
        <v>-680</v>
      </c>
      <c r="Y54" s="2"/>
      <c r="Z54" s="6">
        <f t="shared" si="37"/>
        <v>-0.66019417475728159</v>
      </c>
    </row>
    <row r="55" spans="1:26" s="25" customFormat="1" outlineLevel="1" collapsed="1" x14ac:dyDescent="0.35">
      <c r="A55" s="26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SUM(OSRRefD22_8x_0)</f>
        <v>0</v>
      </c>
      <c r="E55" s="1"/>
      <c r="F55" s="5">
        <f t="shared" si="30"/>
        <v>0</v>
      </c>
      <c r="G55" s="1"/>
      <c r="H55" s="1">
        <f>SUM(OSRRefH22_8x_0)</f>
        <v>128.4</v>
      </c>
      <c r="I55" s="1"/>
      <c r="J55" s="5">
        <f t="shared" si="31"/>
        <v>8.4753202502727762E-3</v>
      </c>
      <c r="K55" s="1"/>
      <c r="L55" s="1">
        <f t="shared" si="32"/>
        <v>-128.4</v>
      </c>
      <c r="M55" s="1"/>
      <c r="N55" s="5">
        <f t="shared" si="33"/>
        <v>-1</v>
      </c>
      <c r="O55" s="12"/>
      <c r="P55" s="1">
        <f>SUM(OSRRefP22_8x_0)</f>
        <v>14829.04</v>
      </c>
      <c r="Q55" s="1"/>
      <c r="R55" s="5">
        <f t="shared" si="34"/>
        <v>3.7797512828918911E-2</v>
      </c>
      <c r="S55" s="1"/>
      <c r="T55" s="1">
        <f>SUM(OSRRefT22_8x_0)</f>
        <v>6593.67</v>
      </c>
      <c r="U55" s="1"/>
      <c r="V55" s="5">
        <f t="shared" si="35"/>
        <v>9.2252450426202042E-3</v>
      </c>
      <c r="W55" s="1"/>
      <c r="X55" s="1">
        <f t="shared" si="36"/>
        <v>8235.3700000000008</v>
      </c>
      <c r="Y55" s="1"/>
      <c r="Z55" s="5">
        <f t="shared" si="37"/>
        <v>1.248981219866933</v>
      </c>
    </row>
    <row r="56" spans="1:26" s="24" customFormat="1" hidden="1" outlineLevel="2" x14ac:dyDescent="0.35">
      <c r="A56" s="27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30"/>
        <v>0</v>
      </c>
      <c r="G56" s="2"/>
      <c r="H56" s="7">
        <v>128.4</v>
      </c>
      <c r="I56" s="2"/>
      <c r="J56" s="6">
        <f t="shared" si="31"/>
        <v>8.4753202502727762E-3</v>
      </c>
      <c r="K56" s="2"/>
      <c r="L56" s="7">
        <f t="shared" si="32"/>
        <v>-128.4</v>
      </c>
      <c r="M56" s="2"/>
      <c r="N56" s="6">
        <f t="shared" si="33"/>
        <v>-1</v>
      </c>
      <c r="O56" s="11"/>
      <c r="P56" s="7">
        <v>14829.04</v>
      </c>
      <c r="Q56" s="2"/>
      <c r="R56" s="6">
        <f t="shared" si="34"/>
        <v>3.7797512828918911E-2</v>
      </c>
      <c r="S56" s="2"/>
      <c r="T56" s="7">
        <v>6593.67</v>
      </c>
      <c r="U56" s="2"/>
      <c r="V56" s="6">
        <f t="shared" si="35"/>
        <v>9.2252450426202042E-3</v>
      </c>
      <c r="W56" s="2"/>
      <c r="X56" s="7">
        <f t="shared" si="36"/>
        <v>8235.3700000000008</v>
      </c>
      <c r="Y56" s="2"/>
      <c r="Z56" s="6">
        <f t="shared" si="37"/>
        <v>1.248981219866933</v>
      </c>
    </row>
    <row r="57" spans="1:26" s="25" customFormat="1" outlineLevel="1" collapsed="1" x14ac:dyDescent="0.35">
      <c r="A57" s="26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SUM(OSRRefD22_9x_0)</f>
        <v>0</v>
      </c>
      <c r="E57" s="1"/>
      <c r="F57" s="5">
        <f t="shared" si="30"/>
        <v>0</v>
      </c>
      <c r="G57" s="1"/>
      <c r="H57" s="1">
        <f>SUM(OSRRefH22_9x_0)</f>
        <v>396.38</v>
      </c>
      <c r="I57" s="1"/>
      <c r="J57" s="5">
        <f t="shared" si="31"/>
        <v>2.6163920878528993E-2</v>
      </c>
      <c r="K57" s="1"/>
      <c r="L57" s="1">
        <f t="shared" si="32"/>
        <v>-396.38</v>
      </c>
      <c r="M57" s="1"/>
      <c r="N57" s="5">
        <f t="shared" si="33"/>
        <v>-1</v>
      </c>
      <c r="O57" s="12"/>
      <c r="P57" s="1">
        <f>SUM(OSRRefP22_9x_0)</f>
        <v>5688.74</v>
      </c>
      <c r="Q57" s="1"/>
      <c r="R57" s="5">
        <f t="shared" si="34"/>
        <v>1.4499942216784373E-2</v>
      </c>
      <c r="S57" s="1"/>
      <c r="T57" s="1">
        <f>SUM(OSRRefT22_9x_0)</f>
        <v>6153.61</v>
      </c>
      <c r="U57" s="1"/>
      <c r="V57" s="5">
        <f t="shared" si="35"/>
        <v>8.6095543372231419E-3</v>
      </c>
      <c r="W57" s="1"/>
      <c r="X57" s="1">
        <f t="shared" si="36"/>
        <v>-464.86999999999989</v>
      </c>
      <c r="Y57" s="1"/>
      <c r="Z57" s="5">
        <f t="shared" si="37"/>
        <v>-7.5544274011515172E-2</v>
      </c>
    </row>
    <row r="58" spans="1:26" s="24" customFormat="1" hidden="1" outlineLevel="2" x14ac:dyDescent="0.3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30"/>
        <v>0</v>
      </c>
      <c r="G58" s="2"/>
      <c r="H58" s="7"/>
      <c r="I58" s="2"/>
      <c r="J58" s="6">
        <f t="shared" si="31"/>
        <v>0</v>
      </c>
      <c r="K58" s="2"/>
      <c r="L58" s="7">
        <f t="shared" si="32"/>
        <v>0</v>
      </c>
      <c r="M58" s="2"/>
      <c r="N58" s="6">
        <f t="shared" si="33"/>
        <v>0</v>
      </c>
      <c r="O58" s="11"/>
      <c r="P58" s="7">
        <v>2623.84</v>
      </c>
      <c r="Q58" s="2"/>
      <c r="R58" s="6">
        <f t="shared" si="34"/>
        <v>6.6878655705986763E-3</v>
      </c>
      <c r="S58" s="2"/>
      <c r="T58" s="7"/>
      <c r="U58" s="2"/>
      <c r="V58" s="6">
        <f t="shared" si="35"/>
        <v>0</v>
      </c>
      <c r="W58" s="2"/>
      <c r="X58" s="7">
        <f t="shared" si="36"/>
        <v>2623.84</v>
      </c>
      <c r="Y58" s="2"/>
      <c r="Z58" s="6">
        <f t="shared" si="37"/>
        <v>0</v>
      </c>
    </row>
    <row r="59" spans="1:26" s="24" customFormat="1" hidden="1" outlineLevel="2" x14ac:dyDescent="0.35">
      <c r="A59" s="27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30"/>
        <v>0</v>
      </c>
      <c r="G59" s="2"/>
      <c r="H59" s="7"/>
      <c r="I59" s="2"/>
      <c r="J59" s="6">
        <f t="shared" si="31"/>
        <v>0</v>
      </c>
      <c r="K59" s="2"/>
      <c r="L59" s="7">
        <f t="shared" si="32"/>
        <v>0</v>
      </c>
      <c r="M59" s="2"/>
      <c r="N59" s="6">
        <f t="shared" si="33"/>
        <v>0</v>
      </c>
      <c r="O59" s="11"/>
      <c r="P59" s="7">
        <v>573</v>
      </c>
      <c r="Q59" s="2"/>
      <c r="R59" s="6">
        <f t="shared" si="34"/>
        <v>1.4605109198552661E-3</v>
      </c>
      <c r="S59" s="2"/>
      <c r="T59" s="7">
        <v>614.5</v>
      </c>
      <c r="U59" s="2"/>
      <c r="V59" s="6">
        <f t="shared" si="35"/>
        <v>8.597508032234121E-4</v>
      </c>
      <c r="W59" s="2"/>
      <c r="X59" s="7">
        <f t="shared" si="36"/>
        <v>-41.5</v>
      </c>
      <c r="Y59" s="2"/>
      <c r="Z59" s="6">
        <f t="shared" si="37"/>
        <v>-6.7534580960130181E-2</v>
      </c>
    </row>
    <row r="60" spans="1:26" s="24" customFormat="1" hidden="1" outlineLevel="2" x14ac:dyDescent="0.3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30"/>
        <v>0</v>
      </c>
      <c r="G60" s="2"/>
      <c r="H60" s="7">
        <v>396.38</v>
      </c>
      <c r="I60" s="2"/>
      <c r="J60" s="6">
        <f t="shared" si="31"/>
        <v>2.6163920878528993E-2</v>
      </c>
      <c r="K60" s="2"/>
      <c r="L60" s="7">
        <f t="shared" si="32"/>
        <v>-396.38</v>
      </c>
      <c r="M60" s="2"/>
      <c r="N60" s="6">
        <f t="shared" si="33"/>
        <v>-1</v>
      </c>
      <c r="O60" s="11"/>
      <c r="P60" s="7">
        <v>2491.9</v>
      </c>
      <c r="Q60" s="2"/>
      <c r="R60" s="6">
        <f t="shared" si="34"/>
        <v>6.3515657263304324E-3</v>
      </c>
      <c r="S60" s="2"/>
      <c r="T60" s="7">
        <v>5539.11</v>
      </c>
      <c r="U60" s="2"/>
      <c r="V60" s="6">
        <f t="shared" si="35"/>
        <v>7.7498035339997303E-3</v>
      </c>
      <c r="W60" s="2"/>
      <c r="X60" s="7">
        <f t="shared" si="36"/>
        <v>-3047.2099999999996</v>
      </c>
      <c r="Y60" s="2"/>
      <c r="Z60" s="6">
        <f t="shared" si="37"/>
        <v>-0.55012628382537987</v>
      </c>
    </row>
    <row r="61" spans="1:26" s="25" customFormat="1" outlineLevel="1" collapsed="1" x14ac:dyDescent="0.35">
      <c r="A61" s="26"/>
      <c r="B61" s="12" t="str">
        <f>CONCATENATE("     ","Royalty &amp; Commissions                             ")</f>
        <v xml:space="preserve">     Royalty &amp; Commissions                             </v>
      </c>
      <c r="C61" s="12"/>
      <c r="D61" s="1">
        <f>SUM(OSRRefD22_10x_0)</f>
        <v>0</v>
      </c>
      <c r="E61" s="1"/>
      <c r="F61" s="5">
        <f t="shared" ref="F61:F66" si="38">IF(D$12=0,0,D61/D$12)</f>
        <v>0</v>
      </c>
      <c r="G61" s="1"/>
      <c r="H61" s="1">
        <f>SUM(OSRRefH22_10x_0)</f>
        <v>5996.4</v>
      </c>
      <c r="I61" s="1"/>
      <c r="J61" s="5">
        <f t="shared" ref="J61:J66" si="39">IF(H$12=0,0,H61/H$12)</f>
        <v>0.39580537654778558</v>
      </c>
      <c r="K61" s="1"/>
      <c r="L61" s="1">
        <f t="shared" ref="L61:L66" si="40">+D61-H61</f>
        <v>-5996.4</v>
      </c>
      <c r="M61" s="1"/>
      <c r="N61" s="5">
        <f t="shared" ref="N61:N66" si="41">IF(H61=0,0,L61/H61)</f>
        <v>-1</v>
      </c>
      <c r="O61" s="12"/>
      <c r="P61" s="1">
        <f>SUM(OSRRefP22_10x_0)</f>
        <v>83387.12</v>
      </c>
      <c r="Q61" s="1"/>
      <c r="R61" s="5">
        <f t="shared" ref="R61:R66" si="42">IF(P$12=0,0,P61/P$12)</f>
        <v>0.21254415241759414</v>
      </c>
      <c r="S61" s="1"/>
      <c r="T61" s="1">
        <f>SUM(OSRRefT22_10x_0)</f>
        <v>209396</v>
      </c>
      <c r="U61" s="1"/>
      <c r="V61" s="5">
        <f t="shared" ref="V61:V66" si="43">IF(T$12=0,0,T61/T$12)</f>
        <v>0.29296725661801398</v>
      </c>
      <c r="W61" s="1"/>
      <c r="X61" s="1">
        <f t="shared" ref="X61:X66" si="44">+P61-T61</f>
        <v>-126008.88</v>
      </c>
      <c r="Y61" s="1"/>
      <c r="Z61" s="5">
        <f t="shared" ref="Z61:Z66" si="45">IF(T61=0,0,X61/T61)</f>
        <v>-0.60177309977267956</v>
      </c>
    </row>
    <row r="62" spans="1:26" s="24" customFormat="1" hidden="1" outlineLevel="2" x14ac:dyDescent="0.35">
      <c r="A62" s="27"/>
      <c r="B62" s="11" t="str">
        <f>CONCATENATE("          ", "6254", " - ", "ROYALTY &amp; COMMISSIONS")</f>
        <v xml:space="preserve">          6254 - ROYALTY &amp; COMMISSIONS</v>
      </c>
      <c r="C62" s="11"/>
      <c r="D62" s="7"/>
      <c r="E62" s="2"/>
      <c r="F62" s="6">
        <f t="shared" si="38"/>
        <v>0</v>
      </c>
      <c r="G62" s="2"/>
      <c r="H62" s="7">
        <v>5996.4</v>
      </c>
      <c r="I62" s="2"/>
      <c r="J62" s="6">
        <f t="shared" si="39"/>
        <v>0.39580537654778558</v>
      </c>
      <c r="K62" s="2"/>
      <c r="L62" s="7">
        <f t="shared" si="40"/>
        <v>-5996.4</v>
      </c>
      <c r="M62" s="2"/>
      <c r="N62" s="6">
        <f t="shared" si="41"/>
        <v>-1</v>
      </c>
      <c r="O62" s="11"/>
      <c r="P62" s="7">
        <v>83387.12</v>
      </c>
      <c r="Q62" s="2"/>
      <c r="R62" s="6">
        <f t="shared" si="42"/>
        <v>0.21254415241759414</v>
      </c>
      <c r="S62" s="2"/>
      <c r="T62" s="7">
        <v>209396</v>
      </c>
      <c r="U62" s="2"/>
      <c r="V62" s="6">
        <f t="shared" si="43"/>
        <v>0.29296725661801398</v>
      </c>
      <c r="W62" s="2"/>
      <c r="X62" s="7">
        <f t="shared" si="44"/>
        <v>-126008.88</v>
      </c>
      <c r="Y62" s="2"/>
      <c r="Z62" s="6">
        <f t="shared" si="45"/>
        <v>-0.60177309977267956</v>
      </c>
    </row>
    <row r="63" spans="1:26" s="25" customFormat="1" outlineLevel="1" collapsed="1" x14ac:dyDescent="0.35">
      <c r="A63" s="26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SUM(OSRRefD22_11x_0)</f>
        <v>0</v>
      </c>
      <c r="E63" s="1"/>
      <c r="F63" s="5">
        <f t="shared" si="38"/>
        <v>0</v>
      </c>
      <c r="G63" s="1"/>
      <c r="H63" s="1">
        <f>SUM(OSRRefH22_11x_0)</f>
        <v>40.61</v>
      </c>
      <c r="I63" s="1"/>
      <c r="J63" s="5">
        <f t="shared" si="39"/>
        <v>2.6805510542334686E-3</v>
      </c>
      <c r="K63" s="1"/>
      <c r="L63" s="1">
        <f t="shared" si="40"/>
        <v>-40.61</v>
      </c>
      <c r="M63" s="1"/>
      <c r="N63" s="5">
        <f t="shared" si="41"/>
        <v>-1</v>
      </c>
      <c r="O63" s="12"/>
      <c r="P63" s="1">
        <f>SUM(OSRRefP22_11x_0)</f>
        <v>3287.06</v>
      </c>
      <c r="Q63" s="1"/>
      <c r="R63" s="5">
        <f t="shared" si="42"/>
        <v>8.378336866002532E-3</v>
      </c>
      <c r="S63" s="1"/>
      <c r="T63" s="1">
        <f>SUM(OSRRefT22_11x_0)</f>
        <v>3599.6499999999996</v>
      </c>
      <c r="U63" s="1"/>
      <c r="V63" s="5">
        <f t="shared" si="43"/>
        <v>5.0362928866121322E-3</v>
      </c>
      <c r="W63" s="1"/>
      <c r="X63" s="1">
        <f t="shared" si="44"/>
        <v>-312.58999999999969</v>
      </c>
      <c r="Y63" s="1"/>
      <c r="Z63" s="5">
        <f t="shared" si="45"/>
        <v>-8.6838998235939532E-2</v>
      </c>
    </row>
    <row r="64" spans="1:26" s="24" customFormat="1" hidden="1" outlineLevel="2" x14ac:dyDescent="0.3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7"/>
      <c r="E64" s="2"/>
      <c r="F64" s="6">
        <f t="shared" si="38"/>
        <v>0</v>
      </c>
      <c r="G64" s="2"/>
      <c r="H64" s="7"/>
      <c r="I64" s="2"/>
      <c r="J64" s="6">
        <f t="shared" si="39"/>
        <v>0</v>
      </c>
      <c r="K64" s="2"/>
      <c r="L64" s="7">
        <f t="shared" si="40"/>
        <v>0</v>
      </c>
      <c r="M64" s="2"/>
      <c r="N64" s="6">
        <f t="shared" si="41"/>
        <v>0</v>
      </c>
      <c r="O64" s="11"/>
      <c r="P64" s="7">
        <v>2258.1</v>
      </c>
      <c r="Q64" s="2"/>
      <c r="R64" s="6">
        <f t="shared" si="42"/>
        <v>5.7556364888746532E-3</v>
      </c>
      <c r="S64" s="2"/>
      <c r="T64" s="7">
        <v>2483.91</v>
      </c>
      <c r="U64" s="2"/>
      <c r="V64" s="6">
        <f t="shared" si="43"/>
        <v>3.4752540563623524E-3</v>
      </c>
      <c r="W64" s="2"/>
      <c r="X64" s="7">
        <f t="shared" si="44"/>
        <v>-225.80999999999995</v>
      </c>
      <c r="Y64" s="2"/>
      <c r="Z64" s="6">
        <f t="shared" si="45"/>
        <v>-9.0909090909090898E-2</v>
      </c>
    </row>
    <row r="65" spans="1:26" s="24" customFormat="1" hidden="1" outlineLevel="2" x14ac:dyDescent="0.35">
      <c r="A65" s="27"/>
      <c r="B65" s="11" t="str">
        <f>CONCATENATE("          ", "6285", " - ", "JANITORIAL SERVICES")</f>
        <v xml:space="preserve">          6285 - JANITORIAL SERVICES</v>
      </c>
      <c r="C65" s="11"/>
      <c r="D65" s="7"/>
      <c r="E65" s="2"/>
      <c r="F65" s="6">
        <f t="shared" si="38"/>
        <v>0</v>
      </c>
      <c r="G65" s="2"/>
      <c r="H65" s="7"/>
      <c r="I65" s="2"/>
      <c r="J65" s="6">
        <f t="shared" si="39"/>
        <v>0</v>
      </c>
      <c r="K65" s="2"/>
      <c r="L65" s="7">
        <f t="shared" si="40"/>
        <v>0</v>
      </c>
      <c r="M65" s="2"/>
      <c r="N65" s="6">
        <f t="shared" si="41"/>
        <v>0</v>
      </c>
      <c r="O65" s="11"/>
      <c r="P65" s="7">
        <v>549.6</v>
      </c>
      <c r="Q65" s="2"/>
      <c r="R65" s="6">
        <f t="shared" si="42"/>
        <v>1.4008670184161506E-3</v>
      </c>
      <c r="S65" s="2"/>
      <c r="T65" s="7">
        <v>524</v>
      </c>
      <c r="U65" s="2"/>
      <c r="V65" s="6">
        <f t="shared" si="43"/>
        <v>7.3313168574299097E-4</v>
      </c>
      <c r="W65" s="2"/>
      <c r="X65" s="7">
        <f t="shared" si="44"/>
        <v>25.600000000000023</v>
      </c>
      <c r="Y65" s="2"/>
      <c r="Z65" s="6">
        <f t="shared" si="45"/>
        <v>4.885496183206111E-2</v>
      </c>
    </row>
    <row r="66" spans="1:26" s="24" customFormat="1" hidden="1" outlineLevel="2" x14ac:dyDescent="0.35">
      <c r="A66" s="27"/>
      <c r="B66" s="11" t="str">
        <f>CONCATENATE("          ", "6286", " - ", "LAUNDRY EXPENSE")</f>
        <v xml:space="preserve">          6286 - LAUNDRY EXPENSE</v>
      </c>
      <c r="C66" s="11"/>
      <c r="D66" s="7"/>
      <c r="E66" s="2"/>
      <c r="F66" s="6">
        <f t="shared" si="38"/>
        <v>0</v>
      </c>
      <c r="G66" s="2"/>
      <c r="H66" s="7">
        <v>40.61</v>
      </c>
      <c r="I66" s="2"/>
      <c r="J66" s="6">
        <f t="shared" si="39"/>
        <v>2.6805510542334686E-3</v>
      </c>
      <c r="K66" s="2"/>
      <c r="L66" s="7">
        <f t="shared" si="40"/>
        <v>-40.61</v>
      </c>
      <c r="M66" s="2"/>
      <c r="N66" s="6">
        <f t="shared" si="41"/>
        <v>-1</v>
      </c>
      <c r="O66" s="11"/>
      <c r="P66" s="7">
        <v>479.36</v>
      </c>
      <c r="Q66" s="2"/>
      <c r="R66" s="6">
        <f t="shared" si="42"/>
        <v>1.2218333587117284E-3</v>
      </c>
      <c r="S66" s="2"/>
      <c r="T66" s="7">
        <v>591.74</v>
      </c>
      <c r="U66" s="2"/>
      <c r="V66" s="6">
        <f t="shared" si="43"/>
        <v>8.2790714450678914E-4</v>
      </c>
      <c r="W66" s="2"/>
      <c r="X66" s="7">
        <f t="shared" si="44"/>
        <v>-112.38</v>
      </c>
      <c r="Y66" s="2"/>
      <c r="Z66" s="6">
        <f t="shared" si="45"/>
        <v>-0.18991448947172743</v>
      </c>
    </row>
    <row r="67" spans="1:26" s="25" customFormat="1" outlineLevel="1" collapsed="1" x14ac:dyDescent="0.35">
      <c r="A67" s="26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SUM(OSRRefD22_12x_0)</f>
        <v>0</v>
      </c>
      <c r="E67" s="1"/>
      <c r="F67" s="5">
        <f t="shared" ref="F67:F74" si="46">IF(D$12=0,0,D67/D$12)</f>
        <v>0</v>
      </c>
      <c r="G67" s="1"/>
      <c r="H67" s="1">
        <f>SUM(OSRRefH22_12x_0)</f>
        <v>-599.81999999999994</v>
      </c>
      <c r="I67" s="1"/>
      <c r="J67" s="5">
        <f t="shared" ref="J67:J74" si="47">IF(H$12=0,0,H67/H$12)</f>
        <v>-3.959241894484903E-2</v>
      </c>
      <c r="K67" s="1"/>
      <c r="L67" s="1">
        <f t="shared" ref="L67:L74" si="48">+D67-H67</f>
        <v>599.81999999999994</v>
      </c>
      <c r="M67" s="1"/>
      <c r="N67" s="5">
        <f t="shared" ref="N67:N74" si="49">IF(H67=0,0,L67/H67)</f>
        <v>-1</v>
      </c>
      <c r="O67" s="12"/>
      <c r="P67" s="1">
        <f>SUM(OSRRefP22_12x_0)</f>
        <v>15992.96</v>
      </c>
      <c r="Q67" s="1"/>
      <c r="R67" s="5">
        <f t="shared" ref="R67:R74" si="50">IF(P$12=0,0,P67/P$12)</f>
        <v>4.0764210682039226E-2</v>
      </c>
      <c r="S67" s="1"/>
      <c r="T67" s="1">
        <f>SUM(OSRRefT22_12x_0)</f>
        <v>16476.59</v>
      </c>
      <c r="U67" s="1"/>
      <c r="V67" s="5">
        <f t="shared" ref="V67:V74" si="51">IF(T$12=0,0,T67/T$12)</f>
        <v>2.3052500385488756E-2</v>
      </c>
      <c r="W67" s="1"/>
      <c r="X67" s="1">
        <f t="shared" ref="X67:X74" si="52">+P67-T67</f>
        <v>-483.63000000000102</v>
      </c>
      <c r="Y67" s="1"/>
      <c r="Z67" s="5">
        <f t="shared" ref="Z67:Z74" si="53">IF(T67=0,0,X67/T67)</f>
        <v>-2.9352554138932934E-2</v>
      </c>
    </row>
    <row r="68" spans="1:26" s="24" customFormat="1" hidden="1" outlineLevel="2" x14ac:dyDescent="0.35">
      <c r="A68" s="27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>
        <v>3756.46</v>
      </c>
      <c r="Q68" s="2"/>
      <c r="R68" s="6">
        <f t="shared" si="50"/>
        <v>9.574783333332483E-3</v>
      </c>
      <c r="S68" s="2"/>
      <c r="T68" s="7"/>
      <c r="U68" s="2"/>
      <c r="V68" s="6">
        <f t="shared" si="51"/>
        <v>0</v>
      </c>
      <c r="W68" s="2"/>
      <c r="X68" s="7">
        <f t="shared" si="52"/>
        <v>3756.46</v>
      </c>
      <c r="Y68" s="2"/>
      <c r="Z68" s="6">
        <f t="shared" si="53"/>
        <v>0</v>
      </c>
    </row>
    <row r="69" spans="1:26" s="24" customFormat="1" hidden="1" outlineLevel="2" x14ac:dyDescent="0.35">
      <c r="A69" s="27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0</v>
      </c>
      <c r="M69" s="2"/>
      <c r="N69" s="6">
        <f t="shared" si="49"/>
        <v>0</v>
      </c>
      <c r="O69" s="11"/>
      <c r="P69" s="7">
        <v>1507.19</v>
      </c>
      <c r="Q69" s="2"/>
      <c r="R69" s="6">
        <f t="shared" si="50"/>
        <v>3.8416534961547271E-3</v>
      </c>
      <c r="S69" s="2"/>
      <c r="T69" s="7">
        <v>55.29</v>
      </c>
      <c r="U69" s="2"/>
      <c r="V69" s="6">
        <f t="shared" si="51"/>
        <v>7.7356585696049558E-5</v>
      </c>
      <c r="W69" s="2"/>
      <c r="X69" s="7">
        <f t="shared" si="52"/>
        <v>1451.9</v>
      </c>
      <c r="Y69" s="2"/>
      <c r="Z69" s="6">
        <f t="shared" si="53"/>
        <v>26.259721468620004</v>
      </c>
    </row>
    <row r="70" spans="1:26" s="24" customFormat="1" hidden="1" outlineLevel="2" x14ac:dyDescent="0.35">
      <c r="A70" s="27"/>
      <c r="B70" s="11" t="str">
        <f>CONCATENATE("          ", "6239", " - ", "KITCHEN SUPPLIES")</f>
        <v xml:space="preserve">          6239 - KITCHEN SUPPLIES</v>
      </c>
      <c r="C70" s="11"/>
      <c r="D70" s="7"/>
      <c r="E70" s="2"/>
      <c r="F70" s="6">
        <f t="shared" si="46"/>
        <v>0</v>
      </c>
      <c r="G70" s="2"/>
      <c r="H70" s="7">
        <v>390.18</v>
      </c>
      <c r="I70" s="2"/>
      <c r="J70" s="6">
        <f t="shared" si="47"/>
        <v>2.575467644276816E-2</v>
      </c>
      <c r="K70" s="2"/>
      <c r="L70" s="7">
        <f t="shared" si="48"/>
        <v>-390.18</v>
      </c>
      <c r="M70" s="2"/>
      <c r="N70" s="6">
        <f t="shared" si="49"/>
        <v>-1</v>
      </c>
      <c r="O70" s="11"/>
      <c r="P70" s="7">
        <v>7140.25</v>
      </c>
      <c r="Q70" s="2"/>
      <c r="R70" s="6">
        <f t="shared" si="50"/>
        <v>1.8199673814130127E-2</v>
      </c>
      <c r="S70" s="2"/>
      <c r="T70" s="7">
        <v>11435.8</v>
      </c>
      <c r="U70" s="2"/>
      <c r="V70" s="6">
        <f t="shared" si="51"/>
        <v>1.5999899488205526E-2</v>
      </c>
      <c r="W70" s="2"/>
      <c r="X70" s="7">
        <f t="shared" si="52"/>
        <v>-4295.5499999999993</v>
      </c>
      <c r="Y70" s="2"/>
      <c r="Z70" s="6">
        <f t="shared" si="53"/>
        <v>-0.37562304342503361</v>
      </c>
    </row>
    <row r="71" spans="1:26" s="24" customFormat="1" hidden="1" outlineLevel="2" x14ac:dyDescent="0.35">
      <c r="A71" s="27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46"/>
        <v>0</v>
      </c>
      <c r="G71" s="2"/>
      <c r="H71" s="7"/>
      <c r="I71" s="2"/>
      <c r="J71" s="6">
        <f t="shared" si="47"/>
        <v>0</v>
      </c>
      <c r="K71" s="2"/>
      <c r="L71" s="7">
        <f t="shared" si="48"/>
        <v>0</v>
      </c>
      <c r="M71" s="2"/>
      <c r="N71" s="6">
        <f t="shared" si="49"/>
        <v>0</v>
      </c>
      <c r="O71" s="11"/>
      <c r="P71" s="7">
        <v>599.88</v>
      </c>
      <c r="Q71" s="2"/>
      <c r="R71" s="6">
        <f t="shared" si="50"/>
        <v>1.5290249399699425E-3</v>
      </c>
      <c r="S71" s="2"/>
      <c r="T71" s="7">
        <v>1769.53</v>
      </c>
      <c r="U71" s="2"/>
      <c r="V71" s="6">
        <f t="shared" si="51"/>
        <v>2.4757605188412113E-3</v>
      </c>
      <c r="W71" s="2"/>
      <c r="X71" s="7">
        <f t="shared" si="52"/>
        <v>-1169.6500000000001</v>
      </c>
      <c r="Y71" s="2"/>
      <c r="Z71" s="6">
        <f t="shared" si="53"/>
        <v>-0.66099472741349408</v>
      </c>
    </row>
    <row r="72" spans="1:26" s="24" customFormat="1" hidden="1" outlineLevel="2" x14ac:dyDescent="0.35">
      <c r="A72" s="27"/>
      <c r="B72" s="11" t="str">
        <f>CONCATENATE("          ", "6243", " - ", "PAPER SUPPLIES")</f>
        <v xml:space="preserve">          6243 - PAPER SUPPLIES</v>
      </c>
      <c r="C72" s="11"/>
      <c r="D72" s="7"/>
      <c r="E72" s="2"/>
      <c r="F72" s="6">
        <f t="shared" si="46"/>
        <v>0</v>
      </c>
      <c r="G72" s="2"/>
      <c r="H72" s="7">
        <v>-990</v>
      </c>
      <c r="I72" s="2"/>
      <c r="J72" s="6">
        <f t="shared" si="47"/>
        <v>-6.5347095387617196E-2</v>
      </c>
      <c r="K72" s="2"/>
      <c r="L72" s="7">
        <f t="shared" si="48"/>
        <v>990</v>
      </c>
      <c r="M72" s="2"/>
      <c r="N72" s="6">
        <f t="shared" si="49"/>
        <v>-1</v>
      </c>
      <c r="O72" s="11"/>
      <c r="P72" s="7">
        <v>2632.41</v>
      </c>
      <c r="Q72" s="2"/>
      <c r="R72" s="6">
        <f t="shared" si="50"/>
        <v>6.7097095122795828E-3</v>
      </c>
      <c r="S72" s="2"/>
      <c r="T72" s="7">
        <v>1218.5899999999999</v>
      </c>
      <c r="U72" s="2"/>
      <c r="V72" s="6">
        <f t="shared" si="51"/>
        <v>1.7049369101708996E-3</v>
      </c>
      <c r="W72" s="2"/>
      <c r="X72" s="7">
        <f t="shared" si="52"/>
        <v>1413.82</v>
      </c>
      <c r="Y72" s="2"/>
      <c r="Z72" s="6">
        <f t="shared" si="53"/>
        <v>1.1602097506134139</v>
      </c>
    </row>
    <row r="73" spans="1:26" s="24" customFormat="1" hidden="1" outlineLevel="2" x14ac:dyDescent="0.35">
      <c r="A73" s="27"/>
      <c r="B73" s="11" t="str">
        <f>CONCATENATE("          ", "6247", " - ", "STORE SUPPLIES")</f>
        <v xml:space="preserve">          6247 - STORE SUPPLIES</v>
      </c>
      <c r="C73" s="11"/>
      <c r="D73" s="7"/>
      <c r="E73" s="2"/>
      <c r="F73" s="6">
        <f t="shared" si="46"/>
        <v>0</v>
      </c>
      <c r="G73" s="2"/>
      <c r="H73" s="7"/>
      <c r="I73" s="2"/>
      <c r="J73" s="6">
        <f t="shared" si="47"/>
        <v>0</v>
      </c>
      <c r="K73" s="2"/>
      <c r="L73" s="7">
        <f t="shared" si="48"/>
        <v>0</v>
      </c>
      <c r="M73" s="2"/>
      <c r="N73" s="6">
        <f t="shared" si="49"/>
        <v>0</v>
      </c>
      <c r="O73" s="11"/>
      <c r="P73" s="7">
        <v>-97.67</v>
      </c>
      <c r="Q73" s="2"/>
      <c r="R73" s="6">
        <f t="shared" si="50"/>
        <v>-2.4894956639138539E-4</v>
      </c>
      <c r="S73" s="2"/>
      <c r="T73" s="7">
        <v>154.22</v>
      </c>
      <c r="U73" s="2"/>
      <c r="V73" s="6">
        <f t="shared" si="51"/>
        <v>2.1577016903680165E-4</v>
      </c>
      <c r="W73" s="2"/>
      <c r="X73" s="7">
        <f t="shared" si="52"/>
        <v>-251.89</v>
      </c>
      <c r="Y73" s="2"/>
      <c r="Z73" s="6">
        <f t="shared" si="53"/>
        <v>-1.6333160420178965</v>
      </c>
    </row>
    <row r="74" spans="1:26" s="24" customFormat="1" hidden="1" outlineLevel="2" x14ac:dyDescent="0.35">
      <c r="A74" s="27"/>
      <c r="B74" s="11" t="str">
        <f>CONCATENATE("          ", "6248", " - ", "UNIFORMS")</f>
        <v xml:space="preserve">          6248 - UNIFORMS</v>
      </c>
      <c r="C74" s="11"/>
      <c r="D74" s="7"/>
      <c r="E74" s="2"/>
      <c r="F74" s="6">
        <f t="shared" si="46"/>
        <v>0</v>
      </c>
      <c r="G74" s="2"/>
      <c r="H74" s="7"/>
      <c r="I74" s="2"/>
      <c r="J74" s="6">
        <f t="shared" si="47"/>
        <v>0</v>
      </c>
      <c r="K74" s="2"/>
      <c r="L74" s="7">
        <f t="shared" si="48"/>
        <v>0</v>
      </c>
      <c r="M74" s="2"/>
      <c r="N74" s="6">
        <f t="shared" si="49"/>
        <v>0</v>
      </c>
      <c r="O74" s="11"/>
      <c r="P74" s="7">
        <v>454.44</v>
      </c>
      <c r="Q74" s="2"/>
      <c r="R74" s="6">
        <f t="shared" si="50"/>
        <v>1.158315152563747E-3</v>
      </c>
      <c r="S74" s="2"/>
      <c r="T74" s="7">
        <v>1843.16</v>
      </c>
      <c r="U74" s="2"/>
      <c r="V74" s="6">
        <f t="shared" si="51"/>
        <v>2.5787767135382659E-3</v>
      </c>
      <c r="W74" s="2"/>
      <c r="X74" s="7">
        <f t="shared" si="52"/>
        <v>-1388.72</v>
      </c>
      <c r="Y74" s="2"/>
      <c r="Z74" s="6">
        <f t="shared" si="53"/>
        <v>-0.75344517025109048</v>
      </c>
    </row>
    <row r="75" spans="1:26" s="25" customFormat="1" outlineLevel="1" collapsed="1" x14ac:dyDescent="0.35">
      <c r="A75" s="26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SUM(OSRRefD22_13x_0)</f>
        <v>21.62</v>
      </c>
      <c r="E75" s="1"/>
      <c r="F75" s="5">
        <f t="shared" ref="F75:F81" si="54">IF(D$12=0,0,D75/D$12)</f>
        <v>0</v>
      </c>
      <c r="G75" s="1"/>
      <c r="H75" s="1">
        <f>SUM(OSRRefH22_13x_0)</f>
        <v>307.74</v>
      </c>
      <c r="I75" s="1"/>
      <c r="J75" s="5">
        <f t="shared" ref="J75:J81" si="55">IF(H$12=0,0,H75/H$12)</f>
        <v>2.0313045590490218E-2</v>
      </c>
      <c r="K75" s="1"/>
      <c r="L75" s="1">
        <f t="shared" ref="L75:L81" si="56">+D75-H75</f>
        <v>-286.12</v>
      </c>
      <c r="M75" s="1"/>
      <c r="N75" s="5">
        <f t="shared" ref="N75:N81" si="57">IF(H75=0,0,L75/H75)</f>
        <v>-0.92974588938714497</v>
      </c>
      <c r="O75" s="12"/>
      <c r="P75" s="1">
        <f>SUM(OSRRefP22_13x_0)</f>
        <v>3533.18</v>
      </c>
      <c r="Q75" s="1"/>
      <c r="R75" s="5">
        <f t="shared" ref="R75:R81" si="58">IF(P$12=0,0,P75/P$12)</f>
        <v>9.005668362677537E-3</v>
      </c>
      <c r="S75" s="1"/>
      <c r="T75" s="1">
        <f>SUM(OSRRefT22_13x_0)</f>
        <v>3876.32</v>
      </c>
      <c r="U75" s="1"/>
      <c r="V75" s="5">
        <f t="shared" ref="V75:V81" si="59">IF(T$12=0,0,T75/T$12)</f>
        <v>5.4233836184718913E-3</v>
      </c>
      <c r="W75" s="1"/>
      <c r="X75" s="1">
        <f t="shared" ref="X75:X81" si="60">+P75-T75</f>
        <v>-343.14000000000033</v>
      </c>
      <c r="Y75" s="1"/>
      <c r="Z75" s="5">
        <f t="shared" ref="Z75:Z81" si="61">IF(T75=0,0,X75/T75)</f>
        <v>-8.852210343831271E-2</v>
      </c>
    </row>
    <row r="76" spans="1:26" s="24" customFormat="1" hidden="1" outlineLevel="2" x14ac:dyDescent="0.35">
      <c r="A76" s="27"/>
      <c r="B76" s="11" t="str">
        <f>CONCATENATE("          ", "6309", " - ", "TELEPHONE")</f>
        <v xml:space="preserve">          6309 - TELEPHONE</v>
      </c>
      <c r="C76" s="11"/>
      <c r="D76" s="7">
        <v>21.62</v>
      </c>
      <c r="E76" s="2"/>
      <c r="F76" s="6">
        <f t="shared" si="54"/>
        <v>0</v>
      </c>
      <c r="G76" s="2"/>
      <c r="H76" s="7">
        <v>307.74</v>
      </c>
      <c r="I76" s="2"/>
      <c r="J76" s="6">
        <f t="shared" si="55"/>
        <v>2.0313045590490218E-2</v>
      </c>
      <c r="K76" s="2"/>
      <c r="L76" s="7">
        <f t="shared" si="56"/>
        <v>-286.12</v>
      </c>
      <c r="M76" s="2"/>
      <c r="N76" s="6">
        <f t="shared" si="57"/>
        <v>-0.92974588938714497</v>
      </c>
      <c r="O76" s="11"/>
      <c r="P76" s="7">
        <v>3533.18</v>
      </c>
      <c r="Q76" s="2"/>
      <c r="R76" s="6">
        <f t="shared" si="58"/>
        <v>9.005668362677537E-3</v>
      </c>
      <c r="S76" s="2"/>
      <c r="T76" s="7">
        <v>3876.32</v>
      </c>
      <c r="U76" s="2"/>
      <c r="V76" s="6">
        <f t="shared" si="59"/>
        <v>5.4233836184718913E-3</v>
      </c>
      <c r="W76" s="2"/>
      <c r="X76" s="7">
        <f t="shared" si="60"/>
        <v>-343.14000000000033</v>
      </c>
      <c r="Y76" s="2"/>
      <c r="Z76" s="6">
        <f t="shared" si="61"/>
        <v>-8.852210343831271E-2</v>
      </c>
    </row>
    <row r="77" spans="1:26" s="25" customFormat="1" outlineLevel="1" collapsed="1" x14ac:dyDescent="0.35">
      <c r="A77" s="26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SUM(OSRRefD22_14x_0)</f>
        <v>0</v>
      </c>
      <c r="E77" s="1"/>
      <c r="F77" s="5">
        <f t="shared" si="54"/>
        <v>0</v>
      </c>
      <c r="G77" s="1"/>
      <c r="H77" s="1">
        <f>SUM(OSRRefH22_14x_0)</f>
        <v>129</v>
      </c>
      <c r="I77" s="1"/>
      <c r="J77" s="5">
        <f t="shared" si="55"/>
        <v>8.5149245505076951E-3</v>
      </c>
      <c r="K77" s="1"/>
      <c r="L77" s="1">
        <f t="shared" si="56"/>
        <v>-129</v>
      </c>
      <c r="M77" s="1"/>
      <c r="N77" s="5">
        <f t="shared" si="57"/>
        <v>-1</v>
      </c>
      <c r="O77" s="12"/>
      <c r="P77" s="1">
        <f>SUM(OSRRefP22_14x_0)</f>
        <v>337.96</v>
      </c>
      <c r="Q77" s="1"/>
      <c r="R77" s="5">
        <f t="shared" si="58"/>
        <v>8.6142106540014962E-4</v>
      </c>
      <c r="S77" s="1"/>
      <c r="T77" s="1">
        <f>SUM(OSRRefT22_14x_0)</f>
        <v>300.33</v>
      </c>
      <c r="U77" s="1"/>
      <c r="V77" s="5">
        <f t="shared" si="59"/>
        <v>4.2019358621983295E-4</v>
      </c>
      <c r="W77" s="1"/>
      <c r="X77" s="1">
        <f t="shared" si="60"/>
        <v>37.629999999999995</v>
      </c>
      <c r="Y77" s="1"/>
      <c r="Z77" s="5">
        <f t="shared" si="61"/>
        <v>0.12529550827423167</v>
      </c>
    </row>
    <row r="78" spans="1:26" s="24" customFormat="1" hidden="1" outlineLevel="2" x14ac:dyDescent="0.35">
      <c r="A78" s="27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54"/>
        <v>0</v>
      </c>
      <c r="G78" s="2"/>
      <c r="H78" s="7">
        <v>129</v>
      </c>
      <c r="I78" s="2"/>
      <c r="J78" s="6">
        <f t="shared" si="55"/>
        <v>8.5149245505076951E-3</v>
      </c>
      <c r="K78" s="2"/>
      <c r="L78" s="7">
        <f t="shared" si="56"/>
        <v>-129</v>
      </c>
      <c r="M78" s="2"/>
      <c r="N78" s="6">
        <f t="shared" si="57"/>
        <v>-1</v>
      </c>
      <c r="O78" s="11"/>
      <c r="P78" s="7">
        <v>337.96</v>
      </c>
      <c r="Q78" s="2"/>
      <c r="R78" s="6">
        <f t="shared" si="58"/>
        <v>8.6142106540014962E-4</v>
      </c>
      <c r="S78" s="2"/>
      <c r="T78" s="7">
        <v>300.33</v>
      </c>
      <c r="U78" s="2"/>
      <c r="V78" s="6">
        <f t="shared" si="59"/>
        <v>4.2019358621983295E-4</v>
      </c>
      <c r="W78" s="2"/>
      <c r="X78" s="7">
        <f t="shared" si="60"/>
        <v>37.629999999999995</v>
      </c>
      <c r="Y78" s="2"/>
      <c r="Z78" s="6">
        <f t="shared" si="61"/>
        <v>0.12529550827423167</v>
      </c>
    </row>
    <row r="79" spans="1:26" s="25" customFormat="1" outlineLevel="1" collapsed="1" x14ac:dyDescent="0.35">
      <c r="A79" s="26"/>
      <c r="B79" s="12" t="str">
        <f>CONCATENATE("     ","Travel                                            ")</f>
        <v xml:space="preserve">     Travel                                            </v>
      </c>
      <c r="C79" s="12"/>
      <c r="D79" s="1">
        <f>SUM(OSRRefD22_15x_0)</f>
        <v>0</v>
      </c>
      <c r="E79" s="1"/>
      <c r="F79" s="5">
        <f t="shared" si="54"/>
        <v>0</v>
      </c>
      <c r="G79" s="1"/>
      <c r="H79" s="1">
        <f>SUM(OSRRefH22_15x_0)</f>
        <v>85.81</v>
      </c>
      <c r="I79" s="1"/>
      <c r="J79" s="5">
        <f t="shared" si="55"/>
        <v>5.6640750052640724E-3</v>
      </c>
      <c r="K79" s="1"/>
      <c r="L79" s="1">
        <f t="shared" si="56"/>
        <v>-85.81</v>
      </c>
      <c r="M79" s="1"/>
      <c r="N79" s="5">
        <f t="shared" si="57"/>
        <v>-1</v>
      </c>
      <c r="O79" s="12"/>
      <c r="P79" s="1">
        <f>SUM(OSRRefP22_15x_0)</f>
        <v>0</v>
      </c>
      <c r="Q79" s="1"/>
      <c r="R79" s="5">
        <f t="shared" si="58"/>
        <v>0</v>
      </c>
      <c r="S79" s="1"/>
      <c r="T79" s="1">
        <f>SUM(OSRRefT22_15x_0)</f>
        <v>1355.34</v>
      </c>
      <c r="U79" s="1"/>
      <c r="V79" s="5">
        <f t="shared" si="59"/>
        <v>1.8962646926620331E-3</v>
      </c>
      <c r="W79" s="1"/>
      <c r="X79" s="1">
        <f t="shared" si="60"/>
        <v>-1355.34</v>
      </c>
      <c r="Y79" s="1"/>
      <c r="Z79" s="5">
        <f t="shared" si="61"/>
        <v>-1</v>
      </c>
    </row>
    <row r="80" spans="1:26" s="24" customFormat="1" hidden="1" outlineLevel="2" x14ac:dyDescent="0.35">
      <c r="A80" s="27"/>
      <c r="B80" s="11" t="str">
        <f>CONCATENATE("          ", "6294", " - ", "TRAVEL OPERATIONAL")</f>
        <v xml:space="preserve">          6294 - TRAVEL OPERATIONAL</v>
      </c>
      <c r="C80" s="11"/>
      <c r="D80" s="7"/>
      <c r="E80" s="2"/>
      <c r="F80" s="6">
        <f t="shared" si="54"/>
        <v>0</v>
      </c>
      <c r="G80" s="2"/>
      <c r="H80" s="7"/>
      <c r="I80" s="2"/>
      <c r="J80" s="6">
        <f t="shared" si="55"/>
        <v>0</v>
      </c>
      <c r="K80" s="2"/>
      <c r="L80" s="7">
        <f t="shared" si="56"/>
        <v>0</v>
      </c>
      <c r="M80" s="2"/>
      <c r="N80" s="6">
        <f t="shared" si="57"/>
        <v>0</v>
      </c>
      <c r="O80" s="11"/>
      <c r="P80" s="7"/>
      <c r="Q80" s="2"/>
      <c r="R80" s="6">
        <f t="shared" si="58"/>
        <v>0</v>
      </c>
      <c r="S80" s="2"/>
      <c r="T80" s="7">
        <v>1269.53</v>
      </c>
      <c r="U80" s="2"/>
      <c r="V80" s="6">
        <f t="shared" si="59"/>
        <v>1.7762073835902658E-3</v>
      </c>
      <c r="W80" s="2"/>
      <c r="X80" s="7">
        <f t="shared" si="60"/>
        <v>-1269.53</v>
      </c>
      <c r="Y80" s="2"/>
      <c r="Z80" s="6">
        <f t="shared" si="61"/>
        <v>-1</v>
      </c>
    </row>
    <row r="81" spans="1:26" s="24" customFormat="1" hidden="1" outlineLevel="2" x14ac:dyDescent="0.35">
      <c r="A81" s="27"/>
      <c r="B81" s="11" t="str">
        <f>CONCATENATE("          ", "6298", " - ", "VEHICLE MILEAGE")</f>
        <v xml:space="preserve">          6298 - VEHICLE MILEAGE</v>
      </c>
      <c r="C81" s="11"/>
      <c r="D81" s="7"/>
      <c r="E81" s="2"/>
      <c r="F81" s="6">
        <f t="shared" si="54"/>
        <v>0</v>
      </c>
      <c r="G81" s="2"/>
      <c r="H81" s="7">
        <v>85.81</v>
      </c>
      <c r="I81" s="2"/>
      <c r="J81" s="6">
        <f t="shared" si="55"/>
        <v>5.6640750052640724E-3</v>
      </c>
      <c r="K81" s="2"/>
      <c r="L81" s="7">
        <f t="shared" si="56"/>
        <v>-85.81</v>
      </c>
      <c r="M81" s="2"/>
      <c r="N81" s="6">
        <f t="shared" si="57"/>
        <v>-1</v>
      </c>
      <c r="O81" s="11"/>
      <c r="P81" s="7"/>
      <c r="Q81" s="2"/>
      <c r="R81" s="6">
        <f t="shared" si="58"/>
        <v>0</v>
      </c>
      <c r="S81" s="2"/>
      <c r="T81" s="7">
        <v>85.81</v>
      </c>
      <c r="U81" s="2"/>
      <c r="V81" s="6">
        <f t="shared" si="59"/>
        <v>1.2005730907176729E-4</v>
      </c>
      <c r="W81" s="2"/>
      <c r="X81" s="7">
        <f t="shared" si="60"/>
        <v>-85.81</v>
      </c>
      <c r="Y81" s="2"/>
      <c r="Z81" s="6">
        <f t="shared" si="61"/>
        <v>-1</v>
      </c>
    </row>
    <row r="82" spans="1:26" s="56" customFormat="1" x14ac:dyDescent="0.3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35">
      <c r="A83" s="10"/>
      <c r="B83" s="29" t="s">
        <v>0</v>
      </c>
      <c r="C83" s="10"/>
      <c r="D83" s="4">
        <f>SUM(OSRRefD25x_0)</f>
        <v>0</v>
      </c>
      <c r="E83" s="4"/>
      <c r="F83" s="13">
        <f t="shared" ref="F83:F84" si="62">IF(D$12=0,0,D83/D$12)</f>
        <v>0</v>
      </c>
      <c r="G83" s="4"/>
      <c r="H83" s="4">
        <f>SUM(OSRRefH25x_0)</f>
        <v>1334.4</v>
      </c>
      <c r="I83" s="4"/>
      <c r="J83" s="13">
        <f t="shared" ref="J83:J84" si="63">IF(H$12=0,0,H83/H$12)</f>
        <v>8.8079963722460991E-2</v>
      </c>
      <c r="K83" s="4"/>
      <c r="L83" s="4">
        <f t="shared" ref="L83:L84" si="64">+D83-H83</f>
        <v>-1334.4</v>
      </c>
      <c r="M83" s="4"/>
      <c r="N83" s="13">
        <f t="shared" ref="N83:N84" si="65">IF(H83=0,0,L83/H83)</f>
        <v>-1</v>
      </c>
      <c r="O83" s="10"/>
      <c r="P83" s="4">
        <f>SUM(OSRRefP25x_0)</f>
        <v>39607.82</v>
      </c>
      <c r="Q83" s="4"/>
      <c r="R83" s="13">
        <f t="shared" ref="R83:R84" si="66">IF(P$12=0,0,P83/P$12)</f>
        <v>0.10095576548283038</v>
      </c>
      <c r="S83" s="4"/>
      <c r="T83" s="4">
        <f>SUM(OSRRefT25x_0)</f>
        <v>13296.87</v>
      </c>
      <c r="U83" s="4"/>
      <c r="V83" s="13">
        <f t="shared" ref="V83:V84" si="67">IF(T$12=0,0,T83/T$12)</f>
        <v>1.8603734195048485E-2</v>
      </c>
      <c r="W83" s="4"/>
      <c r="X83" s="4">
        <f t="shared" ref="X83:X84" si="68">+P83-T83</f>
        <v>26310.949999999997</v>
      </c>
      <c r="Y83" s="4"/>
      <c r="Z83" s="13">
        <f t="shared" ref="Z83:Z84" si="69">IF(T83=0,0,X83/T83)</f>
        <v>1.9787325889476242</v>
      </c>
    </row>
    <row r="84" spans="1:26" s="24" customFormat="1" hidden="1" outlineLevel="1" x14ac:dyDescent="0.35">
      <c r="A84" s="44"/>
      <c r="B84" s="11" t="str">
        <f>CONCATENATE("          ", "9150", " - ", "MISC. INCOME")</f>
        <v xml:space="preserve">          9150 - MISC. INCOME</v>
      </c>
      <c r="C84" s="11"/>
      <c r="D84" s="2">
        <f>0</f>
        <v>0</v>
      </c>
      <c r="E84" s="2"/>
      <c r="F84" s="19">
        <f t="shared" si="62"/>
        <v>0</v>
      </c>
      <c r="G84" s="2"/>
      <c r="H84" s="2">
        <f>--1334.4</f>
        <v>1334.4</v>
      </c>
      <c r="I84" s="2"/>
      <c r="J84" s="19">
        <f t="shared" si="63"/>
        <v>8.8079963722460991E-2</v>
      </c>
      <c r="K84" s="2"/>
      <c r="L84" s="2">
        <f t="shared" si="64"/>
        <v>-1334.4</v>
      </c>
      <c r="M84" s="2"/>
      <c r="N84" s="19">
        <f t="shared" si="65"/>
        <v>-1</v>
      </c>
      <c r="O84" s="11"/>
      <c r="P84" s="2">
        <f>--39607.82</f>
        <v>39607.82</v>
      </c>
      <c r="Q84" s="2"/>
      <c r="R84" s="19">
        <f t="shared" si="66"/>
        <v>0.10095576548283038</v>
      </c>
      <c r="S84" s="2"/>
      <c r="T84" s="2">
        <f>--13296.87</f>
        <v>13296.87</v>
      </c>
      <c r="U84" s="2"/>
      <c r="V84" s="19">
        <f t="shared" si="67"/>
        <v>1.8603734195048485E-2</v>
      </c>
      <c r="W84" s="2"/>
      <c r="X84" s="2">
        <f t="shared" si="68"/>
        <v>26310.949999999997</v>
      </c>
      <c r="Y84" s="2"/>
      <c r="Z84" s="19">
        <f t="shared" si="69"/>
        <v>1.9787325889476242</v>
      </c>
    </row>
    <row r="85" spans="1:26" x14ac:dyDescent="0.3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5">
      <c r="A86" s="10"/>
      <c r="B86" s="28" t="s">
        <v>3</v>
      </c>
      <c r="C86" s="28"/>
      <c r="D86" s="22">
        <f>+D23-D25+D83</f>
        <v>-5915.2800000000007</v>
      </c>
      <c r="E86" s="14"/>
      <c r="F86" s="21">
        <f>IF(D$12=0,0,D86/D$12)</f>
        <v>0</v>
      </c>
      <c r="G86" s="14"/>
      <c r="H86" s="22">
        <f>+H23-H25+H83</f>
        <v>-18363.930000000008</v>
      </c>
      <c r="I86" s="14"/>
      <c r="J86" s="21">
        <f>IF(H$12=0,0,H86/H$12)</f>
        <v>-1.2121509953550762</v>
      </c>
      <c r="K86" s="15"/>
      <c r="L86" s="22">
        <f>+D86-H86</f>
        <v>12448.650000000007</v>
      </c>
      <c r="M86" s="15"/>
      <c r="N86" s="21">
        <f>IF(H86=0,0,L86/H86)</f>
        <v>-0.67788594271487645</v>
      </c>
      <c r="O86" s="29"/>
      <c r="P86" s="22">
        <f>+P23-P25+P83</f>
        <v>-46394.989999999969</v>
      </c>
      <c r="Q86" s="14"/>
      <c r="R86" s="21">
        <f>IF(P$12=0,0,P86/P$12)</f>
        <v>-0.11825547909524577</v>
      </c>
      <c r="S86" s="14"/>
      <c r="T86" s="22">
        <f>+T23-T25+T83</f>
        <v>51628.640000000079</v>
      </c>
      <c r="U86" s="14"/>
      <c r="V86" s="21">
        <f>IF(T$12=0,0,T86/T$12)</f>
        <v>7.2233953961484867E-2</v>
      </c>
      <c r="W86" s="15"/>
      <c r="X86" s="22">
        <f>+P86-T86</f>
        <v>-98023.630000000048</v>
      </c>
      <c r="Y86" s="15"/>
      <c r="Z86" s="21">
        <f>IF(T86=0,0,X86/T86)</f>
        <v>-1.8986289392864095</v>
      </c>
    </row>
    <row r="87" spans="1:26" x14ac:dyDescent="0.3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5">
      <c r="A88" s="51"/>
      <c r="B88" s="10" t="s">
        <v>13</v>
      </c>
      <c r="C88" s="10"/>
      <c r="D88" s="4">
        <v>12953.97</v>
      </c>
      <c r="E88" s="4"/>
      <c r="F88" s="13">
        <f>IF(D$12=0,0,D88/D$12)</f>
        <v>0</v>
      </c>
      <c r="G88" s="4"/>
      <c r="H88" s="4">
        <v>-21823.05</v>
      </c>
      <c r="I88" s="4"/>
      <c r="J88" s="13">
        <f>IF(H$12=0,0,H88/H$12)</f>
        <v>-1.4404777070694337</v>
      </c>
      <c r="K88" s="4"/>
      <c r="L88" s="4">
        <f>+D88-H88</f>
        <v>34777.019999999997</v>
      </c>
      <c r="M88" s="4"/>
      <c r="N88" s="13">
        <f>IF(H88=0,0,L88/H88)</f>
        <v>-1.5935911799679696</v>
      </c>
      <c r="O88" s="10"/>
      <c r="P88" s="4">
        <v>59413.73</v>
      </c>
      <c r="Q88" s="4"/>
      <c r="R88" s="13">
        <f>IF(P$12=0,0,P88/P$12)</f>
        <v>0.15143874599359936</v>
      </c>
      <c r="S88" s="4"/>
      <c r="T88" s="4">
        <v>50944.729999999996</v>
      </c>
      <c r="U88" s="4"/>
      <c r="V88" s="13">
        <f>IF(T$12=0,0,T88/T$12)</f>
        <v>7.1277091192025813E-2</v>
      </c>
      <c r="W88" s="4"/>
      <c r="X88" s="4">
        <f>+P88-T88</f>
        <v>8469.0000000000073</v>
      </c>
      <c r="Y88" s="4"/>
      <c r="Z88" s="13">
        <f>IF(T88=0,0,X88/T88)</f>
        <v>0.16623898095053224</v>
      </c>
    </row>
    <row r="89" spans="1:26" x14ac:dyDescent="0.3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4">
      <c r="A90" s="10"/>
      <c r="B90" s="28" t="s">
        <v>4</v>
      </c>
      <c r="C90" s="28"/>
      <c r="D90" s="34">
        <f>+D86-D88</f>
        <v>-18869.25</v>
      </c>
      <c r="E90" s="14"/>
      <c r="F90" s="32">
        <f>IF(D$12=0,0,D90/D$12)</f>
        <v>0</v>
      </c>
      <c r="G90" s="14"/>
      <c r="H90" s="34">
        <f>+H86-H88</f>
        <v>3459.1199999999917</v>
      </c>
      <c r="I90" s="14"/>
      <c r="J90" s="32">
        <f>IF(H$12=0,0,H90/H$12)</f>
        <v>0.22832671171435742</v>
      </c>
      <c r="K90" s="15"/>
      <c r="L90" s="34">
        <f>D90-H90</f>
        <v>-22328.369999999992</v>
      </c>
      <c r="M90" s="15"/>
      <c r="N90" s="32">
        <f>IF(H90=0,0,L90/H90)</f>
        <v>-6.4549278429195995</v>
      </c>
      <c r="O90" s="29"/>
      <c r="P90" s="34">
        <f>+P86-P88</f>
        <v>-105808.71999999997</v>
      </c>
      <c r="Q90" s="14"/>
      <c r="R90" s="32">
        <f>IF(P$12=0,0,P90/P$12)</f>
        <v>-0.26969422508884511</v>
      </c>
      <c r="S90" s="14"/>
      <c r="T90" s="34">
        <f>+T86-T88</f>
        <v>683.91000000008353</v>
      </c>
      <c r="U90" s="14"/>
      <c r="V90" s="32">
        <f>IF(T$12=0,0,T90/T$12)</f>
        <v>9.5686276945906531E-4</v>
      </c>
      <c r="W90" s="15"/>
      <c r="X90" s="34">
        <f>P90-T90</f>
        <v>-106492.63000000006</v>
      </c>
      <c r="Y90" s="15"/>
      <c r="Z90" s="32">
        <f>IF(T90=0,0,X90/T90)</f>
        <v>-155.71146788318208</v>
      </c>
    </row>
    <row r="91" spans="1:26" ht="15" thickTop="1" x14ac:dyDescent="0.3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4">
      <c r="A93" s="10"/>
      <c r="B93" s="28" t="s">
        <v>5</v>
      </c>
      <c r="C93" s="28"/>
      <c r="D93" s="35">
        <f>SUM(D90:D92)</f>
        <v>-18869.25</v>
      </c>
      <c r="E93" s="14"/>
      <c r="F93" s="33">
        <f>IF(D$12=0,0,D93/D$12)</f>
        <v>0</v>
      </c>
      <c r="G93" s="14"/>
      <c r="H93" s="35">
        <f>SUM(H90:H92)</f>
        <v>3459.1199999999917</v>
      </c>
      <c r="I93" s="14"/>
      <c r="J93" s="33">
        <f>IF(H$12=0,0,H93/H$12)</f>
        <v>0.22832671171435742</v>
      </c>
      <c r="K93" s="15"/>
      <c r="L93" s="35">
        <f>+D93-H93</f>
        <v>-22328.369999999992</v>
      </c>
      <c r="M93" s="15"/>
      <c r="N93" s="33">
        <f>IF(H93=0,0,L93/H93)</f>
        <v>-6.4549278429195995</v>
      </c>
      <c r="O93" s="29"/>
      <c r="P93" s="35">
        <f>SUM(P90:P92)</f>
        <v>-105808.71999999997</v>
      </c>
      <c r="Q93" s="14"/>
      <c r="R93" s="33">
        <f>IF(P$12=0,0,P93/P$12)</f>
        <v>-0.26969422508884511</v>
      </c>
      <c r="S93" s="14"/>
      <c r="T93" s="35">
        <f>SUM(T90:T92)</f>
        <v>683.91000000008353</v>
      </c>
      <c r="U93" s="14"/>
      <c r="V93" s="33">
        <f>IF(T$12=0,0,T93/T$12)</f>
        <v>9.5686276945906531E-4</v>
      </c>
      <c r="W93" s="15"/>
      <c r="X93" s="35">
        <f>+P93-T93</f>
        <v>-106492.63000000006</v>
      </c>
      <c r="Y93" s="15"/>
      <c r="Z93" s="33">
        <f>IF(T93=0,0,X93/T93)</f>
        <v>-155.71146788318208</v>
      </c>
    </row>
    <row r="94" spans="1:26" ht="15" thickTop="1" x14ac:dyDescent="0.3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5">
      <c r="A95" s="9"/>
      <c r="B95" s="52">
        <v>44043.523366898145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5">
      <c r="A96" s="9"/>
      <c r="B96" s="61" t="s">
        <v>313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5">
      <c r="A97" s="9"/>
      <c r="B97" s="54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298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3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3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8" t="s">
        <v>6</v>
      </c>
      <c r="C18" s="28"/>
      <c r="D18" s="22" t="e">
        <f ca="1">D12-D15</f>
        <v>#NAME?</v>
      </c>
      <c r="E18" s="14"/>
      <c r="F18" s="21" t="e">
        <f ca="1">IF(D$12=0,0,D18/D$12)</f>
        <v>#NAME?</v>
      </c>
      <c r="G18" s="14"/>
      <c r="H18" s="22" t="e">
        <f ca="1">H12-H15</f>
        <v>#NAME?</v>
      </c>
      <c r="I18" s="14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9"/>
      <c r="P18" s="22" t="e">
        <f ca="1">P12-P15</f>
        <v>#NAME?</v>
      </c>
      <c r="Q18" s="14"/>
      <c r="R18" s="21" t="e">
        <f ca="1">IF(P$12=0,0,P18/P$12)</f>
        <v>#NAME?</v>
      </c>
      <c r="S18" s="14"/>
      <c r="T18" s="22" t="e">
        <f ca="1">T12-T15</f>
        <v>#NAME?</v>
      </c>
      <c r="U18" s="14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3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3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3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8" t="s">
        <v>3</v>
      </c>
      <c r="C27" s="28"/>
      <c r="D27" s="22" t="e">
        <f ca="1">+D18-D20+D24</f>
        <v>#NAME?</v>
      </c>
      <c r="E27" s="14"/>
      <c r="F27" s="21" t="e">
        <f ca="1">IF(D$12=0,0,D27/D$12)</f>
        <v>#NAME?</v>
      </c>
      <c r="G27" s="14"/>
      <c r="H27" s="22" t="e">
        <f ca="1">+H18-H20+H24</f>
        <v>#NAME?</v>
      </c>
      <c r="I27" s="14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9"/>
      <c r="P27" s="22" t="e">
        <f ca="1">+P18-P20+P24</f>
        <v>#NAME?</v>
      </c>
      <c r="Q27" s="14"/>
      <c r="R27" s="21" t="e">
        <f ca="1">IF(P$12=0,0,P27/P$12)</f>
        <v>#NAME?</v>
      </c>
      <c r="S27" s="14"/>
      <c r="T27" s="22" t="e">
        <f ca="1">+T18-T20+T24</f>
        <v>#NAME?</v>
      </c>
      <c r="U27" s="14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8" t="s">
        <v>4</v>
      </c>
      <c r="C31" s="28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5"/>
      <c r="L31" s="34" t="e">
        <f ca="1">D31-H31</f>
        <v>#NAME?</v>
      </c>
      <c r="M31" s="15"/>
      <c r="N31" s="32" t="e">
        <f ca="1">IF(H31=0,0,L31/H31)</f>
        <v>#NAME?</v>
      </c>
      <c r="O31" s="29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5"/>
      <c r="X31" s="34" t="e">
        <f ca="1">P31-T31</f>
        <v>#NAME?</v>
      </c>
      <c r="Y31" s="15"/>
      <c r="Z31" s="32" t="e">
        <f ca="1">IF(T31=0,0,X31/T31)</f>
        <v>#NAME?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3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8" t="s">
        <v>5</v>
      </c>
      <c r="C36" s="28"/>
      <c r="D36" s="35" t="e">
        <f ca="1">SUM(D31:D35)</f>
        <v>#NAME?</v>
      </c>
      <c r="E36" s="14"/>
      <c r="F36" s="33" t="e">
        <f ca="1">IF(D$12=0,0,D36/D$12)</f>
        <v>#NAME?</v>
      </c>
      <c r="G36" s="14"/>
      <c r="H36" s="35" t="e">
        <f ca="1">SUM(H31:H35)</f>
        <v>#NAME?</v>
      </c>
      <c r="I36" s="14"/>
      <c r="J36" s="33" t="e">
        <f ca="1">IF(H$12=0,0,H36/H$12)</f>
        <v>#NAME?</v>
      </c>
      <c r="K36" s="15"/>
      <c r="L36" s="35" t="e">
        <f ca="1">+D36-H36</f>
        <v>#NAME?</v>
      </c>
      <c r="M36" s="15"/>
      <c r="N36" s="33" t="e">
        <f ca="1">IF(H36=0,0,L36/H36)</f>
        <v>#NAME?</v>
      </c>
      <c r="O36" s="29"/>
      <c r="P36" s="35" t="e">
        <f ca="1">SUM(P31:P35)</f>
        <v>#NAME?</v>
      </c>
      <c r="Q36" s="14"/>
      <c r="R36" s="33" t="e">
        <f ca="1">IF(P$12=0,0,P36/P$12)</f>
        <v>#NAME?</v>
      </c>
      <c r="S36" s="14"/>
      <c r="T36" s="35" t="e">
        <f ca="1">SUM(T31:T35)</f>
        <v>#NAME?</v>
      </c>
      <c r="U36" s="14"/>
      <c r="V36" s="33" t="e">
        <f ca="1">IF(T$12=0,0,T36/T$12)</f>
        <v>#NAME?</v>
      </c>
      <c r="W36" s="15"/>
      <c r="X36" s="35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5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","455", " - ", "Vending")</f>
        <v>Department 455 - Vending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-134.31</v>
      </c>
      <c r="E18" s="20"/>
      <c r="F18" s="36">
        <f t="shared" ref="F18:F26" si="0">IF(D$12=0,0,D18/D$12)</f>
        <v>0</v>
      </c>
      <c r="G18" s="20"/>
      <c r="H18" s="20">
        <f>SUM(OSRRefH22x_0)</f>
        <v>6578.07</v>
      </c>
      <c r="I18" s="20"/>
      <c r="J18" s="36">
        <f t="shared" ref="J18:J26" si="1">IF(H$12=0,0,H18/H$12)</f>
        <v>0</v>
      </c>
      <c r="K18" s="4"/>
      <c r="L18" s="20">
        <f t="shared" ref="L18:L26" si="2">+D18-H18</f>
        <v>-6712.38</v>
      </c>
      <c r="M18" s="4"/>
      <c r="N18" s="36">
        <f t="shared" ref="N18:N26" si="3">IF(H18=0,0,L18/H18)</f>
        <v>-1.0204178429235324</v>
      </c>
      <c r="O18" s="10"/>
      <c r="P18" s="20">
        <f>SUM(OSRRefP22x_0)</f>
        <v>67827.100000000006</v>
      </c>
      <c r="Q18" s="20"/>
      <c r="R18" s="36">
        <f t="shared" ref="R18:R26" si="4">IF(P$12=0,0,P18/P$12)</f>
        <v>0</v>
      </c>
      <c r="S18" s="20"/>
      <c r="T18" s="20">
        <f>SUM(OSRRefT22x_0)</f>
        <v>84180.680000000008</v>
      </c>
      <c r="U18" s="20"/>
      <c r="V18" s="36">
        <f t="shared" ref="V18:V26" si="5">IF(T$12=0,0,T18/T$12)</f>
        <v>0</v>
      </c>
      <c r="W18" s="4"/>
      <c r="X18" s="20">
        <f t="shared" ref="X18:X26" si="6">+P18-T18</f>
        <v>-16353.580000000002</v>
      </c>
      <c r="Y18" s="4"/>
      <c r="Z18" s="36">
        <f t="shared" ref="Z18:Z26" si="7">IF(T18=0,0,X18/T18)</f>
        <v>-0.19426761579972981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-134.31</v>
      </c>
      <c r="E19" s="1"/>
      <c r="F19" s="5">
        <f t="shared" si="0"/>
        <v>0</v>
      </c>
      <c r="G19" s="1"/>
      <c r="H19" s="1">
        <f>SUM(OSRRefH22_0x_0)</f>
        <v>2137.21</v>
      </c>
      <c r="I19" s="1"/>
      <c r="J19" s="5">
        <f t="shared" si="1"/>
        <v>0</v>
      </c>
      <c r="K19" s="1"/>
      <c r="L19" s="1">
        <f t="shared" si="2"/>
        <v>-2271.52</v>
      </c>
      <c r="M19" s="1"/>
      <c r="N19" s="5">
        <f t="shared" si="3"/>
        <v>-1.0628436138704198</v>
      </c>
      <c r="O19" s="12"/>
      <c r="P19" s="1">
        <f>SUM(OSRRefP22_0x_0)</f>
        <v>30639.9</v>
      </c>
      <c r="Q19" s="1"/>
      <c r="R19" s="5">
        <f t="shared" si="4"/>
        <v>0</v>
      </c>
      <c r="S19" s="1"/>
      <c r="T19" s="1">
        <f>SUM(OSRRefT22_0x_0)</f>
        <v>32872.25</v>
      </c>
      <c r="U19" s="1"/>
      <c r="V19" s="5">
        <f t="shared" si="5"/>
        <v>0</v>
      </c>
      <c r="W19" s="1"/>
      <c r="X19" s="1">
        <f t="shared" si="6"/>
        <v>-2232.3499999999985</v>
      </c>
      <c r="Y19" s="1"/>
      <c r="Z19" s="5">
        <f t="shared" si="7"/>
        <v>-6.7909863182471497E-2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339.74</v>
      </c>
      <c r="I20" s="2"/>
      <c r="J20" s="6">
        <f t="shared" si="1"/>
        <v>0</v>
      </c>
      <c r="K20" s="2"/>
      <c r="L20" s="7">
        <f t="shared" si="2"/>
        <v>-339.74</v>
      </c>
      <c r="M20" s="2"/>
      <c r="N20" s="6">
        <f t="shared" si="3"/>
        <v>-1</v>
      </c>
      <c r="O20" s="11"/>
      <c r="P20" s="7">
        <v>2908.48</v>
      </c>
      <c r="Q20" s="2"/>
      <c r="R20" s="6">
        <f t="shared" si="4"/>
        <v>0</v>
      </c>
      <c r="S20" s="2"/>
      <c r="T20" s="7">
        <v>4333.78</v>
      </c>
      <c r="U20" s="2"/>
      <c r="V20" s="6">
        <f t="shared" si="5"/>
        <v>0</v>
      </c>
      <c r="W20" s="2"/>
      <c r="X20" s="7">
        <f t="shared" si="6"/>
        <v>-1425.2999999999997</v>
      </c>
      <c r="Y20" s="2"/>
      <c r="Z20" s="6">
        <f t="shared" si="7"/>
        <v>-0.32888148452390287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233.15</v>
      </c>
      <c r="I21" s="2"/>
      <c r="J21" s="6">
        <f t="shared" si="1"/>
        <v>0</v>
      </c>
      <c r="K21" s="2"/>
      <c r="L21" s="7">
        <f t="shared" si="2"/>
        <v>-233.15</v>
      </c>
      <c r="M21" s="2"/>
      <c r="N21" s="6">
        <f t="shared" si="3"/>
        <v>-1</v>
      </c>
      <c r="O21" s="11"/>
      <c r="P21" s="7">
        <v>159.32</v>
      </c>
      <c r="Q21" s="2"/>
      <c r="R21" s="6">
        <f t="shared" si="4"/>
        <v>0</v>
      </c>
      <c r="S21" s="2"/>
      <c r="T21" s="7">
        <v>2162.9</v>
      </c>
      <c r="U21" s="2"/>
      <c r="V21" s="6">
        <f t="shared" si="5"/>
        <v>0</v>
      </c>
      <c r="W21" s="2"/>
      <c r="X21" s="7">
        <f t="shared" si="6"/>
        <v>-2003.5800000000002</v>
      </c>
      <c r="Y21" s="2"/>
      <c r="Z21" s="6">
        <f t="shared" si="7"/>
        <v>-0.92633963659901064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931.95</v>
      </c>
      <c r="I22" s="2"/>
      <c r="J22" s="6">
        <f t="shared" si="1"/>
        <v>0</v>
      </c>
      <c r="K22" s="2"/>
      <c r="L22" s="7">
        <f t="shared" si="2"/>
        <v>-931.95</v>
      </c>
      <c r="M22" s="2"/>
      <c r="N22" s="6">
        <f t="shared" si="3"/>
        <v>-1</v>
      </c>
      <c r="O22" s="11"/>
      <c r="P22" s="7">
        <v>8394</v>
      </c>
      <c r="Q22" s="2"/>
      <c r="R22" s="6">
        <f t="shared" si="4"/>
        <v>0</v>
      </c>
      <c r="S22" s="2"/>
      <c r="T22" s="7">
        <v>10652.81</v>
      </c>
      <c r="U22" s="2"/>
      <c r="V22" s="6">
        <f t="shared" si="5"/>
        <v>0</v>
      </c>
      <c r="W22" s="2"/>
      <c r="X22" s="7">
        <f t="shared" si="6"/>
        <v>-2258.8099999999995</v>
      </c>
      <c r="Y22" s="2"/>
      <c r="Z22" s="6">
        <f t="shared" si="7"/>
        <v>-0.21203888926959175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-134.31</v>
      </c>
      <c r="E23" s="2"/>
      <c r="F23" s="6">
        <f t="shared" si="0"/>
        <v>0</v>
      </c>
      <c r="G23" s="2"/>
      <c r="H23" s="7">
        <v>17.32</v>
      </c>
      <c r="I23" s="2"/>
      <c r="J23" s="6">
        <f t="shared" si="1"/>
        <v>0</v>
      </c>
      <c r="K23" s="2"/>
      <c r="L23" s="7">
        <f t="shared" si="2"/>
        <v>-151.63</v>
      </c>
      <c r="M23" s="2"/>
      <c r="N23" s="6">
        <f t="shared" si="3"/>
        <v>-8.7546189376443415</v>
      </c>
      <c r="O23" s="11"/>
      <c r="P23" s="7">
        <v>0</v>
      </c>
      <c r="Q23" s="2"/>
      <c r="R23" s="6">
        <f t="shared" si="4"/>
        <v>0</v>
      </c>
      <c r="S23" s="2"/>
      <c r="T23" s="7">
        <v>178.23</v>
      </c>
      <c r="U23" s="2"/>
      <c r="V23" s="6">
        <f t="shared" si="5"/>
        <v>0</v>
      </c>
      <c r="W23" s="2"/>
      <c r="X23" s="7">
        <f t="shared" si="6"/>
        <v>-178.23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5280.61</v>
      </c>
      <c r="Q24" s="2"/>
      <c r="R24" s="6">
        <f t="shared" si="4"/>
        <v>0</v>
      </c>
      <c r="S24" s="2"/>
      <c r="T24" s="7">
        <v>5822.79</v>
      </c>
      <c r="U24" s="2"/>
      <c r="V24" s="6">
        <f t="shared" si="5"/>
        <v>0</v>
      </c>
      <c r="W24" s="2"/>
      <c r="X24" s="7">
        <f t="shared" si="6"/>
        <v>-542.18000000000029</v>
      </c>
      <c r="Y24" s="2"/>
      <c r="Z24" s="6">
        <f t="shared" si="7"/>
        <v>-9.3113438746717694E-2</v>
      </c>
    </row>
    <row r="25" spans="1:26" s="24" customFormat="1" hidden="1" outlineLevel="2" x14ac:dyDescent="0.35">
      <c r="A25" s="27"/>
      <c r="B25" s="11" t="str">
        <f>CONCATENATE("          ", "6118", " - ", "VACATION")</f>
        <v xml:space="preserve">          6118 - VACATION</v>
      </c>
      <c r="C25" s="11"/>
      <c r="D25" s="7"/>
      <c r="E25" s="2"/>
      <c r="F25" s="6">
        <f t="shared" si="0"/>
        <v>0</v>
      </c>
      <c r="G25" s="2"/>
      <c r="H25" s="7">
        <v>410.22</v>
      </c>
      <c r="I25" s="2"/>
      <c r="J25" s="6">
        <f t="shared" si="1"/>
        <v>0</v>
      </c>
      <c r="K25" s="2"/>
      <c r="L25" s="7">
        <f t="shared" si="2"/>
        <v>-410.22</v>
      </c>
      <c r="M25" s="2"/>
      <c r="N25" s="6">
        <f t="shared" si="3"/>
        <v>-1</v>
      </c>
      <c r="O25" s="11"/>
      <c r="P25" s="7">
        <v>5313.38</v>
      </c>
      <c r="Q25" s="2"/>
      <c r="R25" s="6">
        <f t="shared" si="4"/>
        <v>0</v>
      </c>
      <c r="S25" s="2"/>
      <c r="T25" s="7">
        <v>5688.57</v>
      </c>
      <c r="U25" s="2"/>
      <c r="V25" s="6">
        <f t="shared" si="5"/>
        <v>0</v>
      </c>
      <c r="W25" s="2"/>
      <c r="X25" s="7">
        <f t="shared" si="6"/>
        <v>-375.1899999999996</v>
      </c>
      <c r="Y25" s="2"/>
      <c r="Z25" s="6">
        <f t="shared" si="7"/>
        <v>-6.5955064278017075E-2</v>
      </c>
    </row>
    <row r="26" spans="1:26" s="24" customFormat="1" hidden="1" outlineLevel="2" x14ac:dyDescent="0.35">
      <c r="A26" s="27"/>
      <c r="B26" s="11" t="str">
        <f>CONCATENATE("          ", "6119", " - ", "SICK LEAVE")</f>
        <v xml:space="preserve">          6119 - SICK LEAVE</v>
      </c>
      <c r="C26" s="11"/>
      <c r="D26" s="7"/>
      <c r="E26" s="2"/>
      <c r="F26" s="6">
        <f t="shared" si="0"/>
        <v>0</v>
      </c>
      <c r="G26" s="2"/>
      <c r="H26" s="7">
        <v>204.83</v>
      </c>
      <c r="I26" s="2"/>
      <c r="J26" s="6">
        <f t="shared" si="1"/>
        <v>0</v>
      </c>
      <c r="K26" s="2"/>
      <c r="L26" s="7">
        <f t="shared" si="2"/>
        <v>-204.83</v>
      </c>
      <c r="M26" s="2"/>
      <c r="N26" s="6">
        <f t="shared" si="3"/>
        <v>-1</v>
      </c>
      <c r="O26" s="11"/>
      <c r="P26" s="7">
        <v>8584.11</v>
      </c>
      <c r="Q26" s="2"/>
      <c r="R26" s="6">
        <f t="shared" si="4"/>
        <v>0</v>
      </c>
      <c r="S26" s="2"/>
      <c r="T26" s="7">
        <v>4033.17</v>
      </c>
      <c r="U26" s="2"/>
      <c r="V26" s="6">
        <f t="shared" si="5"/>
        <v>0</v>
      </c>
      <c r="W26" s="2"/>
      <c r="X26" s="7">
        <f t="shared" si="6"/>
        <v>4550.9400000000005</v>
      </c>
      <c r="Y26" s="2"/>
      <c r="Z26" s="6">
        <f t="shared" si="7"/>
        <v>1.1283779260482449</v>
      </c>
    </row>
    <row r="27" spans="1:26" s="25" customFormat="1" outlineLevel="1" collapsed="1" x14ac:dyDescent="0.35">
      <c r="A27" s="26"/>
      <c r="B27" s="12" t="str">
        <f>CONCATENATE("     ","*Payroll                                          ")</f>
        <v xml:space="preserve">     *Payroll                                          </v>
      </c>
      <c r="C27" s="12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4440.8599999999997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-4440.8599999999997</v>
      </c>
      <c r="M27" s="1"/>
      <c r="N27" s="5">
        <f t="shared" ref="N27:N29" si="11">IF(H27=0,0,L27/H27)</f>
        <v>-1</v>
      </c>
      <c r="O27" s="12"/>
      <c r="P27" s="1">
        <f>SUM(OSRRefP22_1x_0)</f>
        <v>37187.199999999997</v>
      </c>
      <c r="Q27" s="1"/>
      <c r="R27" s="5">
        <f t="shared" ref="R27:R29" si="12">IF(P$12=0,0,P27/P$12)</f>
        <v>0</v>
      </c>
      <c r="S27" s="1"/>
      <c r="T27" s="1">
        <f>SUM(OSRRefT22_1x_0)</f>
        <v>51291.93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-14104.730000000003</v>
      </c>
      <c r="Y27" s="1"/>
      <c r="Z27" s="5">
        <f t="shared" ref="Z27:Z29" si="15">IF(T27=0,0,X27/T27)</f>
        <v>-0.27498926244342925</v>
      </c>
    </row>
    <row r="28" spans="1:26" s="24" customFormat="1" hidden="1" outlineLevel="2" x14ac:dyDescent="0.35">
      <c r="A28" s="27"/>
      <c r="B28" s="11" t="str">
        <f>CONCATENATE("          ", "6001", " - ", "ADMINISTRATIVE SALARIES")</f>
        <v xml:space="preserve">          6001 - ADMINISTRATIVE SALARIES</v>
      </c>
      <c r="C28" s="11"/>
      <c r="D28" s="7"/>
      <c r="E28" s="2"/>
      <c r="F28" s="6">
        <f t="shared" si="8"/>
        <v>0</v>
      </c>
      <c r="G28" s="2"/>
      <c r="H28" s="7">
        <v>4440.8599999999997</v>
      </c>
      <c r="I28" s="2"/>
      <c r="J28" s="6">
        <f t="shared" si="9"/>
        <v>0</v>
      </c>
      <c r="K28" s="2"/>
      <c r="L28" s="7">
        <f t="shared" si="10"/>
        <v>-4440.8599999999997</v>
      </c>
      <c r="M28" s="2"/>
      <c r="N28" s="6">
        <f t="shared" si="11"/>
        <v>-1</v>
      </c>
      <c r="O28" s="11"/>
      <c r="P28" s="7">
        <v>37187.199999999997</v>
      </c>
      <c r="Q28" s="2"/>
      <c r="R28" s="6">
        <f t="shared" si="12"/>
        <v>0</v>
      </c>
      <c r="S28" s="2"/>
      <c r="T28" s="7">
        <v>51513.97</v>
      </c>
      <c r="U28" s="2"/>
      <c r="V28" s="6">
        <f t="shared" si="13"/>
        <v>0</v>
      </c>
      <c r="W28" s="2"/>
      <c r="X28" s="7">
        <f t="shared" si="14"/>
        <v>-14326.770000000004</v>
      </c>
      <c r="Y28" s="2"/>
      <c r="Z28" s="6">
        <f t="shared" si="15"/>
        <v>-0.27811426686780311</v>
      </c>
    </row>
    <row r="29" spans="1:26" s="24" customFormat="1" hidden="1" outlineLevel="2" x14ac:dyDescent="0.35">
      <c r="A29" s="27"/>
      <c r="B29" s="11" t="str">
        <f>CONCATENATE("          ", "6002", " - ", "STAFF SALARIES")</f>
        <v xml:space="preserve">          6002 - STAFF SALARIES</v>
      </c>
      <c r="C29" s="11"/>
      <c r="D29" s="7"/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/>
      <c r="Q29" s="2"/>
      <c r="R29" s="6">
        <f t="shared" si="12"/>
        <v>0</v>
      </c>
      <c r="S29" s="2"/>
      <c r="T29" s="7">
        <v>-222.04</v>
      </c>
      <c r="U29" s="2"/>
      <c r="V29" s="6">
        <f t="shared" si="13"/>
        <v>0</v>
      </c>
      <c r="W29" s="2"/>
      <c r="X29" s="7">
        <f t="shared" si="14"/>
        <v>222.04</v>
      </c>
      <c r="Y29" s="2"/>
      <c r="Z29" s="6">
        <f t="shared" si="15"/>
        <v>-1</v>
      </c>
    </row>
    <row r="30" spans="1:26" s="25" customFormat="1" outlineLevel="1" collapsed="1" x14ac:dyDescent="0.35">
      <c r="A30" s="26"/>
      <c r="B30" s="12" t="str">
        <f>CONCATENATE("     ","General                                           ")</f>
        <v xml:space="preserve">     General                                           </v>
      </c>
      <c r="C30" s="12"/>
      <c r="D30" s="1">
        <f>SUM(OSRRefD22_2x_0)</f>
        <v>0</v>
      </c>
      <c r="E30" s="1"/>
      <c r="F30" s="5">
        <f t="shared" ref="F30:F31" si="16">IF(D$12=0,0,D30/D$12)</f>
        <v>0</v>
      </c>
      <c r="G30" s="1"/>
      <c r="H30" s="1">
        <f>SUM(OSRRefH22_2x_0)</f>
        <v>0</v>
      </c>
      <c r="I30" s="1"/>
      <c r="J30" s="5">
        <f t="shared" ref="J30:J31" si="17">IF(H$12=0,0,H30/H$12)</f>
        <v>0</v>
      </c>
      <c r="K30" s="1"/>
      <c r="L30" s="1">
        <f t="shared" ref="L30:L31" si="18">+D30-H30</f>
        <v>0</v>
      </c>
      <c r="M30" s="1"/>
      <c r="N30" s="5">
        <f t="shared" ref="N30:N31" si="19">IF(H30=0,0,L30/H30)</f>
        <v>0</v>
      </c>
      <c r="O30" s="12"/>
      <c r="P30" s="1">
        <f>SUM(OSRRefP22_2x_0)</f>
        <v>0</v>
      </c>
      <c r="Q30" s="1"/>
      <c r="R30" s="5">
        <f t="shared" ref="R30:R31" si="20">IF(P$12=0,0,P30/P$12)</f>
        <v>0</v>
      </c>
      <c r="S30" s="1"/>
      <c r="T30" s="1">
        <f>SUM(OSRRefT22_2x_0)</f>
        <v>16.5</v>
      </c>
      <c r="U30" s="1"/>
      <c r="V30" s="5">
        <f t="shared" ref="V30:V31" si="21">IF(T$12=0,0,T30/T$12)</f>
        <v>0</v>
      </c>
      <c r="W30" s="1"/>
      <c r="X30" s="1">
        <f t="shared" ref="X30:X31" si="22">+P30-T30</f>
        <v>-16.5</v>
      </c>
      <c r="Y30" s="1"/>
      <c r="Z30" s="5">
        <f t="shared" ref="Z30:Z31" si="23">IF(T30=0,0,X30/T30)</f>
        <v>-1</v>
      </c>
    </row>
    <row r="31" spans="1:26" s="24" customFormat="1" hidden="1" outlineLevel="2" x14ac:dyDescent="0.35">
      <c r="A31" s="27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/>
      <c r="Q31" s="2"/>
      <c r="R31" s="6">
        <f t="shared" si="20"/>
        <v>0</v>
      </c>
      <c r="S31" s="2"/>
      <c r="T31" s="7">
        <v>16.5</v>
      </c>
      <c r="U31" s="2"/>
      <c r="V31" s="6">
        <f t="shared" si="21"/>
        <v>0</v>
      </c>
      <c r="W31" s="2"/>
      <c r="X31" s="7">
        <f t="shared" si="22"/>
        <v>-16.5</v>
      </c>
      <c r="Y31" s="2"/>
      <c r="Z31" s="6">
        <f t="shared" si="23"/>
        <v>-1</v>
      </c>
    </row>
    <row r="32" spans="1:26" s="56" customFormat="1" x14ac:dyDescent="0.35">
      <c r="A32" s="37"/>
      <c r="B32" s="37"/>
      <c r="C32" s="37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collapsed="1" x14ac:dyDescent="0.35">
      <c r="A33" s="10"/>
      <c r="B33" s="29" t="s">
        <v>0</v>
      </c>
      <c r="C33" s="10"/>
      <c r="D33" s="4">
        <f>SUM(OSRRefD25x_0)</f>
        <v>26309.79</v>
      </c>
      <c r="E33" s="4"/>
      <c r="F33" s="13">
        <f t="shared" ref="F33:F35" si="24">IF(D$12=0,0,D33/D$12)</f>
        <v>0</v>
      </c>
      <c r="G33" s="4"/>
      <c r="H33" s="4">
        <f>SUM(OSRRefH25x_0)</f>
        <v>10002.299999999999</v>
      </c>
      <c r="I33" s="4"/>
      <c r="J33" s="13">
        <f t="shared" ref="J33:J35" si="25">IF(H$12=0,0,H33/H$12)</f>
        <v>0</v>
      </c>
      <c r="K33" s="4"/>
      <c r="L33" s="4">
        <f t="shared" ref="L33:L35" si="26">+D33-H33</f>
        <v>16307.490000000002</v>
      </c>
      <c r="M33" s="4"/>
      <c r="N33" s="13">
        <f t="shared" ref="N33:N35" si="27">IF(H33=0,0,L33/H33)</f>
        <v>1.6303740139767857</v>
      </c>
      <c r="O33" s="10"/>
      <c r="P33" s="4">
        <f>SUM(OSRRefP25x_0)</f>
        <v>397474.1</v>
      </c>
      <c r="Q33" s="4"/>
      <c r="R33" s="13">
        <f t="shared" ref="R33:R35" si="28">IF(P$12=0,0,P33/P$12)</f>
        <v>0</v>
      </c>
      <c r="S33" s="4"/>
      <c r="T33" s="4">
        <f>SUM(OSRRefT25x_0)</f>
        <v>339790.27999999997</v>
      </c>
      <c r="U33" s="4"/>
      <c r="V33" s="13">
        <f t="shared" ref="V33:V35" si="29">IF(T$12=0,0,T33/T$12)</f>
        <v>0</v>
      </c>
      <c r="W33" s="4"/>
      <c r="X33" s="4">
        <f t="shared" ref="X33:X35" si="30">+P33-T33</f>
        <v>57683.820000000007</v>
      </c>
      <c r="Y33" s="4"/>
      <c r="Z33" s="13">
        <f t="shared" ref="Z33:Z35" si="31">IF(T33=0,0,X33/T33)</f>
        <v>0.16976300793536533</v>
      </c>
    </row>
    <row r="34" spans="1:26" s="24" customFormat="1" hidden="1" outlineLevel="1" x14ac:dyDescent="0.35">
      <c r="A34" s="44"/>
      <c r="B34" s="11" t="str">
        <f>CONCATENATE("          ", "9160", " - ", "MISC. INCOME")</f>
        <v xml:space="preserve">          9160 - MISC. INCOME</v>
      </c>
      <c r="C34" s="11"/>
      <c r="D34" s="2">
        <f>--25000.02</f>
        <v>25000.02</v>
      </c>
      <c r="E34" s="2"/>
      <c r="F34" s="19">
        <f t="shared" si="24"/>
        <v>0</v>
      </c>
      <c r="G34" s="2"/>
      <c r="H34" s="2">
        <f>--4981.17</f>
        <v>4981.17</v>
      </c>
      <c r="I34" s="2"/>
      <c r="J34" s="19">
        <f t="shared" si="25"/>
        <v>0</v>
      </c>
      <c r="K34" s="2"/>
      <c r="L34" s="2">
        <f t="shared" si="26"/>
        <v>20018.849999999999</v>
      </c>
      <c r="M34" s="2"/>
      <c r="N34" s="19">
        <f t="shared" si="27"/>
        <v>4.0189051969717955</v>
      </c>
      <c r="O34" s="11"/>
      <c r="P34" s="2">
        <f>--153039.31</f>
        <v>153039.31</v>
      </c>
      <c r="Q34" s="2"/>
      <c r="R34" s="19">
        <f t="shared" si="28"/>
        <v>0</v>
      </c>
      <c r="S34" s="2"/>
      <c r="T34" s="2">
        <f>--89774.04</f>
        <v>89774.04</v>
      </c>
      <c r="U34" s="2"/>
      <c r="V34" s="19">
        <f t="shared" si="29"/>
        <v>0</v>
      </c>
      <c r="W34" s="2"/>
      <c r="X34" s="2">
        <f t="shared" si="30"/>
        <v>63265.270000000004</v>
      </c>
      <c r="Y34" s="2"/>
      <c r="Z34" s="19">
        <f t="shared" si="31"/>
        <v>0.70471675330641248</v>
      </c>
    </row>
    <row r="35" spans="1:26" s="24" customFormat="1" hidden="1" outlineLevel="1" x14ac:dyDescent="0.35">
      <c r="A35" s="44"/>
      <c r="B35" s="11" t="str">
        <f>CONCATENATE("          ", "9165", " - ", "OTHER INCOME")</f>
        <v xml:space="preserve">          9165 - OTHER INCOME</v>
      </c>
      <c r="C35" s="11"/>
      <c r="D35" s="2">
        <f>--1309.77</f>
        <v>1309.77</v>
      </c>
      <c r="E35" s="2"/>
      <c r="F35" s="19">
        <f t="shared" si="24"/>
        <v>0</v>
      </c>
      <c r="G35" s="2"/>
      <c r="H35" s="2">
        <f>--5021.13</f>
        <v>5021.13</v>
      </c>
      <c r="I35" s="2"/>
      <c r="J35" s="19">
        <f t="shared" si="25"/>
        <v>0</v>
      </c>
      <c r="K35" s="2"/>
      <c r="L35" s="2">
        <f t="shared" si="26"/>
        <v>-3711.36</v>
      </c>
      <c r="M35" s="2"/>
      <c r="N35" s="19">
        <f t="shared" si="27"/>
        <v>-0.73914835903471932</v>
      </c>
      <c r="O35" s="11"/>
      <c r="P35" s="2">
        <f>--244434.79</f>
        <v>244434.79</v>
      </c>
      <c r="Q35" s="2"/>
      <c r="R35" s="19">
        <f t="shared" si="28"/>
        <v>0</v>
      </c>
      <c r="S35" s="2"/>
      <c r="T35" s="2">
        <f>--250016.24</f>
        <v>250016.24</v>
      </c>
      <c r="U35" s="2"/>
      <c r="V35" s="19">
        <f t="shared" si="29"/>
        <v>0</v>
      </c>
      <c r="W35" s="2"/>
      <c r="X35" s="2">
        <f t="shared" si="30"/>
        <v>-5581.4499999999825</v>
      </c>
      <c r="Y35" s="2"/>
      <c r="Z35" s="19">
        <f t="shared" si="31"/>
        <v>-2.2324349810236257E-2</v>
      </c>
    </row>
    <row r="36" spans="1:26" x14ac:dyDescent="0.3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35">
      <c r="A37" s="10"/>
      <c r="B37" s="28" t="s">
        <v>3</v>
      </c>
      <c r="C37" s="28"/>
      <c r="D37" s="22">
        <f>+D16-D18+D33</f>
        <v>26444.100000000002</v>
      </c>
      <c r="E37" s="14"/>
      <c r="F37" s="21">
        <f>IF(D$12=0,0,D37/D$12)</f>
        <v>0</v>
      </c>
      <c r="G37" s="14"/>
      <c r="H37" s="22">
        <f>+H16-H18+H33</f>
        <v>3424.2299999999996</v>
      </c>
      <c r="I37" s="14"/>
      <c r="J37" s="21">
        <f>IF(H$12=0,0,H37/H$12)</f>
        <v>0</v>
      </c>
      <c r="K37" s="15"/>
      <c r="L37" s="22">
        <f>+D37-H37</f>
        <v>23019.870000000003</v>
      </c>
      <c r="M37" s="15"/>
      <c r="N37" s="21">
        <f>IF(H37=0,0,L37/H37)</f>
        <v>6.722641294539212</v>
      </c>
      <c r="O37" s="29"/>
      <c r="P37" s="22">
        <f>+P16-P18+P33</f>
        <v>329647</v>
      </c>
      <c r="Q37" s="14"/>
      <c r="R37" s="21">
        <f>IF(P$12=0,0,P37/P$12)</f>
        <v>0</v>
      </c>
      <c r="S37" s="14"/>
      <c r="T37" s="22">
        <f>+T16-T18+T33</f>
        <v>255609.59999999998</v>
      </c>
      <c r="U37" s="14"/>
      <c r="V37" s="21">
        <f>IF(T$12=0,0,T37/T$12)</f>
        <v>0</v>
      </c>
      <c r="W37" s="15"/>
      <c r="X37" s="22">
        <f>+P37-T37</f>
        <v>74037.400000000023</v>
      </c>
      <c r="Y37" s="15"/>
      <c r="Z37" s="21">
        <f>IF(T37=0,0,X37/T37)</f>
        <v>0.28965031047347217</v>
      </c>
    </row>
    <row r="38" spans="1:26" x14ac:dyDescent="0.3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35">
      <c r="A39" s="51"/>
      <c r="B39" s="10" t="s">
        <v>13</v>
      </c>
      <c r="C39" s="10"/>
      <c r="D39" s="4"/>
      <c r="E39" s="4"/>
      <c r="F39" s="13">
        <f>IF(D$12=0,0,D39/D$12)</f>
        <v>0</v>
      </c>
      <c r="G39" s="4"/>
      <c r="H39" s="4"/>
      <c r="I39" s="4"/>
      <c r="J39" s="13">
        <f>IF(H$12=0,0,H39/H$12)</f>
        <v>0</v>
      </c>
      <c r="K39" s="4"/>
      <c r="L39" s="4">
        <f>+D39-H39</f>
        <v>0</v>
      </c>
      <c r="M39" s="4"/>
      <c r="N39" s="13">
        <f>IF(H39=0,0,L39/H39)</f>
        <v>0</v>
      </c>
      <c r="O39" s="10"/>
      <c r="P39" s="4"/>
      <c r="Q39" s="4"/>
      <c r="R39" s="13">
        <f>IF(P$12=0,0,P39/P$12)</f>
        <v>0</v>
      </c>
      <c r="S39" s="4"/>
      <c r="T39" s="4"/>
      <c r="U39" s="4"/>
      <c r="V39" s="13">
        <f>IF(T$12=0,0,T39/T$12)</f>
        <v>0</v>
      </c>
      <c r="W39" s="4"/>
      <c r="X39" s="4">
        <f>+P39-T39</f>
        <v>0</v>
      </c>
      <c r="Y39" s="4"/>
      <c r="Z39" s="13">
        <f>IF(T39=0,0,X39/T39)</f>
        <v>0</v>
      </c>
    </row>
    <row r="40" spans="1:26" x14ac:dyDescent="0.3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" thickBot="1" x14ac:dyDescent="0.4">
      <c r="A41" s="10"/>
      <c r="B41" s="28" t="s">
        <v>4</v>
      </c>
      <c r="C41" s="28"/>
      <c r="D41" s="34">
        <f>+D37-D39</f>
        <v>26444.100000000002</v>
      </c>
      <c r="E41" s="14"/>
      <c r="F41" s="32">
        <f>IF(D$12=0,0,D41/D$12)</f>
        <v>0</v>
      </c>
      <c r="G41" s="14"/>
      <c r="H41" s="34">
        <f>+H37-H39</f>
        <v>3424.2299999999996</v>
      </c>
      <c r="I41" s="14"/>
      <c r="J41" s="32">
        <f>IF(H$12=0,0,H41/H$12)</f>
        <v>0</v>
      </c>
      <c r="K41" s="15"/>
      <c r="L41" s="34">
        <f>D41-H41</f>
        <v>23019.870000000003</v>
      </c>
      <c r="M41" s="15"/>
      <c r="N41" s="32">
        <f>IF(H41=0,0,L41/H41)</f>
        <v>6.722641294539212</v>
      </c>
      <c r="O41" s="29"/>
      <c r="P41" s="34">
        <f>+P37-P39</f>
        <v>329647</v>
      </c>
      <c r="Q41" s="14"/>
      <c r="R41" s="32">
        <f>IF(P$12=0,0,P41/P$12)</f>
        <v>0</v>
      </c>
      <c r="S41" s="14"/>
      <c r="T41" s="34">
        <f>+T37-T39</f>
        <v>255609.59999999998</v>
      </c>
      <c r="U41" s="14"/>
      <c r="V41" s="32">
        <f>IF(T$12=0,0,T41/T$12)</f>
        <v>0</v>
      </c>
      <c r="W41" s="15"/>
      <c r="X41" s="34">
        <f>P41-T41</f>
        <v>74037.400000000023</v>
      </c>
      <c r="Y41" s="15"/>
      <c r="Z41" s="32">
        <f>IF(T41=0,0,X41/T41)</f>
        <v>0.28965031047347217</v>
      </c>
    </row>
    <row r="42" spans="1:26" ht="15" thickTop="1" x14ac:dyDescent="0.3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3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" thickBot="1" x14ac:dyDescent="0.4">
      <c r="A44" s="10"/>
      <c r="B44" s="28" t="s">
        <v>5</v>
      </c>
      <c r="C44" s="28"/>
      <c r="D44" s="35">
        <f>SUM(D41:D43)</f>
        <v>26444.100000000002</v>
      </c>
      <c r="E44" s="14"/>
      <c r="F44" s="33">
        <f>IF(D$12=0,0,D44/D$12)</f>
        <v>0</v>
      </c>
      <c r="G44" s="14"/>
      <c r="H44" s="35">
        <f>SUM(H41:H43)</f>
        <v>3424.2299999999996</v>
      </c>
      <c r="I44" s="14"/>
      <c r="J44" s="33">
        <f>IF(H$12=0,0,H44/H$12)</f>
        <v>0</v>
      </c>
      <c r="K44" s="15"/>
      <c r="L44" s="35">
        <f>+D44-H44</f>
        <v>23019.870000000003</v>
      </c>
      <c r="M44" s="15"/>
      <c r="N44" s="33">
        <f>IF(H44=0,0,L44/H44)</f>
        <v>6.722641294539212</v>
      </c>
      <c r="O44" s="29"/>
      <c r="P44" s="35">
        <f>SUM(P41:P43)</f>
        <v>329647</v>
      </c>
      <c r="Q44" s="14"/>
      <c r="R44" s="33">
        <f>IF(P$12=0,0,P44/P$12)</f>
        <v>0</v>
      </c>
      <c r="S44" s="14"/>
      <c r="T44" s="35">
        <f>SUM(T41:T43)</f>
        <v>255609.59999999998</v>
      </c>
      <c r="U44" s="14"/>
      <c r="V44" s="33">
        <f>IF(T$12=0,0,T44/T$12)</f>
        <v>0</v>
      </c>
      <c r="W44" s="15"/>
      <c r="X44" s="35">
        <f>+P44-T44</f>
        <v>74037.400000000023</v>
      </c>
      <c r="Y44" s="15"/>
      <c r="Z44" s="33">
        <f>IF(T44=0,0,X44/T44)</f>
        <v>0.28965031047347217</v>
      </c>
    </row>
    <row r="45" spans="1:26" ht="15" thickTop="1" x14ac:dyDescent="0.35">
      <c r="A45" s="9"/>
      <c r="C45" s="9"/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35">
      <c r="A46" s="9"/>
      <c r="B46" s="52">
        <v>44043.523480937503</v>
      </c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  <row r="47" spans="1:26" x14ac:dyDescent="0.35">
      <c r="A47" s="9"/>
      <c r="B47" s="61" t="s">
        <v>313</v>
      </c>
      <c r="D47" s="17"/>
      <c r="E47" s="17"/>
      <c r="G47" s="17"/>
      <c r="H47" s="17"/>
      <c r="I47" s="17"/>
      <c r="J47" s="42"/>
      <c r="K47" s="17"/>
      <c r="L47" s="17"/>
      <c r="M47" s="17"/>
      <c r="P47" s="17"/>
      <c r="Q47" s="17"/>
      <c r="R47" s="42"/>
      <c r="S47" s="17"/>
      <c r="T47" s="17"/>
      <c r="U47" s="17"/>
      <c r="V47" s="42"/>
      <c r="W47" s="17"/>
      <c r="X47" s="17"/>
    </row>
    <row r="48" spans="1:26" x14ac:dyDescent="0.35">
      <c r="A48" s="9"/>
      <c r="B48" s="54"/>
      <c r="D48" s="17"/>
      <c r="E48" s="17"/>
      <c r="G48" s="17"/>
      <c r="H48" s="17"/>
      <c r="I48" s="17"/>
      <c r="J48" s="42"/>
      <c r="K48" s="17"/>
      <c r="L48" s="17"/>
      <c r="M48" s="17"/>
      <c r="P48" s="17"/>
      <c r="Q48" s="17"/>
      <c r="R48" s="42"/>
      <c r="S48" s="17"/>
      <c r="T48" s="17"/>
      <c r="U48" s="17"/>
      <c r="V48" s="42"/>
      <c r="W48" s="17"/>
      <c r="X48" s="17"/>
    </row>
    <row r="49" spans="4:24" x14ac:dyDescent="0.35">
      <c r="D49" s="17"/>
      <c r="E49" s="17"/>
      <c r="G49" s="17"/>
      <c r="H49" s="17"/>
      <c r="I49" s="17"/>
      <c r="J49" s="42"/>
      <c r="K49" s="17"/>
      <c r="L49" s="17"/>
      <c r="M49" s="17"/>
      <c r="P49" s="17"/>
      <c r="Q49" s="17"/>
      <c r="R49" s="42"/>
      <c r="S49" s="17"/>
      <c r="T49" s="17"/>
      <c r="U49" s="17"/>
      <c r="V49" s="42"/>
      <c r="W49" s="17"/>
      <c r="X49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300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-133638.92000000001</v>
      </c>
      <c r="E12" s="4"/>
      <c r="F12" s="13"/>
      <c r="G12" s="4"/>
      <c r="H12" s="4">
        <f>SUM(OSRRefH13x_0)</f>
        <v>157385.74</v>
      </c>
      <c r="I12" s="4"/>
      <c r="J12" s="13"/>
      <c r="K12" s="4"/>
      <c r="L12" s="4">
        <f t="shared" ref="L12:L18" si="0">+D12-H12</f>
        <v>-291024.66000000003</v>
      </c>
      <c r="M12" s="4"/>
      <c r="N12" s="13">
        <f t="shared" ref="N12:N18" si="1">IF(H12=0,0,L12/H12)</f>
        <v>-1.8491170801115784</v>
      </c>
      <c r="O12" s="10"/>
      <c r="P12" s="4">
        <f>SUM(OSRRefP13x_0)</f>
        <v>9037345.8499999996</v>
      </c>
      <c r="Q12" s="4"/>
      <c r="R12" s="13"/>
      <c r="S12" s="4"/>
      <c r="T12" s="4">
        <f>SUM(OSRRefT13x_0)</f>
        <v>10940162.410000002</v>
      </c>
      <c r="U12" s="4"/>
      <c r="V12" s="13"/>
      <c r="W12" s="4"/>
      <c r="X12" s="4">
        <f t="shared" ref="X12:X18" si="2">+P12-T12</f>
        <v>-1902816.5600000024</v>
      </c>
      <c r="Y12" s="4"/>
      <c r="Z12" s="13">
        <f t="shared" ref="Z12:Z18" si="3">IF(T12=0,0,X12/T12)</f>
        <v>-0.17392946180220389</v>
      </c>
    </row>
    <row r="13" spans="1:26" s="24" customFormat="1" hidden="1" outlineLevel="1" x14ac:dyDescent="0.3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--27.9</f>
        <v>27.9</v>
      </c>
      <c r="E13" s="2"/>
      <c r="F13" s="19"/>
      <c r="G13" s="2"/>
      <c r="H13" s="2">
        <f>--1158.11</f>
        <v>1158.1099999999999</v>
      </c>
      <c r="I13" s="2"/>
      <c r="J13" s="19"/>
      <c r="K13" s="2"/>
      <c r="L13" s="2">
        <f t="shared" si="0"/>
        <v>-1130.2099999999998</v>
      </c>
      <c r="M13" s="2"/>
      <c r="N13" s="19">
        <f t="shared" si="1"/>
        <v>-0.97590902418595804</v>
      </c>
      <c r="O13" s="11"/>
      <c r="P13" s="2">
        <f>--26743.59</f>
        <v>26743.59</v>
      </c>
      <c r="Q13" s="2"/>
      <c r="R13" s="19"/>
      <c r="S13" s="2"/>
      <c r="T13" s="2">
        <f>--21452.69</f>
        <v>21452.69</v>
      </c>
      <c r="U13" s="2"/>
      <c r="V13" s="19"/>
      <c r="W13" s="2"/>
      <c r="X13" s="2">
        <f t="shared" si="2"/>
        <v>5290.9000000000015</v>
      </c>
      <c r="Y13" s="2"/>
      <c r="Z13" s="19">
        <f t="shared" si="3"/>
        <v>0.24663107517052649</v>
      </c>
    </row>
    <row r="14" spans="1:26" s="24" customFormat="1" hidden="1" outlineLevel="1" x14ac:dyDescent="0.3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--973.49</f>
        <v>973.49</v>
      </c>
      <c r="Q14" s="2"/>
      <c r="R14" s="19"/>
      <c r="S14" s="2"/>
      <c r="T14" s="2">
        <f>--1808.05</f>
        <v>1808.05</v>
      </c>
      <c r="U14" s="2"/>
      <c r="V14" s="19"/>
      <c r="W14" s="2"/>
      <c r="X14" s="2">
        <f t="shared" si="2"/>
        <v>-834.56</v>
      </c>
      <c r="Y14" s="2"/>
      <c r="Z14" s="19">
        <f t="shared" si="3"/>
        <v>-0.46158015541605596</v>
      </c>
    </row>
    <row r="15" spans="1:26" s="24" customFormat="1" hidden="1" outlineLevel="1" x14ac:dyDescent="0.3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-138366.42</f>
        <v>-138366.42000000001</v>
      </c>
      <c r="E15" s="2"/>
      <c r="F15" s="19"/>
      <c r="G15" s="2"/>
      <c r="H15" s="2">
        <f>--153276.67</f>
        <v>153276.67000000001</v>
      </c>
      <c r="I15" s="2"/>
      <c r="J15" s="19"/>
      <c r="K15" s="2"/>
      <c r="L15" s="2">
        <f t="shared" si="0"/>
        <v>-291643.09000000003</v>
      </c>
      <c r="M15" s="2"/>
      <c r="N15" s="19">
        <f t="shared" si="1"/>
        <v>-1.9027232911570953</v>
      </c>
      <c r="O15" s="11"/>
      <c r="P15" s="2">
        <f>--8700859.44</f>
        <v>8700859.4399999995</v>
      </c>
      <c r="Q15" s="2"/>
      <c r="R15" s="19"/>
      <c r="S15" s="2"/>
      <c r="T15" s="2">
        <f>--10588004.24</f>
        <v>10588004.24</v>
      </c>
      <c r="U15" s="2"/>
      <c r="V15" s="19"/>
      <c r="W15" s="2"/>
      <c r="X15" s="2">
        <f t="shared" si="2"/>
        <v>-1887144.8000000007</v>
      </c>
      <c r="Y15" s="2"/>
      <c r="Z15" s="19">
        <f t="shared" si="3"/>
        <v>-0.17823423161001686</v>
      </c>
    </row>
    <row r="16" spans="1:26" s="24" customFormat="1" hidden="1" outlineLevel="1" x14ac:dyDescent="0.3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--4699.6</f>
        <v>4699.6000000000004</v>
      </c>
      <c r="E16" s="2"/>
      <c r="F16" s="19"/>
      <c r="G16" s="2"/>
      <c r="H16" s="2">
        <f>--2950.96</f>
        <v>2950.96</v>
      </c>
      <c r="I16" s="2"/>
      <c r="J16" s="19"/>
      <c r="K16" s="2"/>
      <c r="L16" s="2">
        <f t="shared" si="0"/>
        <v>1748.6400000000003</v>
      </c>
      <c r="M16" s="2"/>
      <c r="N16" s="19">
        <f t="shared" si="1"/>
        <v>0.59256648683818158</v>
      </c>
      <c r="O16" s="11"/>
      <c r="P16" s="2">
        <f>--304651.73</f>
        <v>304651.73</v>
      </c>
      <c r="Q16" s="2"/>
      <c r="R16" s="19"/>
      <c r="S16" s="2"/>
      <c r="T16" s="2">
        <f>--319373.4</f>
        <v>319373.40000000002</v>
      </c>
      <c r="U16" s="2"/>
      <c r="V16" s="19"/>
      <c r="W16" s="2"/>
      <c r="X16" s="2">
        <f t="shared" si="2"/>
        <v>-14721.670000000042</v>
      </c>
      <c r="Y16" s="2"/>
      <c r="Z16" s="19">
        <f t="shared" si="3"/>
        <v>-4.6095479460719145E-2</v>
      </c>
    </row>
    <row r="17" spans="1:26" s="24" customFormat="1" hidden="1" outlineLevel="1" x14ac:dyDescent="0.3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--3733.9</f>
        <v>3733.9</v>
      </c>
      <c r="Q17" s="2"/>
      <c r="R17" s="19"/>
      <c r="S17" s="2"/>
      <c r="T17" s="2">
        <f>--8469.13</f>
        <v>8469.1299999999992</v>
      </c>
      <c r="U17" s="2"/>
      <c r="V17" s="19"/>
      <c r="W17" s="2"/>
      <c r="X17" s="2">
        <f t="shared" si="2"/>
        <v>-4735.2299999999996</v>
      </c>
      <c r="Y17" s="2"/>
      <c r="Z17" s="19">
        <f t="shared" si="3"/>
        <v>-0.55911646178533092</v>
      </c>
    </row>
    <row r="18" spans="1:26" s="24" customFormat="1" hidden="1" outlineLevel="1" x14ac:dyDescent="0.35">
      <c r="A18" s="44"/>
      <c r="B18" s="11" t="str">
        <f>CONCATENATE("          ", "4159", " - ", "NON-TAXABLE SALES-FOOD")</f>
        <v xml:space="preserve">          4159 - NON-TAXABLE SALES-FOOD</v>
      </c>
      <c r="C18" s="11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--383.7</f>
        <v>383.7</v>
      </c>
      <c r="Q18" s="2"/>
      <c r="R18" s="19"/>
      <c r="S18" s="2"/>
      <c r="T18" s="2">
        <f>--1054.9</f>
        <v>1054.9000000000001</v>
      </c>
      <c r="U18" s="2"/>
      <c r="V18" s="19"/>
      <c r="W18" s="2"/>
      <c r="X18" s="2">
        <f t="shared" si="2"/>
        <v>-671.2</v>
      </c>
      <c r="Y18" s="2"/>
      <c r="Z18" s="19">
        <f t="shared" si="3"/>
        <v>-0.63626884064840272</v>
      </c>
    </row>
    <row r="19" spans="1:26" x14ac:dyDescent="0.3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5">
      <c r="A20" s="10"/>
      <c r="B20" s="29" t="s">
        <v>8</v>
      </c>
      <c r="C20" s="10"/>
      <c r="D20" s="4">
        <f>SUM(OSRRefD16x_0)</f>
        <v>18200.21</v>
      </c>
      <c r="E20" s="4"/>
      <c r="F20" s="13">
        <f t="shared" ref="F20:F22" si="6">IF(D$12=0,0,D20/D$12)</f>
        <v>-0.13618944241692463</v>
      </c>
      <c r="G20" s="4"/>
      <c r="H20" s="4">
        <f>SUM(OSRRefH16x_0)</f>
        <v>99820.5</v>
      </c>
      <c r="I20" s="4"/>
      <c r="J20" s="13">
        <f t="shared" ref="J20:J22" si="7">IF(H$12=0,0,H20/H$12)</f>
        <v>0.63424106910829414</v>
      </c>
      <c r="K20" s="4"/>
      <c r="L20" s="4">
        <f t="shared" ref="L20:L22" si="8">+D20-H20</f>
        <v>-81620.290000000008</v>
      </c>
      <c r="M20" s="4"/>
      <c r="N20" s="13">
        <f t="shared" ref="N20:N22" si="9">IF(H20=0,0,L20/H20)</f>
        <v>-0.81767061876067548</v>
      </c>
      <c r="O20" s="10"/>
      <c r="P20" s="4">
        <f>SUM(OSRRefP16x_0)</f>
        <v>2213342.3500000006</v>
      </c>
      <c r="Q20" s="4"/>
      <c r="R20" s="13">
        <f t="shared" ref="R20:R22" si="10">IF(P$12=0,0,P20/P$12)</f>
        <v>0.24491066146373061</v>
      </c>
      <c r="S20" s="4"/>
      <c r="T20" s="4">
        <f>SUM(OSRRefT16x_0)</f>
        <v>2731781.16</v>
      </c>
      <c r="U20" s="4"/>
      <c r="V20" s="13">
        <f t="shared" ref="V20:V22" si="11">IF(T$12=0,0,T20/T$12)</f>
        <v>0.24970206635168221</v>
      </c>
      <c r="W20" s="4"/>
      <c r="X20" s="4">
        <f t="shared" ref="X20:X22" si="12">+P20-T20</f>
        <v>-518438.80999999959</v>
      </c>
      <c r="Y20" s="4"/>
      <c r="Z20" s="13">
        <f t="shared" ref="Z20:Z22" si="13">IF(T20=0,0,X20/T20)</f>
        <v>-0.18978050569760851</v>
      </c>
    </row>
    <row r="21" spans="1:26" s="24" customFormat="1" hidden="1" outlineLevel="1" x14ac:dyDescent="0.3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10968.21</v>
      </c>
      <c r="E21" s="2"/>
      <c r="F21" s="19">
        <f t="shared" si="6"/>
        <v>-8.2073470812245405E-2</v>
      </c>
      <c r="G21" s="2"/>
      <c r="H21" s="2">
        <v>87287.5</v>
      </c>
      <c r="I21" s="2"/>
      <c r="J21" s="19">
        <f t="shared" si="7"/>
        <v>0.55460869580687555</v>
      </c>
      <c r="K21" s="2"/>
      <c r="L21" s="2">
        <f t="shared" si="8"/>
        <v>-76319.290000000008</v>
      </c>
      <c r="M21" s="2"/>
      <c r="N21" s="19">
        <f t="shared" si="9"/>
        <v>-0.87434386366891026</v>
      </c>
      <c r="O21" s="11"/>
      <c r="P21" s="2">
        <v>2183108.6100000003</v>
      </c>
      <c r="Q21" s="2"/>
      <c r="R21" s="19">
        <f t="shared" si="10"/>
        <v>0.24156523897998219</v>
      </c>
      <c r="S21" s="2"/>
      <c r="T21" s="2">
        <v>2723796.14</v>
      </c>
      <c r="U21" s="2"/>
      <c r="V21" s="19">
        <f t="shared" si="11"/>
        <v>0.24897218504821078</v>
      </c>
      <c r="W21" s="2"/>
      <c r="X21" s="2">
        <f t="shared" si="12"/>
        <v>-540687.5299999998</v>
      </c>
      <c r="Y21" s="2"/>
      <c r="Z21" s="19">
        <f t="shared" si="13"/>
        <v>-0.1985051384939549</v>
      </c>
    </row>
    <row r="22" spans="1:26" s="24" customFormat="1" hidden="1" outlineLevel="1" x14ac:dyDescent="0.3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7232</v>
      </c>
      <c r="E22" s="2"/>
      <c r="F22" s="19">
        <f t="shared" si="6"/>
        <v>-5.4115971604679229E-2</v>
      </c>
      <c r="G22" s="2"/>
      <c r="H22" s="2">
        <v>12533</v>
      </c>
      <c r="I22" s="2"/>
      <c r="J22" s="19">
        <f t="shared" si="7"/>
        <v>7.9632373301418549E-2</v>
      </c>
      <c r="K22" s="2"/>
      <c r="L22" s="2">
        <f t="shared" si="8"/>
        <v>-5301</v>
      </c>
      <c r="M22" s="2"/>
      <c r="N22" s="19">
        <f t="shared" si="9"/>
        <v>-0.42296337668555017</v>
      </c>
      <c r="O22" s="11"/>
      <c r="P22" s="2">
        <v>30233.74</v>
      </c>
      <c r="Q22" s="2"/>
      <c r="R22" s="19">
        <f t="shared" si="10"/>
        <v>3.3454224837483676E-3</v>
      </c>
      <c r="S22" s="2"/>
      <c r="T22" s="2">
        <v>7985.02</v>
      </c>
      <c r="U22" s="2"/>
      <c r="V22" s="19">
        <f t="shared" si="11"/>
        <v>7.2988130347143531E-4</v>
      </c>
      <c r="W22" s="2"/>
      <c r="X22" s="2">
        <f t="shared" si="12"/>
        <v>22248.720000000001</v>
      </c>
      <c r="Y22" s="2"/>
      <c r="Z22" s="19">
        <f t="shared" si="13"/>
        <v>2.7863073605325974</v>
      </c>
    </row>
    <row r="23" spans="1:26" x14ac:dyDescent="0.3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5">
      <c r="A24" s="10"/>
      <c r="B24" s="28" t="s">
        <v>6</v>
      </c>
      <c r="C24" s="28"/>
      <c r="D24" s="22">
        <f>D12-D20</f>
        <v>-151839.13</v>
      </c>
      <c r="E24" s="14"/>
      <c r="F24" s="21">
        <f>IF(D$12=0,0,D24/D$12)</f>
        <v>1.1361894424169245</v>
      </c>
      <c r="G24" s="14"/>
      <c r="H24" s="22">
        <f>H12-H20</f>
        <v>57565.239999999991</v>
      </c>
      <c r="I24" s="14"/>
      <c r="J24" s="21">
        <f>IF(H$12=0,0,H24/H$12)</f>
        <v>0.36575893089170591</v>
      </c>
      <c r="K24" s="15"/>
      <c r="L24" s="22">
        <f>+D24-H24</f>
        <v>-209404.37</v>
      </c>
      <c r="M24" s="15"/>
      <c r="N24" s="21">
        <f>IF(H24=0,0,L24/H24)</f>
        <v>-3.6376877782495134</v>
      </c>
      <c r="O24" s="29"/>
      <c r="P24" s="22">
        <f>P12-P20</f>
        <v>6824003.4999999991</v>
      </c>
      <c r="Q24" s="14"/>
      <c r="R24" s="21">
        <f>IF(P$12=0,0,P24/P$12)</f>
        <v>0.75508933853626936</v>
      </c>
      <c r="S24" s="14"/>
      <c r="T24" s="22">
        <f>T12-T20</f>
        <v>8208381.2500000019</v>
      </c>
      <c r="U24" s="14"/>
      <c r="V24" s="21">
        <f>IF(T$12=0,0,T24/T$12)</f>
        <v>0.75029793364831776</v>
      </c>
      <c r="W24" s="15"/>
      <c r="X24" s="22">
        <f>+P24-T24</f>
        <v>-1384377.7500000028</v>
      </c>
      <c r="Y24" s="15"/>
      <c r="Z24" s="21">
        <f>IF(T24=0,0,X24/T24)</f>
        <v>-0.16865417283097109</v>
      </c>
    </row>
    <row r="25" spans="1:26" x14ac:dyDescent="0.3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5">
      <c r="A26" s="10"/>
      <c r="B26" s="29" t="s">
        <v>9</v>
      </c>
      <c r="C26" s="10"/>
      <c r="D26" s="20">
        <f>SUM(OSRRefD22x_0)</f>
        <v>124798.58999999998</v>
      </c>
      <c r="E26" s="20"/>
      <c r="F26" s="36">
        <f t="shared" ref="F26:F36" si="14">IF(D$12=0,0,D26/D$12)</f>
        <v>-0.93384913616482357</v>
      </c>
      <c r="G26" s="20"/>
      <c r="H26" s="20">
        <f>SUM(OSRRefH22x_0)</f>
        <v>254481.62999999998</v>
      </c>
      <c r="I26" s="20"/>
      <c r="J26" s="36">
        <f t="shared" ref="J26:J36" si="15">IF(H$12=0,0,H26/H$12)</f>
        <v>1.6169293990675393</v>
      </c>
      <c r="K26" s="4"/>
      <c r="L26" s="20">
        <f t="shared" ref="L26:L36" si="16">+D26-H26</f>
        <v>-129683.04</v>
      </c>
      <c r="M26" s="4"/>
      <c r="N26" s="36">
        <f t="shared" ref="N26:N36" si="17">IF(H26=0,0,L26/H26)</f>
        <v>-0.50959686166738249</v>
      </c>
      <c r="O26" s="10"/>
      <c r="P26" s="20">
        <f>SUM(OSRRefP22x_0)</f>
        <v>4940577.41</v>
      </c>
      <c r="Q26" s="20"/>
      <c r="R26" s="36">
        <f t="shared" ref="R26:R36" si="18">IF(P$12=0,0,P26/P$12)</f>
        <v>0.54668455672745997</v>
      </c>
      <c r="S26" s="20"/>
      <c r="T26" s="20">
        <f>SUM(OSRRefT22x_0)</f>
        <v>5249177.2600000016</v>
      </c>
      <c r="U26" s="20"/>
      <c r="V26" s="36">
        <f t="shared" ref="V26:V36" si="19">IF(T$12=0,0,T26/T$12)</f>
        <v>0.47980798303340733</v>
      </c>
      <c r="W26" s="4"/>
      <c r="X26" s="20">
        <f t="shared" ref="X26:X36" si="20">+P26-T26</f>
        <v>-308599.85000000149</v>
      </c>
      <c r="Y26" s="4"/>
      <c r="Z26" s="36">
        <f t="shared" ref="Z26:Z36" si="21">IF(T26=0,0,X26/T26)</f>
        <v>-5.8790136951862318E-2</v>
      </c>
    </row>
    <row r="27" spans="1:26" s="25" customFormat="1" outlineLevel="1" collapsed="1" x14ac:dyDescent="0.35">
      <c r="A27" s="26"/>
      <c r="B27" s="12" t="str">
        <f>CONCATENATE("     ","*Benefits                                         ")</f>
        <v xml:space="preserve">     *Benefits                                         </v>
      </c>
      <c r="C27" s="12"/>
      <c r="D27" s="1">
        <f>SUM(OSRRefD22_0x_0)</f>
        <v>61855.169999999991</v>
      </c>
      <c r="E27" s="1"/>
      <c r="F27" s="5">
        <f t="shared" si="14"/>
        <v>-0.46285296229571432</v>
      </c>
      <c r="G27" s="1"/>
      <c r="H27" s="1">
        <f>SUM(OSRRefH22_0x_0)</f>
        <v>61023.920000000013</v>
      </c>
      <c r="I27" s="1"/>
      <c r="J27" s="5">
        <f t="shared" si="15"/>
        <v>0.38773474648973927</v>
      </c>
      <c r="K27" s="1"/>
      <c r="L27" s="1">
        <f t="shared" si="16"/>
        <v>831.24999999997817</v>
      </c>
      <c r="M27" s="1"/>
      <c r="N27" s="5">
        <f t="shared" si="17"/>
        <v>1.3621707684461732E-2</v>
      </c>
      <c r="O27" s="12"/>
      <c r="P27" s="1">
        <f>SUM(OSRRefP22_0x_0)</f>
        <v>1005352.1799999999</v>
      </c>
      <c r="Q27" s="1"/>
      <c r="R27" s="5">
        <f t="shared" si="18"/>
        <v>0.11124418570304023</v>
      </c>
      <c r="S27" s="1"/>
      <c r="T27" s="1">
        <f>SUM(OSRRefT22_0x_0)</f>
        <v>1049955.71</v>
      </c>
      <c r="U27" s="1"/>
      <c r="V27" s="5">
        <f t="shared" si="19"/>
        <v>9.5972588948064777E-2</v>
      </c>
      <c r="W27" s="1"/>
      <c r="X27" s="1">
        <f t="shared" si="20"/>
        <v>-44603.530000000028</v>
      </c>
      <c r="Y27" s="1"/>
      <c r="Z27" s="5">
        <f t="shared" si="21"/>
        <v>-4.2481344284512751E-2</v>
      </c>
    </row>
    <row r="28" spans="1:26" s="24" customFormat="1" hidden="1" outlineLevel="2" x14ac:dyDescent="0.35">
      <c r="A28" s="27"/>
      <c r="B28" s="11" t="str">
        <f>CONCATENATE("          ", "6111", " - ", "F.I.C.A.")</f>
        <v xml:space="preserve">          6111 - F.I.C.A.</v>
      </c>
      <c r="C28" s="11"/>
      <c r="D28" s="7">
        <v>6677.71</v>
      </c>
      <c r="E28" s="2"/>
      <c r="F28" s="6">
        <f t="shared" si="14"/>
        <v>-4.9968302647162961E-2</v>
      </c>
      <c r="G28" s="2"/>
      <c r="H28" s="7">
        <v>11451.21</v>
      </c>
      <c r="I28" s="2"/>
      <c r="J28" s="6">
        <f t="shared" si="15"/>
        <v>7.2758878917492775E-2</v>
      </c>
      <c r="K28" s="2"/>
      <c r="L28" s="7">
        <f t="shared" si="16"/>
        <v>-4773.4999999999991</v>
      </c>
      <c r="M28" s="2"/>
      <c r="N28" s="6">
        <f t="shared" si="17"/>
        <v>-0.41685551133897636</v>
      </c>
      <c r="O28" s="11"/>
      <c r="P28" s="7">
        <v>150355.07</v>
      </c>
      <c r="Q28" s="2"/>
      <c r="R28" s="6">
        <f t="shared" si="18"/>
        <v>1.663708266736301E-2</v>
      </c>
      <c r="S28" s="2"/>
      <c r="T28" s="7">
        <v>150074.5</v>
      </c>
      <c r="U28" s="2"/>
      <c r="V28" s="6">
        <f t="shared" si="19"/>
        <v>1.3717757961510918E-2</v>
      </c>
      <c r="W28" s="2"/>
      <c r="X28" s="7">
        <f t="shared" si="20"/>
        <v>280.57000000000698</v>
      </c>
      <c r="Y28" s="2"/>
      <c r="Z28" s="6">
        <f t="shared" si="21"/>
        <v>1.8695381293957799E-3</v>
      </c>
    </row>
    <row r="29" spans="1:26" s="24" customFormat="1" hidden="1" outlineLevel="2" x14ac:dyDescent="0.35">
      <c r="A29" s="27"/>
      <c r="B29" s="11" t="str">
        <f>CONCATENATE("          ", "6112", " - ", "COMPENSATION INSURANCE")</f>
        <v xml:space="preserve">          6112 - COMPENSATION INSURANCE</v>
      </c>
      <c r="C29" s="11"/>
      <c r="D29" s="7">
        <v>3350.78</v>
      </c>
      <c r="E29" s="2"/>
      <c r="F29" s="6">
        <f t="shared" si="14"/>
        <v>-2.5073384310498766E-2</v>
      </c>
      <c r="G29" s="2"/>
      <c r="H29" s="7">
        <v>7358.05</v>
      </c>
      <c r="I29" s="2"/>
      <c r="J29" s="6">
        <f t="shared" si="15"/>
        <v>4.6751694276749599E-2</v>
      </c>
      <c r="K29" s="2"/>
      <c r="L29" s="7">
        <f t="shared" si="16"/>
        <v>-4007.27</v>
      </c>
      <c r="M29" s="2"/>
      <c r="N29" s="6">
        <f t="shared" si="17"/>
        <v>-0.54461032474636617</v>
      </c>
      <c r="O29" s="11"/>
      <c r="P29" s="7">
        <v>94904.450000000012</v>
      </c>
      <c r="Q29" s="2"/>
      <c r="R29" s="6">
        <f t="shared" si="18"/>
        <v>1.0501363074425221E-2</v>
      </c>
      <c r="S29" s="2"/>
      <c r="T29" s="7">
        <v>91837.68</v>
      </c>
      <c r="U29" s="2"/>
      <c r="V29" s="6">
        <f t="shared" si="19"/>
        <v>8.3945444828181469E-3</v>
      </c>
      <c r="W29" s="2"/>
      <c r="X29" s="7">
        <f t="shared" si="20"/>
        <v>3066.7700000000186</v>
      </c>
      <c r="Y29" s="2"/>
      <c r="Z29" s="6">
        <f t="shared" si="21"/>
        <v>3.3393374048647777E-2</v>
      </c>
    </row>
    <row r="30" spans="1:26" s="24" customFormat="1" hidden="1" outlineLevel="2" x14ac:dyDescent="0.35">
      <c r="A30" s="27"/>
      <c r="B30" s="11" t="str">
        <f>CONCATENATE("          ", "6113", " - ", "GROUP INSURANCE")</f>
        <v xml:space="preserve">          6113 - GROUP INSURANCE</v>
      </c>
      <c r="C30" s="11"/>
      <c r="D30" s="7">
        <v>41691.089999999997</v>
      </c>
      <c r="E30" s="2"/>
      <c r="F30" s="6">
        <f t="shared" si="14"/>
        <v>-0.31196817513939795</v>
      </c>
      <c r="G30" s="2"/>
      <c r="H30" s="7">
        <v>45099.23</v>
      </c>
      <c r="I30" s="2"/>
      <c r="J30" s="6">
        <f t="shared" si="15"/>
        <v>0.28655219971008811</v>
      </c>
      <c r="K30" s="2"/>
      <c r="L30" s="7">
        <f t="shared" si="16"/>
        <v>-3408.1400000000067</v>
      </c>
      <c r="M30" s="2"/>
      <c r="N30" s="6">
        <f t="shared" si="17"/>
        <v>-7.5569804628593584E-2</v>
      </c>
      <c r="O30" s="11"/>
      <c r="P30" s="7">
        <v>557939.72</v>
      </c>
      <c r="Q30" s="2"/>
      <c r="R30" s="6">
        <f t="shared" si="18"/>
        <v>6.173712163510927E-2</v>
      </c>
      <c r="S30" s="2"/>
      <c r="T30" s="7">
        <v>543273.29</v>
      </c>
      <c r="U30" s="2"/>
      <c r="V30" s="6">
        <f t="shared" si="19"/>
        <v>4.9658612883426101E-2</v>
      </c>
      <c r="W30" s="2"/>
      <c r="X30" s="7">
        <f t="shared" si="20"/>
        <v>14666.429999999935</v>
      </c>
      <c r="Y30" s="2"/>
      <c r="Z30" s="6">
        <f t="shared" si="21"/>
        <v>2.6996412799900275E-2</v>
      </c>
    </row>
    <row r="31" spans="1:26" s="24" customFormat="1" hidden="1" outlineLevel="2" x14ac:dyDescent="0.35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7">
        <v>-7153.84</v>
      </c>
      <c r="E31" s="2"/>
      <c r="F31" s="6">
        <f t="shared" si="14"/>
        <v>5.3531112044305655E-2</v>
      </c>
      <c r="G31" s="2"/>
      <c r="H31" s="7">
        <v>549.87</v>
      </c>
      <c r="I31" s="2"/>
      <c r="J31" s="6">
        <f t="shared" si="15"/>
        <v>3.4937726886819609E-3</v>
      </c>
      <c r="K31" s="2"/>
      <c r="L31" s="7">
        <f t="shared" si="16"/>
        <v>-7703.71</v>
      </c>
      <c r="M31" s="2"/>
      <c r="N31" s="6">
        <f t="shared" si="17"/>
        <v>-14.01005692254533</v>
      </c>
      <c r="O31" s="11"/>
      <c r="P31" s="7">
        <v>0</v>
      </c>
      <c r="Q31" s="2"/>
      <c r="R31" s="6">
        <f t="shared" si="18"/>
        <v>0</v>
      </c>
      <c r="S31" s="2"/>
      <c r="T31" s="7">
        <v>7621.31</v>
      </c>
      <c r="U31" s="2"/>
      <c r="V31" s="6">
        <f t="shared" si="19"/>
        <v>6.9663591036213867E-4</v>
      </c>
      <c r="W31" s="2"/>
      <c r="X31" s="7">
        <f t="shared" si="20"/>
        <v>-7621.31</v>
      </c>
      <c r="Y31" s="2"/>
      <c r="Z31" s="6">
        <f t="shared" si="21"/>
        <v>-1</v>
      </c>
    </row>
    <row r="32" spans="1:26" s="24" customFormat="1" hidden="1" outlineLevel="2" x14ac:dyDescent="0.35">
      <c r="A32" s="27"/>
      <c r="B32" s="11" t="str">
        <f>CONCATENATE("          ", "6115", " - ", "P.E.R.S.")</f>
        <v xml:space="preserve">          6115 - P.E.R.S.</v>
      </c>
      <c r="C32" s="11"/>
      <c r="D32" s="7">
        <v>3282.73</v>
      </c>
      <c r="E32" s="2"/>
      <c r="F32" s="6">
        <f t="shared" si="14"/>
        <v>-2.456417636419091E-2</v>
      </c>
      <c r="G32" s="2"/>
      <c r="H32" s="7"/>
      <c r="I32" s="2"/>
      <c r="J32" s="6">
        <f t="shared" si="15"/>
        <v>0</v>
      </c>
      <c r="K32" s="2"/>
      <c r="L32" s="7">
        <f t="shared" si="16"/>
        <v>3282.73</v>
      </c>
      <c r="M32" s="2"/>
      <c r="N32" s="6">
        <f t="shared" si="17"/>
        <v>0</v>
      </c>
      <c r="O32" s="11"/>
      <c r="P32" s="7">
        <v>51688.44</v>
      </c>
      <c r="Q32" s="2"/>
      <c r="R32" s="6">
        <f t="shared" si="18"/>
        <v>5.719427015178356E-3</v>
      </c>
      <c r="S32" s="2"/>
      <c r="T32" s="7">
        <v>44903.369999999995</v>
      </c>
      <c r="U32" s="2"/>
      <c r="V32" s="6">
        <f t="shared" si="19"/>
        <v>4.1044518643485097E-3</v>
      </c>
      <c r="W32" s="2"/>
      <c r="X32" s="7">
        <f t="shared" si="20"/>
        <v>6785.070000000007</v>
      </c>
      <c r="Y32" s="2"/>
      <c r="Z32" s="6">
        <f t="shared" si="21"/>
        <v>0.15110380356752751</v>
      </c>
    </row>
    <row r="33" spans="1:26" s="24" customFormat="1" hidden="1" outlineLevel="2" x14ac:dyDescent="0.3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1453.91</v>
      </c>
      <c r="E33" s="2"/>
      <c r="F33" s="6">
        <f t="shared" si="14"/>
        <v>-1.0879390524856081E-2</v>
      </c>
      <c r="G33" s="2"/>
      <c r="H33" s="7">
        <v>1263.06</v>
      </c>
      <c r="I33" s="2"/>
      <c r="J33" s="6">
        <f t="shared" si="15"/>
        <v>8.0252505722564187E-3</v>
      </c>
      <c r="K33" s="2"/>
      <c r="L33" s="7">
        <f t="shared" si="16"/>
        <v>190.85000000000014</v>
      </c>
      <c r="M33" s="2"/>
      <c r="N33" s="6">
        <f t="shared" si="17"/>
        <v>0.15110129368359393</v>
      </c>
      <c r="O33" s="11"/>
      <c r="P33" s="7">
        <v>20877.599999999999</v>
      </c>
      <c r="Q33" s="2"/>
      <c r="R33" s="6">
        <f t="shared" si="18"/>
        <v>2.3101472873255148E-3</v>
      </c>
      <c r="S33" s="2"/>
      <c r="T33" s="7">
        <v>18321.439999999999</v>
      </c>
      <c r="U33" s="2"/>
      <c r="V33" s="6">
        <f t="shared" si="19"/>
        <v>1.6746954307783439E-3</v>
      </c>
      <c r="W33" s="2"/>
      <c r="X33" s="7">
        <f t="shared" si="20"/>
        <v>2556.16</v>
      </c>
      <c r="Y33" s="2"/>
      <c r="Z33" s="6">
        <f t="shared" si="21"/>
        <v>0.13951741784488556</v>
      </c>
    </row>
    <row r="34" spans="1:26" s="24" customFormat="1" hidden="1" outlineLevel="2" x14ac:dyDescent="0.35">
      <c r="A34" s="27"/>
      <c r="B34" s="11" t="str">
        <f>CONCATENATE("          ", "6118", " - ", "VACATION")</f>
        <v xml:space="preserve">          6118 - VACATION</v>
      </c>
      <c r="C34" s="11"/>
      <c r="D34" s="7">
        <v>5831.78</v>
      </c>
      <c r="E34" s="2"/>
      <c r="F34" s="6">
        <f t="shared" si="14"/>
        <v>-4.3638335299327466E-2</v>
      </c>
      <c r="G34" s="2"/>
      <c r="H34" s="7">
        <v>7045.68</v>
      </c>
      <c r="I34" s="2"/>
      <c r="J34" s="6">
        <f t="shared" si="15"/>
        <v>4.4766952838293995E-2</v>
      </c>
      <c r="K34" s="2"/>
      <c r="L34" s="7">
        <f t="shared" si="16"/>
        <v>-1213.9000000000005</v>
      </c>
      <c r="M34" s="2"/>
      <c r="N34" s="6">
        <f t="shared" si="17"/>
        <v>-0.17228997059190887</v>
      </c>
      <c r="O34" s="11"/>
      <c r="P34" s="7">
        <v>98573.73000000001</v>
      </c>
      <c r="Q34" s="2"/>
      <c r="R34" s="6">
        <f t="shared" si="18"/>
        <v>1.0907376085424463E-2</v>
      </c>
      <c r="S34" s="2"/>
      <c r="T34" s="7">
        <v>99265.83</v>
      </c>
      <c r="U34" s="2"/>
      <c r="V34" s="6">
        <f t="shared" si="19"/>
        <v>9.0735243481636745E-3</v>
      </c>
      <c r="W34" s="2"/>
      <c r="X34" s="7">
        <f t="shared" si="20"/>
        <v>-692.09999999999127</v>
      </c>
      <c r="Y34" s="2"/>
      <c r="Z34" s="6">
        <f t="shared" si="21"/>
        <v>-6.9721877105141947E-3</v>
      </c>
    </row>
    <row r="35" spans="1:26" s="24" customFormat="1" hidden="1" outlineLevel="2" x14ac:dyDescent="0.35">
      <c r="A35" s="27"/>
      <c r="B35" s="11" t="str">
        <f>CONCATENATE("          ", "6119", " - ", "SICK LEAVE")</f>
        <v xml:space="preserve">          6119 - SICK LEAVE</v>
      </c>
      <c r="C35" s="11"/>
      <c r="D35" s="7">
        <v>4472.3100000000004</v>
      </c>
      <c r="E35" s="2"/>
      <c r="F35" s="6">
        <f t="shared" si="14"/>
        <v>-3.3465625133755943E-2</v>
      </c>
      <c r="G35" s="2"/>
      <c r="H35" s="7">
        <v>-14744.73</v>
      </c>
      <c r="I35" s="2"/>
      <c r="J35" s="6">
        <f t="shared" si="15"/>
        <v>-9.3685298299579112E-2</v>
      </c>
      <c r="K35" s="2"/>
      <c r="L35" s="7">
        <f t="shared" si="16"/>
        <v>19217.04</v>
      </c>
      <c r="M35" s="2"/>
      <c r="N35" s="6">
        <f t="shared" si="17"/>
        <v>-1.3033158287740774</v>
      </c>
      <c r="O35" s="11"/>
      <c r="P35" s="7">
        <v>-9843.3700000000008</v>
      </c>
      <c r="Q35" s="2"/>
      <c r="R35" s="6">
        <f t="shared" si="18"/>
        <v>-1.0891881491953749E-3</v>
      </c>
      <c r="S35" s="2"/>
      <c r="T35" s="7">
        <v>54146.400000000001</v>
      </c>
      <c r="U35" s="2"/>
      <c r="V35" s="6">
        <f t="shared" si="19"/>
        <v>4.9493232340414584E-3</v>
      </c>
      <c r="W35" s="2"/>
      <c r="X35" s="7">
        <f t="shared" si="20"/>
        <v>-63989.770000000004</v>
      </c>
      <c r="Y35" s="2"/>
      <c r="Z35" s="6">
        <f t="shared" si="21"/>
        <v>-1.1817917719368232</v>
      </c>
    </row>
    <row r="36" spans="1:26" s="24" customFormat="1" hidden="1" outlineLevel="2" x14ac:dyDescent="0.35">
      <c r="A36" s="27"/>
      <c r="B36" s="11" t="str">
        <f>CONCATENATE("          ", "6156", " - ", "EMPLOYEE MEALS")</f>
        <v xml:space="preserve">          6156 - EMPLOYEE MEALS</v>
      </c>
      <c r="C36" s="11"/>
      <c r="D36" s="7">
        <v>2248.6999999999998</v>
      </c>
      <c r="E36" s="2"/>
      <c r="F36" s="6">
        <f t="shared" si="14"/>
        <v>-1.6826684920829948E-2</v>
      </c>
      <c r="G36" s="2"/>
      <c r="H36" s="7">
        <v>3001.55</v>
      </c>
      <c r="I36" s="2"/>
      <c r="J36" s="6">
        <f t="shared" si="15"/>
        <v>1.9071295785755435E-2</v>
      </c>
      <c r="K36" s="2"/>
      <c r="L36" s="7">
        <f t="shared" si="16"/>
        <v>-752.85000000000036</v>
      </c>
      <c r="M36" s="2"/>
      <c r="N36" s="6">
        <f t="shared" si="17"/>
        <v>-0.25082040945511497</v>
      </c>
      <c r="O36" s="11"/>
      <c r="P36" s="7">
        <v>40856.54</v>
      </c>
      <c r="Q36" s="2"/>
      <c r="R36" s="6">
        <f t="shared" si="18"/>
        <v>4.5208560874097792E-3</v>
      </c>
      <c r="S36" s="2"/>
      <c r="T36" s="7">
        <v>40511.89</v>
      </c>
      <c r="U36" s="2"/>
      <c r="V36" s="6">
        <f t="shared" si="19"/>
        <v>3.703042832615498E-3</v>
      </c>
      <c r="W36" s="2"/>
      <c r="X36" s="7">
        <f t="shared" si="20"/>
        <v>344.65000000000146</v>
      </c>
      <c r="Y36" s="2"/>
      <c r="Z36" s="6">
        <f t="shared" si="21"/>
        <v>8.507378944798711E-3</v>
      </c>
    </row>
    <row r="37" spans="1:26" s="25" customFormat="1" outlineLevel="1" collapsed="1" x14ac:dyDescent="0.35">
      <c r="A37" s="26"/>
      <c r="B37" s="12" t="str">
        <f>CONCATENATE("     ","*Payroll                                          ")</f>
        <v xml:space="preserve">     *Payroll                                          </v>
      </c>
      <c r="C37" s="12"/>
      <c r="D37" s="1">
        <f>SUM(OSRRefD22_1x_0)</f>
        <v>61595</v>
      </c>
      <c r="E37" s="1"/>
      <c r="F37" s="5">
        <f t="shared" ref="F37:F44" si="22">IF(D$12=0,0,D37/D$12)</f>
        <v>-0.46090614919665612</v>
      </c>
      <c r="G37" s="1"/>
      <c r="H37" s="1">
        <f>SUM(OSRRefH22_1x_0)</f>
        <v>145000.82</v>
      </c>
      <c r="I37" s="1"/>
      <c r="J37" s="5">
        <f t="shared" ref="J37:J44" si="23">IF(H$12=0,0,H37/H$12)</f>
        <v>0.92130849974082796</v>
      </c>
      <c r="K37" s="1"/>
      <c r="L37" s="1">
        <f t="shared" ref="L37:L44" si="24">+D37-H37</f>
        <v>-83405.820000000007</v>
      </c>
      <c r="M37" s="1"/>
      <c r="N37" s="5">
        <f t="shared" ref="N37:N44" si="25">IF(H37=0,0,L37/H37)</f>
        <v>-0.57520929881637917</v>
      </c>
      <c r="O37" s="12"/>
      <c r="P37" s="1">
        <f>SUM(OSRRefP22_1x_0)</f>
        <v>2595607.4</v>
      </c>
      <c r="Q37" s="1"/>
      <c r="R37" s="5">
        <f t="shared" ref="R37:R44" si="26">IF(P$12=0,0,P37/P$12)</f>
        <v>0.2872090371533142</v>
      </c>
      <c r="S37" s="1"/>
      <c r="T37" s="1">
        <f>SUM(OSRRefT22_1x_0)</f>
        <v>2671885.2400000002</v>
      </c>
      <c r="U37" s="1"/>
      <c r="V37" s="5">
        <f t="shared" ref="V37:V44" si="27">IF(T$12=0,0,T37/T$12)</f>
        <v>0.24422720064536954</v>
      </c>
      <c r="W37" s="1"/>
      <c r="X37" s="1">
        <f t="shared" ref="X37:X44" si="28">+P37-T37</f>
        <v>-76277.840000000317</v>
      </c>
      <c r="Y37" s="1"/>
      <c r="Z37" s="5">
        <f t="shared" ref="Z37:Z44" si="29">IF(T37=0,0,X37/T37)</f>
        <v>-2.8548321933168173E-2</v>
      </c>
    </row>
    <row r="38" spans="1:26" s="24" customFormat="1" hidden="1" outlineLevel="2" x14ac:dyDescent="0.3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>
        <v>8511.56</v>
      </c>
      <c r="E38" s="2"/>
      <c r="F38" s="6">
        <f t="shared" si="22"/>
        <v>-6.3690727222279253E-2</v>
      </c>
      <c r="G38" s="2"/>
      <c r="H38" s="7">
        <v>7512.41</v>
      </c>
      <c r="I38" s="2"/>
      <c r="J38" s="6">
        <f t="shared" si="23"/>
        <v>4.7732469282159871E-2</v>
      </c>
      <c r="K38" s="2"/>
      <c r="L38" s="7">
        <f t="shared" si="24"/>
        <v>999.14999999999964</v>
      </c>
      <c r="M38" s="2"/>
      <c r="N38" s="6">
        <f t="shared" si="25"/>
        <v>0.13299992945006991</v>
      </c>
      <c r="O38" s="11"/>
      <c r="P38" s="7">
        <v>100143.27</v>
      </c>
      <c r="Q38" s="2"/>
      <c r="R38" s="6">
        <f t="shared" si="26"/>
        <v>1.108104875725211E-2</v>
      </c>
      <c r="S38" s="2"/>
      <c r="T38" s="7">
        <v>93312.04</v>
      </c>
      <c r="U38" s="2"/>
      <c r="V38" s="6">
        <f t="shared" si="27"/>
        <v>8.5293103066465328E-3</v>
      </c>
      <c r="W38" s="2"/>
      <c r="X38" s="7">
        <f t="shared" si="28"/>
        <v>6831.2300000000105</v>
      </c>
      <c r="Y38" s="2"/>
      <c r="Z38" s="6">
        <f t="shared" si="29"/>
        <v>7.3208451985403072E-2</v>
      </c>
    </row>
    <row r="39" spans="1:26" s="24" customFormat="1" hidden="1" outlineLevel="2" x14ac:dyDescent="0.35">
      <c r="A39" s="27"/>
      <c r="B39" s="11" t="str">
        <f>CONCATENATE("          ", "6002", " - ", "STAFF SALARIES")</f>
        <v xml:space="preserve">          6002 - STAFF SALARIES</v>
      </c>
      <c r="C39" s="11"/>
      <c r="D39" s="7">
        <v>22233.230000000003</v>
      </c>
      <c r="E39" s="2"/>
      <c r="F39" s="6">
        <f t="shared" si="22"/>
        <v>-0.16636792634959935</v>
      </c>
      <c r="G39" s="2"/>
      <c r="H39" s="7">
        <v>37022.380000000005</v>
      </c>
      <c r="I39" s="2"/>
      <c r="J39" s="6">
        <f t="shared" si="23"/>
        <v>0.23523338264317978</v>
      </c>
      <c r="K39" s="2"/>
      <c r="L39" s="7">
        <f t="shared" si="24"/>
        <v>-14789.150000000001</v>
      </c>
      <c r="M39" s="2"/>
      <c r="N39" s="6">
        <f t="shared" si="25"/>
        <v>-0.39946513433226066</v>
      </c>
      <c r="O39" s="11"/>
      <c r="P39" s="7">
        <v>432106.04</v>
      </c>
      <c r="Q39" s="2"/>
      <c r="R39" s="6">
        <f t="shared" si="26"/>
        <v>4.7813378747699468E-2</v>
      </c>
      <c r="S39" s="2"/>
      <c r="T39" s="7">
        <v>444718.26</v>
      </c>
      <c r="U39" s="2"/>
      <c r="V39" s="6">
        <f t="shared" si="27"/>
        <v>4.0650060148421499E-2</v>
      </c>
      <c r="W39" s="2"/>
      <c r="X39" s="7">
        <f t="shared" si="28"/>
        <v>-12612.22000000003</v>
      </c>
      <c r="Y39" s="2"/>
      <c r="Z39" s="6">
        <f t="shared" si="29"/>
        <v>-2.8360022815343878E-2</v>
      </c>
    </row>
    <row r="40" spans="1:26" s="24" customFormat="1" hidden="1" outlineLevel="2" x14ac:dyDescent="0.35">
      <c r="A40" s="27"/>
      <c r="B40" s="11" t="str">
        <f>CONCATENATE("          ", "6004", " - ", "STAFF HOURLY")</f>
        <v xml:space="preserve">          6004 - STAFF HOURLY</v>
      </c>
      <c r="C40" s="11"/>
      <c r="D40" s="7">
        <v>30850.21</v>
      </c>
      <c r="E40" s="2"/>
      <c r="F40" s="6">
        <f t="shared" si="22"/>
        <v>-0.23084749562477755</v>
      </c>
      <c r="G40" s="2"/>
      <c r="H40" s="7">
        <v>42904.49</v>
      </c>
      <c r="I40" s="2"/>
      <c r="J40" s="6">
        <f t="shared" si="23"/>
        <v>0.27260722604220688</v>
      </c>
      <c r="K40" s="2"/>
      <c r="L40" s="7">
        <f t="shared" si="24"/>
        <v>-12054.279999999999</v>
      </c>
      <c r="M40" s="2"/>
      <c r="N40" s="6">
        <f t="shared" si="25"/>
        <v>-0.28095614235246708</v>
      </c>
      <c r="O40" s="11"/>
      <c r="P40" s="7">
        <v>696011.51</v>
      </c>
      <c r="Q40" s="2"/>
      <c r="R40" s="6">
        <f t="shared" si="26"/>
        <v>7.70150353380578E-2</v>
      </c>
      <c r="S40" s="2"/>
      <c r="T40" s="7">
        <v>665344.63</v>
      </c>
      <c r="U40" s="2"/>
      <c r="V40" s="6">
        <f t="shared" si="27"/>
        <v>6.0816705005387564E-2</v>
      </c>
      <c r="W40" s="2"/>
      <c r="X40" s="7">
        <f t="shared" si="28"/>
        <v>30666.880000000005</v>
      </c>
      <c r="Y40" s="2"/>
      <c r="Z40" s="6">
        <f t="shared" si="29"/>
        <v>4.6091722420604796E-2</v>
      </c>
    </row>
    <row r="41" spans="1:26" s="24" customFormat="1" hidden="1" outlineLevel="2" x14ac:dyDescent="0.35">
      <c r="A41" s="27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2"/>
        <v>0</v>
      </c>
      <c r="G41" s="2"/>
      <c r="H41" s="7">
        <v>29497.84</v>
      </c>
      <c r="I41" s="2"/>
      <c r="J41" s="6">
        <f t="shared" si="23"/>
        <v>0.187423841575482</v>
      </c>
      <c r="K41" s="2"/>
      <c r="L41" s="7">
        <f t="shared" si="24"/>
        <v>-29497.84</v>
      </c>
      <c r="M41" s="2"/>
      <c r="N41" s="6">
        <f t="shared" si="25"/>
        <v>-1</v>
      </c>
      <c r="O41" s="11"/>
      <c r="P41" s="7">
        <v>393545.39999999997</v>
      </c>
      <c r="Q41" s="2"/>
      <c r="R41" s="6">
        <f t="shared" si="26"/>
        <v>4.354656848725115E-2</v>
      </c>
      <c r="S41" s="2"/>
      <c r="T41" s="7">
        <v>461038.33</v>
      </c>
      <c r="U41" s="2"/>
      <c r="V41" s="6">
        <f t="shared" si="27"/>
        <v>4.214181770999869E-2</v>
      </c>
      <c r="W41" s="2"/>
      <c r="X41" s="7">
        <f t="shared" si="28"/>
        <v>-67492.930000000051</v>
      </c>
      <c r="Y41" s="2"/>
      <c r="Z41" s="6">
        <f t="shared" si="29"/>
        <v>-0.14639331614792211</v>
      </c>
    </row>
    <row r="42" spans="1:26" s="24" customFormat="1" hidden="1" outlineLevel="2" x14ac:dyDescent="0.35">
      <c r="A42" s="27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2"/>
        <v>0</v>
      </c>
      <c r="G42" s="2"/>
      <c r="H42" s="7">
        <v>3737.07</v>
      </c>
      <c r="I42" s="2"/>
      <c r="J42" s="6">
        <f t="shared" si="23"/>
        <v>2.3744654375930121E-2</v>
      </c>
      <c r="K42" s="2"/>
      <c r="L42" s="7">
        <f t="shared" si="24"/>
        <v>-3737.07</v>
      </c>
      <c r="M42" s="2"/>
      <c r="N42" s="6">
        <f t="shared" si="25"/>
        <v>-1</v>
      </c>
      <c r="O42" s="11"/>
      <c r="P42" s="7">
        <v>34130.700000000004</v>
      </c>
      <c r="Q42" s="2"/>
      <c r="R42" s="6">
        <f t="shared" si="26"/>
        <v>3.7766287322068132E-3</v>
      </c>
      <c r="S42" s="2"/>
      <c r="T42" s="7">
        <v>36970.400000000001</v>
      </c>
      <c r="U42" s="2"/>
      <c r="V42" s="6">
        <f t="shared" si="27"/>
        <v>3.379328259899205E-3</v>
      </c>
      <c r="W42" s="2"/>
      <c r="X42" s="7">
        <f t="shared" si="28"/>
        <v>-2839.6999999999971</v>
      </c>
      <c r="Y42" s="2"/>
      <c r="Z42" s="6">
        <f t="shared" si="29"/>
        <v>-7.6810096726029384E-2</v>
      </c>
    </row>
    <row r="43" spans="1:26" s="24" customFormat="1" hidden="1" outlineLevel="2" x14ac:dyDescent="0.35">
      <c r="A43" s="27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2"/>
        <v>0</v>
      </c>
      <c r="G43" s="2"/>
      <c r="H43" s="7">
        <v>20510.63</v>
      </c>
      <c r="I43" s="2"/>
      <c r="J43" s="6">
        <f t="shared" si="23"/>
        <v>0.13032076476560076</v>
      </c>
      <c r="K43" s="2"/>
      <c r="L43" s="7">
        <f t="shared" si="24"/>
        <v>-20510.63</v>
      </c>
      <c r="M43" s="2"/>
      <c r="N43" s="6">
        <f t="shared" si="25"/>
        <v>-1</v>
      </c>
      <c r="O43" s="11"/>
      <c r="P43" s="7">
        <v>767218.78</v>
      </c>
      <c r="Q43" s="2"/>
      <c r="R43" s="6">
        <f t="shared" si="26"/>
        <v>8.4894259081608581E-2</v>
      </c>
      <c r="S43" s="2"/>
      <c r="T43" s="7">
        <v>749874.64</v>
      </c>
      <c r="U43" s="2"/>
      <c r="V43" s="6">
        <f t="shared" si="27"/>
        <v>6.8543282256446861E-2</v>
      </c>
      <c r="W43" s="2"/>
      <c r="X43" s="7">
        <f t="shared" si="28"/>
        <v>17344.140000000014</v>
      </c>
      <c r="Y43" s="2"/>
      <c r="Z43" s="6">
        <f t="shared" si="29"/>
        <v>2.3129385999771927E-2</v>
      </c>
    </row>
    <row r="44" spans="1:26" s="24" customFormat="1" hidden="1" outlineLevel="2" x14ac:dyDescent="0.3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2"/>
        <v>0</v>
      </c>
      <c r="G44" s="2"/>
      <c r="H44" s="7">
        <v>3816</v>
      </c>
      <c r="I44" s="2"/>
      <c r="J44" s="6">
        <f t="shared" si="23"/>
        <v>2.4246161056268506E-2</v>
      </c>
      <c r="K44" s="2"/>
      <c r="L44" s="7">
        <f t="shared" si="24"/>
        <v>-3816</v>
      </c>
      <c r="M44" s="2"/>
      <c r="N44" s="6">
        <f t="shared" si="25"/>
        <v>-1</v>
      </c>
      <c r="O44" s="11"/>
      <c r="P44" s="7">
        <v>172451.69999999998</v>
      </c>
      <c r="Q44" s="2"/>
      <c r="R44" s="6">
        <f t="shared" si="26"/>
        <v>1.9082118009238296E-2</v>
      </c>
      <c r="S44" s="2"/>
      <c r="T44" s="7">
        <v>220626.94</v>
      </c>
      <c r="U44" s="2"/>
      <c r="V44" s="6">
        <f t="shared" si="27"/>
        <v>2.0166696958569187E-2</v>
      </c>
      <c r="W44" s="2"/>
      <c r="X44" s="7">
        <f t="shared" si="28"/>
        <v>-48175.24000000002</v>
      </c>
      <c r="Y44" s="2"/>
      <c r="Z44" s="6">
        <f t="shared" si="29"/>
        <v>-0.21835610827943325</v>
      </c>
    </row>
    <row r="45" spans="1:26" s="25" customFormat="1" outlineLevel="1" collapsed="1" x14ac:dyDescent="0.35">
      <c r="A45" s="26"/>
      <c r="B45" s="12" t="str">
        <f>CONCATENATE("     ","Advertising/Promo                                 ")</f>
        <v xml:space="preserve">     Advertising/Promo                                 </v>
      </c>
      <c r="C45" s="12"/>
      <c r="D45" s="1">
        <f>SUM(OSRRefD22_2x_0)</f>
        <v>0</v>
      </c>
      <c r="E45" s="1"/>
      <c r="F45" s="5">
        <f t="shared" ref="F45:F70" si="30">IF(D$12=0,0,D45/D$12)</f>
        <v>0</v>
      </c>
      <c r="G45" s="1"/>
      <c r="H45" s="1">
        <f>SUM(OSRRefH22_2x_0)</f>
        <v>168.99</v>
      </c>
      <c r="I45" s="1"/>
      <c r="J45" s="5">
        <f t="shared" ref="J45:J70" si="31">IF(H$12=0,0,H45/H$12)</f>
        <v>1.0737313304242178E-3</v>
      </c>
      <c r="K45" s="1"/>
      <c r="L45" s="1">
        <f t="shared" ref="L45:L70" si="32">+D45-H45</f>
        <v>-168.99</v>
      </c>
      <c r="M45" s="1"/>
      <c r="N45" s="5">
        <f t="shared" ref="N45:N70" si="33">IF(H45=0,0,L45/H45)</f>
        <v>-1</v>
      </c>
      <c r="O45" s="12"/>
      <c r="P45" s="1">
        <f>SUM(OSRRefP22_2x_0)</f>
        <v>8477.7099999999991</v>
      </c>
      <c r="Q45" s="1"/>
      <c r="R45" s="5">
        <f t="shared" ref="R45:R70" si="34">IF(P$12=0,0,P45/P$12)</f>
        <v>9.3807519826188783E-4</v>
      </c>
      <c r="S45" s="1"/>
      <c r="T45" s="1">
        <f>SUM(OSRRefT22_2x_0)</f>
        <v>13507.1</v>
      </c>
      <c r="U45" s="1"/>
      <c r="V45" s="5">
        <f t="shared" ref="V45:V70" si="35">IF(T$12=0,0,T45/T$12)</f>
        <v>1.2346343220328846E-3</v>
      </c>
      <c r="W45" s="1"/>
      <c r="X45" s="1">
        <f t="shared" ref="X45:X70" si="36">+P45-T45</f>
        <v>-5029.3900000000012</v>
      </c>
      <c r="Y45" s="1"/>
      <c r="Z45" s="5">
        <f t="shared" ref="Z45:Z70" si="37">IF(T45=0,0,X45/T45)</f>
        <v>-0.37235157805894686</v>
      </c>
    </row>
    <row r="46" spans="1:26" s="24" customFormat="1" hidden="1" outlineLevel="2" x14ac:dyDescent="0.35">
      <c r="A46" s="27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30"/>
        <v>0</v>
      </c>
      <c r="G46" s="2"/>
      <c r="H46" s="7">
        <v>168.99</v>
      </c>
      <c r="I46" s="2"/>
      <c r="J46" s="6">
        <f t="shared" si="31"/>
        <v>1.0737313304242178E-3</v>
      </c>
      <c r="K46" s="2"/>
      <c r="L46" s="7">
        <f t="shared" si="32"/>
        <v>-168.99</v>
      </c>
      <c r="M46" s="2"/>
      <c r="N46" s="6">
        <f t="shared" si="33"/>
        <v>-1</v>
      </c>
      <c r="O46" s="11"/>
      <c r="P46" s="7">
        <v>8477.7099999999991</v>
      </c>
      <c r="Q46" s="2"/>
      <c r="R46" s="6">
        <f t="shared" si="34"/>
        <v>9.3807519826188783E-4</v>
      </c>
      <c r="S46" s="2"/>
      <c r="T46" s="7">
        <v>13507.1</v>
      </c>
      <c r="U46" s="2"/>
      <c r="V46" s="6">
        <f t="shared" si="35"/>
        <v>1.2346343220328846E-3</v>
      </c>
      <c r="W46" s="2"/>
      <c r="X46" s="7">
        <f t="shared" si="36"/>
        <v>-5029.3900000000012</v>
      </c>
      <c r="Y46" s="2"/>
      <c r="Z46" s="6">
        <f t="shared" si="37"/>
        <v>-0.37235157805894686</v>
      </c>
    </row>
    <row r="47" spans="1:26" s="25" customFormat="1" outlineLevel="1" collapsed="1" x14ac:dyDescent="0.35">
      <c r="A47" s="26"/>
      <c r="B47" s="12" t="str">
        <f>CONCATENATE("     ","Bad Debts/Over/Short                              ")</f>
        <v xml:space="preserve">     Bad Debts/Over/Short                              </v>
      </c>
      <c r="C47" s="12"/>
      <c r="D47" s="1">
        <f>SUM(OSRRefD22_3x_0)</f>
        <v>0</v>
      </c>
      <c r="E47" s="1"/>
      <c r="F47" s="5">
        <f t="shared" si="30"/>
        <v>0</v>
      </c>
      <c r="G47" s="1"/>
      <c r="H47" s="1">
        <f>SUM(OSRRefH22_3x_0)</f>
        <v>145.69999999999999</v>
      </c>
      <c r="I47" s="1"/>
      <c r="J47" s="5">
        <f t="shared" si="31"/>
        <v>9.2575096066517841E-4</v>
      </c>
      <c r="K47" s="1"/>
      <c r="L47" s="1">
        <f t="shared" si="32"/>
        <v>-145.69999999999999</v>
      </c>
      <c r="M47" s="1"/>
      <c r="N47" s="5">
        <f t="shared" si="33"/>
        <v>-1</v>
      </c>
      <c r="O47" s="12"/>
      <c r="P47" s="1">
        <f>SUM(OSRRefP22_3x_0)</f>
        <v>63.55</v>
      </c>
      <c r="Q47" s="1"/>
      <c r="R47" s="5">
        <f t="shared" si="34"/>
        <v>7.0319318364915733E-6</v>
      </c>
      <c r="S47" s="1"/>
      <c r="T47" s="1">
        <f>SUM(OSRRefT22_3x_0)</f>
        <v>172.99</v>
      </c>
      <c r="U47" s="1"/>
      <c r="V47" s="5">
        <f t="shared" si="35"/>
        <v>1.5812379516585256E-5</v>
      </c>
      <c r="W47" s="1"/>
      <c r="X47" s="1">
        <f t="shared" si="36"/>
        <v>-109.44000000000001</v>
      </c>
      <c r="Y47" s="1"/>
      <c r="Z47" s="5">
        <f t="shared" si="37"/>
        <v>-0.63263772472397251</v>
      </c>
    </row>
    <row r="48" spans="1:26" s="24" customFormat="1" hidden="1" outlineLevel="2" x14ac:dyDescent="0.35">
      <c r="A48" s="27"/>
      <c r="B48" s="11" t="str">
        <f>CONCATENATE("          ", "6272", " - ", "CASH (OVER/SHORT)")</f>
        <v xml:space="preserve">          6272 - CASH (OVER/SHORT)</v>
      </c>
      <c r="C48" s="11"/>
      <c r="D48" s="7"/>
      <c r="E48" s="2"/>
      <c r="F48" s="6">
        <f t="shared" si="30"/>
        <v>0</v>
      </c>
      <c r="G48" s="2"/>
      <c r="H48" s="7">
        <v>145.69999999999999</v>
      </c>
      <c r="I48" s="2"/>
      <c r="J48" s="6">
        <f t="shared" si="31"/>
        <v>9.2575096066517841E-4</v>
      </c>
      <c r="K48" s="2"/>
      <c r="L48" s="7">
        <f t="shared" si="32"/>
        <v>-145.69999999999999</v>
      </c>
      <c r="M48" s="2"/>
      <c r="N48" s="6">
        <f t="shared" si="33"/>
        <v>-1</v>
      </c>
      <c r="O48" s="11"/>
      <c r="P48" s="7">
        <v>63.55</v>
      </c>
      <c r="Q48" s="2"/>
      <c r="R48" s="6">
        <f t="shared" si="34"/>
        <v>7.0319318364915733E-6</v>
      </c>
      <c r="S48" s="2"/>
      <c r="T48" s="7">
        <v>172.99</v>
      </c>
      <c r="U48" s="2"/>
      <c r="V48" s="6">
        <f t="shared" si="35"/>
        <v>1.5812379516585256E-5</v>
      </c>
      <c r="W48" s="2"/>
      <c r="X48" s="7">
        <f t="shared" si="36"/>
        <v>-109.44000000000001</v>
      </c>
      <c r="Y48" s="2"/>
      <c r="Z48" s="6">
        <f t="shared" si="37"/>
        <v>-0.63263772472397251</v>
      </c>
    </row>
    <row r="49" spans="1:26" s="25" customFormat="1" outlineLevel="1" collapsed="1" x14ac:dyDescent="0.35">
      <c r="A49" s="26"/>
      <c r="B49" s="12" t="str">
        <f>CONCATENATE("     ","Bank/card Fees                                    ")</f>
        <v xml:space="preserve">     Bank/card Fees                                    </v>
      </c>
      <c r="C49" s="12"/>
      <c r="D49" s="1">
        <f>SUM(OSRRefD22_4x_0)</f>
        <v>0</v>
      </c>
      <c r="E49" s="1"/>
      <c r="F49" s="5">
        <f t="shared" si="30"/>
        <v>0</v>
      </c>
      <c r="G49" s="1"/>
      <c r="H49" s="1">
        <f>SUM(OSRRefH22_4x_0)</f>
        <v>133.68</v>
      </c>
      <c r="I49" s="1"/>
      <c r="J49" s="5">
        <f t="shared" si="31"/>
        <v>8.4937809486424886E-4</v>
      </c>
      <c r="K49" s="1"/>
      <c r="L49" s="1">
        <f t="shared" si="32"/>
        <v>-133.68</v>
      </c>
      <c r="M49" s="1"/>
      <c r="N49" s="5">
        <f t="shared" si="33"/>
        <v>-1</v>
      </c>
      <c r="O49" s="12"/>
      <c r="P49" s="1">
        <f>SUM(OSRRefP22_4x_0)</f>
        <v>3181.84</v>
      </c>
      <c r="Q49" s="1"/>
      <c r="R49" s="5">
        <f t="shared" si="34"/>
        <v>3.5207682131585132E-4</v>
      </c>
      <c r="S49" s="1"/>
      <c r="T49" s="1">
        <f>SUM(OSRRefT22_4x_0)</f>
        <v>4287.38</v>
      </c>
      <c r="U49" s="1"/>
      <c r="V49" s="5">
        <f t="shared" si="35"/>
        <v>3.9189363368875244E-4</v>
      </c>
      <c r="W49" s="1"/>
      <c r="X49" s="1">
        <f t="shared" si="36"/>
        <v>-1105.54</v>
      </c>
      <c r="Y49" s="1"/>
      <c r="Z49" s="5">
        <f t="shared" si="37"/>
        <v>-0.25785911209176698</v>
      </c>
    </row>
    <row r="50" spans="1:26" s="24" customFormat="1" hidden="1" outlineLevel="2" x14ac:dyDescent="0.35">
      <c r="A50" s="27"/>
      <c r="B50" s="11" t="str">
        <f>CONCATENATE("          ", "6381", " - ", "BANK/CREDIT CARD FEES")</f>
        <v xml:space="preserve">          6381 - BANK/CREDIT CARD FEES</v>
      </c>
      <c r="C50" s="11"/>
      <c r="D50" s="7"/>
      <c r="E50" s="2"/>
      <c r="F50" s="6">
        <f t="shared" si="30"/>
        <v>0</v>
      </c>
      <c r="G50" s="2"/>
      <c r="H50" s="7">
        <v>133.68</v>
      </c>
      <c r="I50" s="2"/>
      <c r="J50" s="6">
        <f t="shared" si="31"/>
        <v>8.4937809486424886E-4</v>
      </c>
      <c r="K50" s="2"/>
      <c r="L50" s="7">
        <f t="shared" si="32"/>
        <v>-133.68</v>
      </c>
      <c r="M50" s="2"/>
      <c r="N50" s="6">
        <f t="shared" si="33"/>
        <v>-1</v>
      </c>
      <c r="O50" s="11"/>
      <c r="P50" s="7">
        <v>3181.84</v>
      </c>
      <c r="Q50" s="2"/>
      <c r="R50" s="6">
        <f t="shared" si="34"/>
        <v>3.5207682131585132E-4</v>
      </c>
      <c r="S50" s="2"/>
      <c r="T50" s="7">
        <v>4287.38</v>
      </c>
      <c r="U50" s="2"/>
      <c r="V50" s="6">
        <f t="shared" si="35"/>
        <v>3.9189363368875244E-4</v>
      </c>
      <c r="W50" s="2"/>
      <c r="X50" s="7">
        <f t="shared" si="36"/>
        <v>-1105.54</v>
      </c>
      <c r="Y50" s="2"/>
      <c r="Z50" s="6">
        <f t="shared" si="37"/>
        <v>-0.25785911209176698</v>
      </c>
    </row>
    <row r="51" spans="1:26" s="25" customFormat="1" outlineLevel="1" collapsed="1" x14ac:dyDescent="0.35">
      <c r="A51" s="26"/>
      <c r="B51" s="12" t="str">
        <f>CONCATENATE("     ","Depreciation                                      ")</f>
        <v xml:space="preserve">     Depreciation                                      </v>
      </c>
      <c r="C51" s="12"/>
      <c r="D51" s="1">
        <f>SUM(OSRRefD22_5x_0)</f>
        <v>213.01</v>
      </c>
      <c r="E51" s="1"/>
      <c r="F51" s="5">
        <f t="shared" si="30"/>
        <v>-1.5939218904193477E-3</v>
      </c>
      <c r="G51" s="1"/>
      <c r="H51" s="1">
        <f>SUM(OSRRefH22_5x_0)</f>
        <v>0</v>
      </c>
      <c r="I51" s="1"/>
      <c r="J51" s="5">
        <f t="shared" si="31"/>
        <v>0</v>
      </c>
      <c r="K51" s="1"/>
      <c r="L51" s="1">
        <f t="shared" si="32"/>
        <v>213.01</v>
      </c>
      <c r="M51" s="1"/>
      <c r="N51" s="5">
        <f t="shared" si="33"/>
        <v>0</v>
      </c>
      <c r="O51" s="12"/>
      <c r="P51" s="1">
        <f>SUM(OSRRefP22_5x_0)</f>
        <v>852.07</v>
      </c>
      <c r="Q51" s="1"/>
      <c r="R51" s="5">
        <f t="shared" si="34"/>
        <v>9.4283212587244309E-5</v>
      </c>
      <c r="S51" s="1"/>
      <c r="T51" s="1">
        <f>SUM(OSRRefT22_5x_0)</f>
        <v>0</v>
      </c>
      <c r="U51" s="1"/>
      <c r="V51" s="5">
        <f t="shared" si="35"/>
        <v>0</v>
      </c>
      <c r="W51" s="1"/>
      <c r="X51" s="1">
        <f t="shared" si="36"/>
        <v>852.07</v>
      </c>
      <c r="Y51" s="1"/>
      <c r="Z51" s="5">
        <f t="shared" si="37"/>
        <v>0</v>
      </c>
    </row>
    <row r="52" spans="1:26" s="24" customFormat="1" hidden="1" outlineLevel="2" x14ac:dyDescent="0.35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213.01</v>
      </c>
      <c r="E52" s="2"/>
      <c r="F52" s="6">
        <f t="shared" si="30"/>
        <v>-1.5939218904193477E-3</v>
      </c>
      <c r="G52" s="2"/>
      <c r="H52" s="7"/>
      <c r="I52" s="2"/>
      <c r="J52" s="6">
        <f t="shared" si="31"/>
        <v>0</v>
      </c>
      <c r="K52" s="2"/>
      <c r="L52" s="7">
        <f t="shared" si="32"/>
        <v>213.01</v>
      </c>
      <c r="M52" s="2"/>
      <c r="N52" s="6">
        <f t="shared" si="33"/>
        <v>0</v>
      </c>
      <c r="O52" s="11"/>
      <c r="P52" s="7">
        <v>852.07</v>
      </c>
      <c r="Q52" s="2"/>
      <c r="R52" s="6">
        <f t="shared" si="34"/>
        <v>9.4283212587244309E-5</v>
      </c>
      <c r="S52" s="2"/>
      <c r="T52" s="7"/>
      <c r="U52" s="2"/>
      <c r="V52" s="6">
        <f t="shared" si="35"/>
        <v>0</v>
      </c>
      <c r="W52" s="2"/>
      <c r="X52" s="7">
        <f t="shared" si="36"/>
        <v>852.07</v>
      </c>
      <c r="Y52" s="2"/>
      <c r="Z52" s="6">
        <f t="shared" si="37"/>
        <v>0</v>
      </c>
    </row>
    <row r="53" spans="1:26" s="25" customFormat="1" outlineLevel="1" collapsed="1" x14ac:dyDescent="0.35">
      <c r="A53" s="26"/>
      <c r="B53" s="12" t="str">
        <f>CONCATENATE("     ","Donations                                         ")</f>
        <v xml:space="preserve">     Donations                                         </v>
      </c>
      <c r="C53" s="12"/>
      <c r="D53" s="1">
        <f>SUM(OSRRefD22_6x_0)</f>
        <v>0</v>
      </c>
      <c r="E53" s="1"/>
      <c r="F53" s="5">
        <f t="shared" si="30"/>
        <v>0</v>
      </c>
      <c r="G53" s="1"/>
      <c r="H53" s="1">
        <f>SUM(OSRRefH22_6x_0)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2"/>
      <c r="P53" s="1">
        <f>SUM(OSRRefP22_6x_0)</f>
        <v>140099.51999999999</v>
      </c>
      <c r="Q53" s="1"/>
      <c r="R53" s="5">
        <f t="shared" si="34"/>
        <v>1.5502285994731517E-2</v>
      </c>
      <c r="S53" s="1"/>
      <c r="T53" s="1">
        <f>SUM(OSRRefT22_6x_0)</f>
        <v>134048.69999999998</v>
      </c>
      <c r="U53" s="1"/>
      <c r="V53" s="5">
        <f t="shared" si="35"/>
        <v>1.2252898538094002E-2</v>
      </c>
      <c r="W53" s="1"/>
      <c r="X53" s="1">
        <f t="shared" si="36"/>
        <v>6050.820000000007</v>
      </c>
      <c r="Y53" s="1"/>
      <c r="Z53" s="5">
        <f t="shared" si="37"/>
        <v>4.5138968151127223E-2</v>
      </c>
    </row>
    <row r="54" spans="1:26" s="24" customFormat="1" hidden="1" outlineLevel="2" x14ac:dyDescent="0.35">
      <c r="A54" s="27"/>
      <c r="B54" s="11" t="str">
        <f>CONCATENATE("          ", "6399", " - ", "DONATION-ON CAMPUS")</f>
        <v xml:space="preserve">          6399 - DONATION-ON CAMPUS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>
        <v>140099.51999999999</v>
      </c>
      <c r="Q54" s="2"/>
      <c r="R54" s="6">
        <f t="shared" si="34"/>
        <v>1.5502285994731517E-2</v>
      </c>
      <c r="S54" s="2"/>
      <c r="T54" s="7">
        <v>134048.69999999998</v>
      </c>
      <c r="U54" s="2"/>
      <c r="V54" s="6">
        <f t="shared" si="35"/>
        <v>1.2252898538094002E-2</v>
      </c>
      <c r="W54" s="2"/>
      <c r="X54" s="7">
        <f t="shared" si="36"/>
        <v>6050.820000000007</v>
      </c>
      <c r="Y54" s="2"/>
      <c r="Z54" s="6">
        <f t="shared" si="37"/>
        <v>4.5138968151127223E-2</v>
      </c>
    </row>
    <row r="55" spans="1:26" s="25" customFormat="1" outlineLevel="1" collapsed="1" x14ac:dyDescent="0.35">
      <c r="A55" s="26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SUM(OSRRefD22_7x_0)</f>
        <v>0</v>
      </c>
      <c r="E55" s="1"/>
      <c r="F55" s="5">
        <f t="shared" si="30"/>
        <v>0</v>
      </c>
      <c r="G55" s="1"/>
      <c r="H55" s="1">
        <f>SUM(OSRRefH22_7x_0)</f>
        <v>631.51</v>
      </c>
      <c r="I55" s="1"/>
      <c r="J55" s="5">
        <f t="shared" si="31"/>
        <v>4.0124982098124016E-3</v>
      </c>
      <c r="K55" s="1"/>
      <c r="L55" s="1">
        <f t="shared" si="32"/>
        <v>-631.51</v>
      </c>
      <c r="M55" s="1"/>
      <c r="N55" s="5">
        <f t="shared" si="33"/>
        <v>-1</v>
      </c>
      <c r="O55" s="12"/>
      <c r="P55" s="1">
        <f>SUM(OSRRefP22_7x_0)</f>
        <v>1798.43</v>
      </c>
      <c r="Q55" s="1"/>
      <c r="R55" s="5">
        <f t="shared" si="34"/>
        <v>1.9899979815423354E-4</v>
      </c>
      <c r="S55" s="1"/>
      <c r="T55" s="1">
        <f>SUM(OSRRefT22_7x_0)</f>
        <v>3261.37</v>
      </c>
      <c r="U55" s="1"/>
      <c r="V55" s="5">
        <f t="shared" si="35"/>
        <v>2.9810983400199807E-4</v>
      </c>
      <c r="W55" s="1"/>
      <c r="X55" s="1">
        <f t="shared" si="36"/>
        <v>-1462.9399999999998</v>
      </c>
      <c r="Y55" s="1"/>
      <c r="Z55" s="5">
        <f t="shared" si="37"/>
        <v>-0.44856609339020104</v>
      </c>
    </row>
    <row r="56" spans="1:26" s="24" customFormat="1" hidden="1" outlineLevel="2" x14ac:dyDescent="0.35">
      <c r="A56" s="27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0"/>
        <v>0</v>
      </c>
      <c r="G56" s="2"/>
      <c r="H56" s="7">
        <v>631.51</v>
      </c>
      <c r="I56" s="2"/>
      <c r="J56" s="6">
        <f t="shared" si="31"/>
        <v>4.0124982098124016E-3</v>
      </c>
      <c r="K56" s="2"/>
      <c r="L56" s="7">
        <f t="shared" si="32"/>
        <v>-631.51</v>
      </c>
      <c r="M56" s="2"/>
      <c r="N56" s="6">
        <f t="shared" si="33"/>
        <v>-1</v>
      </c>
      <c r="O56" s="11"/>
      <c r="P56" s="7">
        <v>1798.43</v>
      </c>
      <c r="Q56" s="2"/>
      <c r="R56" s="6">
        <f t="shared" si="34"/>
        <v>1.9899979815423354E-4</v>
      </c>
      <c r="S56" s="2"/>
      <c r="T56" s="7">
        <v>3261.37</v>
      </c>
      <c r="U56" s="2"/>
      <c r="V56" s="6">
        <f t="shared" si="35"/>
        <v>2.9810983400199807E-4</v>
      </c>
      <c r="W56" s="2"/>
      <c r="X56" s="7">
        <f t="shared" si="36"/>
        <v>-1462.9399999999998</v>
      </c>
      <c r="Y56" s="2"/>
      <c r="Z56" s="6">
        <f t="shared" si="37"/>
        <v>-0.44856609339020104</v>
      </c>
    </row>
    <row r="57" spans="1:26" s="25" customFormat="1" outlineLevel="1" collapsed="1" x14ac:dyDescent="0.35">
      <c r="A57" s="26"/>
      <c r="B57" s="12" t="str">
        <f>CONCATENATE("     ","Equipment Rental                                  ")</f>
        <v xml:space="preserve">     Equipment Rental                                  </v>
      </c>
      <c r="C57" s="12"/>
      <c r="D57" s="1">
        <f>SUM(OSRRefD22_8x_0)</f>
        <v>961.42</v>
      </c>
      <c r="E57" s="1"/>
      <c r="F57" s="5">
        <f t="shared" si="30"/>
        <v>-7.1941617007979398E-3</v>
      </c>
      <c r="G57" s="1"/>
      <c r="H57" s="1">
        <f>SUM(OSRRefH22_8x_0)</f>
        <v>599.08000000000004</v>
      </c>
      <c r="I57" s="1"/>
      <c r="J57" s="5">
        <f t="shared" si="31"/>
        <v>3.806443963728862E-3</v>
      </c>
      <c r="K57" s="1"/>
      <c r="L57" s="1">
        <f t="shared" si="32"/>
        <v>362.33999999999992</v>
      </c>
      <c r="M57" s="1"/>
      <c r="N57" s="5">
        <f t="shared" si="33"/>
        <v>0.60482740201642504</v>
      </c>
      <c r="O57" s="12"/>
      <c r="P57" s="1">
        <f>SUM(OSRRefP22_8x_0)</f>
        <v>5912.28</v>
      </c>
      <c r="Q57" s="1"/>
      <c r="R57" s="5">
        <f t="shared" si="34"/>
        <v>6.5420534946109205E-4</v>
      </c>
      <c r="S57" s="1"/>
      <c r="T57" s="1">
        <f>SUM(OSRRefT22_8x_0)</f>
        <v>7231.13</v>
      </c>
      <c r="U57" s="1"/>
      <c r="V57" s="5">
        <f t="shared" si="35"/>
        <v>6.6097099192881164E-4</v>
      </c>
      <c r="W57" s="1"/>
      <c r="X57" s="1">
        <f t="shared" si="36"/>
        <v>-1318.8500000000004</v>
      </c>
      <c r="Y57" s="1"/>
      <c r="Z57" s="5">
        <f t="shared" si="37"/>
        <v>-0.18238504908638073</v>
      </c>
    </row>
    <row r="58" spans="1:26" s="24" customFormat="1" hidden="1" outlineLevel="2" x14ac:dyDescent="0.35">
      <c r="A58" s="27"/>
      <c r="B58" s="11" t="str">
        <f>CONCATENATE("          ", "6351", " - ", "EQUIPMENT RENTAL")</f>
        <v xml:space="preserve">          6351 - EQUIPMENT RENTAL</v>
      </c>
      <c r="C58" s="11"/>
      <c r="D58" s="7">
        <v>961.42</v>
      </c>
      <c r="E58" s="2"/>
      <c r="F58" s="6">
        <f t="shared" si="30"/>
        <v>-7.1941617007979398E-3</v>
      </c>
      <c r="G58" s="2"/>
      <c r="H58" s="7">
        <v>599.08000000000004</v>
      </c>
      <c r="I58" s="2"/>
      <c r="J58" s="6">
        <f t="shared" si="31"/>
        <v>3.806443963728862E-3</v>
      </c>
      <c r="K58" s="2"/>
      <c r="L58" s="7">
        <f t="shared" si="32"/>
        <v>362.33999999999992</v>
      </c>
      <c r="M58" s="2"/>
      <c r="N58" s="6">
        <f t="shared" si="33"/>
        <v>0.60482740201642504</v>
      </c>
      <c r="O58" s="11"/>
      <c r="P58" s="7">
        <v>5912.28</v>
      </c>
      <c r="Q58" s="2"/>
      <c r="R58" s="6">
        <f t="shared" si="34"/>
        <v>6.5420534946109205E-4</v>
      </c>
      <c r="S58" s="2"/>
      <c r="T58" s="7">
        <v>7231.13</v>
      </c>
      <c r="U58" s="2"/>
      <c r="V58" s="6">
        <f t="shared" si="35"/>
        <v>6.6097099192881164E-4</v>
      </c>
      <c r="W58" s="2"/>
      <c r="X58" s="7">
        <f t="shared" si="36"/>
        <v>-1318.8500000000004</v>
      </c>
      <c r="Y58" s="2"/>
      <c r="Z58" s="6">
        <f t="shared" si="37"/>
        <v>-0.18238504908638073</v>
      </c>
    </row>
    <row r="59" spans="1:26" s="25" customFormat="1" outlineLevel="1" collapsed="1" x14ac:dyDescent="0.35">
      <c r="A59" s="26"/>
      <c r="B59" s="12" t="str">
        <f>CONCATENATE("     ","Freight out/Postage                               ")</f>
        <v xml:space="preserve">     Freight out/Postage                               </v>
      </c>
      <c r="C59" s="12"/>
      <c r="D59" s="1">
        <f>SUM(OSRRefD22_9x_0)</f>
        <v>0</v>
      </c>
      <c r="E59" s="1"/>
      <c r="F59" s="5">
        <f t="shared" si="30"/>
        <v>0</v>
      </c>
      <c r="G59" s="1"/>
      <c r="H59" s="1">
        <f>SUM(OSRRefH22_9x_0)</f>
        <v>0</v>
      </c>
      <c r="I59" s="1"/>
      <c r="J59" s="5">
        <f t="shared" si="31"/>
        <v>0</v>
      </c>
      <c r="K59" s="1"/>
      <c r="L59" s="1">
        <f t="shared" si="32"/>
        <v>0</v>
      </c>
      <c r="M59" s="1"/>
      <c r="N59" s="5">
        <f t="shared" si="33"/>
        <v>0</v>
      </c>
      <c r="O59" s="12"/>
      <c r="P59" s="1">
        <f>SUM(OSRRefP22_9x_0)</f>
        <v>0</v>
      </c>
      <c r="Q59" s="1"/>
      <c r="R59" s="5">
        <f t="shared" si="34"/>
        <v>0</v>
      </c>
      <c r="S59" s="1"/>
      <c r="T59" s="1">
        <f>SUM(OSRRefT22_9x_0)</f>
        <v>7.4</v>
      </c>
      <c r="U59" s="1"/>
      <c r="V59" s="5">
        <f t="shared" si="35"/>
        <v>6.7640677740176246E-7</v>
      </c>
      <c r="W59" s="1"/>
      <c r="X59" s="1">
        <f t="shared" si="36"/>
        <v>-7.4</v>
      </c>
      <c r="Y59" s="1"/>
      <c r="Z59" s="5">
        <f t="shared" si="37"/>
        <v>-1</v>
      </c>
    </row>
    <row r="60" spans="1:26" s="24" customFormat="1" hidden="1" outlineLevel="2" x14ac:dyDescent="0.35">
      <c r="A60" s="27"/>
      <c r="B60" s="11" t="str">
        <f>CONCATENATE("          ", "6307", " - ", "POSTAGE")</f>
        <v xml:space="preserve">          6307 - POSTAGE</v>
      </c>
      <c r="C60" s="11"/>
      <c r="D60" s="7"/>
      <c r="E60" s="2"/>
      <c r="F60" s="6">
        <f t="shared" si="30"/>
        <v>0</v>
      </c>
      <c r="G60" s="2"/>
      <c r="H60" s="7"/>
      <c r="I60" s="2"/>
      <c r="J60" s="6">
        <f t="shared" si="31"/>
        <v>0</v>
      </c>
      <c r="K60" s="2"/>
      <c r="L60" s="7">
        <f t="shared" si="32"/>
        <v>0</v>
      </c>
      <c r="M60" s="2"/>
      <c r="N60" s="6">
        <f t="shared" si="33"/>
        <v>0</v>
      </c>
      <c r="O60" s="11"/>
      <c r="P60" s="7"/>
      <c r="Q60" s="2"/>
      <c r="R60" s="6">
        <f t="shared" si="34"/>
        <v>0</v>
      </c>
      <c r="S60" s="2"/>
      <c r="T60" s="7">
        <v>7.4</v>
      </c>
      <c r="U60" s="2"/>
      <c r="V60" s="6">
        <f t="shared" si="35"/>
        <v>6.7640677740176246E-7</v>
      </c>
      <c r="W60" s="2"/>
      <c r="X60" s="7">
        <f t="shared" si="36"/>
        <v>-7.4</v>
      </c>
      <c r="Y60" s="2"/>
      <c r="Z60" s="6">
        <f t="shared" si="37"/>
        <v>-1</v>
      </c>
    </row>
    <row r="61" spans="1:26" s="25" customFormat="1" outlineLevel="1" collapsed="1" x14ac:dyDescent="0.35">
      <c r="A61" s="26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SUM(OSRRefD22_10x_0)</f>
        <v>0</v>
      </c>
      <c r="E61" s="1"/>
      <c r="F61" s="5">
        <f t="shared" si="30"/>
        <v>0</v>
      </c>
      <c r="G61" s="1"/>
      <c r="H61" s="1">
        <f>SUM(OSRRefH22_10x_0)</f>
        <v>7.55</v>
      </c>
      <c r="I61" s="1"/>
      <c r="J61" s="5">
        <f t="shared" si="31"/>
        <v>4.7971309217722017E-5</v>
      </c>
      <c r="K61" s="1"/>
      <c r="L61" s="1">
        <f t="shared" si="32"/>
        <v>-7.55</v>
      </c>
      <c r="M61" s="1"/>
      <c r="N61" s="5">
        <f t="shared" si="33"/>
        <v>-1</v>
      </c>
      <c r="O61" s="12"/>
      <c r="P61" s="1">
        <f>SUM(OSRRefP22_10x_0)</f>
        <v>9014.11</v>
      </c>
      <c r="Q61" s="1"/>
      <c r="R61" s="5">
        <f t="shared" si="34"/>
        <v>9.9742890773622437E-4</v>
      </c>
      <c r="S61" s="1"/>
      <c r="T61" s="1">
        <f>SUM(OSRRefT22_10x_0)</f>
        <v>10034.44</v>
      </c>
      <c r="U61" s="1"/>
      <c r="V61" s="5">
        <f t="shared" si="35"/>
        <v>9.1721124640964065E-4</v>
      </c>
      <c r="W61" s="1"/>
      <c r="X61" s="1">
        <f t="shared" si="36"/>
        <v>-1020.3299999999999</v>
      </c>
      <c r="Y61" s="1"/>
      <c r="Z61" s="5">
        <f t="shared" si="37"/>
        <v>-0.1016828044215721</v>
      </c>
    </row>
    <row r="62" spans="1:26" s="24" customFormat="1" hidden="1" outlineLevel="2" x14ac:dyDescent="0.35">
      <c r="A62" s="27"/>
      <c r="B62" s="11" t="str">
        <f>CONCATENATE("          ", "6279", " - ", "GENERAL EXPENSE")</f>
        <v xml:space="preserve">          6279 - GENERAL EXPENSE</v>
      </c>
      <c r="C62" s="11"/>
      <c r="D62" s="7"/>
      <c r="E62" s="2"/>
      <c r="F62" s="6">
        <f t="shared" si="30"/>
        <v>0</v>
      </c>
      <c r="G62" s="2"/>
      <c r="H62" s="7">
        <v>7.55</v>
      </c>
      <c r="I62" s="2"/>
      <c r="J62" s="6">
        <f t="shared" si="31"/>
        <v>4.7971309217722017E-5</v>
      </c>
      <c r="K62" s="2"/>
      <c r="L62" s="7">
        <f t="shared" si="32"/>
        <v>-7.55</v>
      </c>
      <c r="M62" s="2"/>
      <c r="N62" s="6">
        <f t="shared" si="33"/>
        <v>-1</v>
      </c>
      <c r="O62" s="11"/>
      <c r="P62" s="7">
        <v>9014.11</v>
      </c>
      <c r="Q62" s="2"/>
      <c r="R62" s="6">
        <f t="shared" si="34"/>
        <v>9.9742890773622437E-4</v>
      </c>
      <c r="S62" s="2"/>
      <c r="T62" s="7">
        <v>10034.44</v>
      </c>
      <c r="U62" s="2"/>
      <c r="V62" s="6">
        <f t="shared" si="35"/>
        <v>9.1721124640964065E-4</v>
      </c>
      <c r="W62" s="2"/>
      <c r="X62" s="7">
        <f t="shared" si="36"/>
        <v>-1020.3299999999999</v>
      </c>
      <c r="Y62" s="2"/>
      <c r="Z62" s="6">
        <f t="shared" si="37"/>
        <v>-0.1016828044215721</v>
      </c>
    </row>
    <row r="63" spans="1:26" s="25" customFormat="1" outlineLevel="1" collapsed="1" x14ac:dyDescent="0.35">
      <c r="A63" s="26"/>
      <c r="B63" s="12" t="str">
        <f>CONCATENATE("     ","Insurance                                         ")</f>
        <v xml:space="preserve">     Insurance                                         </v>
      </c>
      <c r="C63" s="12"/>
      <c r="D63" s="1">
        <f>SUM(OSRRefD22_11x_0)</f>
        <v>5.9</v>
      </c>
      <c r="E63" s="1"/>
      <c r="F63" s="5">
        <f t="shared" si="30"/>
        <v>-4.4148815330144841E-5</v>
      </c>
      <c r="G63" s="1"/>
      <c r="H63" s="1">
        <f>SUM(OSRRefH22_11x_0)</f>
        <v>4.93</v>
      </c>
      <c r="I63" s="1"/>
      <c r="J63" s="5">
        <f t="shared" si="31"/>
        <v>3.1324311846803907E-5</v>
      </c>
      <c r="K63" s="1"/>
      <c r="L63" s="1">
        <f t="shared" si="32"/>
        <v>0.97000000000000064</v>
      </c>
      <c r="M63" s="1"/>
      <c r="N63" s="5">
        <f t="shared" si="33"/>
        <v>0.19675456389452348</v>
      </c>
      <c r="O63" s="12"/>
      <c r="P63" s="1">
        <f>SUM(OSRRefP22_11x_0)</f>
        <v>70.8</v>
      </c>
      <c r="Q63" s="1"/>
      <c r="R63" s="5">
        <f t="shared" si="34"/>
        <v>7.8341585212211401E-6</v>
      </c>
      <c r="S63" s="1"/>
      <c r="T63" s="1">
        <f>SUM(OSRRefT22_11x_0)</f>
        <v>59.16</v>
      </c>
      <c r="U63" s="1"/>
      <c r="V63" s="5">
        <f t="shared" si="35"/>
        <v>5.407597966363279E-6</v>
      </c>
      <c r="W63" s="1"/>
      <c r="X63" s="1">
        <f t="shared" si="36"/>
        <v>11.64</v>
      </c>
      <c r="Y63" s="1"/>
      <c r="Z63" s="5">
        <f t="shared" si="37"/>
        <v>0.19675456389452334</v>
      </c>
    </row>
    <row r="64" spans="1:26" s="24" customFormat="1" hidden="1" outlineLevel="2" x14ac:dyDescent="0.35">
      <c r="A64" s="27"/>
      <c r="B64" s="11" t="str">
        <f>CONCATENATE("          ", "6314", " - ", "LIABILITY INSURANCE")</f>
        <v xml:space="preserve">          6314 - LIABILITY INSURANCE</v>
      </c>
      <c r="C64" s="11"/>
      <c r="D64" s="7">
        <v>5.9</v>
      </c>
      <c r="E64" s="2"/>
      <c r="F64" s="6">
        <f t="shared" si="30"/>
        <v>-4.4148815330144841E-5</v>
      </c>
      <c r="G64" s="2"/>
      <c r="H64" s="7">
        <v>4.93</v>
      </c>
      <c r="I64" s="2"/>
      <c r="J64" s="6">
        <f t="shared" si="31"/>
        <v>3.1324311846803907E-5</v>
      </c>
      <c r="K64" s="2"/>
      <c r="L64" s="7">
        <f t="shared" si="32"/>
        <v>0.97000000000000064</v>
      </c>
      <c r="M64" s="2"/>
      <c r="N64" s="6">
        <f t="shared" si="33"/>
        <v>0.19675456389452348</v>
      </c>
      <c r="O64" s="11"/>
      <c r="P64" s="7">
        <v>70.8</v>
      </c>
      <c r="Q64" s="2"/>
      <c r="R64" s="6">
        <f t="shared" si="34"/>
        <v>7.8341585212211401E-6</v>
      </c>
      <c r="S64" s="2"/>
      <c r="T64" s="7">
        <v>59.16</v>
      </c>
      <c r="U64" s="2"/>
      <c r="V64" s="6">
        <f t="shared" si="35"/>
        <v>5.407597966363279E-6</v>
      </c>
      <c r="W64" s="2"/>
      <c r="X64" s="7">
        <f t="shared" si="36"/>
        <v>11.64</v>
      </c>
      <c r="Y64" s="2"/>
      <c r="Z64" s="6">
        <f t="shared" si="37"/>
        <v>0.19675456389452334</v>
      </c>
    </row>
    <row r="65" spans="1:26" s="25" customFormat="1" outlineLevel="1" collapsed="1" x14ac:dyDescent="0.35">
      <c r="A65" s="26"/>
      <c r="B65" s="12" t="str">
        <f>CONCATENATE("     ","R/H Commissions                                   ")</f>
        <v xml:space="preserve">     R/H Commissions                                   </v>
      </c>
      <c r="C65" s="12"/>
      <c r="D65" s="1">
        <f>SUM(OSRRefD22_12x_0)</f>
        <v>-11146.03</v>
      </c>
      <c r="E65" s="1"/>
      <c r="F65" s="5">
        <f t="shared" si="30"/>
        <v>8.3404071209195643E-2</v>
      </c>
      <c r="G65" s="1"/>
      <c r="H65" s="1">
        <f>SUM(OSRRefH22_12x_0)</f>
        <v>12590.86</v>
      </c>
      <c r="I65" s="1"/>
      <c r="J65" s="5">
        <f t="shared" si="31"/>
        <v>8.0000005083052647E-2</v>
      </c>
      <c r="K65" s="1"/>
      <c r="L65" s="1">
        <f t="shared" si="32"/>
        <v>-23736.89</v>
      </c>
      <c r="M65" s="1"/>
      <c r="N65" s="5">
        <f t="shared" si="33"/>
        <v>-1.8852477114351203</v>
      </c>
      <c r="O65" s="12"/>
      <c r="P65" s="1">
        <f>SUM(OSRRefP22_12x_0)</f>
        <v>703130.05</v>
      </c>
      <c r="Q65" s="1"/>
      <c r="R65" s="5">
        <f t="shared" si="34"/>
        <v>7.7802715716583981E-2</v>
      </c>
      <c r="S65" s="1"/>
      <c r="T65" s="1">
        <f>SUM(OSRRefT22_12x_0)</f>
        <v>853864.66</v>
      </c>
      <c r="U65" s="1"/>
      <c r="V65" s="5">
        <f t="shared" si="35"/>
        <v>7.8048627433493459E-2</v>
      </c>
      <c r="W65" s="1"/>
      <c r="X65" s="1">
        <f t="shared" si="36"/>
        <v>-150734.60999999999</v>
      </c>
      <c r="Y65" s="1"/>
      <c r="Z65" s="5">
        <f t="shared" si="37"/>
        <v>-0.17653220359301436</v>
      </c>
    </row>
    <row r="66" spans="1:26" s="24" customFormat="1" hidden="1" outlineLevel="2" x14ac:dyDescent="0.35">
      <c r="A66" s="27"/>
      <c r="B66" s="11" t="str">
        <f>CONCATENATE("          ", "6387", " - ", "COMMISSION DUE HOUSING")</f>
        <v xml:space="preserve">          6387 - COMMISSION DUE HOUSING</v>
      </c>
      <c r="C66" s="11"/>
      <c r="D66" s="7">
        <v>-11146.03</v>
      </c>
      <c r="E66" s="2"/>
      <c r="F66" s="6">
        <f t="shared" si="30"/>
        <v>8.3404071209195643E-2</v>
      </c>
      <c r="G66" s="2"/>
      <c r="H66" s="7">
        <v>12590.86</v>
      </c>
      <c r="I66" s="2"/>
      <c r="J66" s="6">
        <f t="shared" si="31"/>
        <v>8.0000005083052647E-2</v>
      </c>
      <c r="K66" s="2"/>
      <c r="L66" s="7">
        <f t="shared" si="32"/>
        <v>-23736.89</v>
      </c>
      <c r="M66" s="2"/>
      <c r="N66" s="6">
        <f t="shared" si="33"/>
        <v>-1.8852477114351203</v>
      </c>
      <c r="O66" s="11"/>
      <c r="P66" s="7">
        <v>703130.05</v>
      </c>
      <c r="Q66" s="2"/>
      <c r="R66" s="6">
        <f t="shared" si="34"/>
        <v>7.7802715716583981E-2</v>
      </c>
      <c r="S66" s="2"/>
      <c r="T66" s="7">
        <v>853864.66</v>
      </c>
      <c r="U66" s="2"/>
      <c r="V66" s="6">
        <f t="shared" si="35"/>
        <v>7.8048627433493459E-2</v>
      </c>
      <c r="W66" s="2"/>
      <c r="X66" s="7">
        <f t="shared" si="36"/>
        <v>-150734.60999999999</v>
      </c>
      <c r="Y66" s="2"/>
      <c r="Z66" s="6">
        <f t="shared" si="37"/>
        <v>-0.17653220359301436</v>
      </c>
    </row>
    <row r="67" spans="1:26" s="25" customFormat="1" outlineLevel="1" collapsed="1" x14ac:dyDescent="0.35">
      <c r="A67" s="26"/>
      <c r="B67" s="12" t="str">
        <f>CONCATENATE("     ","Repair and Maintenance                            ")</f>
        <v xml:space="preserve">     Repair and Maintenance                            </v>
      </c>
      <c r="C67" s="12"/>
      <c r="D67" s="1">
        <f>SUM(OSRRefD22_13x_0)</f>
        <v>218.49</v>
      </c>
      <c r="E67" s="1"/>
      <c r="F67" s="5">
        <f t="shared" si="30"/>
        <v>-1.6349279087259907E-3</v>
      </c>
      <c r="G67" s="1"/>
      <c r="H67" s="1">
        <f>SUM(OSRRefH22_13x_0)</f>
        <v>207.28</v>
      </c>
      <c r="I67" s="1"/>
      <c r="J67" s="5">
        <f t="shared" si="31"/>
        <v>1.3170189370396582E-3</v>
      </c>
      <c r="K67" s="1"/>
      <c r="L67" s="1">
        <f t="shared" si="32"/>
        <v>11.210000000000008</v>
      </c>
      <c r="M67" s="1"/>
      <c r="N67" s="5">
        <f t="shared" si="33"/>
        <v>5.4081435739096913E-2</v>
      </c>
      <c r="O67" s="12"/>
      <c r="P67" s="1">
        <f>SUM(OSRRefP22_13x_0)</f>
        <v>65064.030000000013</v>
      </c>
      <c r="Q67" s="1"/>
      <c r="R67" s="5">
        <f t="shared" si="34"/>
        <v>7.1994622182131067E-3</v>
      </c>
      <c r="S67" s="1"/>
      <c r="T67" s="1">
        <f>SUM(OSRRefT22_13x_0)</f>
        <v>44826.020000000004</v>
      </c>
      <c r="U67" s="1"/>
      <c r="V67" s="5">
        <f t="shared" si="35"/>
        <v>4.0973815853982366E-3</v>
      </c>
      <c r="W67" s="1"/>
      <c r="X67" s="1">
        <f t="shared" si="36"/>
        <v>20238.010000000009</v>
      </c>
      <c r="Y67" s="1"/>
      <c r="Z67" s="5">
        <f t="shared" si="37"/>
        <v>0.45147907398426201</v>
      </c>
    </row>
    <row r="68" spans="1:26" s="24" customFormat="1" hidden="1" outlineLevel="2" x14ac:dyDescent="0.35">
      <c r="A68" s="27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30"/>
        <v>0</v>
      </c>
      <c r="G68" s="2"/>
      <c r="H68" s="7"/>
      <c r="I68" s="2"/>
      <c r="J68" s="6">
        <f t="shared" si="31"/>
        <v>0</v>
      </c>
      <c r="K68" s="2"/>
      <c r="L68" s="7">
        <f t="shared" si="32"/>
        <v>0</v>
      </c>
      <c r="M68" s="2"/>
      <c r="N68" s="6">
        <f t="shared" si="33"/>
        <v>0</v>
      </c>
      <c r="O68" s="11"/>
      <c r="P68" s="7">
        <v>63062.930000000008</v>
      </c>
      <c r="Q68" s="2"/>
      <c r="R68" s="6">
        <f t="shared" si="34"/>
        <v>6.9780365880320943E-3</v>
      </c>
      <c r="S68" s="2"/>
      <c r="T68" s="7">
        <v>41387.870000000003</v>
      </c>
      <c r="U68" s="2"/>
      <c r="V68" s="6">
        <f t="shared" si="35"/>
        <v>3.7831129419220381E-3</v>
      </c>
      <c r="W68" s="2"/>
      <c r="X68" s="7">
        <f t="shared" si="36"/>
        <v>21675.060000000005</v>
      </c>
      <c r="Y68" s="2"/>
      <c r="Z68" s="6">
        <f t="shared" si="37"/>
        <v>0.52370561712888353</v>
      </c>
    </row>
    <row r="69" spans="1:26" s="24" customFormat="1" hidden="1" outlineLevel="2" x14ac:dyDescent="0.35">
      <c r="A69" s="27"/>
      <c r="B69" s="11" t="str">
        <f>CONCATENATE("          ", "6373", " - ", "MAINTENANCE CONTRACTS")</f>
        <v xml:space="preserve">          6373 - MAINTENANCE CONTRACTS</v>
      </c>
      <c r="C69" s="11"/>
      <c r="D69" s="7">
        <v>218.49</v>
      </c>
      <c r="E69" s="2"/>
      <c r="F69" s="6">
        <f t="shared" si="30"/>
        <v>-1.6349279087259907E-3</v>
      </c>
      <c r="G69" s="2"/>
      <c r="H69" s="7">
        <v>207.28</v>
      </c>
      <c r="I69" s="2"/>
      <c r="J69" s="6">
        <f t="shared" si="31"/>
        <v>1.3170189370396582E-3</v>
      </c>
      <c r="K69" s="2"/>
      <c r="L69" s="7">
        <f t="shared" si="32"/>
        <v>11.210000000000008</v>
      </c>
      <c r="M69" s="2"/>
      <c r="N69" s="6">
        <f t="shared" si="33"/>
        <v>5.4081435739096913E-2</v>
      </c>
      <c r="O69" s="11"/>
      <c r="P69" s="7">
        <v>941.91</v>
      </c>
      <c r="Q69" s="2"/>
      <c r="R69" s="6">
        <f t="shared" si="34"/>
        <v>1.0422418436050005E-4</v>
      </c>
      <c r="S69" s="2"/>
      <c r="T69" s="7">
        <v>920.67</v>
      </c>
      <c r="U69" s="2"/>
      <c r="V69" s="6">
        <f t="shared" si="35"/>
        <v>8.4155057804118991E-5</v>
      </c>
      <c r="W69" s="2"/>
      <c r="X69" s="7">
        <f t="shared" si="36"/>
        <v>21.240000000000009</v>
      </c>
      <c r="Y69" s="2"/>
      <c r="Z69" s="6">
        <f t="shared" si="37"/>
        <v>2.3070155430284477E-2</v>
      </c>
    </row>
    <row r="70" spans="1:26" s="24" customFormat="1" hidden="1" outlineLevel="2" x14ac:dyDescent="0.35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7"/>
      <c r="E70" s="2"/>
      <c r="F70" s="6">
        <f t="shared" si="30"/>
        <v>0</v>
      </c>
      <c r="G70" s="2"/>
      <c r="H70" s="7"/>
      <c r="I70" s="2"/>
      <c r="J70" s="6">
        <f t="shared" si="31"/>
        <v>0</v>
      </c>
      <c r="K70" s="2"/>
      <c r="L70" s="7">
        <f t="shared" si="32"/>
        <v>0</v>
      </c>
      <c r="M70" s="2"/>
      <c r="N70" s="6">
        <f t="shared" si="33"/>
        <v>0</v>
      </c>
      <c r="O70" s="11"/>
      <c r="P70" s="7">
        <v>1059.19</v>
      </c>
      <c r="Q70" s="2"/>
      <c r="R70" s="6">
        <f t="shared" si="34"/>
        <v>1.1720144582051158E-4</v>
      </c>
      <c r="S70" s="2"/>
      <c r="T70" s="7">
        <v>2517.48</v>
      </c>
      <c r="U70" s="2"/>
      <c r="V70" s="6">
        <f t="shared" si="35"/>
        <v>2.3011358567207957E-4</v>
      </c>
      <c r="W70" s="2"/>
      <c r="X70" s="7">
        <f t="shared" si="36"/>
        <v>-1458.29</v>
      </c>
      <c r="Y70" s="2"/>
      <c r="Z70" s="6">
        <f t="shared" si="37"/>
        <v>-0.57926577371021815</v>
      </c>
    </row>
    <row r="71" spans="1:26" s="25" customFormat="1" outlineLevel="1" collapsed="1" x14ac:dyDescent="0.35">
      <c r="A71" s="26"/>
      <c r="B71" s="12" t="str">
        <f>CONCATENATE("     ","Services                                          ")</f>
        <v xml:space="preserve">     Services                                          </v>
      </c>
      <c r="C71" s="12"/>
      <c r="D71" s="1">
        <f>SUM(OSRRefD22_14x_0)</f>
        <v>6408.69</v>
      </c>
      <c r="E71" s="1"/>
      <c r="F71" s="5">
        <f t="shared" ref="F71:F74" si="38">IF(D$12=0,0,D71/D$12)</f>
        <v>-4.7955266325109477E-2</v>
      </c>
      <c r="G71" s="1"/>
      <c r="H71" s="1">
        <f>SUM(OSRRefH22_14x_0)</f>
        <v>16183.66</v>
      </c>
      <c r="I71" s="1"/>
      <c r="J71" s="5">
        <f t="shared" ref="J71:J74" si="39">IF(H$12=0,0,H71/H$12)</f>
        <v>0.10282799445489789</v>
      </c>
      <c r="K71" s="1"/>
      <c r="L71" s="1">
        <f t="shared" ref="L71:L74" si="40">+D71-H71</f>
        <v>-9774.9700000000012</v>
      </c>
      <c r="M71" s="1"/>
      <c r="N71" s="5">
        <f t="shared" ref="N71:N74" si="41">IF(H71=0,0,L71/H71)</f>
        <v>-0.60400243208273041</v>
      </c>
      <c r="O71" s="12"/>
      <c r="P71" s="1">
        <f>SUM(OSRRefP22_14x_0)</f>
        <v>189441.08</v>
      </c>
      <c r="Q71" s="1"/>
      <c r="R71" s="5">
        <f t="shared" ref="R71:R74" si="42">IF(P$12=0,0,P71/P$12)</f>
        <v>2.0962026146205303E-2</v>
      </c>
      <c r="S71" s="1"/>
      <c r="T71" s="1">
        <f>SUM(OSRRefT22_14x_0)</f>
        <v>194615.27</v>
      </c>
      <c r="U71" s="1"/>
      <c r="V71" s="5">
        <f t="shared" ref="V71:V74" si="43">IF(T$12=0,0,T71/T$12)</f>
        <v>1.7789065893766741E-2</v>
      </c>
      <c r="W71" s="1"/>
      <c r="X71" s="1">
        <f t="shared" ref="X71:X74" si="44">+P71-T71</f>
        <v>-5174.1900000000023</v>
      </c>
      <c r="Y71" s="1"/>
      <c r="Z71" s="5">
        <f t="shared" ref="Z71:Z74" si="45">IF(T71=0,0,X71/T71)</f>
        <v>-2.6586762693389901E-2</v>
      </c>
    </row>
    <row r="72" spans="1:26" s="24" customFormat="1" hidden="1" outlineLevel="2" x14ac:dyDescent="0.3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1580.07</v>
      </c>
      <c r="E72" s="2"/>
      <c r="F72" s="6">
        <f t="shared" si="38"/>
        <v>-1.1823426887915585E-2</v>
      </c>
      <c r="G72" s="2"/>
      <c r="H72" s="7"/>
      <c r="I72" s="2"/>
      <c r="J72" s="6">
        <f t="shared" si="39"/>
        <v>0</v>
      </c>
      <c r="K72" s="2"/>
      <c r="L72" s="7">
        <f t="shared" si="40"/>
        <v>1580.07</v>
      </c>
      <c r="M72" s="2"/>
      <c r="N72" s="6">
        <f t="shared" si="41"/>
        <v>0</v>
      </c>
      <c r="O72" s="11"/>
      <c r="P72" s="7">
        <v>19877.900000000001</v>
      </c>
      <c r="Q72" s="2"/>
      <c r="R72" s="6">
        <f t="shared" si="42"/>
        <v>2.1995285263980468E-3</v>
      </c>
      <c r="S72" s="2"/>
      <c r="T72" s="7">
        <v>16755.419999999998</v>
      </c>
      <c r="U72" s="2"/>
      <c r="V72" s="6">
        <f t="shared" si="43"/>
        <v>1.5315513035423023E-3</v>
      </c>
      <c r="W72" s="2"/>
      <c r="X72" s="7">
        <f t="shared" si="44"/>
        <v>3122.4800000000032</v>
      </c>
      <c r="Y72" s="2"/>
      <c r="Z72" s="6">
        <f t="shared" si="45"/>
        <v>0.18635641481980181</v>
      </c>
    </row>
    <row r="73" spans="1:26" s="24" customFormat="1" hidden="1" outlineLevel="2" x14ac:dyDescent="0.35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4157.05</v>
      </c>
      <c r="E73" s="2"/>
      <c r="F73" s="6">
        <f t="shared" si="38"/>
        <v>-3.1106581825115016E-2</v>
      </c>
      <c r="G73" s="2"/>
      <c r="H73" s="7">
        <v>13238.01</v>
      </c>
      <c r="I73" s="2"/>
      <c r="J73" s="6">
        <f t="shared" si="39"/>
        <v>8.4111876971827315E-2</v>
      </c>
      <c r="K73" s="2"/>
      <c r="L73" s="7">
        <f t="shared" si="40"/>
        <v>-9080.9599999999991</v>
      </c>
      <c r="M73" s="2"/>
      <c r="N73" s="6">
        <f t="shared" si="41"/>
        <v>-0.68597621545836562</v>
      </c>
      <c r="O73" s="11"/>
      <c r="P73" s="7">
        <v>127353.62</v>
      </c>
      <c r="Q73" s="2"/>
      <c r="R73" s="6">
        <f t="shared" si="42"/>
        <v>1.4091927222194335E-2</v>
      </c>
      <c r="S73" s="2"/>
      <c r="T73" s="7">
        <v>133104.39000000001</v>
      </c>
      <c r="U73" s="2"/>
      <c r="V73" s="6">
        <f t="shared" si="43"/>
        <v>1.2166582634855051E-2</v>
      </c>
      <c r="W73" s="2"/>
      <c r="X73" s="7">
        <f t="shared" si="44"/>
        <v>-5750.7700000000186</v>
      </c>
      <c r="Y73" s="2"/>
      <c r="Z73" s="6">
        <f t="shared" si="45"/>
        <v>-4.3204961158681679E-2</v>
      </c>
    </row>
    <row r="74" spans="1:26" s="24" customFormat="1" hidden="1" outlineLevel="2" x14ac:dyDescent="0.35">
      <c r="A74" s="27"/>
      <c r="B74" s="11" t="str">
        <f>CONCATENATE("          ", "6286", " - ", "LAUNDRY EXPENSE")</f>
        <v xml:space="preserve">          6286 - LAUNDRY EXPENSE</v>
      </c>
      <c r="C74" s="11"/>
      <c r="D74" s="7">
        <v>671.57</v>
      </c>
      <c r="E74" s="2"/>
      <c r="F74" s="6">
        <f t="shared" si="38"/>
        <v>-5.0252576120788763E-3</v>
      </c>
      <c r="G74" s="2"/>
      <c r="H74" s="7">
        <v>2945.65</v>
      </c>
      <c r="I74" s="2"/>
      <c r="J74" s="6">
        <f t="shared" si="39"/>
        <v>1.8716117483070577E-2</v>
      </c>
      <c r="K74" s="2"/>
      <c r="L74" s="7">
        <f t="shared" si="40"/>
        <v>-2274.08</v>
      </c>
      <c r="M74" s="2"/>
      <c r="N74" s="6">
        <f t="shared" si="41"/>
        <v>-0.77201296827525334</v>
      </c>
      <c r="O74" s="11"/>
      <c r="P74" s="7">
        <v>42209.56</v>
      </c>
      <c r="Q74" s="2"/>
      <c r="R74" s="6">
        <f t="shared" si="42"/>
        <v>4.6705703976129232E-3</v>
      </c>
      <c r="S74" s="2"/>
      <c r="T74" s="7">
        <v>44755.46</v>
      </c>
      <c r="U74" s="2"/>
      <c r="V74" s="6">
        <f t="shared" si="43"/>
        <v>4.0909319553693894E-3</v>
      </c>
      <c r="W74" s="2"/>
      <c r="X74" s="7">
        <f t="shared" si="44"/>
        <v>-2545.9000000000015</v>
      </c>
      <c r="Y74" s="2"/>
      <c r="Z74" s="6">
        <f t="shared" si="45"/>
        <v>-5.6884679545244343E-2</v>
      </c>
    </row>
    <row r="75" spans="1:26" s="25" customFormat="1" outlineLevel="1" collapsed="1" x14ac:dyDescent="0.35">
      <c r="A75" s="26"/>
      <c r="B75" s="12" t="str">
        <f>CONCATENATE("     ","Supplies                                          ")</f>
        <v xml:space="preserve">     Supplies                                          </v>
      </c>
      <c r="C75" s="12"/>
      <c r="D75" s="1">
        <f>SUM(OSRRefD22_15x_0)</f>
        <v>3861.24</v>
      </c>
      <c r="E75" s="1"/>
      <c r="F75" s="5">
        <f t="shared" ref="F75:F84" si="46">IF(D$12=0,0,D75/D$12)</f>
        <v>-2.8893079950062447E-2</v>
      </c>
      <c r="G75" s="1"/>
      <c r="H75" s="1">
        <f>SUM(OSRRefH22_15x_0)</f>
        <v>11733.6</v>
      </c>
      <c r="I75" s="1"/>
      <c r="J75" s="5">
        <f t="shared" ref="J75:J84" si="47">IF(H$12=0,0,H75/H$12)</f>
        <v>7.4553132958551399E-2</v>
      </c>
      <c r="K75" s="1"/>
      <c r="L75" s="1">
        <f t="shared" ref="L75:L84" si="48">+D75-H75</f>
        <v>-7872.3600000000006</v>
      </c>
      <c r="M75" s="1"/>
      <c r="N75" s="5">
        <f t="shared" ref="N75:N84" si="49">IF(H75=0,0,L75/H75)</f>
        <v>-0.67092452444262629</v>
      </c>
      <c r="O75" s="12"/>
      <c r="P75" s="1">
        <f>SUM(OSRRefP22_15x_0)</f>
        <v>196297.37000000002</v>
      </c>
      <c r="Q75" s="1"/>
      <c r="R75" s="5">
        <f t="shared" ref="R75:R84" si="50">IF(P$12=0,0,P75/P$12)</f>
        <v>2.1720688049135579E-2</v>
      </c>
      <c r="S75" s="1"/>
      <c r="T75" s="1">
        <f>SUM(OSRRefT22_15x_0)</f>
        <v>234351.65000000002</v>
      </c>
      <c r="U75" s="1"/>
      <c r="V75" s="5">
        <f t="shared" ref="V75:V84" si="51">IF(T$12=0,0,T75/T$12)</f>
        <v>2.142122221017375E-2</v>
      </c>
      <c r="W75" s="1"/>
      <c r="X75" s="1">
        <f t="shared" ref="X75:X84" si="52">+P75-T75</f>
        <v>-38054.28</v>
      </c>
      <c r="Y75" s="1"/>
      <c r="Z75" s="5">
        <f t="shared" ref="Z75:Z84" si="53">IF(T75=0,0,X75/T75)</f>
        <v>-0.16238110548826942</v>
      </c>
    </row>
    <row r="76" spans="1:26" s="24" customFormat="1" hidden="1" outlineLevel="2" x14ac:dyDescent="0.3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7"/>
      <c r="E76" s="2"/>
      <c r="F76" s="6">
        <f t="shared" si="46"/>
        <v>0</v>
      </c>
      <c r="G76" s="2"/>
      <c r="H76" s="7"/>
      <c r="I76" s="2"/>
      <c r="J76" s="6">
        <f t="shared" si="47"/>
        <v>0</v>
      </c>
      <c r="K76" s="2"/>
      <c r="L76" s="7">
        <f t="shared" si="48"/>
        <v>0</v>
      </c>
      <c r="M76" s="2"/>
      <c r="N76" s="6">
        <f t="shared" si="49"/>
        <v>0</v>
      </c>
      <c r="O76" s="11"/>
      <c r="P76" s="7">
        <v>118.34</v>
      </c>
      <c r="Q76" s="2"/>
      <c r="R76" s="6">
        <f t="shared" si="50"/>
        <v>1.3094552533916804E-5</v>
      </c>
      <c r="S76" s="2"/>
      <c r="T76" s="7">
        <v>30.98</v>
      </c>
      <c r="U76" s="2"/>
      <c r="V76" s="6">
        <f t="shared" si="51"/>
        <v>2.8317678329603515E-6</v>
      </c>
      <c r="W76" s="2"/>
      <c r="X76" s="7">
        <f t="shared" si="52"/>
        <v>87.36</v>
      </c>
      <c r="Y76" s="2"/>
      <c r="Z76" s="6">
        <f t="shared" si="53"/>
        <v>2.8198837959974177</v>
      </c>
    </row>
    <row r="77" spans="1:26" s="24" customFormat="1" hidden="1" outlineLevel="2" x14ac:dyDescent="0.35">
      <c r="A77" s="27"/>
      <c r="B77" s="11" t="str">
        <f>CONCATENATE("          ", "6235", " - ", "COVID-19 EXPENSES")</f>
        <v xml:space="preserve">          6235 - COVID-19 EXPENSES</v>
      </c>
      <c r="C77" s="11"/>
      <c r="D77" s="7">
        <v>29.77</v>
      </c>
      <c r="E77" s="2"/>
      <c r="F77" s="6">
        <f t="shared" si="46"/>
        <v>-2.2276444616583249E-4</v>
      </c>
      <c r="G77" s="2"/>
      <c r="H77" s="7"/>
      <c r="I77" s="2"/>
      <c r="J77" s="6">
        <f t="shared" si="47"/>
        <v>0</v>
      </c>
      <c r="K77" s="2"/>
      <c r="L77" s="7">
        <f t="shared" si="48"/>
        <v>29.77</v>
      </c>
      <c r="M77" s="2"/>
      <c r="N77" s="6">
        <f t="shared" si="49"/>
        <v>0</v>
      </c>
      <c r="O77" s="11"/>
      <c r="P77" s="7">
        <v>885.8</v>
      </c>
      <c r="Q77" s="2"/>
      <c r="R77" s="6">
        <f t="shared" si="50"/>
        <v>9.8015503080475772E-5</v>
      </c>
      <c r="S77" s="2"/>
      <c r="T77" s="7"/>
      <c r="U77" s="2"/>
      <c r="V77" s="6">
        <f t="shared" si="51"/>
        <v>0</v>
      </c>
      <c r="W77" s="2"/>
      <c r="X77" s="7">
        <f t="shared" si="52"/>
        <v>885.8</v>
      </c>
      <c r="Y77" s="2"/>
      <c r="Z77" s="6">
        <f t="shared" si="53"/>
        <v>0</v>
      </c>
    </row>
    <row r="78" spans="1:26" s="24" customFormat="1" hidden="1" outlineLevel="2" x14ac:dyDescent="0.35">
      <c r="A78" s="27"/>
      <c r="B78" s="11" t="str">
        <f>CONCATENATE("          ", "6237", " - ", "JANITORIAL SUPPLIES")</f>
        <v xml:space="preserve">          6237 - JANITORIAL SUPPLIES</v>
      </c>
      <c r="C78" s="11"/>
      <c r="D78" s="7">
        <v>2339.62</v>
      </c>
      <c r="E78" s="2"/>
      <c r="F78" s="6">
        <f t="shared" si="46"/>
        <v>-1.7507025647917535E-2</v>
      </c>
      <c r="G78" s="2"/>
      <c r="H78" s="7">
        <v>4110.8999999999996</v>
      </c>
      <c r="I78" s="2"/>
      <c r="J78" s="6">
        <f t="shared" si="47"/>
        <v>2.6119901332865354E-2</v>
      </c>
      <c r="K78" s="2"/>
      <c r="L78" s="7">
        <f t="shared" si="48"/>
        <v>-1771.2799999999997</v>
      </c>
      <c r="M78" s="2"/>
      <c r="N78" s="6">
        <f t="shared" si="49"/>
        <v>-0.43087401785497093</v>
      </c>
      <c r="O78" s="11"/>
      <c r="P78" s="7">
        <v>76546.850000000006</v>
      </c>
      <c r="Q78" s="2"/>
      <c r="R78" s="6">
        <f t="shared" si="50"/>
        <v>8.4700587175160508E-3</v>
      </c>
      <c r="S78" s="2"/>
      <c r="T78" s="7">
        <v>103063.19</v>
      </c>
      <c r="U78" s="2"/>
      <c r="V78" s="6">
        <f t="shared" si="51"/>
        <v>9.4206270563034523E-3</v>
      </c>
      <c r="W78" s="2"/>
      <c r="X78" s="7">
        <f t="shared" si="52"/>
        <v>-26516.339999999997</v>
      </c>
      <c r="Y78" s="2"/>
      <c r="Z78" s="6">
        <f t="shared" si="53"/>
        <v>-0.25728235270031907</v>
      </c>
    </row>
    <row r="79" spans="1:26" s="24" customFormat="1" hidden="1" outlineLevel="2" x14ac:dyDescent="0.35">
      <c r="A79" s="27"/>
      <c r="B79" s="11" t="str">
        <f>CONCATENATE("          ", "6239", " - ", "KITCHEN SUPPLIES")</f>
        <v xml:space="preserve">          6239 - KITCHEN SUPPLIES</v>
      </c>
      <c r="C79" s="11"/>
      <c r="D79" s="7">
        <v>349.26</v>
      </c>
      <c r="E79" s="2"/>
      <c r="F79" s="6">
        <f t="shared" si="46"/>
        <v>-2.6134602105434552E-3</v>
      </c>
      <c r="G79" s="2"/>
      <c r="H79" s="7">
        <v>346.7</v>
      </c>
      <c r="I79" s="2"/>
      <c r="J79" s="6">
        <f t="shared" si="47"/>
        <v>2.2028679345409566E-3</v>
      </c>
      <c r="K79" s="2"/>
      <c r="L79" s="7">
        <f t="shared" si="48"/>
        <v>2.5600000000000023</v>
      </c>
      <c r="M79" s="2"/>
      <c r="N79" s="6">
        <f t="shared" si="49"/>
        <v>7.3839053937121502E-3</v>
      </c>
      <c r="O79" s="11"/>
      <c r="P79" s="7">
        <v>27197.759999999998</v>
      </c>
      <c r="Q79" s="2"/>
      <c r="R79" s="6">
        <f t="shared" si="50"/>
        <v>3.0094853568097099E-3</v>
      </c>
      <c r="S79" s="2"/>
      <c r="T79" s="7">
        <v>26481.47</v>
      </c>
      <c r="U79" s="2"/>
      <c r="V79" s="6">
        <f t="shared" si="51"/>
        <v>2.420573754535331E-3</v>
      </c>
      <c r="W79" s="2"/>
      <c r="X79" s="7">
        <f t="shared" si="52"/>
        <v>716.28999999999724</v>
      </c>
      <c r="Y79" s="2"/>
      <c r="Z79" s="6">
        <f t="shared" si="53"/>
        <v>2.7048725014132417E-2</v>
      </c>
    </row>
    <row r="80" spans="1:26" s="24" customFormat="1" hidden="1" outlineLevel="2" x14ac:dyDescent="0.35">
      <c r="A80" s="27"/>
      <c r="B80" s="11" t="str">
        <f>CONCATENATE("          ", "6241", " - ", "OFFICE EXPENSE")</f>
        <v xml:space="preserve">          6241 - OFFICE EXPENSE</v>
      </c>
      <c r="C80" s="11"/>
      <c r="D80" s="7">
        <v>282.73</v>
      </c>
      <c r="E80" s="2"/>
      <c r="F80" s="6">
        <f t="shared" si="46"/>
        <v>-2.1156261963206527E-3</v>
      </c>
      <c r="G80" s="2"/>
      <c r="H80" s="7">
        <v>2762.59</v>
      </c>
      <c r="I80" s="2"/>
      <c r="J80" s="6">
        <f t="shared" si="47"/>
        <v>1.7552987964475054E-2</v>
      </c>
      <c r="K80" s="2"/>
      <c r="L80" s="7">
        <f t="shared" si="48"/>
        <v>-2479.86</v>
      </c>
      <c r="M80" s="2"/>
      <c r="N80" s="6">
        <f t="shared" si="49"/>
        <v>-0.89765763287349909</v>
      </c>
      <c r="O80" s="11"/>
      <c r="P80" s="7">
        <v>28840.79</v>
      </c>
      <c r="Q80" s="2"/>
      <c r="R80" s="6">
        <f t="shared" si="50"/>
        <v>3.1912898409216022E-3</v>
      </c>
      <c r="S80" s="2"/>
      <c r="T80" s="7">
        <v>15682.82</v>
      </c>
      <c r="U80" s="2"/>
      <c r="V80" s="6">
        <f t="shared" si="51"/>
        <v>1.433508883347555E-3</v>
      </c>
      <c r="W80" s="2"/>
      <c r="X80" s="7">
        <f t="shared" si="52"/>
        <v>13157.970000000001</v>
      </c>
      <c r="Y80" s="2"/>
      <c r="Z80" s="6">
        <f t="shared" si="53"/>
        <v>0.83900535745484561</v>
      </c>
    </row>
    <row r="81" spans="1:26" s="24" customFormat="1" hidden="1" outlineLevel="2" x14ac:dyDescent="0.35">
      <c r="A81" s="27"/>
      <c r="B81" s="11" t="str">
        <f>CONCATENATE("          ", "6243", " - ", "PAPER SUPPLIES")</f>
        <v xml:space="preserve">          6243 - PAPER SUPPLIES</v>
      </c>
      <c r="C81" s="11"/>
      <c r="D81" s="7">
        <v>859.86</v>
      </c>
      <c r="E81" s="2"/>
      <c r="F81" s="6">
        <f t="shared" si="46"/>
        <v>-6.434203449114973E-3</v>
      </c>
      <c r="G81" s="2"/>
      <c r="H81" s="7">
        <v>4102.99</v>
      </c>
      <c r="I81" s="2"/>
      <c r="J81" s="6">
        <f t="shared" si="47"/>
        <v>2.6069642649963077E-2</v>
      </c>
      <c r="K81" s="2"/>
      <c r="L81" s="7">
        <f t="shared" si="48"/>
        <v>-3243.1299999999997</v>
      </c>
      <c r="M81" s="2"/>
      <c r="N81" s="6">
        <f t="shared" si="49"/>
        <v>-0.79043088089417712</v>
      </c>
      <c r="O81" s="11"/>
      <c r="P81" s="7">
        <v>60815.41</v>
      </c>
      <c r="Q81" s="2"/>
      <c r="R81" s="6">
        <f t="shared" si="50"/>
        <v>6.7293441027267984E-3</v>
      </c>
      <c r="S81" s="2"/>
      <c r="T81" s="7">
        <v>76248.25</v>
      </c>
      <c r="U81" s="2"/>
      <c r="V81" s="6">
        <f t="shared" si="51"/>
        <v>6.9695720358140447E-3</v>
      </c>
      <c r="W81" s="2"/>
      <c r="X81" s="7">
        <f t="shared" si="52"/>
        <v>-15432.839999999997</v>
      </c>
      <c r="Y81" s="2"/>
      <c r="Z81" s="6">
        <f t="shared" si="53"/>
        <v>-0.2024025469437003</v>
      </c>
    </row>
    <row r="82" spans="1:26" s="24" customFormat="1" hidden="1" outlineLevel="2" x14ac:dyDescent="0.35">
      <c r="A82" s="27"/>
      <c r="B82" s="11" t="str">
        <f>CONCATENATE("          ", "6245", " - ", "PRINTING")</f>
        <v xml:space="preserve">          6245 - PRINTING</v>
      </c>
      <c r="C82" s="11"/>
      <c r="D82" s="7"/>
      <c r="E82" s="2"/>
      <c r="F82" s="6">
        <f t="shared" si="46"/>
        <v>0</v>
      </c>
      <c r="G82" s="2"/>
      <c r="H82" s="7">
        <v>410.42</v>
      </c>
      <c r="I82" s="2"/>
      <c r="J82" s="6">
        <f t="shared" si="47"/>
        <v>2.6077330767069495E-3</v>
      </c>
      <c r="K82" s="2"/>
      <c r="L82" s="7">
        <f t="shared" si="48"/>
        <v>-410.42</v>
      </c>
      <c r="M82" s="2"/>
      <c r="N82" s="6">
        <f t="shared" si="49"/>
        <v>-1</v>
      </c>
      <c r="O82" s="11"/>
      <c r="P82" s="7">
        <v>1351.44</v>
      </c>
      <c r="Q82" s="2"/>
      <c r="R82" s="6">
        <f t="shared" si="50"/>
        <v>1.4953948011185166E-4</v>
      </c>
      <c r="S82" s="2"/>
      <c r="T82" s="7">
        <v>2417.6999999999998</v>
      </c>
      <c r="U82" s="2"/>
      <c r="V82" s="6">
        <f t="shared" si="51"/>
        <v>2.2099306293570822E-4</v>
      </c>
      <c r="W82" s="2"/>
      <c r="X82" s="7">
        <f t="shared" si="52"/>
        <v>-1066.2599999999998</v>
      </c>
      <c r="Y82" s="2"/>
      <c r="Z82" s="6">
        <f t="shared" si="53"/>
        <v>-0.44102245936220369</v>
      </c>
    </row>
    <row r="83" spans="1:26" s="24" customFormat="1" hidden="1" outlineLevel="2" x14ac:dyDescent="0.35">
      <c r="A83" s="27"/>
      <c r="B83" s="11" t="str">
        <f>CONCATENATE("          ", "6247", " - ", "STORE SUPPLIES")</f>
        <v xml:space="preserve">          6247 - STORE SUPPLIES</v>
      </c>
      <c r="C83" s="11"/>
      <c r="D83" s="7"/>
      <c r="E83" s="2"/>
      <c r="F83" s="6">
        <f t="shared" si="46"/>
        <v>0</v>
      </c>
      <c r="G83" s="2"/>
      <c r="H83" s="7"/>
      <c r="I83" s="2"/>
      <c r="J83" s="6">
        <f t="shared" si="47"/>
        <v>0</v>
      </c>
      <c r="K83" s="2"/>
      <c r="L83" s="7">
        <f t="shared" si="48"/>
        <v>0</v>
      </c>
      <c r="M83" s="2"/>
      <c r="N83" s="6">
        <f t="shared" si="49"/>
        <v>0</v>
      </c>
      <c r="O83" s="11"/>
      <c r="P83" s="7">
        <v>667.78</v>
      </c>
      <c r="Q83" s="2"/>
      <c r="R83" s="6">
        <f t="shared" si="50"/>
        <v>7.3891163521201301E-5</v>
      </c>
      <c r="S83" s="2"/>
      <c r="T83" s="7">
        <v>-65.900000000000006</v>
      </c>
      <c r="U83" s="2"/>
      <c r="V83" s="6">
        <f t="shared" si="51"/>
        <v>-6.0236765717265064E-6</v>
      </c>
      <c r="W83" s="2"/>
      <c r="X83" s="7">
        <f t="shared" si="52"/>
        <v>733.68</v>
      </c>
      <c r="Y83" s="2"/>
      <c r="Z83" s="6">
        <f t="shared" si="53"/>
        <v>-11.133232169954475</v>
      </c>
    </row>
    <row r="84" spans="1:26" s="24" customFormat="1" hidden="1" outlineLevel="2" x14ac:dyDescent="0.35">
      <c r="A84" s="27"/>
      <c r="B84" s="11" t="str">
        <f>CONCATENATE("          ", "6248", " - ", "UNIFORMS")</f>
        <v xml:space="preserve">          6248 - UNIFORMS</v>
      </c>
      <c r="C84" s="11"/>
      <c r="D84" s="7"/>
      <c r="E84" s="2"/>
      <c r="F84" s="6">
        <f t="shared" si="46"/>
        <v>0</v>
      </c>
      <c r="G84" s="2"/>
      <c r="H84" s="7"/>
      <c r="I84" s="2"/>
      <c r="J84" s="6">
        <f t="shared" si="47"/>
        <v>0</v>
      </c>
      <c r="K84" s="2"/>
      <c r="L84" s="7">
        <f t="shared" si="48"/>
        <v>0</v>
      </c>
      <c r="M84" s="2"/>
      <c r="N84" s="6">
        <f t="shared" si="49"/>
        <v>0</v>
      </c>
      <c r="O84" s="11"/>
      <c r="P84" s="7">
        <v>-126.8</v>
      </c>
      <c r="Q84" s="2"/>
      <c r="R84" s="6">
        <f t="shared" si="50"/>
        <v>-1.403066808602882E-5</v>
      </c>
      <c r="S84" s="2"/>
      <c r="T84" s="7">
        <v>10493.14</v>
      </c>
      <c r="U84" s="2"/>
      <c r="V84" s="6">
        <f t="shared" si="51"/>
        <v>9.5913932597642285E-4</v>
      </c>
      <c r="W84" s="2"/>
      <c r="X84" s="7">
        <f t="shared" si="52"/>
        <v>-10619.939999999999</v>
      </c>
      <c r="Y84" s="2"/>
      <c r="Z84" s="6">
        <f t="shared" si="53"/>
        <v>-1.012084085411993</v>
      </c>
    </row>
    <row r="85" spans="1:26" s="25" customFormat="1" outlineLevel="1" collapsed="1" x14ac:dyDescent="0.35">
      <c r="A85" s="26"/>
      <c r="B85" s="12" t="str">
        <f>CONCATENATE("     ","Telephone/Data Lines                              ")</f>
        <v xml:space="preserve">     Telephone/Data Lines                              </v>
      </c>
      <c r="C85" s="12"/>
      <c r="D85" s="1">
        <f>SUM(OSRRefD22_16x_0)</f>
        <v>331.7</v>
      </c>
      <c r="E85" s="1"/>
      <c r="F85" s="5">
        <f t="shared" ref="F85:F91" si="54">IF(D$12=0,0,D85/D$12)</f>
        <v>-2.4820613635608544E-3</v>
      </c>
      <c r="G85" s="1"/>
      <c r="H85" s="1">
        <f>SUM(OSRRefH22_16x_0)</f>
        <v>1736.9</v>
      </c>
      <c r="I85" s="1"/>
      <c r="J85" s="5">
        <f t="shared" ref="J85:J91" si="55">IF(H$12=0,0,H85/H$12)</f>
        <v>1.1035942646392235E-2</v>
      </c>
      <c r="K85" s="1"/>
      <c r="L85" s="1">
        <f t="shared" ref="L85:L91" si="56">+D85-H85</f>
        <v>-1405.2</v>
      </c>
      <c r="M85" s="1"/>
      <c r="N85" s="5">
        <f t="shared" ref="N85:N91" si="57">IF(H85=0,0,L85/H85)</f>
        <v>-0.80902757786861645</v>
      </c>
      <c r="O85" s="12"/>
      <c r="P85" s="1">
        <f>SUM(OSRRefP22_16x_0)</f>
        <v>7428.5</v>
      </c>
      <c r="Q85" s="1"/>
      <c r="R85" s="5">
        <f t="shared" ref="R85:R91" si="58">IF(P$12=0,0,P85/P$12)</f>
        <v>8.2197805896739033E-4</v>
      </c>
      <c r="S85" s="1"/>
      <c r="T85" s="1">
        <f>SUM(OSRRefT22_16x_0)</f>
        <v>9654.65</v>
      </c>
      <c r="U85" s="1"/>
      <c r="V85" s="5">
        <f t="shared" ref="V85:V91" si="59">IF(T$12=0,0,T85/T$12)</f>
        <v>8.824960396543142E-4</v>
      </c>
      <c r="W85" s="1"/>
      <c r="X85" s="1">
        <f t="shared" ref="X85:X91" si="60">+P85-T85</f>
        <v>-2226.1499999999996</v>
      </c>
      <c r="Y85" s="1"/>
      <c r="Z85" s="5">
        <f t="shared" ref="Z85:Z91" si="61">IF(T85=0,0,X85/T85)</f>
        <v>-0.23057801163170075</v>
      </c>
    </row>
    <row r="86" spans="1:26" s="24" customFormat="1" hidden="1" outlineLevel="2" x14ac:dyDescent="0.35">
      <c r="A86" s="27"/>
      <c r="B86" s="11" t="str">
        <f>CONCATENATE("          ", "6309", " - ", "TELEPHONE")</f>
        <v xml:space="preserve">          6309 - TELEPHONE</v>
      </c>
      <c r="C86" s="11"/>
      <c r="D86" s="7">
        <v>331.7</v>
      </c>
      <c r="E86" s="2"/>
      <c r="F86" s="6">
        <f t="shared" si="54"/>
        <v>-2.4820613635608544E-3</v>
      </c>
      <c r="G86" s="2"/>
      <c r="H86" s="7">
        <v>1736.9</v>
      </c>
      <c r="I86" s="2"/>
      <c r="J86" s="6">
        <f t="shared" si="55"/>
        <v>1.1035942646392235E-2</v>
      </c>
      <c r="K86" s="2"/>
      <c r="L86" s="7">
        <f t="shared" si="56"/>
        <v>-1405.2</v>
      </c>
      <c r="M86" s="2"/>
      <c r="N86" s="6">
        <f t="shared" si="57"/>
        <v>-0.80902757786861645</v>
      </c>
      <c r="O86" s="11"/>
      <c r="P86" s="7">
        <v>7428.5</v>
      </c>
      <c r="Q86" s="2"/>
      <c r="R86" s="6">
        <f t="shared" si="58"/>
        <v>8.2197805896739033E-4</v>
      </c>
      <c r="S86" s="2"/>
      <c r="T86" s="7">
        <v>9654.65</v>
      </c>
      <c r="U86" s="2"/>
      <c r="V86" s="6">
        <f t="shared" si="59"/>
        <v>8.824960396543142E-4</v>
      </c>
      <c r="W86" s="2"/>
      <c r="X86" s="7">
        <f t="shared" si="60"/>
        <v>-2226.1499999999996</v>
      </c>
      <c r="Y86" s="2"/>
      <c r="Z86" s="6">
        <f t="shared" si="61"/>
        <v>-0.23057801163170075</v>
      </c>
    </row>
    <row r="87" spans="1:26" s="25" customFormat="1" outlineLevel="1" collapsed="1" x14ac:dyDescent="0.35">
      <c r="A87" s="26"/>
      <c r="B87" s="12" t="str">
        <f>CONCATENATE("     ","Training                                          ")</f>
        <v xml:space="preserve">     Training                                          </v>
      </c>
      <c r="C87" s="12"/>
      <c r="D87" s="1">
        <f>SUM(OSRRefD22_17x_0)</f>
        <v>494</v>
      </c>
      <c r="E87" s="1"/>
      <c r="F87" s="5">
        <f t="shared" si="54"/>
        <v>-3.6965279276426357E-3</v>
      </c>
      <c r="G87" s="1"/>
      <c r="H87" s="1">
        <f>SUM(OSRRefH22_17x_0)</f>
        <v>4313.1499999999996</v>
      </c>
      <c r="I87" s="1"/>
      <c r="J87" s="5">
        <f t="shared" si="55"/>
        <v>2.7404960576479166E-2</v>
      </c>
      <c r="K87" s="1"/>
      <c r="L87" s="1">
        <f t="shared" si="56"/>
        <v>-3819.1499999999996</v>
      </c>
      <c r="M87" s="1"/>
      <c r="N87" s="5">
        <f t="shared" si="57"/>
        <v>-0.88546653837682432</v>
      </c>
      <c r="O87" s="12"/>
      <c r="P87" s="1">
        <f>SUM(OSRRefP22_17x_0)</f>
        <v>6892.23</v>
      </c>
      <c r="Q87" s="1"/>
      <c r="R87" s="5">
        <f t="shared" si="58"/>
        <v>7.6263873424740078E-4</v>
      </c>
      <c r="S87" s="1"/>
      <c r="T87" s="1">
        <f>SUM(OSRRefT22_17x_0)</f>
        <v>14896.4</v>
      </c>
      <c r="U87" s="1"/>
      <c r="V87" s="5">
        <f t="shared" si="59"/>
        <v>1.3616251241740018E-3</v>
      </c>
      <c r="W87" s="1"/>
      <c r="X87" s="1">
        <f t="shared" si="60"/>
        <v>-8004.17</v>
      </c>
      <c r="Y87" s="1"/>
      <c r="Z87" s="5">
        <f t="shared" si="61"/>
        <v>-0.5373224403211514</v>
      </c>
    </row>
    <row r="88" spans="1:26" s="24" customFormat="1" hidden="1" outlineLevel="2" x14ac:dyDescent="0.35">
      <c r="A88" s="27"/>
      <c r="B88" s="11" t="str">
        <f>CONCATENATE("          ", "6376", " - ", "TRAINING")</f>
        <v xml:space="preserve">          6376 - TRAINING</v>
      </c>
      <c r="C88" s="11"/>
      <c r="D88" s="7">
        <v>494</v>
      </c>
      <c r="E88" s="2"/>
      <c r="F88" s="6">
        <f t="shared" si="54"/>
        <v>-3.6965279276426357E-3</v>
      </c>
      <c r="G88" s="2"/>
      <c r="H88" s="7">
        <v>4313.1499999999996</v>
      </c>
      <c r="I88" s="2"/>
      <c r="J88" s="6">
        <f t="shared" si="55"/>
        <v>2.7404960576479166E-2</v>
      </c>
      <c r="K88" s="2"/>
      <c r="L88" s="7">
        <f t="shared" si="56"/>
        <v>-3819.1499999999996</v>
      </c>
      <c r="M88" s="2"/>
      <c r="N88" s="6">
        <f t="shared" si="57"/>
        <v>-0.88546653837682432</v>
      </c>
      <c r="O88" s="11"/>
      <c r="P88" s="7">
        <v>6892.23</v>
      </c>
      <c r="Q88" s="2"/>
      <c r="R88" s="6">
        <f t="shared" si="58"/>
        <v>7.6263873424740078E-4</v>
      </c>
      <c r="S88" s="2"/>
      <c r="T88" s="7">
        <v>14896.4</v>
      </c>
      <c r="U88" s="2"/>
      <c r="V88" s="6">
        <f t="shared" si="59"/>
        <v>1.3616251241740018E-3</v>
      </c>
      <c r="W88" s="2"/>
      <c r="X88" s="7">
        <f t="shared" si="60"/>
        <v>-8004.17</v>
      </c>
      <c r="Y88" s="2"/>
      <c r="Z88" s="6">
        <f t="shared" si="61"/>
        <v>-0.5373224403211514</v>
      </c>
    </row>
    <row r="89" spans="1:26" s="25" customFormat="1" outlineLevel="1" collapsed="1" x14ac:dyDescent="0.35">
      <c r="A89" s="26"/>
      <c r="B89" s="12" t="str">
        <f>CONCATENATE("     ","Travel                                            ")</f>
        <v xml:space="preserve">     Travel                                            </v>
      </c>
      <c r="C89" s="12"/>
      <c r="D89" s="1">
        <f>SUM(OSRRefD22_18x_0)</f>
        <v>0</v>
      </c>
      <c r="E89" s="1"/>
      <c r="F89" s="5">
        <f t="shared" si="54"/>
        <v>0</v>
      </c>
      <c r="G89" s="1"/>
      <c r="H89" s="1">
        <f>SUM(OSRRefH22_18x_0)</f>
        <v>0</v>
      </c>
      <c r="I89" s="1"/>
      <c r="J89" s="5">
        <f t="shared" si="55"/>
        <v>0</v>
      </c>
      <c r="K89" s="1"/>
      <c r="L89" s="1">
        <f t="shared" si="56"/>
        <v>0</v>
      </c>
      <c r="M89" s="1"/>
      <c r="N89" s="5">
        <f t="shared" si="57"/>
        <v>0</v>
      </c>
      <c r="O89" s="12"/>
      <c r="P89" s="1">
        <f>SUM(OSRRefP22_18x_0)</f>
        <v>1894.26</v>
      </c>
      <c r="Q89" s="1"/>
      <c r="R89" s="5">
        <f t="shared" si="58"/>
        <v>2.0960357514701068E-4</v>
      </c>
      <c r="S89" s="1"/>
      <c r="T89" s="1">
        <f>SUM(OSRRefT22_18x_0)</f>
        <v>2517.9899999999998</v>
      </c>
      <c r="U89" s="1"/>
      <c r="V89" s="5">
        <f t="shared" si="59"/>
        <v>2.3016020289592752E-4</v>
      </c>
      <c r="W89" s="1"/>
      <c r="X89" s="1">
        <f t="shared" si="60"/>
        <v>-623.72999999999979</v>
      </c>
      <c r="Y89" s="1"/>
      <c r="Z89" s="5">
        <f t="shared" si="61"/>
        <v>-0.24770948256347319</v>
      </c>
    </row>
    <row r="90" spans="1:26" s="24" customFormat="1" hidden="1" outlineLevel="2" x14ac:dyDescent="0.35">
      <c r="A90" s="27"/>
      <c r="B90" s="11" t="str">
        <f>CONCATENATE("          ", "6292", " - ", "TRAVEL/CONFERENCE")</f>
        <v xml:space="preserve">          6292 - TRAVEL/CONFERENCE</v>
      </c>
      <c r="C90" s="11"/>
      <c r="D90" s="7"/>
      <c r="E90" s="2"/>
      <c r="F90" s="6">
        <f t="shared" si="54"/>
        <v>0</v>
      </c>
      <c r="G90" s="2"/>
      <c r="H90" s="7"/>
      <c r="I90" s="2"/>
      <c r="J90" s="6">
        <f t="shared" si="55"/>
        <v>0</v>
      </c>
      <c r="K90" s="2"/>
      <c r="L90" s="7">
        <f t="shared" si="56"/>
        <v>0</v>
      </c>
      <c r="M90" s="2"/>
      <c r="N90" s="6">
        <f t="shared" si="57"/>
        <v>0</v>
      </c>
      <c r="O90" s="11"/>
      <c r="P90" s="7">
        <v>1894.26</v>
      </c>
      <c r="Q90" s="2"/>
      <c r="R90" s="6">
        <f t="shared" si="58"/>
        <v>2.0960357514701068E-4</v>
      </c>
      <c r="S90" s="2"/>
      <c r="T90" s="7">
        <v>1889.61</v>
      </c>
      <c r="U90" s="2"/>
      <c r="V90" s="6">
        <f t="shared" si="59"/>
        <v>1.7272229873596543E-4</v>
      </c>
      <c r="W90" s="2"/>
      <c r="X90" s="7">
        <f t="shared" si="60"/>
        <v>4.6500000000000909</v>
      </c>
      <c r="Y90" s="2"/>
      <c r="Z90" s="6">
        <f t="shared" si="61"/>
        <v>2.460825249654739E-3</v>
      </c>
    </row>
    <row r="91" spans="1:26" s="24" customFormat="1" hidden="1" outlineLevel="2" x14ac:dyDescent="0.35">
      <c r="A91" s="27"/>
      <c r="B91" s="11" t="str">
        <f>CONCATENATE("          ", "6294", " - ", "TRAVEL OPERATIONAL")</f>
        <v xml:space="preserve">          6294 - TRAVEL OPERATIONAL</v>
      </c>
      <c r="C91" s="11"/>
      <c r="D91" s="7"/>
      <c r="E91" s="2"/>
      <c r="F91" s="6">
        <f t="shared" si="54"/>
        <v>0</v>
      </c>
      <c r="G91" s="2"/>
      <c r="H91" s="7"/>
      <c r="I91" s="2"/>
      <c r="J91" s="6">
        <f t="shared" si="55"/>
        <v>0</v>
      </c>
      <c r="K91" s="2"/>
      <c r="L91" s="7">
        <f t="shared" si="56"/>
        <v>0</v>
      </c>
      <c r="M91" s="2"/>
      <c r="N91" s="6">
        <f t="shared" si="57"/>
        <v>0</v>
      </c>
      <c r="O91" s="11"/>
      <c r="P91" s="7"/>
      <c r="Q91" s="2"/>
      <c r="R91" s="6">
        <f t="shared" si="58"/>
        <v>0</v>
      </c>
      <c r="S91" s="2"/>
      <c r="T91" s="7">
        <v>628.38</v>
      </c>
      <c r="U91" s="2"/>
      <c r="V91" s="6">
        <f t="shared" si="59"/>
        <v>5.7437904159962089E-5</v>
      </c>
      <c r="W91" s="2"/>
      <c r="X91" s="7">
        <f t="shared" si="60"/>
        <v>-628.38</v>
      </c>
      <c r="Y91" s="2"/>
      <c r="Z91" s="6">
        <f t="shared" si="61"/>
        <v>-1</v>
      </c>
    </row>
    <row r="92" spans="1:26" s="56" customFormat="1" x14ac:dyDescent="0.3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35">
      <c r="A93" s="10"/>
      <c r="B93" s="29" t="s">
        <v>0</v>
      </c>
      <c r="C93" s="10"/>
      <c r="D93" s="4">
        <f>SUM(0)</f>
        <v>0</v>
      </c>
      <c r="E93" s="4"/>
      <c r="F93" s="13">
        <f>IF(D$12=0,0,D93/D$12)</f>
        <v>0</v>
      </c>
      <c r="G93" s="4"/>
      <c r="H93" s="4">
        <f>SUM(0)</f>
        <v>0</v>
      </c>
      <c r="I93" s="4"/>
      <c r="J93" s="13">
        <f>IF(H$12=0,0,H93/H$12)</f>
        <v>0</v>
      </c>
      <c r="K93" s="4"/>
      <c r="L93" s="4">
        <f>+D93-H93</f>
        <v>0</v>
      </c>
      <c r="M93" s="4"/>
      <c r="N93" s="13">
        <f>IF(H93=0,0,L93/H93)</f>
        <v>0</v>
      </c>
      <c r="O93" s="10"/>
      <c r="P93" s="4">
        <f>SUM(0)</f>
        <v>0</v>
      </c>
      <c r="Q93" s="4"/>
      <c r="R93" s="13">
        <f>IF(P$12=0,0,P93/P$12)</f>
        <v>0</v>
      </c>
      <c r="S93" s="4"/>
      <c r="T93" s="4">
        <f>SUM(0)</f>
        <v>0</v>
      </c>
      <c r="U93" s="4"/>
      <c r="V93" s="13">
        <f>IF(T$12=0,0,T93/T$12)</f>
        <v>0</v>
      </c>
      <c r="W93" s="4"/>
      <c r="X93" s="4">
        <f>+P93-T93</f>
        <v>0</v>
      </c>
      <c r="Y93" s="4"/>
      <c r="Z93" s="13">
        <f>IF(T93=0,0,X93/T93)</f>
        <v>0</v>
      </c>
    </row>
    <row r="94" spans="1:26" x14ac:dyDescent="0.3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5">
      <c r="A95" s="10"/>
      <c r="B95" s="28" t="s">
        <v>3</v>
      </c>
      <c r="C95" s="28"/>
      <c r="D95" s="22">
        <f>+D24-D26+D93</f>
        <v>-276637.71999999997</v>
      </c>
      <c r="E95" s="14"/>
      <c r="F95" s="21">
        <f>IF(D$12=0,0,D95/D$12)</f>
        <v>2.0700385785817481</v>
      </c>
      <c r="G95" s="14"/>
      <c r="H95" s="22">
        <f>+H24-H26+H93</f>
        <v>-196916.38999999998</v>
      </c>
      <c r="I95" s="14"/>
      <c r="J95" s="21">
        <f>IF(H$12=0,0,H95/H$12)</f>
        <v>-1.2511704681758336</v>
      </c>
      <c r="K95" s="15"/>
      <c r="L95" s="22">
        <f>+D95-H95</f>
        <v>-79721.329999999987</v>
      </c>
      <c r="M95" s="15"/>
      <c r="N95" s="21">
        <f>IF(H95=0,0,L95/H95)</f>
        <v>0.40484862636370694</v>
      </c>
      <c r="O95" s="29"/>
      <c r="P95" s="22">
        <f>+P24-P26+P93</f>
        <v>1883426.0899999989</v>
      </c>
      <c r="Q95" s="14"/>
      <c r="R95" s="21">
        <f>IF(P$12=0,0,P95/P$12)</f>
        <v>0.20840478180880939</v>
      </c>
      <c r="S95" s="14"/>
      <c r="T95" s="22">
        <f>+T24-T26+T93</f>
        <v>2959203.99</v>
      </c>
      <c r="U95" s="14"/>
      <c r="V95" s="21">
        <f>IF(T$12=0,0,T95/T$12)</f>
        <v>0.27048995061491043</v>
      </c>
      <c r="W95" s="15"/>
      <c r="X95" s="22">
        <f>+P95-T95</f>
        <v>-1075777.9000000013</v>
      </c>
      <c r="Y95" s="15"/>
      <c r="Z95" s="21">
        <f>IF(T95=0,0,X95/T95)</f>
        <v>-0.36353624273127627</v>
      </c>
    </row>
    <row r="96" spans="1:26" x14ac:dyDescent="0.3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35">
      <c r="A97" s="51"/>
      <c r="B97" s="10" t="s">
        <v>13</v>
      </c>
      <c r="C97" s="10"/>
      <c r="D97" s="4">
        <v>282571.07</v>
      </c>
      <c r="E97" s="4"/>
      <c r="F97" s="13">
        <f>IF(D$12=0,0,D97/D$12)</f>
        <v>-2.1144369469612592</v>
      </c>
      <c r="G97" s="4"/>
      <c r="H97" s="4">
        <v>-341782.97</v>
      </c>
      <c r="I97" s="4"/>
      <c r="J97" s="13">
        <f>IF(H$12=0,0,H97/H$12)</f>
        <v>-2.1716260316849545</v>
      </c>
      <c r="K97" s="4"/>
      <c r="L97" s="4">
        <f>+D97-H97</f>
        <v>624354.04</v>
      </c>
      <c r="M97" s="4"/>
      <c r="N97" s="13">
        <f>IF(H97=0,0,L97/H97)</f>
        <v>-1.8267558503573191</v>
      </c>
      <c r="O97" s="10"/>
      <c r="P97" s="4">
        <v>1368604.3599999999</v>
      </c>
      <c r="Q97" s="4"/>
      <c r="R97" s="13">
        <f>IF(P$12=0,0,P97/P$12)</f>
        <v>0.15143875012816954</v>
      </c>
      <c r="S97" s="4"/>
      <c r="T97" s="4">
        <v>779782.96</v>
      </c>
      <c r="U97" s="4"/>
      <c r="V97" s="13">
        <f>IF(T$12=0,0,T97/T$12)</f>
        <v>7.127709176302803E-2</v>
      </c>
      <c r="W97" s="4"/>
      <c r="X97" s="4">
        <f>+P97-T97</f>
        <v>588821.39999999991</v>
      </c>
      <c r="Y97" s="4"/>
      <c r="Z97" s="13">
        <f>IF(T97=0,0,X97/T97)</f>
        <v>0.75510934478486158</v>
      </c>
    </row>
    <row r="98" spans="1:26" x14ac:dyDescent="0.3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4">
      <c r="A99" s="10"/>
      <c r="B99" s="28" t="s">
        <v>4</v>
      </c>
      <c r="C99" s="28"/>
      <c r="D99" s="34">
        <f>+D95-D97</f>
        <v>-559208.79</v>
      </c>
      <c r="E99" s="14"/>
      <c r="F99" s="32">
        <f>IF(D$12=0,0,D99/D$12)</f>
        <v>4.1844755255430082</v>
      </c>
      <c r="G99" s="14"/>
      <c r="H99" s="34">
        <f>+H95-H97</f>
        <v>144866.57999999999</v>
      </c>
      <c r="I99" s="14"/>
      <c r="J99" s="32">
        <f>IF(H$12=0,0,H99/H$12)</f>
        <v>0.92045556350912094</v>
      </c>
      <c r="K99" s="15"/>
      <c r="L99" s="34">
        <f>D99-H99</f>
        <v>-704075.37</v>
      </c>
      <c r="M99" s="15"/>
      <c r="N99" s="32">
        <f>IF(H99=0,0,L99/H99)</f>
        <v>-4.860164228354118</v>
      </c>
      <c r="O99" s="29"/>
      <c r="P99" s="34">
        <f>+P95-P97</f>
        <v>514821.72999999905</v>
      </c>
      <c r="Q99" s="14"/>
      <c r="R99" s="32">
        <f>IF(P$12=0,0,P99/P$12)</f>
        <v>5.696603168063985E-2</v>
      </c>
      <c r="S99" s="14"/>
      <c r="T99" s="34">
        <f>+T95-T97</f>
        <v>2179421.0300000003</v>
      </c>
      <c r="U99" s="14"/>
      <c r="V99" s="32">
        <f>IF(T$12=0,0,T99/T$12)</f>
        <v>0.19921285885188242</v>
      </c>
      <c r="W99" s="15"/>
      <c r="X99" s="34">
        <f>P99-T99</f>
        <v>-1664599.3000000012</v>
      </c>
      <c r="Y99" s="15"/>
      <c r="Z99" s="32">
        <f>IF(T99=0,0,X99/T99)</f>
        <v>-0.76378050733960345</v>
      </c>
    </row>
    <row r="100" spans="1:26" ht="15" thickTop="1" x14ac:dyDescent="0.3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3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" thickBot="1" x14ac:dyDescent="0.4">
      <c r="A102" s="10"/>
      <c r="B102" s="28" t="s">
        <v>5</v>
      </c>
      <c r="C102" s="28"/>
      <c r="D102" s="35">
        <f>SUM(D99:D101)</f>
        <v>-559208.79</v>
      </c>
      <c r="E102" s="14"/>
      <c r="F102" s="33">
        <f>IF(D$12=0,0,D102/D$12)</f>
        <v>4.1844755255430082</v>
      </c>
      <c r="G102" s="14"/>
      <c r="H102" s="35">
        <f>SUM(H99:H101)</f>
        <v>144866.57999999999</v>
      </c>
      <c r="I102" s="14"/>
      <c r="J102" s="33">
        <f>IF(H$12=0,0,H102/H$12)</f>
        <v>0.92045556350912094</v>
      </c>
      <c r="K102" s="15"/>
      <c r="L102" s="35">
        <f>+D102-H102</f>
        <v>-704075.37</v>
      </c>
      <c r="M102" s="15"/>
      <c r="N102" s="33">
        <f>IF(H102=0,0,L102/H102)</f>
        <v>-4.860164228354118</v>
      </c>
      <c r="O102" s="29"/>
      <c r="P102" s="35">
        <f>SUM(P99:P101)</f>
        <v>514821.72999999905</v>
      </c>
      <c r="Q102" s="14"/>
      <c r="R102" s="33">
        <f>IF(P$12=0,0,P102/P$12)</f>
        <v>5.696603168063985E-2</v>
      </c>
      <c r="S102" s="14"/>
      <c r="T102" s="35">
        <f>SUM(T99:T101)</f>
        <v>2179421.0300000003</v>
      </c>
      <c r="U102" s="14"/>
      <c r="V102" s="33">
        <f>IF(T$12=0,0,T102/T$12)</f>
        <v>0.19921285885188242</v>
      </c>
      <c r="W102" s="15"/>
      <c r="X102" s="35">
        <f>+P102-T102</f>
        <v>-1664599.3000000012</v>
      </c>
      <c r="Y102" s="15"/>
      <c r="Z102" s="33">
        <f>IF(T102=0,0,X102/T102)</f>
        <v>-0.76378050733960345</v>
      </c>
    </row>
    <row r="103" spans="1:26" ht="15" thickTop="1" x14ac:dyDescent="0.35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5">
      <c r="A104" s="9"/>
      <c r="B104" s="52">
        <v>44043.522510185183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5">
      <c r="A105" s="9"/>
      <c r="B105" s="61" t="s">
        <v>313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35">
      <c r="A106" s="9"/>
      <c r="B106" s="54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35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","430", " - ", "Res Hall Management")</f>
        <v>Department 430 - Res Hall Management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9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8" t="s">
        <v>6</v>
      </c>
      <c r="C16" s="28"/>
      <c r="D16" s="22">
        <f>D12-D14</f>
        <v>0</v>
      </c>
      <c r="E16" s="14"/>
      <c r="F16" s="21">
        <f>IF(D$12=0,0,D16/D$12)</f>
        <v>0</v>
      </c>
      <c r="G16" s="14"/>
      <c r="H16" s="22">
        <f>H12-H14</f>
        <v>0</v>
      </c>
      <c r="I16" s="14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9"/>
      <c r="P16" s="22">
        <f>P12-P14</f>
        <v>0</v>
      </c>
      <c r="Q16" s="14"/>
      <c r="R16" s="21">
        <f>IF(P$12=0,0,P16/P$12)</f>
        <v>0</v>
      </c>
      <c r="S16" s="14"/>
      <c r="T16" s="22">
        <f>T12-T14</f>
        <v>0</v>
      </c>
      <c r="U16" s="14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9" t="s">
        <v>9</v>
      </c>
      <c r="C18" s="10"/>
      <c r="D18" s="20">
        <f>SUM(OSRRefD22x_0)</f>
        <v>13767.529999999999</v>
      </c>
      <c r="E18" s="20"/>
      <c r="F18" s="36">
        <f t="shared" ref="F18:F27" si="0">IF(D$12=0,0,D18/D$12)</f>
        <v>0</v>
      </c>
      <c r="G18" s="20"/>
      <c r="H18" s="20">
        <f>SUM(OSRRefH22x_0)</f>
        <v>16741</v>
      </c>
      <c r="I18" s="20"/>
      <c r="J18" s="36">
        <f t="shared" ref="J18:J27" si="1">IF(H$12=0,0,H18/H$12)</f>
        <v>0</v>
      </c>
      <c r="K18" s="4"/>
      <c r="L18" s="20">
        <f t="shared" ref="L18:L27" si="2">+D18-H18</f>
        <v>-2973.4700000000012</v>
      </c>
      <c r="M18" s="4"/>
      <c r="N18" s="36">
        <f t="shared" ref="N18:N27" si="3">IF(H18=0,0,L18/H18)</f>
        <v>-0.17761603249507205</v>
      </c>
      <c r="O18" s="10"/>
      <c r="P18" s="20">
        <f>SUM(OSRRefP22x_0)</f>
        <v>225107.52000000002</v>
      </c>
      <c r="Q18" s="20"/>
      <c r="R18" s="36">
        <f t="shared" ref="R18:R27" si="4">IF(P$12=0,0,P18/P$12)</f>
        <v>0</v>
      </c>
      <c r="S18" s="20"/>
      <c r="T18" s="20">
        <f>SUM(OSRRefT22x_0)</f>
        <v>172290.72999999995</v>
      </c>
      <c r="U18" s="20"/>
      <c r="V18" s="36">
        <f t="shared" ref="V18:V27" si="5">IF(T$12=0,0,T18/T$12)</f>
        <v>0</v>
      </c>
      <c r="W18" s="4"/>
      <c r="X18" s="20">
        <f t="shared" ref="X18:X27" si="6">+P18-T18</f>
        <v>52816.790000000066</v>
      </c>
      <c r="Y18" s="4"/>
      <c r="Z18" s="36">
        <f t="shared" ref="Z18:Z27" si="7">IF(T18=0,0,X18/T18)</f>
        <v>0.30655619138650164</v>
      </c>
    </row>
    <row r="19" spans="1:26" s="25" customFormat="1" outlineLevel="1" collapsed="1" x14ac:dyDescent="0.3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4941.3999999999996</v>
      </c>
      <c r="E19" s="1"/>
      <c r="F19" s="5">
        <f t="shared" si="0"/>
        <v>0</v>
      </c>
      <c r="G19" s="1"/>
      <c r="H19" s="1">
        <f>SUM(OSRRefH22_0x_0)</f>
        <v>4944.2700000000004</v>
      </c>
      <c r="I19" s="1"/>
      <c r="J19" s="5">
        <f t="shared" si="1"/>
        <v>0</v>
      </c>
      <c r="K19" s="1"/>
      <c r="L19" s="1">
        <f t="shared" si="2"/>
        <v>-2.8700000000008004</v>
      </c>
      <c r="M19" s="1"/>
      <c r="N19" s="5">
        <f t="shared" si="3"/>
        <v>-5.8046991770287627E-4</v>
      </c>
      <c r="O19" s="12"/>
      <c r="P19" s="1">
        <f>SUM(OSRRefP22_0x_0)</f>
        <v>70479.14</v>
      </c>
      <c r="Q19" s="1"/>
      <c r="R19" s="5">
        <f t="shared" si="4"/>
        <v>0</v>
      </c>
      <c r="S19" s="1"/>
      <c r="T19" s="1">
        <f>SUM(OSRRefT22_0x_0)</f>
        <v>65762.81</v>
      </c>
      <c r="U19" s="1"/>
      <c r="V19" s="5">
        <f t="shared" si="5"/>
        <v>0</v>
      </c>
      <c r="W19" s="1"/>
      <c r="X19" s="1">
        <f t="shared" si="6"/>
        <v>4716.3300000000017</v>
      </c>
      <c r="Y19" s="1"/>
      <c r="Z19" s="5">
        <f t="shared" si="7"/>
        <v>7.1717282153849593E-2</v>
      </c>
    </row>
    <row r="20" spans="1:26" s="24" customFormat="1" hidden="1" outlineLevel="2" x14ac:dyDescent="0.35">
      <c r="A20" s="27"/>
      <c r="B20" s="11" t="str">
        <f>CONCATENATE("          ", "6111", " - ", "F.I.C.A.")</f>
        <v xml:space="preserve">          6111 - F.I.C.A.</v>
      </c>
      <c r="C20" s="11"/>
      <c r="D20" s="7">
        <v>685.42</v>
      </c>
      <c r="E20" s="2"/>
      <c r="F20" s="6">
        <f t="shared" si="0"/>
        <v>0</v>
      </c>
      <c r="G20" s="2"/>
      <c r="H20" s="7">
        <v>604.94000000000005</v>
      </c>
      <c r="I20" s="2"/>
      <c r="J20" s="6">
        <f t="shared" si="1"/>
        <v>0</v>
      </c>
      <c r="K20" s="2"/>
      <c r="L20" s="7">
        <f t="shared" si="2"/>
        <v>80.479999999999905</v>
      </c>
      <c r="M20" s="2"/>
      <c r="N20" s="6">
        <f t="shared" si="3"/>
        <v>0.13303798723840363</v>
      </c>
      <c r="O20" s="11"/>
      <c r="P20" s="7">
        <v>9246.1299999999992</v>
      </c>
      <c r="Q20" s="2"/>
      <c r="R20" s="6">
        <f t="shared" si="4"/>
        <v>0</v>
      </c>
      <c r="S20" s="2"/>
      <c r="T20" s="7">
        <v>8704.31</v>
      </c>
      <c r="U20" s="2"/>
      <c r="V20" s="6">
        <f t="shared" si="5"/>
        <v>0</v>
      </c>
      <c r="W20" s="2"/>
      <c r="X20" s="7">
        <f t="shared" si="6"/>
        <v>541.81999999999971</v>
      </c>
      <c r="Y20" s="2"/>
      <c r="Z20" s="6">
        <f t="shared" si="7"/>
        <v>6.2247323452404586E-2</v>
      </c>
    </row>
    <row r="21" spans="1:26" s="24" customFormat="1" hidden="1" outlineLevel="2" x14ac:dyDescent="0.3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347.63</v>
      </c>
      <c r="E21" s="2"/>
      <c r="F21" s="6">
        <f t="shared" si="0"/>
        <v>0</v>
      </c>
      <c r="G21" s="2"/>
      <c r="H21" s="7">
        <v>415.16</v>
      </c>
      <c r="I21" s="2"/>
      <c r="J21" s="6">
        <f t="shared" si="1"/>
        <v>0</v>
      </c>
      <c r="K21" s="2"/>
      <c r="L21" s="7">
        <f t="shared" si="2"/>
        <v>-67.53000000000003</v>
      </c>
      <c r="M21" s="2"/>
      <c r="N21" s="6">
        <f t="shared" si="3"/>
        <v>-0.16266017920801626</v>
      </c>
      <c r="O21" s="11"/>
      <c r="P21" s="7">
        <v>4099.1499999999996</v>
      </c>
      <c r="Q21" s="2"/>
      <c r="R21" s="6">
        <f t="shared" si="4"/>
        <v>0</v>
      </c>
      <c r="S21" s="2"/>
      <c r="T21" s="7">
        <v>3697.9</v>
      </c>
      <c r="U21" s="2"/>
      <c r="V21" s="6">
        <f t="shared" si="5"/>
        <v>0</v>
      </c>
      <c r="W21" s="2"/>
      <c r="X21" s="7">
        <f t="shared" si="6"/>
        <v>401.24999999999955</v>
      </c>
      <c r="Y21" s="2"/>
      <c r="Z21" s="6">
        <f t="shared" si="7"/>
        <v>0.1085075313015494</v>
      </c>
    </row>
    <row r="22" spans="1:26" s="24" customFormat="1" hidden="1" outlineLevel="2" x14ac:dyDescent="0.35">
      <c r="A22" s="27"/>
      <c r="B22" s="11" t="str">
        <f>CONCATENATE("          ", "6113", " - ", "GROUP INSURANCE")</f>
        <v xml:space="preserve">          6113 - GROUP INSURANCE</v>
      </c>
      <c r="C22" s="11"/>
      <c r="D22" s="7">
        <v>2737.9</v>
      </c>
      <c r="E22" s="2"/>
      <c r="F22" s="6">
        <f t="shared" si="0"/>
        <v>0</v>
      </c>
      <c r="G22" s="2"/>
      <c r="H22" s="7">
        <v>2730.6</v>
      </c>
      <c r="I22" s="2"/>
      <c r="J22" s="6">
        <f t="shared" si="1"/>
        <v>0</v>
      </c>
      <c r="K22" s="2"/>
      <c r="L22" s="7">
        <f t="shared" si="2"/>
        <v>7.3000000000001819</v>
      </c>
      <c r="M22" s="2"/>
      <c r="N22" s="6">
        <f t="shared" si="3"/>
        <v>2.6734051124295694E-3</v>
      </c>
      <c r="O22" s="11"/>
      <c r="P22" s="7">
        <v>32811</v>
      </c>
      <c r="Q22" s="2"/>
      <c r="R22" s="6">
        <f t="shared" si="4"/>
        <v>0</v>
      </c>
      <c r="S22" s="2"/>
      <c r="T22" s="7">
        <v>31422.47</v>
      </c>
      <c r="U22" s="2"/>
      <c r="V22" s="6">
        <f t="shared" si="5"/>
        <v>0</v>
      </c>
      <c r="W22" s="2"/>
      <c r="X22" s="7">
        <f t="shared" si="6"/>
        <v>1388.5299999999988</v>
      </c>
      <c r="Y22" s="2"/>
      <c r="Z22" s="6">
        <f t="shared" si="7"/>
        <v>4.418907870705259E-2</v>
      </c>
    </row>
    <row r="23" spans="1:26" s="24" customFormat="1" hidden="1" outlineLevel="2" x14ac:dyDescent="0.3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-290.45</v>
      </c>
      <c r="E23" s="2"/>
      <c r="F23" s="6">
        <f t="shared" si="0"/>
        <v>0</v>
      </c>
      <c r="G23" s="2"/>
      <c r="H23" s="7">
        <v>30.84</v>
      </c>
      <c r="I23" s="2"/>
      <c r="J23" s="6">
        <f t="shared" si="1"/>
        <v>0</v>
      </c>
      <c r="K23" s="2"/>
      <c r="L23" s="7">
        <f t="shared" si="2"/>
        <v>-321.28999999999996</v>
      </c>
      <c r="M23" s="2"/>
      <c r="N23" s="6">
        <f t="shared" si="3"/>
        <v>-10.417963683527885</v>
      </c>
      <c r="O23" s="11"/>
      <c r="P23" s="7">
        <v>0</v>
      </c>
      <c r="Q23" s="2"/>
      <c r="R23" s="6">
        <f t="shared" si="4"/>
        <v>0</v>
      </c>
      <c r="S23" s="2"/>
      <c r="T23" s="7">
        <v>305.33</v>
      </c>
      <c r="U23" s="2"/>
      <c r="V23" s="6">
        <f t="shared" si="5"/>
        <v>0</v>
      </c>
      <c r="W23" s="2"/>
      <c r="X23" s="7">
        <f t="shared" si="6"/>
        <v>-305.33</v>
      </c>
      <c r="Y23" s="2"/>
      <c r="Z23" s="6">
        <f t="shared" si="7"/>
        <v>-1</v>
      </c>
    </row>
    <row r="24" spans="1:26" s="24" customFormat="1" hidden="1" outlineLevel="2" x14ac:dyDescent="0.35">
      <c r="A24" s="27"/>
      <c r="B24" s="11" t="str">
        <f>CONCATENATE("          ", "6115", " - ", "P.E.R.S.")</f>
        <v xml:space="preserve">          6115 - P.E.R.S.</v>
      </c>
      <c r="C24" s="11"/>
      <c r="D24" s="7">
        <v>625.82000000000005</v>
      </c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625.82000000000005</v>
      </c>
      <c r="M24" s="2"/>
      <c r="N24" s="6">
        <f t="shared" si="3"/>
        <v>0</v>
      </c>
      <c r="O24" s="11"/>
      <c r="P24" s="7">
        <v>7339.19</v>
      </c>
      <c r="Q24" s="2"/>
      <c r="R24" s="6">
        <f t="shared" si="4"/>
        <v>0</v>
      </c>
      <c r="S24" s="2"/>
      <c r="T24" s="7">
        <v>6484.73</v>
      </c>
      <c r="U24" s="2"/>
      <c r="V24" s="6">
        <f t="shared" si="5"/>
        <v>0</v>
      </c>
      <c r="W24" s="2"/>
      <c r="X24" s="7">
        <f t="shared" si="6"/>
        <v>854.46</v>
      </c>
      <c r="Y24" s="2"/>
      <c r="Z24" s="6">
        <f t="shared" si="7"/>
        <v>0.1317649308452318</v>
      </c>
    </row>
    <row r="25" spans="1:26" s="24" customFormat="1" hidden="1" outlineLevel="2" x14ac:dyDescent="0.35">
      <c r="A25" s="27"/>
      <c r="B25" s="11" t="str">
        <f>CONCATENATE("          ", "6118", " - ", "VACATION")</f>
        <v xml:space="preserve">          6118 - VACATION</v>
      </c>
      <c r="C25" s="11"/>
      <c r="D25" s="7">
        <v>413.82</v>
      </c>
      <c r="E25" s="2"/>
      <c r="F25" s="6">
        <f t="shared" si="0"/>
        <v>0</v>
      </c>
      <c r="G25" s="2"/>
      <c r="H25" s="7">
        <v>730.48</v>
      </c>
      <c r="I25" s="2"/>
      <c r="J25" s="6">
        <f t="shared" si="1"/>
        <v>0</v>
      </c>
      <c r="K25" s="2"/>
      <c r="L25" s="7">
        <f t="shared" si="2"/>
        <v>-316.66000000000003</v>
      </c>
      <c r="M25" s="2"/>
      <c r="N25" s="6">
        <f t="shared" si="3"/>
        <v>-0.43349578359434893</v>
      </c>
      <c r="O25" s="11"/>
      <c r="P25" s="7">
        <v>9601.31</v>
      </c>
      <c r="Q25" s="2"/>
      <c r="R25" s="6">
        <f t="shared" si="4"/>
        <v>0</v>
      </c>
      <c r="S25" s="2"/>
      <c r="T25" s="7">
        <v>8708.64</v>
      </c>
      <c r="U25" s="2"/>
      <c r="V25" s="6">
        <f t="shared" si="5"/>
        <v>0</v>
      </c>
      <c r="W25" s="2"/>
      <c r="X25" s="7">
        <f t="shared" si="6"/>
        <v>892.67000000000007</v>
      </c>
      <c r="Y25" s="2"/>
      <c r="Z25" s="6">
        <f t="shared" si="7"/>
        <v>0.10250395010013046</v>
      </c>
    </row>
    <row r="26" spans="1:26" s="24" customFormat="1" hidden="1" outlineLevel="2" x14ac:dyDescent="0.35">
      <c r="A26" s="27"/>
      <c r="B26" s="11" t="str">
        <f>CONCATENATE("          ", "6119", " - ", "SICK LEAVE")</f>
        <v xml:space="preserve">          6119 - SICK LEAVE</v>
      </c>
      <c r="C26" s="11"/>
      <c r="D26" s="7">
        <v>413.26</v>
      </c>
      <c r="E26" s="2"/>
      <c r="F26" s="6">
        <f t="shared" si="0"/>
        <v>0</v>
      </c>
      <c r="G26" s="2"/>
      <c r="H26" s="7">
        <v>364.74</v>
      </c>
      <c r="I26" s="2"/>
      <c r="J26" s="6">
        <f t="shared" si="1"/>
        <v>0</v>
      </c>
      <c r="K26" s="2"/>
      <c r="L26" s="7">
        <f t="shared" si="2"/>
        <v>48.519999999999982</v>
      </c>
      <c r="M26" s="2"/>
      <c r="N26" s="6">
        <f t="shared" si="3"/>
        <v>0.13302626528486039</v>
      </c>
      <c r="O26" s="11"/>
      <c r="P26" s="7">
        <v>6149.77</v>
      </c>
      <c r="Q26" s="2"/>
      <c r="R26" s="6">
        <f t="shared" si="4"/>
        <v>0</v>
      </c>
      <c r="S26" s="2"/>
      <c r="T26" s="7">
        <v>4861.84</v>
      </c>
      <c r="U26" s="2"/>
      <c r="V26" s="6">
        <f t="shared" si="5"/>
        <v>0</v>
      </c>
      <c r="W26" s="2"/>
      <c r="X26" s="7">
        <f t="shared" si="6"/>
        <v>1287.9300000000003</v>
      </c>
      <c r="Y26" s="2"/>
      <c r="Z26" s="6">
        <f t="shared" si="7"/>
        <v>0.2649058792555905</v>
      </c>
    </row>
    <row r="27" spans="1:26" s="24" customFormat="1" hidden="1" outlineLevel="2" x14ac:dyDescent="0.35">
      <c r="A27" s="27"/>
      <c r="B27" s="11" t="str">
        <f>CONCATENATE("          ", "6156", " - ", "EMPLOYEE MEALS")</f>
        <v xml:space="preserve">          6156 - EMPLOYEE MEALS</v>
      </c>
      <c r="C27" s="11"/>
      <c r="D27" s="7">
        <v>8</v>
      </c>
      <c r="E27" s="2"/>
      <c r="F27" s="6">
        <f t="shared" si="0"/>
        <v>0</v>
      </c>
      <c r="G27" s="2"/>
      <c r="H27" s="7">
        <v>67.510000000000005</v>
      </c>
      <c r="I27" s="2"/>
      <c r="J27" s="6">
        <f t="shared" si="1"/>
        <v>0</v>
      </c>
      <c r="K27" s="2"/>
      <c r="L27" s="7">
        <f t="shared" si="2"/>
        <v>-59.510000000000005</v>
      </c>
      <c r="M27" s="2"/>
      <c r="N27" s="6">
        <f t="shared" si="3"/>
        <v>-0.88149903717967715</v>
      </c>
      <c r="O27" s="11"/>
      <c r="P27" s="7">
        <v>1232.5899999999999</v>
      </c>
      <c r="Q27" s="2"/>
      <c r="R27" s="6">
        <f t="shared" si="4"/>
        <v>0</v>
      </c>
      <c r="S27" s="2"/>
      <c r="T27" s="7">
        <v>1577.59</v>
      </c>
      <c r="U27" s="2"/>
      <c r="V27" s="6">
        <f t="shared" si="5"/>
        <v>0</v>
      </c>
      <c r="W27" s="2"/>
      <c r="X27" s="7">
        <f t="shared" si="6"/>
        <v>-345</v>
      </c>
      <c r="Y27" s="2"/>
      <c r="Z27" s="6">
        <f t="shared" si="7"/>
        <v>-0.21868799878295375</v>
      </c>
    </row>
    <row r="28" spans="1:26" s="25" customFormat="1" outlineLevel="1" collapsed="1" x14ac:dyDescent="0.3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8511.56</v>
      </c>
      <c r="E28" s="1"/>
      <c r="F28" s="5">
        <f t="shared" ref="F28:F41" si="8">IF(D$12=0,0,D28/D$12)</f>
        <v>0</v>
      </c>
      <c r="G28" s="1"/>
      <c r="H28" s="1">
        <f>SUM(OSRRefH22_1x_0)</f>
        <v>7512.41</v>
      </c>
      <c r="I28" s="1"/>
      <c r="J28" s="5">
        <f t="shared" ref="J28:J41" si="9">IF(H$12=0,0,H28/H$12)</f>
        <v>0</v>
      </c>
      <c r="K28" s="1"/>
      <c r="L28" s="1">
        <f t="shared" ref="L28:L41" si="10">+D28-H28</f>
        <v>999.14999999999964</v>
      </c>
      <c r="M28" s="1"/>
      <c r="N28" s="5">
        <f t="shared" ref="N28:N41" si="11">IF(H28=0,0,L28/H28)</f>
        <v>0.13299992945006991</v>
      </c>
      <c r="O28" s="12"/>
      <c r="P28" s="1">
        <f>SUM(OSRRefP22_1x_0)</f>
        <v>100143.27</v>
      </c>
      <c r="Q28" s="1"/>
      <c r="R28" s="5">
        <f t="shared" ref="R28:R41" si="12">IF(P$12=0,0,P28/P$12)</f>
        <v>0</v>
      </c>
      <c r="S28" s="1"/>
      <c r="T28" s="1">
        <f>SUM(OSRRefT22_1x_0)</f>
        <v>93312.04</v>
      </c>
      <c r="U28" s="1"/>
      <c r="V28" s="5">
        <f t="shared" ref="V28:V41" si="13">IF(T$12=0,0,T28/T$12)</f>
        <v>0</v>
      </c>
      <c r="W28" s="1"/>
      <c r="X28" s="1">
        <f t="shared" ref="X28:X41" si="14">+P28-T28</f>
        <v>6831.2300000000105</v>
      </c>
      <c r="Y28" s="1"/>
      <c r="Z28" s="5">
        <f t="shared" ref="Z28:Z41" si="15">IF(T28=0,0,X28/T28)</f>
        <v>7.3208451985403072E-2</v>
      </c>
    </row>
    <row r="29" spans="1:26" s="24" customFormat="1" hidden="1" outlineLevel="2" x14ac:dyDescent="0.3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>
        <v>8511.56</v>
      </c>
      <c r="E29" s="2"/>
      <c r="F29" s="6">
        <f t="shared" si="8"/>
        <v>0</v>
      </c>
      <c r="G29" s="2"/>
      <c r="H29" s="7">
        <v>7512.41</v>
      </c>
      <c r="I29" s="2"/>
      <c r="J29" s="6">
        <f t="shared" si="9"/>
        <v>0</v>
      </c>
      <c r="K29" s="2"/>
      <c r="L29" s="7">
        <f t="shared" si="10"/>
        <v>999.14999999999964</v>
      </c>
      <c r="M29" s="2"/>
      <c r="N29" s="6">
        <f t="shared" si="11"/>
        <v>0.13299992945006991</v>
      </c>
      <c r="O29" s="11"/>
      <c r="P29" s="7">
        <v>100143.27</v>
      </c>
      <c r="Q29" s="2"/>
      <c r="R29" s="6">
        <f t="shared" si="12"/>
        <v>0</v>
      </c>
      <c r="S29" s="2"/>
      <c r="T29" s="7">
        <v>93312.04</v>
      </c>
      <c r="U29" s="2"/>
      <c r="V29" s="6">
        <f t="shared" si="13"/>
        <v>0</v>
      </c>
      <c r="W29" s="2"/>
      <c r="X29" s="7">
        <f t="shared" si="14"/>
        <v>6831.2300000000105</v>
      </c>
      <c r="Y29" s="2"/>
      <c r="Z29" s="6">
        <f t="shared" si="15"/>
        <v>7.3208451985403072E-2</v>
      </c>
    </row>
    <row r="30" spans="1:26" s="25" customFormat="1" outlineLevel="1" collapsed="1" x14ac:dyDescent="0.35">
      <c r="A30" s="26"/>
      <c r="B30" s="12" t="str">
        <f>CONCATENATE("     ","Donations                                         ")</f>
        <v xml:space="preserve">     Donations                                         </v>
      </c>
      <c r="C30" s="12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2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276</v>
      </c>
      <c r="U30" s="1"/>
      <c r="V30" s="5">
        <f t="shared" si="13"/>
        <v>0</v>
      </c>
      <c r="W30" s="1"/>
      <c r="X30" s="1">
        <f t="shared" si="14"/>
        <v>-276</v>
      </c>
      <c r="Y30" s="1"/>
      <c r="Z30" s="5">
        <f t="shared" si="15"/>
        <v>-1</v>
      </c>
    </row>
    <row r="31" spans="1:26" s="24" customFormat="1" hidden="1" outlineLevel="2" x14ac:dyDescent="0.35">
      <c r="A31" s="27"/>
      <c r="B31" s="11" t="str">
        <f>CONCATENATE("          ", "6399", " - ", "DONATION-ON CAMPUS")</f>
        <v xml:space="preserve">          6399 - DONATION-ON CAMPUS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276</v>
      </c>
      <c r="U31" s="2"/>
      <c r="V31" s="6">
        <f t="shared" si="13"/>
        <v>0</v>
      </c>
      <c r="W31" s="2"/>
      <c r="X31" s="7">
        <f t="shared" si="14"/>
        <v>-276</v>
      </c>
      <c r="Y31" s="2"/>
      <c r="Z31" s="6">
        <f t="shared" si="15"/>
        <v>-1</v>
      </c>
    </row>
    <row r="32" spans="1:26" s="25" customFormat="1" outlineLevel="1" collapsed="1" x14ac:dyDescent="0.35">
      <c r="A32" s="26"/>
      <c r="B32" s="12" t="str">
        <f>CONCATENATE("     ","Employees' Appreciation                           ")</f>
        <v xml:space="preserve">     Employees' Appreciation                           </v>
      </c>
      <c r="C32" s="12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2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950.9</v>
      </c>
      <c r="U32" s="1"/>
      <c r="V32" s="5">
        <f t="shared" si="13"/>
        <v>0</v>
      </c>
      <c r="W32" s="1"/>
      <c r="X32" s="1">
        <f t="shared" si="14"/>
        <v>-950.9</v>
      </c>
      <c r="Y32" s="1"/>
      <c r="Z32" s="5">
        <f t="shared" si="15"/>
        <v>-1</v>
      </c>
    </row>
    <row r="33" spans="1:26" s="24" customFormat="1" hidden="1" outlineLevel="2" x14ac:dyDescent="0.35">
      <c r="A33" s="27"/>
      <c r="B33" s="11" t="str">
        <f>CONCATENATE("          ", "6277", " - ", "EMPLOYEE APPRECIATION")</f>
        <v xml:space="preserve">          6277 - EMPLOYEE APPRECIATION</v>
      </c>
      <c r="C33" s="11"/>
      <c r="D33" s="7"/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950.9</v>
      </c>
      <c r="U33" s="2"/>
      <c r="V33" s="6">
        <f t="shared" si="13"/>
        <v>0</v>
      </c>
      <c r="W33" s="2"/>
      <c r="X33" s="7">
        <f t="shared" si="14"/>
        <v>-950.9</v>
      </c>
      <c r="Y33" s="2"/>
      <c r="Z33" s="6">
        <f t="shared" si="15"/>
        <v>-1</v>
      </c>
    </row>
    <row r="34" spans="1:26" s="25" customFormat="1" outlineLevel="1" collapsed="1" x14ac:dyDescent="0.35">
      <c r="A34" s="26"/>
      <c r="B34" s="12" t="str">
        <f>CONCATENATE("     ","General                                           ")</f>
        <v xml:space="preserve">     General                                           </v>
      </c>
      <c r="C34" s="12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0</v>
      </c>
      <c r="M34" s="1"/>
      <c r="N34" s="5">
        <f t="shared" si="11"/>
        <v>0</v>
      </c>
      <c r="O34" s="12"/>
      <c r="P34" s="1">
        <f>SUM(OSRRefP22_4x_0)</f>
        <v>293.82</v>
      </c>
      <c r="Q34" s="1"/>
      <c r="R34" s="5">
        <f t="shared" si="12"/>
        <v>0</v>
      </c>
      <c r="S34" s="1"/>
      <c r="T34" s="1">
        <f>SUM(OSRRefT22_4x_0)</f>
        <v>323.31</v>
      </c>
      <c r="U34" s="1"/>
      <c r="V34" s="5">
        <f t="shared" si="13"/>
        <v>0</v>
      </c>
      <c r="W34" s="1"/>
      <c r="X34" s="1">
        <f t="shared" si="14"/>
        <v>-29.490000000000009</v>
      </c>
      <c r="Y34" s="1"/>
      <c r="Z34" s="5">
        <f t="shared" si="15"/>
        <v>-9.1212767931706434E-2</v>
      </c>
    </row>
    <row r="35" spans="1:26" s="24" customFormat="1" hidden="1" outlineLevel="2" x14ac:dyDescent="0.35">
      <c r="A35" s="27"/>
      <c r="B35" s="11" t="str">
        <f>CONCATENATE("          ", "6279", " - ", "GENERAL EXPENSE")</f>
        <v xml:space="preserve">          6279 - GENERAL EXPENSE</v>
      </c>
      <c r="C35" s="11"/>
      <c r="D35" s="7"/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293.82</v>
      </c>
      <c r="Q35" s="2"/>
      <c r="R35" s="6">
        <f t="shared" si="12"/>
        <v>0</v>
      </c>
      <c r="S35" s="2"/>
      <c r="T35" s="7">
        <v>323.31</v>
      </c>
      <c r="U35" s="2"/>
      <c r="V35" s="6">
        <f t="shared" si="13"/>
        <v>0</v>
      </c>
      <c r="W35" s="2"/>
      <c r="X35" s="7">
        <f t="shared" si="14"/>
        <v>-29.490000000000009</v>
      </c>
      <c r="Y35" s="2"/>
      <c r="Z35" s="6">
        <f t="shared" si="15"/>
        <v>-9.1212767931706434E-2</v>
      </c>
    </row>
    <row r="36" spans="1:26" s="25" customFormat="1" outlineLevel="1" collapsed="1" x14ac:dyDescent="0.35">
      <c r="A36" s="26"/>
      <c r="B36" s="12" t="str">
        <f>CONCATENATE("     ","Repair and Maintenance                            ")</f>
        <v xml:space="preserve">     Repair and Maintenance                            </v>
      </c>
      <c r="C36" s="12"/>
      <c r="D36" s="1">
        <f>SUM(OSRRefD22_5x_0)</f>
        <v>0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0</v>
      </c>
      <c r="M36" s="1"/>
      <c r="N36" s="5">
        <f t="shared" si="11"/>
        <v>0</v>
      </c>
      <c r="O36" s="12"/>
      <c r="P36" s="1">
        <f>SUM(OSRRefP22_5x_0)</f>
        <v>46585.43</v>
      </c>
      <c r="Q36" s="1"/>
      <c r="R36" s="5">
        <f t="shared" si="12"/>
        <v>0</v>
      </c>
      <c r="S36" s="1"/>
      <c r="T36" s="1">
        <f>SUM(OSRRefT22_5x_0)</f>
        <v>0</v>
      </c>
      <c r="U36" s="1"/>
      <c r="V36" s="5">
        <f t="shared" si="13"/>
        <v>0</v>
      </c>
      <c r="W36" s="1"/>
      <c r="X36" s="1">
        <f t="shared" si="14"/>
        <v>46585.43</v>
      </c>
      <c r="Y36" s="1"/>
      <c r="Z36" s="5">
        <f t="shared" si="15"/>
        <v>0</v>
      </c>
    </row>
    <row r="37" spans="1:26" s="24" customFormat="1" hidden="1" outlineLevel="2" x14ac:dyDescent="0.35">
      <c r="A37" s="27"/>
      <c r="B37" s="11" t="str">
        <f>CONCATENATE("          ", "6371", " - ", "COMPUTER SOFTWARE MAINTENANCE")</f>
        <v xml:space="preserve">          6371 - COMPUTER SOFTWARE MAINTENANCE</v>
      </c>
      <c r="C37" s="11"/>
      <c r="D37" s="7"/>
      <c r="E37" s="2"/>
      <c r="F37" s="6">
        <f t="shared" si="8"/>
        <v>0</v>
      </c>
      <c r="G37" s="2"/>
      <c r="H37" s="7"/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46585.43</v>
      </c>
      <c r="Q37" s="2"/>
      <c r="R37" s="6">
        <f t="shared" si="12"/>
        <v>0</v>
      </c>
      <c r="S37" s="2"/>
      <c r="T37" s="7"/>
      <c r="U37" s="2"/>
      <c r="V37" s="6">
        <f t="shared" si="13"/>
        <v>0</v>
      </c>
      <c r="W37" s="2"/>
      <c r="X37" s="7">
        <f t="shared" si="14"/>
        <v>46585.43</v>
      </c>
      <c r="Y37" s="2"/>
      <c r="Z37" s="6">
        <f t="shared" si="15"/>
        <v>0</v>
      </c>
    </row>
    <row r="38" spans="1:26" s="25" customFormat="1" outlineLevel="1" collapsed="1" x14ac:dyDescent="0.35">
      <c r="A38" s="26"/>
      <c r="B38" s="12" t="str">
        <f>CONCATENATE("     ","Supplies                                          ")</f>
        <v xml:space="preserve">     Supplies                                          </v>
      </c>
      <c r="C38" s="12"/>
      <c r="D38" s="1">
        <f>SUM(OSRRefD22_6x_0)</f>
        <v>264.57</v>
      </c>
      <c r="E38" s="1"/>
      <c r="F38" s="5">
        <f t="shared" si="8"/>
        <v>0</v>
      </c>
      <c r="G38" s="1"/>
      <c r="H38" s="1">
        <f>SUM(OSRRefH22_6x_0)</f>
        <v>541.17000000000007</v>
      </c>
      <c r="I38" s="1"/>
      <c r="J38" s="5">
        <f t="shared" si="9"/>
        <v>0</v>
      </c>
      <c r="K38" s="1"/>
      <c r="L38" s="1">
        <f t="shared" si="10"/>
        <v>-276.60000000000008</v>
      </c>
      <c r="M38" s="1"/>
      <c r="N38" s="5">
        <f t="shared" si="11"/>
        <v>-0.51111480680747279</v>
      </c>
      <c r="O38" s="12"/>
      <c r="P38" s="1">
        <f>SUM(OSRRefP22_6x_0)</f>
        <v>4729.8899999999994</v>
      </c>
      <c r="Q38" s="1"/>
      <c r="R38" s="5">
        <f t="shared" si="12"/>
        <v>0</v>
      </c>
      <c r="S38" s="1"/>
      <c r="T38" s="1">
        <f>SUM(OSRRefT22_6x_0)</f>
        <v>1661.26</v>
      </c>
      <c r="U38" s="1"/>
      <c r="V38" s="5">
        <f t="shared" si="13"/>
        <v>0</v>
      </c>
      <c r="W38" s="1"/>
      <c r="X38" s="1">
        <f t="shared" si="14"/>
        <v>3068.6299999999992</v>
      </c>
      <c r="Y38" s="1"/>
      <c r="Z38" s="5">
        <f t="shared" si="15"/>
        <v>1.8471702201943099</v>
      </c>
    </row>
    <row r="39" spans="1:26" s="24" customFormat="1" hidden="1" outlineLevel="2" x14ac:dyDescent="0.35">
      <c r="A39" s="27"/>
      <c r="B39" s="11" t="str">
        <f>CONCATENATE("          ", "6235", " - ", "COVID-19 EXPENSES")</f>
        <v xml:space="preserve">          6235 - COVID-19 EXPENSES</v>
      </c>
      <c r="C39" s="11"/>
      <c r="D39" s="7"/>
      <c r="E39" s="2"/>
      <c r="F39" s="6">
        <f t="shared" si="8"/>
        <v>0</v>
      </c>
      <c r="G39" s="2"/>
      <c r="H39" s="7"/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>
        <v>529.20000000000005</v>
      </c>
      <c r="Q39" s="2"/>
      <c r="R39" s="6">
        <f t="shared" si="12"/>
        <v>0</v>
      </c>
      <c r="S39" s="2"/>
      <c r="T39" s="7"/>
      <c r="U39" s="2"/>
      <c r="V39" s="6">
        <f t="shared" si="13"/>
        <v>0</v>
      </c>
      <c r="W39" s="2"/>
      <c r="X39" s="7">
        <f t="shared" si="14"/>
        <v>529.20000000000005</v>
      </c>
      <c r="Y39" s="2"/>
      <c r="Z39" s="6">
        <f t="shared" si="15"/>
        <v>0</v>
      </c>
    </row>
    <row r="40" spans="1:26" s="24" customFormat="1" hidden="1" outlineLevel="2" x14ac:dyDescent="0.35">
      <c r="A40" s="27"/>
      <c r="B40" s="11" t="str">
        <f>CONCATENATE("          ", "6241", " - ", "OFFICE EXPENSE")</f>
        <v xml:space="preserve">          6241 - OFFICE EXPENSE</v>
      </c>
      <c r="C40" s="11"/>
      <c r="D40" s="7">
        <v>264.57</v>
      </c>
      <c r="E40" s="2"/>
      <c r="F40" s="6">
        <f t="shared" si="8"/>
        <v>0</v>
      </c>
      <c r="G40" s="2"/>
      <c r="H40" s="7">
        <v>130.75</v>
      </c>
      <c r="I40" s="2"/>
      <c r="J40" s="6">
        <f t="shared" si="9"/>
        <v>0</v>
      </c>
      <c r="K40" s="2"/>
      <c r="L40" s="7">
        <f t="shared" si="10"/>
        <v>133.82</v>
      </c>
      <c r="M40" s="2"/>
      <c r="N40" s="6">
        <f t="shared" si="11"/>
        <v>1.0234799235181644</v>
      </c>
      <c r="O40" s="11"/>
      <c r="P40" s="7">
        <v>4200.6899999999996</v>
      </c>
      <c r="Q40" s="2"/>
      <c r="R40" s="6">
        <f t="shared" si="12"/>
        <v>0</v>
      </c>
      <c r="S40" s="2"/>
      <c r="T40" s="7">
        <v>786.37</v>
      </c>
      <c r="U40" s="2"/>
      <c r="V40" s="6">
        <f t="shared" si="13"/>
        <v>0</v>
      </c>
      <c r="W40" s="2"/>
      <c r="X40" s="7">
        <f t="shared" si="14"/>
        <v>3414.3199999999997</v>
      </c>
      <c r="Y40" s="2"/>
      <c r="Z40" s="6">
        <f t="shared" si="15"/>
        <v>4.3418746900314096</v>
      </c>
    </row>
    <row r="41" spans="1:26" s="24" customFormat="1" hidden="1" outlineLevel="2" x14ac:dyDescent="0.35">
      <c r="A41" s="27"/>
      <c r="B41" s="11" t="str">
        <f>CONCATENATE("          ", "6245", " - ", "PRINTING")</f>
        <v xml:space="preserve">          6245 - PRINTING</v>
      </c>
      <c r="C41" s="11"/>
      <c r="D41" s="7"/>
      <c r="E41" s="2"/>
      <c r="F41" s="6">
        <f t="shared" si="8"/>
        <v>0</v>
      </c>
      <c r="G41" s="2"/>
      <c r="H41" s="7">
        <v>410.42</v>
      </c>
      <c r="I41" s="2"/>
      <c r="J41" s="6">
        <f t="shared" si="9"/>
        <v>0</v>
      </c>
      <c r="K41" s="2"/>
      <c r="L41" s="7">
        <f t="shared" si="10"/>
        <v>-410.42</v>
      </c>
      <c r="M41" s="2"/>
      <c r="N41" s="6">
        <f t="shared" si="11"/>
        <v>-1</v>
      </c>
      <c r="O41" s="11"/>
      <c r="P41" s="7"/>
      <c r="Q41" s="2"/>
      <c r="R41" s="6">
        <f t="shared" si="12"/>
        <v>0</v>
      </c>
      <c r="S41" s="2"/>
      <c r="T41" s="7">
        <v>874.89</v>
      </c>
      <c r="U41" s="2"/>
      <c r="V41" s="6">
        <f t="shared" si="13"/>
        <v>0</v>
      </c>
      <c r="W41" s="2"/>
      <c r="X41" s="7">
        <f t="shared" si="14"/>
        <v>-874.89</v>
      </c>
      <c r="Y41" s="2"/>
      <c r="Z41" s="6">
        <f t="shared" si="15"/>
        <v>-1</v>
      </c>
    </row>
    <row r="42" spans="1:26" s="25" customFormat="1" outlineLevel="1" collapsed="1" x14ac:dyDescent="0.35">
      <c r="A42" s="26"/>
      <c r="B42" s="12" t="str">
        <f>CONCATENATE("     ","Telephone/Data Lines                              ")</f>
        <v xml:space="preserve">     Telephone/Data Lines                              </v>
      </c>
      <c r="C42" s="12"/>
      <c r="D42" s="1">
        <f>SUM(OSRRefD22_7x_0)</f>
        <v>50</v>
      </c>
      <c r="E42" s="1"/>
      <c r="F42" s="5">
        <f t="shared" ref="F42:F47" si="16">IF(D$12=0,0,D42/D$12)</f>
        <v>0</v>
      </c>
      <c r="G42" s="1"/>
      <c r="H42" s="1">
        <f>SUM(OSRRefH22_7x_0)</f>
        <v>1050</v>
      </c>
      <c r="I42" s="1"/>
      <c r="J42" s="5">
        <f t="shared" ref="J42:J47" si="17">IF(H$12=0,0,H42/H$12)</f>
        <v>0</v>
      </c>
      <c r="K42" s="1"/>
      <c r="L42" s="1">
        <f t="shared" ref="L42:L47" si="18">+D42-H42</f>
        <v>-1000</v>
      </c>
      <c r="M42" s="1"/>
      <c r="N42" s="5">
        <f t="shared" ref="N42:N47" si="19">IF(H42=0,0,L42/H42)</f>
        <v>-0.95238095238095233</v>
      </c>
      <c r="O42" s="12"/>
      <c r="P42" s="1">
        <f>SUM(OSRRefP22_7x_0)</f>
        <v>-400</v>
      </c>
      <c r="Q42" s="1"/>
      <c r="R42" s="5">
        <f t="shared" ref="R42:R47" si="20">IF(P$12=0,0,P42/P$12)</f>
        <v>0</v>
      </c>
      <c r="S42" s="1"/>
      <c r="T42" s="1">
        <f>SUM(OSRRefT22_7x_0)</f>
        <v>1510</v>
      </c>
      <c r="U42" s="1"/>
      <c r="V42" s="5">
        <f t="shared" ref="V42:V47" si="21">IF(T$12=0,0,T42/T$12)</f>
        <v>0</v>
      </c>
      <c r="W42" s="1"/>
      <c r="X42" s="1">
        <f t="shared" ref="X42:X47" si="22">+P42-T42</f>
        <v>-1910</v>
      </c>
      <c r="Y42" s="1"/>
      <c r="Z42" s="5">
        <f t="shared" ref="Z42:Z47" si="23">IF(T42=0,0,X42/T42)</f>
        <v>-1.2649006622516556</v>
      </c>
    </row>
    <row r="43" spans="1:26" s="24" customFormat="1" hidden="1" outlineLevel="2" x14ac:dyDescent="0.35">
      <c r="A43" s="27"/>
      <c r="B43" s="11" t="str">
        <f>CONCATENATE("          ", "6309", " - ", "TELEPHONE")</f>
        <v xml:space="preserve">          6309 - TELEPHONE</v>
      </c>
      <c r="C43" s="11"/>
      <c r="D43" s="7">
        <v>50</v>
      </c>
      <c r="E43" s="2"/>
      <c r="F43" s="6">
        <f t="shared" si="16"/>
        <v>0</v>
      </c>
      <c r="G43" s="2"/>
      <c r="H43" s="7">
        <v>1050</v>
      </c>
      <c r="I43" s="2"/>
      <c r="J43" s="6">
        <f t="shared" si="17"/>
        <v>0</v>
      </c>
      <c r="K43" s="2"/>
      <c r="L43" s="7">
        <f t="shared" si="18"/>
        <v>-1000</v>
      </c>
      <c r="M43" s="2"/>
      <c r="N43" s="6">
        <f t="shared" si="19"/>
        <v>-0.95238095238095233</v>
      </c>
      <c r="O43" s="11"/>
      <c r="P43" s="7">
        <v>-400</v>
      </c>
      <c r="Q43" s="2"/>
      <c r="R43" s="6">
        <f t="shared" si="20"/>
        <v>0</v>
      </c>
      <c r="S43" s="2"/>
      <c r="T43" s="7">
        <v>1510</v>
      </c>
      <c r="U43" s="2"/>
      <c r="V43" s="6">
        <f t="shared" si="21"/>
        <v>0</v>
      </c>
      <c r="W43" s="2"/>
      <c r="X43" s="7">
        <f t="shared" si="22"/>
        <v>-1910</v>
      </c>
      <c r="Y43" s="2"/>
      <c r="Z43" s="6">
        <f t="shared" si="23"/>
        <v>-1.2649006622516556</v>
      </c>
    </row>
    <row r="44" spans="1:26" s="25" customFormat="1" outlineLevel="1" collapsed="1" x14ac:dyDescent="0.35">
      <c r="A44" s="26"/>
      <c r="B44" s="12" t="str">
        <f>CONCATENATE("     ","Training                                          ")</f>
        <v xml:space="preserve">     Training                                          </v>
      </c>
      <c r="C44" s="12"/>
      <c r="D44" s="1">
        <f>SUM(OSRRefD22_8x_0)</f>
        <v>0</v>
      </c>
      <c r="E44" s="1"/>
      <c r="F44" s="5">
        <f t="shared" si="16"/>
        <v>0</v>
      </c>
      <c r="G44" s="1"/>
      <c r="H44" s="1">
        <f>SUM(OSRRefH22_8x_0)</f>
        <v>2693.15</v>
      </c>
      <c r="I44" s="1"/>
      <c r="J44" s="5">
        <f t="shared" si="17"/>
        <v>0</v>
      </c>
      <c r="K44" s="1"/>
      <c r="L44" s="1">
        <f t="shared" si="18"/>
        <v>-2693.15</v>
      </c>
      <c r="M44" s="1"/>
      <c r="N44" s="5">
        <f t="shared" si="19"/>
        <v>-1</v>
      </c>
      <c r="O44" s="12"/>
      <c r="P44" s="1">
        <f>SUM(OSRRefP22_8x_0)</f>
        <v>2950.22</v>
      </c>
      <c r="Q44" s="1"/>
      <c r="R44" s="5">
        <f t="shared" si="20"/>
        <v>0</v>
      </c>
      <c r="S44" s="1"/>
      <c r="T44" s="1">
        <f>SUM(OSRRefT22_8x_0)</f>
        <v>6635.8</v>
      </c>
      <c r="U44" s="1"/>
      <c r="V44" s="5">
        <f t="shared" si="21"/>
        <v>0</v>
      </c>
      <c r="W44" s="1"/>
      <c r="X44" s="1">
        <f t="shared" si="22"/>
        <v>-3685.5800000000004</v>
      </c>
      <c r="Y44" s="1"/>
      <c r="Z44" s="5">
        <f t="shared" si="23"/>
        <v>-0.5554085415473643</v>
      </c>
    </row>
    <row r="45" spans="1:26" s="24" customFormat="1" hidden="1" outlineLevel="2" x14ac:dyDescent="0.35">
      <c r="A45" s="27"/>
      <c r="B45" s="11" t="str">
        <f>CONCATENATE("          ", "6376", " - ", "TRAINING")</f>
        <v xml:space="preserve">          6376 - TRAINING</v>
      </c>
      <c r="C45" s="11"/>
      <c r="D45" s="7"/>
      <c r="E45" s="2"/>
      <c r="F45" s="6">
        <f t="shared" si="16"/>
        <v>0</v>
      </c>
      <c r="G45" s="2"/>
      <c r="H45" s="7">
        <v>2693.15</v>
      </c>
      <c r="I45" s="2"/>
      <c r="J45" s="6">
        <f t="shared" si="17"/>
        <v>0</v>
      </c>
      <c r="K45" s="2"/>
      <c r="L45" s="7">
        <f t="shared" si="18"/>
        <v>-2693.15</v>
      </c>
      <c r="M45" s="2"/>
      <c r="N45" s="6">
        <f t="shared" si="19"/>
        <v>-1</v>
      </c>
      <c r="O45" s="11"/>
      <c r="P45" s="7">
        <v>2950.22</v>
      </c>
      <c r="Q45" s="2"/>
      <c r="R45" s="6">
        <f t="shared" si="20"/>
        <v>0</v>
      </c>
      <c r="S45" s="2"/>
      <c r="T45" s="7">
        <v>6635.8</v>
      </c>
      <c r="U45" s="2"/>
      <c r="V45" s="6">
        <f t="shared" si="21"/>
        <v>0</v>
      </c>
      <c r="W45" s="2"/>
      <c r="X45" s="7">
        <f t="shared" si="22"/>
        <v>-3685.5800000000004</v>
      </c>
      <c r="Y45" s="2"/>
      <c r="Z45" s="6">
        <f t="shared" si="23"/>
        <v>-0.5554085415473643</v>
      </c>
    </row>
    <row r="46" spans="1:26" s="25" customFormat="1" outlineLevel="1" collapsed="1" x14ac:dyDescent="0.35">
      <c r="A46" s="26"/>
      <c r="B46" s="12" t="str">
        <f>CONCATENATE("     ","Travel                                            ")</f>
        <v xml:space="preserve">     Travel                                            </v>
      </c>
      <c r="C46" s="12"/>
      <c r="D46" s="1">
        <f>SUM(OSRRefD22_9x_0)</f>
        <v>0</v>
      </c>
      <c r="E46" s="1"/>
      <c r="F46" s="5">
        <f t="shared" si="16"/>
        <v>0</v>
      </c>
      <c r="G46" s="1"/>
      <c r="H46" s="1">
        <f>SUM(OSRRefH22_9x_0)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2"/>
      <c r="P46" s="1">
        <f>SUM(OSRRefP22_9x_0)</f>
        <v>325.75</v>
      </c>
      <c r="Q46" s="1"/>
      <c r="R46" s="5">
        <f t="shared" si="20"/>
        <v>0</v>
      </c>
      <c r="S46" s="1"/>
      <c r="T46" s="1">
        <f>SUM(OSRRefT22_9x_0)</f>
        <v>1858.61</v>
      </c>
      <c r="U46" s="1"/>
      <c r="V46" s="5">
        <f t="shared" si="21"/>
        <v>0</v>
      </c>
      <c r="W46" s="1"/>
      <c r="X46" s="1">
        <f t="shared" si="22"/>
        <v>-1532.86</v>
      </c>
      <c r="Y46" s="1"/>
      <c r="Z46" s="5">
        <f t="shared" si="23"/>
        <v>-0.82473461350148769</v>
      </c>
    </row>
    <row r="47" spans="1:26" s="24" customFormat="1" hidden="1" outlineLevel="2" x14ac:dyDescent="0.35">
      <c r="A47" s="27"/>
      <c r="B47" s="11" t="str">
        <f>CONCATENATE("          ", "6292", " - ", "TRAVEL/CONFERENCE")</f>
        <v xml:space="preserve">          6292 - TRAVEL/CONFERENCE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325.75</v>
      </c>
      <c r="Q47" s="2"/>
      <c r="R47" s="6">
        <f t="shared" si="20"/>
        <v>0</v>
      </c>
      <c r="S47" s="2"/>
      <c r="T47" s="7">
        <v>1858.61</v>
      </c>
      <c r="U47" s="2"/>
      <c r="V47" s="6">
        <f t="shared" si="21"/>
        <v>0</v>
      </c>
      <c r="W47" s="2"/>
      <c r="X47" s="7">
        <f t="shared" si="22"/>
        <v>-1532.86</v>
      </c>
      <c r="Y47" s="2"/>
      <c r="Z47" s="6">
        <f t="shared" si="23"/>
        <v>-0.82473461350148769</v>
      </c>
    </row>
    <row r="48" spans="1:26" s="56" customFormat="1" x14ac:dyDescent="0.3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35">
      <c r="A49" s="10"/>
      <c r="B49" s="29" t="s">
        <v>0</v>
      </c>
      <c r="C49" s="10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0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3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35">
      <c r="A51" s="10"/>
      <c r="B51" s="28" t="s">
        <v>3</v>
      </c>
      <c r="C51" s="28"/>
      <c r="D51" s="22">
        <f>+D16-D18+D49</f>
        <v>-13767.529999999999</v>
      </c>
      <c r="E51" s="14"/>
      <c r="F51" s="21">
        <f>IF(D$12=0,0,D51/D$12)</f>
        <v>0</v>
      </c>
      <c r="G51" s="14"/>
      <c r="H51" s="22">
        <f>+H16-H18+H49</f>
        <v>-16741</v>
      </c>
      <c r="I51" s="14"/>
      <c r="J51" s="21">
        <f>IF(H$12=0,0,H51/H$12)</f>
        <v>0</v>
      </c>
      <c r="K51" s="15"/>
      <c r="L51" s="22">
        <f>+D51-H51</f>
        <v>2973.4700000000012</v>
      </c>
      <c r="M51" s="15"/>
      <c r="N51" s="21">
        <f>IF(H51=0,0,L51/H51)</f>
        <v>-0.17761603249507205</v>
      </c>
      <c r="O51" s="29"/>
      <c r="P51" s="22">
        <f>+P16-P18+P49</f>
        <v>-225107.52000000002</v>
      </c>
      <c r="Q51" s="14"/>
      <c r="R51" s="21">
        <f>IF(P$12=0,0,P51/P$12)</f>
        <v>0</v>
      </c>
      <c r="S51" s="14"/>
      <c r="T51" s="22">
        <f>+T16-T18+T49</f>
        <v>-172290.72999999995</v>
      </c>
      <c r="U51" s="14"/>
      <c r="V51" s="21">
        <f>IF(T$12=0,0,T51/T$12)</f>
        <v>0</v>
      </c>
      <c r="W51" s="15"/>
      <c r="X51" s="22">
        <f>+P51-T51</f>
        <v>-52816.790000000066</v>
      </c>
      <c r="Y51" s="15"/>
      <c r="Z51" s="21">
        <f>IF(T51=0,0,X51/T51)</f>
        <v>0.30655619138650164</v>
      </c>
    </row>
    <row r="52" spans="1:26" x14ac:dyDescent="0.3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35">
      <c r="A53" s="51"/>
      <c r="B53" s="10" t="s">
        <v>13</v>
      </c>
      <c r="C53" s="10"/>
      <c r="D53" s="4"/>
      <c r="E53" s="4"/>
      <c r="F53" s="13">
        <f>IF(D$12=0,0,D53/D$12)</f>
        <v>0</v>
      </c>
      <c r="G53" s="4"/>
      <c r="H53" s="4"/>
      <c r="I53" s="4"/>
      <c r="J53" s="13">
        <f>IF(H$12=0,0,H53/H$12)</f>
        <v>0</v>
      </c>
      <c r="K53" s="4"/>
      <c r="L53" s="4">
        <f>+D53-H53</f>
        <v>0</v>
      </c>
      <c r="M53" s="4"/>
      <c r="N53" s="13">
        <f>IF(H53=0,0,L53/H53)</f>
        <v>0</v>
      </c>
      <c r="O53" s="10"/>
      <c r="P53" s="4"/>
      <c r="Q53" s="4"/>
      <c r="R53" s="13">
        <f>IF(P$12=0,0,P53/P$12)</f>
        <v>0</v>
      </c>
      <c r="S53" s="4"/>
      <c r="T53" s="4"/>
      <c r="U53" s="4"/>
      <c r="V53" s="13">
        <f>IF(T$12=0,0,T53/T$12)</f>
        <v>0</v>
      </c>
      <c r="W53" s="4"/>
      <c r="X53" s="4">
        <f>+P53-T53</f>
        <v>0</v>
      </c>
      <c r="Y53" s="4"/>
      <c r="Z53" s="13">
        <f>IF(T53=0,0,X53/T53)</f>
        <v>0</v>
      </c>
    </row>
    <row r="54" spans="1:26" x14ac:dyDescent="0.3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" thickBot="1" x14ac:dyDescent="0.4">
      <c r="A55" s="10"/>
      <c r="B55" s="28" t="s">
        <v>4</v>
      </c>
      <c r="C55" s="28"/>
      <c r="D55" s="34">
        <f>+D51-D53</f>
        <v>-13767.529999999999</v>
      </c>
      <c r="E55" s="14"/>
      <c r="F55" s="32">
        <f>IF(D$12=0,0,D55/D$12)</f>
        <v>0</v>
      </c>
      <c r="G55" s="14"/>
      <c r="H55" s="34">
        <f>+H51-H53</f>
        <v>-16741</v>
      </c>
      <c r="I55" s="14"/>
      <c r="J55" s="32">
        <f>IF(H$12=0,0,H55/H$12)</f>
        <v>0</v>
      </c>
      <c r="K55" s="15"/>
      <c r="L55" s="34">
        <f>D55-H55</f>
        <v>2973.4700000000012</v>
      </c>
      <c r="M55" s="15"/>
      <c r="N55" s="32">
        <f>IF(H55=0,0,L55/H55)</f>
        <v>-0.17761603249507205</v>
      </c>
      <c r="O55" s="29"/>
      <c r="P55" s="34">
        <f>+P51-P53</f>
        <v>-225107.52000000002</v>
      </c>
      <c r="Q55" s="14"/>
      <c r="R55" s="32">
        <f>IF(P$12=0,0,P55/P$12)</f>
        <v>0</v>
      </c>
      <c r="S55" s="14"/>
      <c r="T55" s="34">
        <f>+T51-T53</f>
        <v>-172290.72999999995</v>
      </c>
      <c r="U55" s="14"/>
      <c r="V55" s="32">
        <f>IF(T$12=0,0,T55/T$12)</f>
        <v>0</v>
      </c>
      <c r="W55" s="15"/>
      <c r="X55" s="34">
        <f>P55-T55</f>
        <v>-52816.790000000066</v>
      </c>
      <c r="Y55" s="15"/>
      <c r="Z55" s="32">
        <f>IF(T55=0,0,X55/T55)</f>
        <v>0.30655619138650164</v>
      </c>
    </row>
    <row r="56" spans="1:26" ht="15" thickTop="1" x14ac:dyDescent="0.3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3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" thickBot="1" x14ac:dyDescent="0.4">
      <c r="A58" s="10"/>
      <c r="B58" s="28" t="s">
        <v>5</v>
      </c>
      <c r="C58" s="28"/>
      <c r="D58" s="35">
        <f>SUM(D55:D57)</f>
        <v>-13767.529999999999</v>
      </c>
      <c r="E58" s="14"/>
      <c r="F58" s="33">
        <f>IF(D$12=0,0,D58/D$12)</f>
        <v>0</v>
      </c>
      <c r="G58" s="14"/>
      <c r="H58" s="35">
        <f>SUM(H55:H57)</f>
        <v>-16741</v>
      </c>
      <c r="I58" s="14"/>
      <c r="J58" s="33">
        <f>IF(H$12=0,0,H58/H$12)</f>
        <v>0</v>
      </c>
      <c r="K58" s="15"/>
      <c r="L58" s="35">
        <f>+D58-H58</f>
        <v>2973.4700000000012</v>
      </c>
      <c r="M58" s="15"/>
      <c r="N58" s="33">
        <f>IF(H58=0,0,L58/H58)</f>
        <v>-0.17761603249507205</v>
      </c>
      <c r="O58" s="29"/>
      <c r="P58" s="35">
        <f>SUM(P55:P57)</f>
        <v>-225107.52000000002</v>
      </c>
      <c r="Q58" s="14"/>
      <c r="R58" s="33">
        <f>IF(P$12=0,0,P58/P$12)</f>
        <v>0</v>
      </c>
      <c r="S58" s="14"/>
      <c r="T58" s="35">
        <f>SUM(T55:T57)</f>
        <v>-172290.72999999995</v>
      </c>
      <c r="U58" s="14"/>
      <c r="V58" s="33">
        <f>IF(T$12=0,0,T58/T$12)</f>
        <v>0</v>
      </c>
      <c r="W58" s="15"/>
      <c r="X58" s="35">
        <f>+P58-T58</f>
        <v>-52816.790000000066</v>
      </c>
      <c r="Y58" s="15"/>
      <c r="Z58" s="33">
        <f>IF(T58=0,0,X58/T58)</f>
        <v>0.30655619138650164</v>
      </c>
    </row>
    <row r="59" spans="1:26" ht="15" thickTop="1" x14ac:dyDescent="0.35">
      <c r="A59" s="9"/>
      <c r="C59" s="9"/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35">
      <c r="A60" s="9"/>
      <c r="B60" s="52">
        <v>44043.523383020831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35">
      <c r="A61" s="9"/>
      <c r="B61" s="61" t="s">
        <v>313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35">
      <c r="A62" s="9"/>
      <c r="B62" s="54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35"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","433", " - ", "Hillside Dining Hall")</f>
        <v>Department 433 - Hillside Dining Hall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-33612.1</v>
      </c>
      <c r="E12" s="4"/>
      <c r="F12" s="13"/>
      <c r="G12" s="4"/>
      <c r="H12" s="4">
        <f>SUM(OSRRefH13x_0)</f>
        <v>103465.78000000001</v>
      </c>
      <c r="I12" s="4"/>
      <c r="J12" s="13"/>
      <c r="K12" s="4"/>
      <c r="L12" s="4">
        <f t="shared" ref="L12:L16" si="0">+D12-H12</f>
        <v>-137077.88</v>
      </c>
      <c r="M12" s="4"/>
      <c r="N12" s="13">
        <f t="shared" ref="N12:N16" si="1">IF(H12=0,0,L12/H12)</f>
        <v>-1.3248619978508835</v>
      </c>
      <c r="O12" s="10"/>
      <c r="P12" s="4">
        <f>SUM(OSRRefP13x_0)</f>
        <v>3757412.4699999997</v>
      </c>
      <c r="Q12" s="4"/>
      <c r="R12" s="13"/>
      <c r="S12" s="4"/>
      <c r="T12" s="4">
        <f>SUM(OSRRefT13x_0)</f>
        <v>4423920.67</v>
      </c>
      <c r="U12" s="4"/>
      <c r="V12" s="13"/>
      <c r="W12" s="4"/>
      <c r="X12" s="4">
        <f t="shared" ref="X12:X16" si="2">+P12-T12</f>
        <v>-666508.20000000019</v>
      </c>
      <c r="Y12" s="4"/>
      <c r="Z12" s="13">
        <f t="shared" ref="Z12:Z16" si="3">IF(T12=0,0,X12/T12)</f>
        <v>-0.15066007049353355</v>
      </c>
    </row>
    <row r="13" spans="1:26" s="24" customFormat="1" hidden="1" outlineLevel="1" x14ac:dyDescent="0.3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--27.9</f>
        <v>27.9</v>
      </c>
      <c r="E13" s="2"/>
      <c r="F13" s="19"/>
      <c r="G13" s="2"/>
      <c r="H13" s="2">
        <f>--1065.91</f>
        <v>1065.9100000000001</v>
      </c>
      <c r="I13" s="2"/>
      <c r="J13" s="19"/>
      <c r="K13" s="2"/>
      <c r="L13" s="2">
        <f t="shared" si="0"/>
        <v>-1038.01</v>
      </c>
      <c r="M13" s="2"/>
      <c r="N13" s="19">
        <f t="shared" si="1"/>
        <v>-0.97382518223865044</v>
      </c>
      <c r="O13" s="11"/>
      <c r="P13" s="2">
        <f>--21468.98</f>
        <v>21468.98</v>
      </c>
      <c r="Q13" s="2"/>
      <c r="R13" s="19"/>
      <c r="S13" s="2"/>
      <c r="T13" s="2">
        <f>--17574.25</f>
        <v>17574.25</v>
      </c>
      <c r="U13" s="2"/>
      <c r="V13" s="19"/>
      <c r="W13" s="2"/>
      <c r="X13" s="2">
        <f t="shared" si="2"/>
        <v>3894.7299999999996</v>
      </c>
      <c r="Y13" s="2"/>
      <c r="Z13" s="19">
        <f t="shared" si="3"/>
        <v>0.2216157161756547</v>
      </c>
    </row>
    <row r="14" spans="1:26" s="24" customFormat="1" hidden="1" outlineLevel="1" x14ac:dyDescent="0.3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-38339.6</f>
        <v>-38339.599999999999</v>
      </c>
      <c r="E14" s="2"/>
      <c r="F14" s="19"/>
      <c r="G14" s="2"/>
      <c r="H14" s="2">
        <f>--100213.6</f>
        <v>100213.6</v>
      </c>
      <c r="I14" s="2"/>
      <c r="J14" s="19"/>
      <c r="K14" s="2"/>
      <c r="L14" s="2">
        <f t="shared" si="0"/>
        <v>-138553.20000000001</v>
      </c>
      <c r="M14" s="2"/>
      <c r="N14" s="19">
        <f t="shared" si="1"/>
        <v>-1.382578811658298</v>
      </c>
      <c r="O14" s="11"/>
      <c r="P14" s="2">
        <f>--3486658.53</f>
        <v>3486658.53</v>
      </c>
      <c r="Q14" s="2"/>
      <c r="R14" s="19"/>
      <c r="S14" s="2"/>
      <c r="T14" s="2">
        <f>--4159481.9</f>
        <v>4159481.9</v>
      </c>
      <c r="U14" s="2"/>
      <c r="V14" s="19"/>
      <c r="W14" s="2"/>
      <c r="X14" s="2">
        <f t="shared" si="2"/>
        <v>-672823.37000000011</v>
      </c>
      <c r="Y14" s="2"/>
      <c r="Z14" s="19">
        <f t="shared" si="3"/>
        <v>-0.16175653270663351</v>
      </c>
    </row>
    <row r="15" spans="1:26" s="24" customFormat="1" hidden="1" outlineLevel="1" x14ac:dyDescent="0.3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--4699.6</f>
        <v>4699.6000000000004</v>
      </c>
      <c r="E15" s="2"/>
      <c r="F15" s="19"/>
      <c r="G15" s="2"/>
      <c r="H15" s="2">
        <f>--2186.27</f>
        <v>2186.27</v>
      </c>
      <c r="I15" s="2"/>
      <c r="J15" s="19"/>
      <c r="K15" s="2"/>
      <c r="L15" s="2">
        <f t="shared" si="0"/>
        <v>2513.3300000000004</v>
      </c>
      <c r="M15" s="2"/>
      <c r="N15" s="19">
        <f t="shared" si="1"/>
        <v>1.1495972592589205</v>
      </c>
      <c r="O15" s="11"/>
      <c r="P15" s="2">
        <f>--248901.26</f>
        <v>248901.26</v>
      </c>
      <c r="Q15" s="2"/>
      <c r="R15" s="19"/>
      <c r="S15" s="2"/>
      <c r="T15" s="2">
        <f>--245809.62</f>
        <v>245809.62</v>
      </c>
      <c r="U15" s="2"/>
      <c r="V15" s="19"/>
      <c r="W15" s="2"/>
      <c r="X15" s="2">
        <f t="shared" si="2"/>
        <v>3091.640000000014</v>
      </c>
      <c r="Y15" s="2"/>
      <c r="Z15" s="19">
        <f t="shared" si="3"/>
        <v>1.2577375938338027E-2</v>
      </c>
    </row>
    <row r="16" spans="1:26" s="24" customFormat="1" hidden="1" outlineLevel="1" x14ac:dyDescent="0.35">
      <c r="A16" s="44"/>
      <c r="B16" s="11" t="str">
        <f>CONCATENATE("          ", "4159", " - ", "NON-TAXABLE SALES-FOOD")</f>
        <v xml:space="preserve">          4159 - NON-TAXABLE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--383.7</f>
        <v>383.7</v>
      </c>
      <c r="Q16" s="2"/>
      <c r="R16" s="19"/>
      <c r="S16" s="2"/>
      <c r="T16" s="2">
        <f>--1054.9</f>
        <v>1054.9000000000001</v>
      </c>
      <c r="U16" s="2"/>
      <c r="V16" s="19"/>
      <c r="W16" s="2"/>
      <c r="X16" s="2">
        <f t="shared" si="2"/>
        <v>-671.2</v>
      </c>
      <c r="Y16" s="2"/>
      <c r="Z16" s="19">
        <f t="shared" si="3"/>
        <v>-0.63626884064840272</v>
      </c>
    </row>
    <row r="17" spans="1:26" x14ac:dyDescent="0.3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5">
      <c r="A18" s="10"/>
      <c r="B18" s="29" t="s">
        <v>8</v>
      </c>
      <c r="C18" s="10"/>
      <c r="D18" s="4">
        <f>SUM(OSRRefD16x_0)</f>
        <v>13685.21</v>
      </c>
      <c r="E18" s="4"/>
      <c r="F18" s="13">
        <f t="shared" ref="F18:F20" si="4">IF(D$12=0,0,D18/D$12)</f>
        <v>-0.40715129373053155</v>
      </c>
      <c r="G18" s="4"/>
      <c r="H18" s="4">
        <f>SUM(OSRRefH16x_0)</f>
        <v>38527.449999999997</v>
      </c>
      <c r="I18" s="4"/>
      <c r="J18" s="13">
        <f t="shared" ref="J18:J20" si="5">IF(H$12=0,0,H18/H$12)</f>
        <v>0.37236900934782485</v>
      </c>
      <c r="K18" s="4"/>
      <c r="L18" s="4">
        <f t="shared" ref="L18:L20" si="6">+D18-H18</f>
        <v>-24842.239999999998</v>
      </c>
      <c r="M18" s="4"/>
      <c r="N18" s="13">
        <f t="shared" ref="N18:N20" si="7">IF(H18=0,0,L18/H18)</f>
        <v>-0.64479325779411822</v>
      </c>
      <c r="O18" s="10"/>
      <c r="P18" s="4">
        <f>SUM(OSRRefP16x_0)</f>
        <v>908218.79</v>
      </c>
      <c r="Q18" s="4"/>
      <c r="R18" s="13">
        <f t="shared" ref="R18:R20" si="8">IF(P$12=0,0,P18/P$12)</f>
        <v>0.24171389147489578</v>
      </c>
      <c r="S18" s="4"/>
      <c r="T18" s="4">
        <f>SUM(OSRRefT16x_0)</f>
        <v>1091407.0299999998</v>
      </c>
      <c r="U18" s="4"/>
      <c r="V18" s="13">
        <f t="shared" ref="V18:V20" si="9">IF(T$12=0,0,T18/T$12)</f>
        <v>0.24670583209169522</v>
      </c>
      <c r="W18" s="4"/>
      <c r="X18" s="4">
        <f t="shared" ref="X18:X20" si="10">+P18-T18</f>
        <v>-183188.23999999976</v>
      </c>
      <c r="Y18" s="4"/>
      <c r="Z18" s="13">
        <f t="shared" ref="Z18:Z20" si="11">IF(T18=0,0,X18/T18)</f>
        <v>-0.1678459410326501</v>
      </c>
    </row>
    <row r="19" spans="1:26" s="24" customFormat="1" hidden="1" outlineLevel="1" x14ac:dyDescent="0.3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11418.21</v>
      </c>
      <c r="E19" s="2"/>
      <c r="F19" s="19">
        <f t="shared" si="4"/>
        <v>-0.33970534420640186</v>
      </c>
      <c r="G19" s="2"/>
      <c r="H19" s="2">
        <v>44522.45</v>
      </c>
      <c r="I19" s="2"/>
      <c r="J19" s="19">
        <f t="shared" si="5"/>
        <v>0.43031087186507455</v>
      </c>
      <c r="K19" s="2"/>
      <c r="L19" s="2">
        <f t="shared" si="6"/>
        <v>-33104.239999999998</v>
      </c>
      <c r="M19" s="2"/>
      <c r="N19" s="19">
        <f t="shared" si="7"/>
        <v>-0.74354039366656599</v>
      </c>
      <c r="O19" s="11"/>
      <c r="P19" s="2">
        <v>911587.79</v>
      </c>
      <c r="Q19" s="2"/>
      <c r="R19" s="19">
        <f t="shared" si="8"/>
        <v>0.24261051914803489</v>
      </c>
      <c r="S19" s="2"/>
      <c r="T19" s="2">
        <v>1095665.2799999998</v>
      </c>
      <c r="U19" s="2"/>
      <c r="V19" s="19">
        <f t="shared" si="9"/>
        <v>0.24766838325787605</v>
      </c>
      <c r="W19" s="2"/>
      <c r="X19" s="2">
        <f t="shared" si="10"/>
        <v>-184077.48999999976</v>
      </c>
      <c r="Y19" s="2"/>
      <c r="Z19" s="19">
        <f t="shared" si="11"/>
        <v>-0.16800522327402745</v>
      </c>
    </row>
    <row r="20" spans="1:26" s="24" customFormat="1" hidden="1" outlineLevel="1" x14ac:dyDescent="0.3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2267</v>
      </c>
      <c r="E20" s="2"/>
      <c r="F20" s="19">
        <f t="shared" si="4"/>
        <v>-6.7445949524129703E-2</v>
      </c>
      <c r="G20" s="2"/>
      <c r="H20" s="2">
        <v>-5995</v>
      </c>
      <c r="I20" s="2"/>
      <c r="J20" s="19">
        <f t="shared" si="5"/>
        <v>-5.7941862517249657E-2</v>
      </c>
      <c r="K20" s="2"/>
      <c r="L20" s="2">
        <f t="shared" si="6"/>
        <v>8262</v>
      </c>
      <c r="M20" s="2"/>
      <c r="N20" s="19">
        <f t="shared" si="7"/>
        <v>-1.3781484570475395</v>
      </c>
      <c r="O20" s="11"/>
      <c r="P20" s="2">
        <v>-3369</v>
      </c>
      <c r="Q20" s="2"/>
      <c r="R20" s="19">
        <f t="shared" si="8"/>
        <v>-8.9662767313911649E-4</v>
      </c>
      <c r="S20" s="2"/>
      <c r="T20" s="2">
        <v>-4258.25</v>
      </c>
      <c r="U20" s="2"/>
      <c r="V20" s="19">
        <f t="shared" si="9"/>
        <v>-9.6255116618083479E-4</v>
      </c>
      <c r="W20" s="2"/>
      <c r="X20" s="2">
        <f t="shared" si="10"/>
        <v>889.25</v>
      </c>
      <c r="Y20" s="2"/>
      <c r="Z20" s="19">
        <f t="shared" si="11"/>
        <v>-0.20882991839370635</v>
      </c>
    </row>
    <row r="21" spans="1:26" x14ac:dyDescent="0.3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5">
      <c r="A22" s="10"/>
      <c r="B22" s="28" t="s">
        <v>6</v>
      </c>
      <c r="C22" s="28"/>
      <c r="D22" s="22">
        <f>D12-D18</f>
        <v>-47297.31</v>
      </c>
      <c r="E22" s="14"/>
      <c r="F22" s="21">
        <f>IF(D$12=0,0,D22/D$12)</f>
        <v>1.4071512937305315</v>
      </c>
      <c r="G22" s="14"/>
      <c r="H22" s="22">
        <f>H12-H18</f>
        <v>64938.330000000016</v>
      </c>
      <c r="I22" s="14"/>
      <c r="J22" s="21">
        <f>IF(H$12=0,0,H22/H$12)</f>
        <v>0.62763099065217509</v>
      </c>
      <c r="K22" s="15"/>
      <c r="L22" s="22">
        <f>+D22-H22</f>
        <v>-112235.64000000001</v>
      </c>
      <c r="M22" s="15"/>
      <c r="N22" s="21">
        <f>IF(H22=0,0,L22/H22)</f>
        <v>-1.728341951509994</v>
      </c>
      <c r="O22" s="29"/>
      <c r="P22" s="22">
        <f>P12-P18</f>
        <v>2849193.6799999997</v>
      </c>
      <c r="Q22" s="14"/>
      <c r="R22" s="21">
        <f>IF(P$12=0,0,P22/P$12)</f>
        <v>0.75828610852510425</v>
      </c>
      <c r="S22" s="14"/>
      <c r="T22" s="22">
        <f>T12-T18</f>
        <v>3332513.64</v>
      </c>
      <c r="U22" s="14"/>
      <c r="V22" s="21">
        <f>IF(T$12=0,0,T22/T$12)</f>
        <v>0.75329416790830483</v>
      </c>
      <c r="W22" s="15"/>
      <c r="X22" s="22">
        <f>+P22-T22</f>
        <v>-483319.96000000043</v>
      </c>
      <c r="Y22" s="15"/>
      <c r="Z22" s="21">
        <f>IF(T22=0,0,X22/T22)</f>
        <v>-0.14503165244358923</v>
      </c>
    </row>
    <row r="23" spans="1:26" x14ac:dyDescent="0.3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5">
      <c r="A24" s="10"/>
      <c r="B24" s="29" t="s">
        <v>9</v>
      </c>
      <c r="C24" s="10"/>
      <c r="D24" s="20">
        <f>SUM(OSRRefD22x_0)</f>
        <v>40300.73000000001</v>
      </c>
      <c r="E24" s="20"/>
      <c r="F24" s="36">
        <f t="shared" ref="F24:F34" si="12">IF(D$12=0,0,D24/D$12)</f>
        <v>-1.1989947072631586</v>
      </c>
      <c r="G24" s="20"/>
      <c r="H24" s="20">
        <f>SUM(OSRRefH22x_0)</f>
        <v>90061.250000000015</v>
      </c>
      <c r="I24" s="20"/>
      <c r="J24" s="36">
        <f t="shared" ref="J24:J34" si="13">IF(H$12=0,0,H24/H$12)</f>
        <v>0.8704447982705007</v>
      </c>
      <c r="K24" s="4"/>
      <c r="L24" s="20">
        <f t="shared" ref="L24:L34" si="14">+D24-H24</f>
        <v>-49760.520000000004</v>
      </c>
      <c r="M24" s="4"/>
      <c r="N24" s="36">
        <f t="shared" ref="N24:N34" si="15">IF(H24=0,0,L24/H24)</f>
        <v>-0.55251864703188103</v>
      </c>
      <c r="O24" s="10"/>
      <c r="P24" s="20">
        <f>SUM(OSRRefP22x_0)</f>
        <v>1729167.5999999999</v>
      </c>
      <c r="Q24" s="20"/>
      <c r="R24" s="36">
        <f t="shared" ref="R24:R34" si="16">IF(P$12=0,0,P24/P$12)</f>
        <v>0.46020169832459196</v>
      </c>
      <c r="S24" s="20"/>
      <c r="T24" s="20">
        <f>SUM(OSRRefT22x_0)</f>
        <v>1817220.32</v>
      </c>
      <c r="U24" s="20"/>
      <c r="V24" s="36">
        <f t="shared" ref="V24:V34" si="17">IF(T$12=0,0,T24/T$12)</f>
        <v>0.41077145264451592</v>
      </c>
      <c r="W24" s="4"/>
      <c r="X24" s="20">
        <f t="shared" ref="X24:X34" si="18">+P24-T24</f>
        <v>-88052.720000000205</v>
      </c>
      <c r="Y24" s="4"/>
      <c r="Z24" s="36">
        <f t="shared" ref="Z24:Z34" si="19">IF(T24=0,0,X24/T24)</f>
        <v>-4.8454619965948985E-2</v>
      </c>
    </row>
    <row r="25" spans="1:26" s="25" customFormat="1" outlineLevel="1" collapsed="1" x14ac:dyDescent="0.35">
      <c r="A25" s="26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15828.91</v>
      </c>
      <c r="E25" s="1"/>
      <c r="F25" s="5">
        <f t="shared" si="12"/>
        <v>-0.47092892143008025</v>
      </c>
      <c r="G25" s="1"/>
      <c r="H25" s="1">
        <f>SUM(OSRRefH22_0x_0)</f>
        <v>15959.239999999998</v>
      </c>
      <c r="I25" s="1"/>
      <c r="J25" s="5">
        <f t="shared" si="13"/>
        <v>0.15424655378812199</v>
      </c>
      <c r="K25" s="1"/>
      <c r="L25" s="1">
        <f t="shared" si="14"/>
        <v>-130.32999999999811</v>
      </c>
      <c r="M25" s="1"/>
      <c r="N25" s="5">
        <f t="shared" si="15"/>
        <v>-8.1664289778208814E-3</v>
      </c>
      <c r="O25" s="12"/>
      <c r="P25" s="1">
        <f>SUM(OSRRefP22_0x_0)</f>
        <v>303187.06</v>
      </c>
      <c r="Q25" s="1"/>
      <c r="R25" s="5">
        <f t="shared" si="16"/>
        <v>8.0690385317212732E-2</v>
      </c>
      <c r="S25" s="1"/>
      <c r="T25" s="1">
        <f>SUM(OSRRefT22_0x_0)</f>
        <v>327310.92</v>
      </c>
      <c r="U25" s="1"/>
      <c r="V25" s="5">
        <f t="shared" si="17"/>
        <v>7.3986616039387526E-2</v>
      </c>
      <c r="W25" s="1"/>
      <c r="X25" s="1">
        <f t="shared" si="18"/>
        <v>-24123.859999999986</v>
      </c>
      <c r="Y25" s="1"/>
      <c r="Z25" s="5">
        <f t="shared" si="19"/>
        <v>-7.3703193281788426E-2</v>
      </c>
    </row>
    <row r="26" spans="1:26" s="24" customFormat="1" hidden="1" outlineLevel="2" x14ac:dyDescent="0.35">
      <c r="A26" s="27"/>
      <c r="B26" s="11" t="str">
        <f>CONCATENATE("          ", "6111", " - ", "F.I.C.A.")</f>
        <v xml:space="preserve">          6111 - F.I.C.A.</v>
      </c>
      <c r="C26" s="11"/>
      <c r="D26" s="7">
        <v>1934.19</v>
      </c>
      <c r="E26" s="2"/>
      <c r="F26" s="6">
        <f t="shared" si="12"/>
        <v>-5.7544455716840068E-2</v>
      </c>
      <c r="G26" s="2"/>
      <c r="H26" s="7">
        <v>4339.16</v>
      </c>
      <c r="I26" s="2"/>
      <c r="J26" s="6">
        <f t="shared" si="13"/>
        <v>4.193811712432844E-2</v>
      </c>
      <c r="K26" s="2"/>
      <c r="L26" s="7">
        <f t="shared" si="14"/>
        <v>-2404.9699999999998</v>
      </c>
      <c r="M26" s="2"/>
      <c r="N26" s="6">
        <f t="shared" si="15"/>
        <v>-0.55424782676831452</v>
      </c>
      <c r="O26" s="11"/>
      <c r="P26" s="7">
        <v>47604.729999999996</v>
      </c>
      <c r="Q26" s="2"/>
      <c r="R26" s="6">
        <f t="shared" si="16"/>
        <v>1.2669551288309851E-2</v>
      </c>
      <c r="S26" s="2"/>
      <c r="T26" s="7">
        <v>46511.689999999995</v>
      </c>
      <c r="U26" s="2"/>
      <c r="V26" s="6">
        <f t="shared" si="17"/>
        <v>1.0513680843196493E-2</v>
      </c>
      <c r="W26" s="2"/>
      <c r="X26" s="7">
        <f t="shared" si="18"/>
        <v>1093.0400000000009</v>
      </c>
      <c r="Y26" s="2"/>
      <c r="Z26" s="6">
        <f t="shared" si="19"/>
        <v>2.3500328627061303E-2</v>
      </c>
    </row>
    <row r="27" spans="1:26" s="24" customFormat="1" hidden="1" outlineLevel="2" x14ac:dyDescent="0.35">
      <c r="A27" s="27"/>
      <c r="B27" s="11" t="str">
        <f>CONCATENATE("          ", "6112", " - ", "COMPENSATION INSURANCE")</f>
        <v xml:space="preserve">          6112 - COMPENSATION INSURANCE</v>
      </c>
      <c r="C27" s="11"/>
      <c r="D27" s="7">
        <v>1000.9</v>
      </c>
      <c r="E27" s="2"/>
      <c r="F27" s="6">
        <f t="shared" si="12"/>
        <v>-2.9777966863123697E-2</v>
      </c>
      <c r="G27" s="2"/>
      <c r="H27" s="7">
        <v>2452.8200000000002</v>
      </c>
      <c r="I27" s="2"/>
      <c r="J27" s="6">
        <f t="shared" si="13"/>
        <v>2.3706582021611394E-2</v>
      </c>
      <c r="K27" s="2"/>
      <c r="L27" s="7">
        <f t="shared" si="14"/>
        <v>-1451.92</v>
      </c>
      <c r="M27" s="2"/>
      <c r="N27" s="6">
        <f t="shared" si="15"/>
        <v>-0.59193907420846203</v>
      </c>
      <c r="O27" s="11"/>
      <c r="P27" s="7">
        <v>32114.019999999997</v>
      </c>
      <c r="Q27" s="2"/>
      <c r="R27" s="6">
        <f t="shared" si="16"/>
        <v>8.5468444724675109E-3</v>
      </c>
      <c r="S27" s="2"/>
      <c r="T27" s="7">
        <v>29627.609999999997</v>
      </c>
      <c r="U27" s="2"/>
      <c r="V27" s="6">
        <f t="shared" si="17"/>
        <v>6.6971386265839159E-3</v>
      </c>
      <c r="W27" s="2"/>
      <c r="X27" s="7">
        <f t="shared" si="18"/>
        <v>2486.41</v>
      </c>
      <c r="Y27" s="2"/>
      <c r="Z27" s="6">
        <f t="shared" si="19"/>
        <v>8.3922057837267333E-2</v>
      </c>
    </row>
    <row r="28" spans="1:26" s="24" customFormat="1" hidden="1" outlineLevel="2" x14ac:dyDescent="0.35">
      <c r="A28" s="27"/>
      <c r="B28" s="11" t="str">
        <f>CONCATENATE("          ", "6113", " - ", "GROUP INSURANCE")</f>
        <v xml:space="preserve">          6113 - GROUP INSURANCE</v>
      </c>
      <c r="C28" s="11"/>
      <c r="D28" s="7">
        <v>9826.58</v>
      </c>
      <c r="E28" s="2"/>
      <c r="F28" s="6">
        <f t="shared" si="12"/>
        <v>-0.2923524564070677</v>
      </c>
      <c r="G28" s="2"/>
      <c r="H28" s="7">
        <v>14616.94</v>
      </c>
      <c r="I28" s="2"/>
      <c r="J28" s="6">
        <f t="shared" si="13"/>
        <v>0.14127318230239988</v>
      </c>
      <c r="K28" s="2"/>
      <c r="L28" s="7">
        <f t="shared" si="14"/>
        <v>-4790.3600000000006</v>
      </c>
      <c r="M28" s="2"/>
      <c r="N28" s="6">
        <f t="shared" si="15"/>
        <v>-0.32772659667481707</v>
      </c>
      <c r="O28" s="11"/>
      <c r="P28" s="7">
        <v>147328.03</v>
      </c>
      <c r="Q28" s="2"/>
      <c r="R28" s="6">
        <f t="shared" si="16"/>
        <v>3.9209969939765492E-2</v>
      </c>
      <c r="S28" s="2"/>
      <c r="T28" s="7">
        <v>172385.95</v>
      </c>
      <c r="U28" s="2"/>
      <c r="V28" s="6">
        <f t="shared" si="17"/>
        <v>3.8966781472598154E-2</v>
      </c>
      <c r="W28" s="2"/>
      <c r="X28" s="7">
        <f t="shared" si="18"/>
        <v>-25057.920000000013</v>
      </c>
      <c r="Y28" s="2"/>
      <c r="Z28" s="6">
        <f t="shared" si="19"/>
        <v>-0.14535941009113568</v>
      </c>
    </row>
    <row r="29" spans="1:26" s="24" customFormat="1" hidden="1" outlineLevel="2" x14ac:dyDescent="0.3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7">
        <v>-2396.13</v>
      </c>
      <c r="E29" s="2"/>
      <c r="F29" s="6">
        <f t="shared" si="12"/>
        <v>7.1287720791024661E-2</v>
      </c>
      <c r="G29" s="2"/>
      <c r="H29" s="7">
        <v>182.21</v>
      </c>
      <c r="I29" s="2"/>
      <c r="J29" s="6">
        <f t="shared" si="13"/>
        <v>1.7610653493357899E-3</v>
      </c>
      <c r="K29" s="2"/>
      <c r="L29" s="7">
        <f t="shared" si="14"/>
        <v>-2578.34</v>
      </c>
      <c r="M29" s="2"/>
      <c r="N29" s="6">
        <f t="shared" si="15"/>
        <v>-14.150375939849624</v>
      </c>
      <c r="O29" s="11"/>
      <c r="P29" s="7">
        <v>0</v>
      </c>
      <c r="Q29" s="2"/>
      <c r="R29" s="6">
        <f t="shared" si="16"/>
        <v>0</v>
      </c>
      <c r="S29" s="2"/>
      <c r="T29" s="7">
        <v>2433.2199999999998</v>
      </c>
      <c r="U29" s="2"/>
      <c r="V29" s="6">
        <f t="shared" si="17"/>
        <v>5.5001438350837332E-4</v>
      </c>
      <c r="W29" s="2"/>
      <c r="X29" s="7">
        <f t="shared" si="18"/>
        <v>-2433.2199999999998</v>
      </c>
      <c r="Y29" s="2"/>
      <c r="Z29" s="6">
        <f t="shared" si="19"/>
        <v>-1</v>
      </c>
    </row>
    <row r="30" spans="1:26" s="24" customFormat="1" hidden="1" outlineLevel="2" x14ac:dyDescent="0.35">
      <c r="A30" s="27"/>
      <c r="B30" s="11" t="str">
        <f>CONCATENATE("          ", "6115", " - ", "P.E.R.S.")</f>
        <v xml:space="preserve">          6115 - P.E.R.S.</v>
      </c>
      <c r="C30" s="11"/>
      <c r="D30" s="7">
        <v>872.8</v>
      </c>
      <c r="E30" s="2"/>
      <c r="F30" s="6">
        <f t="shared" si="12"/>
        <v>-2.5966839322743893E-2</v>
      </c>
      <c r="G30" s="2"/>
      <c r="H30" s="7"/>
      <c r="I30" s="2"/>
      <c r="J30" s="6">
        <f t="shared" si="13"/>
        <v>0</v>
      </c>
      <c r="K30" s="2"/>
      <c r="L30" s="7">
        <f t="shared" si="14"/>
        <v>872.8</v>
      </c>
      <c r="M30" s="2"/>
      <c r="N30" s="6">
        <f t="shared" si="15"/>
        <v>0</v>
      </c>
      <c r="O30" s="11"/>
      <c r="P30" s="7">
        <v>14731.47</v>
      </c>
      <c r="Q30" s="2"/>
      <c r="R30" s="6">
        <f t="shared" si="16"/>
        <v>3.9206422285600175E-3</v>
      </c>
      <c r="S30" s="2"/>
      <c r="T30" s="7">
        <v>13788.77</v>
      </c>
      <c r="U30" s="2"/>
      <c r="V30" s="6">
        <f t="shared" si="17"/>
        <v>3.1168664694884779E-3</v>
      </c>
      <c r="W30" s="2"/>
      <c r="X30" s="7">
        <f t="shared" si="18"/>
        <v>942.69999999999891</v>
      </c>
      <c r="Y30" s="2"/>
      <c r="Z30" s="6">
        <f t="shared" si="19"/>
        <v>6.836722927425716E-2</v>
      </c>
    </row>
    <row r="31" spans="1:26" s="24" customFormat="1" hidden="1" outlineLevel="2" x14ac:dyDescent="0.35">
      <c r="A31" s="27"/>
      <c r="B31" s="11" t="str">
        <f>CONCATENATE("          ", "6117", " - ", "RETIREMENT STAFF HOURLY")</f>
        <v xml:space="preserve">          6117 - RETIREMENT STAFF HOURLY</v>
      </c>
      <c r="C31" s="11"/>
      <c r="D31" s="7">
        <v>374.48</v>
      </c>
      <c r="E31" s="2"/>
      <c r="F31" s="6">
        <f t="shared" si="12"/>
        <v>-1.1141225927567751E-2</v>
      </c>
      <c r="G31" s="2"/>
      <c r="H31" s="7">
        <v>408.35</v>
      </c>
      <c r="I31" s="2"/>
      <c r="J31" s="6">
        <f t="shared" si="13"/>
        <v>3.9467155227554456E-3</v>
      </c>
      <c r="K31" s="2"/>
      <c r="L31" s="7">
        <f t="shared" si="14"/>
        <v>-33.870000000000005</v>
      </c>
      <c r="M31" s="2"/>
      <c r="N31" s="6">
        <f t="shared" si="15"/>
        <v>-8.2943553324354116E-2</v>
      </c>
      <c r="O31" s="11"/>
      <c r="P31" s="7">
        <v>6026.81</v>
      </c>
      <c r="Q31" s="2"/>
      <c r="R31" s="6">
        <f t="shared" si="16"/>
        <v>1.6039788147080912E-3</v>
      </c>
      <c r="S31" s="2"/>
      <c r="T31" s="7">
        <v>4590.41</v>
      </c>
      <c r="U31" s="2"/>
      <c r="V31" s="6">
        <f t="shared" si="17"/>
        <v>1.0376338868662398E-3</v>
      </c>
      <c r="W31" s="2"/>
      <c r="X31" s="7">
        <f t="shared" si="18"/>
        <v>1436.4000000000005</v>
      </c>
      <c r="Y31" s="2"/>
      <c r="Z31" s="6">
        <f t="shared" si="19"/>
        <v>0.31291322561601265</v>
      </c>
    </row>
    <row r="32" spans="1:26" s="24" customFormat="1" hidden="1" outlineLevel="2" x14ac:dyDescent="0.35">
      <c r="A32" s="27"/>
      <c r="B32" s="11" t="str">
        <f>CONCATENATE("          ", "6118", " - ", "VACATION")</f>
        <v xml:space="preserve">          6118 - VACATION</v>
      </c>
      <c r="C32" s="11"/>
      <c r="D32" s="7">
        <v>1852.16</v>
      </c>
      <c r="E32" s="2"/>
      <c r="F32" s="6">
        <f t="shared" si="12"/>
        <v>-5.5103965536220594E-2</v>
      </c>
      <c r="G32" s="2"/>
      <c r="H32" s="7">
        <v>2203.7600000000002</v>
      </c>
      <c r="I32" s="2"/>
      <c r="J32" s="6">
        <f t="shared" si="13"/>
        <v>2.129940933127842E-2</v>
      </c>
      <c r="K32" s="2"/>
      <c r="L32" s="7">
        <f t="shared" si="14"/>
        <v>-351.60000000000014</v>
      </c>
      <c r="M32" s="2"/>
      <c r="N32" s="6">
        <f t="shared" si="15"/>
        <v>-0.15954550404762774</v>
      </c>
      <c r="O32" s="11"/>
      <c r="P32" s="7">
        <v>29874.380000000005</v>
      </c>
      <c r="Q32" s="2"/>
      <c r="R32" s="6">
        <f t="shared" si="16"/>
        <v>7.9507853445751741E-3</v>
      </c>
      <c r="S32" s="2"/>
      <c r="T32" s="7">
        <v>31323.47</v>
      </c>
      <c r="U32" s="2"/>
      <c r="V32" s="6">
        <f t="shared" si="17"/>
        <v>7.0804773269137313E-3</v>
      </c>
      <c r="W32" s="2"/>
      <c r="X32" s="7">
        <f t="shared" si="18"/>
        <v>-1449.0899999999965</v>
      </c>
      <c r="Y32" s="2"/>
      <c r="Z32" s="6">
        <f t="shared" si="19"/>
        <v>-4.626211591499909E-2</v>
      </c>
    </row>
    <row r="33" spans="1:26" s="24" customFormat="1" hidden="1" outlineLevel="2" x14ac:dyDescent="0.35">
      <c r="A33" s="27"/>
      <c r="B33" s="11" t="str">
        <f>CONCATENATE("          ", "6119", " - ", "SICK LEAVE")</f>
        <v xml:space="preserve">          6119 - SICK LEAVE</v>
      </c>
      <c r="C33" s="11"/>
      <c r="D33" s="7">
        <v>1608.53</v>
      </c>
      <c r="E33" s="2"/>
      <c r="F33" s="6">
        <f t="shared" si="12"/>
        <v>-4.7855682923709023E-2</v>
      </c>
      <c r="G33" s="2"/>
      <c r="H33" s="7">
        <v>-9275.18</v>
      </c>
      <c r="I33" s="2"/>
      <c r="J33" s="6">
        <f t="shared" si="13"/>
        <v>-8.964490481780546E-2</v>
      </c>
      <c r="K33" s="2"/>
      <c r="L33" s="7">
        <f t="shared" si="14"/>
        <v>10883.710000000001</v>
      </c>
      <c r="M33" s="2"/>
      <c r="N33" s="6">
        <f t="shared" si="15"/>
        <v>-1.1734230494718163</v>
      </c>
      <c r="O33" s="11"/>
      <c r="P33" s="7">
        <v>13240.17</v>
      </c>
      <c r="Q33" s="2"/>
      <c r="R33" s="6">
        <f t="shared" si="16"/>
        <v>3.5237467554367278E-3</v>
      </c>
      <c r="S33" s="2"/>
      <c r="T33" s="7">
        <v>14039.63</v>
      </c>
      <c r="U33" s="2"/>
      <c r="V33" s="6">
        <f t="shared" si="17"/>
        <v>3.1735718262777979E-3</v>
      </c>
      <c r="W33" s="2"/>
      <c r="X33" s="7">
        <f t="shared" si="18"/>
        <v>-799.45999999999913</v>
      </c>
      <c r="Y33" s="2"/>
      <c r="Z33" s="6">
        <f t="shared" si="19"/>
        <v>-5.6943096078742754E-2</v>
      </c>
    </row>
    <row r="34" spans="1:26" s="24" customFormat="1" hidden="1" outlineLevel="2" x14ac:dyDescent="0.35">
      <c r="A34" s="27"/>
      <c r="B34" s="11" t="str">
        <f>CONCATENATE("          ", "6156", " - ", "EMPLOYEE MEALS")</f>
        <v xml:space="preserve">          6156 - EMPLOYEE MEALS</v>
      </c>
      <c r="C34" s="11"/>
      <c r="D34" s="7">
        <v>755.4</v>
      </c>
      <c r="E34" s="2"/>
      <c r="F34" s="6">
        <f t="shared" si="12"/>
        <v>-2.2474049523832192E-2</v>
      </c>
      <c r="G34" s="2"/>
      <c r="H34" s="7">
        <v>1031.18</v>
      </c>
      <c r="I34" s="2"/>
      <c r="J34" s="6">
        <f t="shared" si="13"/>
        <v>9.9663869542180993E-3</v>
      </c>
      <c r="K34" s="2"/>
      <c r="L34" s="7">
        <f t="shared" si="14"/>
        <v>-275.78000000000009</v>
      </c>
      <c r="M34" s="2"/>
      <c r="N34" s="6">
        <f t="shared" si="15"/>
        <v>-0.26744118388642146</v>
      </c>
      <c r="O34" s="11"/>
      <c r="P34" s="7">
        <v>12267.45</v>
      </c>
      <c r="Q34" s="2"/>
      <c r="R34" s="6">
        <f t="shared" si="16"/>
        <v>3.264866473389865E-3</v>
      </c>
      <c r="S34" s="2"/>
      <c r="T34" s="7">
        <v>12610.17</v>
      </c>
      <c r="U34" s="2"/>
      <c r="V34" s="6">
        <f t="shared" si="17"/>
        <v>2.8504512039543421E-3</v>
      </c>
      <c r="W34" s="2"/>
      <c r="X34" s="7">
        <f t="shared" si="18"/>
        <v>-342.71999999999935</v>
      </c>
      <c r="Y34" s="2"/>
      <c r="Z34" s="6">
        <f t="shared" si="19"/>
        <v>-2.7178063420239325E-2</v>
      </c>
    </row>
    <row r="35" spans="1:26" s="25" customFormat="1" outlineLevel="1" collapsed="1" x14ac:dyDescent="0.35">
      <c r="A35" s="26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18348.21</v>
      </c>
      <c r="E35" s="1"/>
      <c r="F35" s="5">
        <f t="shared" ref="F35:F41" si="20">IF(D$12=0,0,D35/D$12)</f>
        <v>-0.545881096390883</v>
      </c>
      <c r="G35" s="1"/>
      <c r="H35" s="1">
        <f>SUM(OSRRefH22_1x_0)</f>
        <v>53748.7</v>
      </c>
      <c r="I35" s="1"/>
      <c r="J35" s="5">
        <f t="shared" ref="J35:J41" si="21">IF(H$12=0,0,H35/H$12)</f>
        <v>0.5194828667024014</v>
      </c>
      <c r="K35" s="1"/>
      <c r="L35" s="1">
        <f t="shared" ref="L35:L41" si="22">+D35-H35</f>
        <v>-35400.49</v>
      </c>
      <c r="M35" s="1"/>
      <c r="N35" s="5">
        <f t="shared" ref="N35:N41" si="23">IF(H35=0,0,L35/H35)</f>
        <v>-0.65862969709034824</v>
      </c>
      <c r="O35" s="12"/>
      <c r="P35" s="1">
        <f>SUM(OSRRefP22_1x_0)</f>
        <v>877301.55999999994</v>
      </c>
      <c r="Q35" s="1"/>
      <c r="R35" s="5">
        <f t="shared" ref="R35:R41" si="24">IF(P$12=0,0,P35/P$12)</f>
        <v>0.23348556140816767</v>
      </c>
      <c r="S35" s="1"/>
      <c r="T35" s="1">
        <f>SUM(OSRRefT22_1x_0)</f>
        <v>873828.17</v>
      </c>
      <c r="U35" s="1"/>
      <c r="V35" s="5">
        <f t="shared" ref="V35:V41" si="25">IF(T$12=0,0,T35/T$12)</f>
        <v>0.19752347186641572</v>
      </c>
      <c r="W35" s="1"/>
      <c r="X35" s="1">
        <f t="shared" ref="X35:X41" si="26">+P35-T35</f>
        <v>3473.3899999998976</v>
      </c>
      <c r="Y35" s="1"/>
      <c r="Z35" s="5">
        <f t="shared" ref="Z35:Z41" si="27">IF(T35=0,0,X35/T35)</f>
        <v>3.9749119097406728E-3</v>
      </c>
    </row>
    <row r="36" spans="1:26" s="24" customFormat="1" hidden="1" outlineLevel="2" x14ac:dyDescent="0.35">
      <c r="A36" s="27"/>
      <c r="B36" s="11" t="str">
        <f>CONCATENATE("          ", "6002", " - ", "STAFF SALARIES")</f>
        <v xml:space="preserve">          6002 - STAFF SALARIES</v>
      </c>
      <c r="C36" s="11"/>
      <c r="D36" s="7">
        <v>6773.11</v>
      </c>
      <c r="E36" s="2"/>
      <c r="F36" s="6">
        <f t="shared" si="20"/>
        <v>-0.20150808786121666</v>
      </c>
      <c r="G36" s="2"/>
      <c r="H36" s="7">
        <v>14182.16</v>
      </c>
      <c r="I36" s="2"/>
      <c r="J36" s="6">
        <f t="shared" si="21"/>
        <v>0.13707102000294202</v>
      </c>
      <c r="K36" s="2"/>
      <c r="L36" s="7">
        <f t="shared" si="22"/>
        <v>-7409.05</v>
      </c>
      <c r="M36" s="2"/>
      <c r="N36" s="6">
        <f t="shared" si="23"/>
        <v>-0.52242042114882359</v>
      </c>
      <c r="O36" s="11"/>
      <c r="P36" s="7">
        <v>156872.18</v>
      </c>
      <c r="Q36" s="2"/>
      <c r="R36" s="6">
        <f t="shared" si="24"/>
        <v>4.1750055723852965E-2</v>
      </c>
      <c r="S36" s="2"/>
      <c r="T36" s="7">
        <v>168037.74</v>
      </c>
      <c r="U36" s="2"/>
      <c r="V36" s="6">
        <f t="shared" si="25"/>
        <v>3.798389540289835E-2</v>
      </c>
      <c r="W36" s="2"/>
      <c r="X36" s="7">
        <f t="shared" si="26"/>
        <v>-11165.559999999998</v>
      </c>
      <c r="Y36" s="2"/>
      <c r="Z36" s="6">
        <f t="shared" si="27"/>
        <v>-6.6446739881171918E-2</v>
      </c>
    </row>
    <row r="37" spans="1:26" s="24" customFormat="1" hidden="1" outlineLevel="2" x14ac:dyDescent="0.35">
      <c r="A37" s="27"/>
      <c r="B37" s="11" t="str">
        <f>CONCATENATE("          ", "6004", " - ", "STAFF HOURLY")</f>
        <v xml:space="preserve">          6004 - STAFF HOURLY</v>
      </c>
      <c r="C37" s="11"/>
      <c r="D37" s="7">
        <v>11575.1</v>
      </c>
      <c r="E37" s="2"/>
      <c r="F37" s="6">
        <f t="shared" si="20"/>
        <v>-0.3443730085296664</v>
      </c>
      <c r="G37" s="2"/>
      <c r="H37" s="7">
        <v>14183.62</v>
      </c>
      <c r="I37" s="2"/>
      <c r="J37" s="6">
        <f t="shared" si="21"/>
        <v>0.13708513094860927</v>
      </c>
      <c r="K37" s="2"/>
      <c r="L37" s="7">
        <f t="shared" si="22"/>
        <v>-2608.5200000000004</v>
      </c>
      <c r="M37" s="2"/>
      <c r="N37" s="6">
        <f t="shared" si="23"/>
        <v>-0.18391073646925116</v>
      </c>
      <c r="O37" s="11"/>
      <c r="P37" s="7">
        <v>222140.88999999998</v>
      </c>
      <c r="Q37" s="2"/>
      <c r="R37" s="6">
        <f t="shared" si="24"/>
        <v>5.9120709204438231E-2</v>
      </c>
      <c r="S37" s="2"/>
      <c r="T37" s="7">
        <v>227883.76</v>
      </c>
      <c r="U37" s="2"/>
      <c r="V37" s="6">
        <f t="shared" si="25"/>
        <v>5.1511719354587794E-2</v>
      </c>
      <c r="W37" s="2"/>
      <c r="X37" s="7">
        <f t="shared" si="26"/>
        <v>-5742.8700000000244</v>
      </c>
      <c r="Y37" s="2"/>
      <c r="Z37" s="6">
        <f t="shared" si="27"/>
        <v>-2.5200874340497208E-2</v>
      </c>
    </row>
    <row r="38" spans="1:26" s="24" customFormat="1" hidden="1" outlineLevel="2" x14ac:dyDescent="0.35">
      <c r="A38" s="27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0"/>
        <v>0</v>
      </c>
      <c r="G38" s="2"/>
      <c r="H38" s="7">
        <v>12226.98</v>
      </c>
      <c r="I38" s="2"/>
      <c r="J38" s="6">
        <f t="shared" si="21"/>
        <v>0.11817414414698268</v>
      </c>
      <c r="K38" s="2"/>
      <c r="L38" s="7">
        <f t="shared" si="22"/>
        <v>-12226.98</v>
      </c>
      <c r="M38" s="2"/>
      <c r="N38" s="6">
        <f t="shared" si="23"/>
        <v>-1</v>
      </c>
      <c r="O38" s="11"/>
      <c r="P38" s="7">
        <v>132250.51</v>
      </c>
      <c r="Q38" s="2"/>
      <c r="R38" s="6">
        <f t="shared" si="24"/>
        <v>3.5197229757424002E-2</v>
      </c>
      <c r="S38" s="2"/>
      <c r="T38" s="7">
        <v>117625.15999999999</v>
      </c>
      <c r="U38" s="2"/>
      <c r="V38" s="6">
        <f t="shared" si="25"/>
        <v>2.6588442418882703E-2</v>
      </c>
      <c r="W38" s="2"/>
      <c r="X38" s="7">
        <f t="shared" si="26"/>
        <v>14625.35000000002</v>
      </c>
      <c r="Y38" s="2"/>
      <c r="Z38" s="6">
        <f t="shared" si="27"/>
        <v>0.12433861939061355</v>
      </c>
    </row>
    <row r="39" spans="1:26" s="24" customFormat="1" hidden="1" outlineLevel="2" x14ac:dyDescent="0.35">
      <c r="A39" s="27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0"/>
        <v>0</v>
      </c>
      <c r="G39" s="2"/>
      <c r="H39" s="7">
        <v>1974.94</v>
      </c>
      <c r="I39" s="2"/>
      <c r="J39" s="6">
        <f t="shared" si="21"/>
        <v>1.9087856874031198E-2</v>
      </c>
      <c r="K39" s="2"/>
      <c r="L39" s="7">
        <f t="shared" si="22"/>
        <v>-1974.94</v>
      </c>
      <c r="M39" s="2"/>
      <c r="N39" s="6">
        <f t="shared" si="23"/>
        <v>-1</v>
      </c>
      <c r="O39" s="11"/>
      <c r="P39" s="7">
        <v>10133.07</v>
      </c>
      <c r="Q39" s="2"/>
      <c r="R39" s="6">
        <f t="shared" si="24"/>
        <v>2.6968213047954249E-3</v>
      </c>
      <c r="S39" s="2"/>
      <c r="T39" s="7">
        <v>1974.94</v>
      </c>
      <c r="U39" s="2"/>
      <c r="V39" s="6">
        <f t="shared" si="25"/>
        <v>4.464230141812195E-4</v>
      </c>
      <c r="W39" s="2"/>
      <c r="X39" s="7">
        <f t="shared" si="26"/>
        <v>8158.1299999999992</v>
      </c>
      <c r="Y39" s="2"/>
      <c r="Z39" s="6">
        <f t="shared" si="27"/>
        <v>4.1308242275714697</v>
      </c>
    </row>
    <row r="40" spans="1:26" s="24" customFormat="1" hidden="1" outlineLevel="2" x14ac:dyDescent="0.35">
      <c r="A40" s="27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0"/>
        <v>0</v>
      </c>
      <c r="G40" s="2"/>
      <c r="H40" s="7">
        <v>10041</v>
      </c>
      <c r="I40" s="2"/>
      <c r="J40" s="6">
        <f t="shared" si="21"/>
        <v>9.7046579071843844E-2</v>
      </c>
      <c r="K40" s="2"/>
      <c r="L40" s="7">
        <f t="shared" si="22"/>
        <v>-10041</v>
      </c>
      <c r="M40" s="2"/>
      <c r="N40" s="6">
        <f t="shared" si="23"/>
        <v>-1</v>
      </c>
      <c r="O40" s="11"/>
      <c r="P40" s="7">
        <v>326051.69</v>
      </c>
      <c r="Q40" s="2"/>
      <c r="R40" s="6">
        <f t="shared" si="24"/>
        <v>8.6775591608126007E-2</v>
      </c>
      <c r="S40" s="2"/>
      <c r="T40" s="7">
        <v>321201.67</v>
      </c>
      <c r="U40" s="2"/>
      <c r="V40" s="6">
        <f t="shared" si="25"/>
        <v>7.2605657732103951E-2</v>
      </c>
      <c r="W40" s="2"/>
      <c r="X40" s="7">
        <f t="shared" si="26"/>
        <v>4850.0200000000186</v>
      </c>
      <c r="Y40" s="2"/>
      <c r="Z40" s="6">
        <f t="shared" si="27"/>
        <v>1.5099610160806508E-2</v>
      </c>
    </row>
    <row r="41" spans="1:26" s="24" customFormat="1" hidden="1" outlineLevel="2" x14ac:dyDescent="0.35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0"/>
        <v>0</v>
      </c>
      <c r="G41" s="2"/>
      <c r="H41" s="7">
        <v>1140</v>
      </c>
      <c r="I41" s="2"/>
      <c r="J41" s="6">
        <f t="shared" si="21"/>
        <v>1.1018135657992428E-2</v>
      </c>
      <c r="K41" s="2"/>
      <c r="L41" s="7">
        <f t="shared" si="22"/>
        <v>-1140</v>
      </c>
      <c r="M41" s="2"/>
      <c r="N41" s="6">
        <f t="shared" si="23"/>
        <v>-1</v>
      </c>
      <c r="O41" s="11"/>
      <c r="P41" s="7">
        <v>29853.219999999998</v>
      </c>
      <c r="Q41" s="2"/>
      <c r="R41" s="6">
        <f t="shared" si="24"/>
        <v>7.9451538095310567E-3</v>
      </c>
      <c r="S41" s="2"/>
      <c r="T41" s="7">
        <v>37104.899999999994</v>
      </c>
      <c r="U41" s="2"/>
      <c r="V41" s="6">
        <f t="shared" si="25"/>
        <v>8.3873339437616976E-3</v>
      </c>
      <c r="W41" s="2"/>
      <c r="X41" s="7">
        <f t="shared" si="26"/>
        <v>-7251.6799999999967</v>
      </c>
      <c r="Y41" s="2"/>
      <c r="Z41" s="6">
        <f t="shared" si="27"/>
        <v>-0.1954372603079377</v>
      </c>
    </row>
    <row r="42" spans="1:26" s="25" customFormat="1" outlineLevel="1" collapsed="1" x14ac:dyDescent="0.35">
      <c r="A42" s="26"/>
      <c r="B42" s="12" t="str">
        <f>CONCATENATE("     ","Advertising/Promo                                 ")</f>
        <v xml:space="preserve">     Advertising/Promo                                 </v>
      </c>
      <c r="C42" s="12"/>
      <c r="D42" s="1">
        <f>SUM(OSRRefD22_2x_0)</f>
        <v>0</v>
      </c>
      <c r="E42" s="1"/>
      <c r="F42" s="5">
        <f t="shared" ref="F42:F61" si="28">IF(D$12=0,0,D42/D$12)</f>
        <v>0</v>
      </c>
      <c r="G42" s="1"/>
      <c r="H42" s="1">
        <f>SUM(OSRRefH22_2x_0)</f>
        <v>56.33</v>
      </c>
      <c r="I42" s="1"/>
      <c r="J42" s="5">
        <f t="shared" ref="J42:J61" si="29">IF(H$12=0,0,H42/H$12)</f>
        <v>5.4443121194273111E-4</v>
      </c>
      <c r="K42" s="1"/>
      <c r="L42" s="1">
        <f t="shared" ref="L42:L61" si="30">+D42-H42</f>
        <v>-56.33</v>
      </c>
      <c r="M42" s="1"/>
      <c r="N42" s="5">
        <f t="shared" ref="N42:N61" si="31">IF(H42=0,0,L42/H42)</f>
        <v>-1</v>
      </c>
      <c r="O42" s="12"/>
      <c r="P42" s="1">
        <f>SUM(OSRRefP22_2x_0)</f>
        <v>2828.94</v>
      </c>
      <c r="Q42" s="1"/>
      <c r="R42" s="5">
        <f t="shared" ref="R42:R61" si="32">IF(P$12=0,0,P42/P$12)</f>
        <v>7.5289578202735895E-4</v>
      </c>
      <c r="S42" s="1"/>
      <c r="T42" s="1">
        <f>SUM(OSRRefT22_2x_0)</f>
        <v>5357.6</v>
      </c>
      <c r="U42" s="1"/>
      <c r="V42" s="5">
        <f t="shared" ref="V42:V61" si="33">IF(T$12=0,0,T42/T$12)</f>
        <v>1.2110524576834242E-3</v>
      </c>
      <c r="W42" s="1"/>
      <c r="X42" s="1">
        <f t="shared" ref="X42:X61" si="34">+P42-T42</f>
        <v>-2528.6600000000003</v>
      </c>
      <c r="Y42" s="1"/>
      <c r="Z42" s="5">
        <f t="shared" ref="Z42:Z61" si="35">IF(T42=0,0,X42/T42)</f>
        <v>-0.47197625802598181</v>
      </c>
    </row>
    <row r="43" spans="1:26" s="24" customFormat="1" hidden="1" outlineLevel="2" x14ac:dyDescent="0.35">
      <c r="A43" s="27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8"/>
        <v>0</v>
      </c>
      <c r="G43" s="2"/>
      <c r="H43" s="7">
        <v>56.33</v>
      </c>
      <c r="I43" s="2"/>
      <c r="J43" s="6">
        <f t="shared" si="29"/>
        <v>5.4443121194273111E-4</v>
      </c>
      <c r="K43" s="2"/>
      <c r="L43" s="7">
        <f t="shared" si="30"/>
        <v>-56.33</v>
      </c>
      <c r="M43" s="2"/>
      <c r="N43" s="6">
        <f t="shared" si="31"/>
        <v>-1</v>
      </c>
      <c r="O43" s="11"/>
      <c r="P43" s="7">
        <v>2828.94</v>
      </c>
      <c r="Q43" s="2"/>
      <c r="R43" s="6">
        <f t="shared" si="32"/>
        <v>7.5289578202735895E-4</v>
      </c>
      <c r="S43" s="2"/>
      <c r="T43" s="7">
        <v>5357.6</v>
      </c>
      <c r="U43" s="2"/>
      <c r="V43" s="6">
        <f t="shared" si="33"/>
        <v>1.2110524576834242E-3</v>
      </c>
      <c r="W43" s="2"/>
      <c r="X43" s="7">
        <f t="shared" si="34"/>
        <v>-2528.6600000000003</v>
      </c>
      <c r="Y43" s="2"/>
      <c r="Z43" s="6">
        <f t="shared" si="35"/>
        <v>-0.47197625802598181</v>
      </c>
    </row>
    <row r="44" spans="1:26" s="25" customFormat="1" outlineLevel="1" collapsed="1" x14ac:dyDescent="0.35">
      <c r="A44" s="26"/>
      <c r="B44" s="12" t="str">
        <f>CONCATENATE("     ","Bad Debts/Over/Short                              ")</f>
        <v xml:space="preserve">     Bad Debts/Over/Short                              </v>
      </c>
      <c r="C44" s="12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77.87</v>
      </c>
      <c r="I44" s="1"/>
      <c r="J44" s="5">
        <f t="shared" si="29"/>
        <v>7.5261598569111444E-4</v>
      </c>
      <c r="K44" s="1"/>
      <c r="L44" s="1">
        <f t="shared" si="30"/>
        <v>-77.87</v>
      </c>
      <c r="M44" s="1"/>
      <c r="N44" s="5">
        <f t="shared" si="31"/>
        <v>-1</v>
      </c>
      <c r="O44" s="12"/>
      <c r="P44" s="1">
        <f>SUM(OSRRefP22_3x_0)</f>
        <v>1.65</v>
      </c>
      <c r="Q44" s="1"/>
      <c r="R44" s="5">
        <f t="shared" si="32"/>
        <v>4.3913198595415317E-7</v>
      </c>
      <c r="S44" s="1"/>
      <c r="T44" s="1">
        <f>SUM(OSRRefT22_3x_0)</f>
        <v>77.45</v>
      </c>
      <c r="U44" s="1"/>
      <c r="V44" s="5">
        <f t="shared" si="33"/>
        <v>1.7507095126097731E-5</v>
      </c>
      <c r="W44" s="1"/>
      <c r="X44" s="1">
        <f t="shared" si="34"/>
        <v>-75.8</v>
      </c>
      <c r="Y44" s="1"/>
      <c r="Z44" s="5">
        <f t="shared" si="35"/>
        <v>-0.97869593285990952</v>
      </c>
    </row>
    <row r="45" spans="1:26" s="24" customFormat="1" hidden="1" outlineLevel="2" x14ac:dyDescent="0.35">
      <c r="A45" s="27"/>
      <c r="B45" s="11" t="str">
        <f>CONCATENATE("          ", "6272", " - ", "CASH (OVER/SHORT)")</f>
        <v xml:space="preserve">          6272 - CASH (OVER/SHORT)</v>
      </c>
      <c r="C45" s="11"/>
      <c r="D45" s="7"/>
      <c r="E45" s="2"/>
      <c r="F45" s="6">
        <f t="shared" si="28"/>
        <v>0</v>
      </c>
      <c r="G45" s="2"/>
      <c r="H45" s="7">
        <v>77.87</v>
      </c>
      <c r="I45" s="2"/>
      <c r="J45" s="6">
        <f t="shared" si="29"/>
        <v>7.5261598569111444E-4</v>
      </c>
      <c r="K45" s="2"/>
      <c r="L45" s="7">
        <f t="shared" si="30"/>
        <v>-77.87</v>
      </c>
      <c r="M45" s="2"/>
      <c r="N45" s="6">
        <f t="shared" si="31"/>
        <v>-1</v>
      </c>
      <c r="O45" s="11"/>
      <c r="P45" s="7">
        <v>1.65</v>
      </c>
      <c r="Q45" s="2"/>
      <c r="R45" s="6">
        <f t="shared" si="32"/>
        <v>4.3913198595415317E-7</v>
      </c>
      <c r="S45" s="2"/>
      <c r="T45" s="7">
        <v>77.45</v>
      </c>
      <c r="U45" s="2"/>
      <c r="V45" s="6">
        <f t="shared" si="33"/>
        <v>1.7507095126097731E-5</v>
      </c>
      <c r="W45" s="2"/>
      <c r="X45" s="7">
        <f t="shared" si="34"/>
        <v>-75.8</v>
      </c>
      <c r="Y45" s="2"/>
      <c r="Z45" s="6">
        <f t="shared" si="35"/>
        <v>-0.97869593285990952</v>
      </c>
    </row>
    <row r="46" spans="1:26" s="25" customFormat="1" outlineLevel="1" collapsed="1" x14ac:dyDescent="0.35">
      <c r="A46" s="26"/>
      <c r="B46" s="12" t="str">
        <f>CONCATENATE("     ","Bank/card Fees                                    ")</f>
        <v xml:space="preserve">     Bank/card Fees                                    </v>
      </c>
      <c r="C46" s="12"/>
      <c r="D46" s="1">
        <f>SUM(OSRRefD22_4x_0)</f>
        <v>0</v>
      </c>
      <c r="E46" s="1"/>
      <c r="F46" s="5">
        <f t="shared" si="28"/>
        <v>0</v>
      </c>
      <c r="G46" s="1"/>
      <c r="H46" s="1">
        <f>SUM(OSRRefH22_4x_0)</f>
        <v>54.24</v>
      </c>
      <c r="I46" s="1"/>
      <c r="J46" s="5">
        <f t="shared" si="29"/>
        <v>5.24231296569745E-4</v>
      </c>
      <c r="K46" s="1"/>
      <c r="L46" s="1">
        <f t="shared" si="30"/>
        <v>-54.24</v>
      </c>
      <c r="M46" s="1"/>
      <c r="N46" s="5">
        <f t="shared" si="31"/>
        <v>-1</v>
      </c>
      <c r="O46" s="12"/>
      <c r="P46" s="1">
        <f>SUM(OSRRefP22_4x_0)</f>
        <v>1859.94</v>
      </c>
      <c r="Q46" s="1"/>
      <c r="R46" s="5">
        <f t="shared" si="32"/>
        <v>4.9500554300337444E-4</v>
      </c>
      <c r="S46" s="1"/>
      <c r="T46" s="1">
        <f>SUM(OSRRefT22_4x_0)</f>
        <v>2364.91</v>
      </c>
      <c r="U46" s="1"/>
      <c r="V46" s="5">
        <f t="shared" si="33"/>
        <v>5.3457332904660788E-4</v>
      </c>
      <c r="W46" s="1"/>
      <c r="X46" s="1">
        <f t="shared" si="34"/>
        <v>-504.9699999999998</v>
      </c>
      <c r="Y46" s="1"/>
      <c r="Z46" s="5">
        <f t="shared" si="35"/>
        <v>-0.21352609613050808</v>
      </c>
    </row>
    <row r="47" spans="1:26" s="24" customFormat="1" hidden="1" outlineLevel="2" x14ac:dyDescent="0.35">
      <c r="A47" s="27"/>
      <c r="B47" s="11" t="str">
        <f>CONCATENATE("          ", "6381", " - ", "BANK/CREDIT CARD FEES")</f>
        <v xml:space="preserve">          6381 - BANK/CREDIT CARD FEES</v>
      </c>
      <c r="C47" s="11"/>
      <c r="D47" s="7"/>
      <c r="E47" s="2"/>
      <c r="F47" s="6">
        <f t="shared" si="28"/>
        <v>0</v>
      </c>
      <c r="G47" s="2"/>
      <c r="H47" s="7">
        <v>54.24</v>
      </c>
      <c r="I47" s="2"/>
      <c r="J47" s="6">
        <f t="shared" si="29"/>
        <v>5.24231296569745E-4</v>
      </c>
      <c r="K47" s="2"/>
      <c r="L47" s="7">
        <f t="shared" si="30"/>
        <v>-54.24</v>
      </c>
      <c r="M47" s="2"/>
      <c r="N47" s="6">
        <f t="shared" si="31"/>
        <v>-1</v>
      </c>
      <c r="O47" s="11"/>
      <c r="P47" s="7">
        <v>1859.94</v>
      </c>
      <c r="Q47" s="2"/>
      <c r="R47" s="6">
        <f t="shared" si="32"/>
        <v>4.9500554300337444E-4</v>
      </c>
      <c r="S47" s="2"/>
      <c r="T47" s="7">
        <v>2364.91</v>
      </c>
      <c r="U47" s="2"/>
      <c r="V47" s="6">
        <f t="shared" si="33"/>
        <v>5.3457332904660788E-4</v>
      </c>
      <c r="W47" s="2"/>
      <c r="X47" s="7">
        <f t="shared" si="34"/>
        <v>-504.9699999999998</v>
      </c>
      <c r="Y47" s="2"/>
      <c r="Z47" s="6">
        <f t="shared" si="35"/>
        <v>-0.21352609613050808</v>
      </c>
    </row>
    <row r="48" spans="1:26" s="25" customFormat="1" outlineLevel="1" collapsed="1" x14ac:dyDescent="0.35">
      <c r="A48" s="26"/>
      <c r="B48" s="12" t="str">
        <f>CONCATENATE("     ","Donations                                         ")</f>
        <v xml:space="preserve">     Donations                                         </v>
      </c>
      <c r="C48" s="12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2"/>
      <c r="P48" s="1">
        <f>SUM(OSRRefP22_5x_0)</f>
        <v>90514.12</v>
      </c>
      <c r="Q48" s="1"/>
      <c r="R48" s="5">
        <f t="shared" si="32"/>
        <v>2.408948198332881E-2</v>
      </c>
      <c r="S48" s="1"/>
      <c r="T48" s="1">
        <f>SUM(OSRRefT22_5x_0)</f>
        <v>80130.759999999995</v>
      </c>
      <c r="U48" s="1"/>
      <c r="V48" s="5">
        <f t="shared" si="33"/>
        <v>1.8113064400858706E-2</v>
      </c>
      <c r="W48" s="1"/>
      <c r="X48" s="1">
        <f t="shared" si="34"/>
        <v>10383.36</v>
      </c>
      <c r="Y48" s="1"/>
      <c r="Z48" s="5">
        <f t="shared" si="35"/>
        <v>0.12958020116120203</v>
      </c>
    </row>
    <row r="49" spans="1:26" s="24" customFormat="1" hidden="1" outlineLevel="2" x14ac:dyDescent="0.35">
      <c r="A49" s="27"/>
      <c r="B49" s="11" t="str">
        <f>CONCATENATE("          ", "6399", " - ", "DONATION-ON CAMPUS")</f>
        <v xml:space="preserve">          6399 - DONATION-ON CAMPUS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>
        <v>90514.12</v>
      </c>
      <c r="Q49" s="2"/>
      <c r="R49" s="6">
        <f t="shared" si="32"/>
        <v>2.408948198332881E-2</v>
      </c>
      <c r="S49" s="2"/>
      <c r="T49" s="7">
        <v>80130.759999999995</v>
      </c>
      <c r="U49" s="2"/>
      <c r="V49" s="6">
        <f t="shared" si="33"/>
        <v>1.8113064400858706E-2</v>
      </c>
      <c r="W49" s="2"/>
      <c r="X49" s="7">
        <f t="shared" si="34"/>
        <v>10383.36</v>
      </c>
      <c r="Y49" s="2"/>
      <c r="Z49" s="6">
        <f t="shared" si="35"/>
        <v>0.12958020116120203</v>
      </c>
    </row>
    <row r="50" spans="1:26" s="25" customFormat="1" outlineLevel="1" collapsed="1" x14ac:dyDescent="0.35">
      <c r="A50" s="26"/>
      <c r="B50" s="12" t="str">
        <f>CONCATENATE("     ","Employees' Appreciation                           ")</f>
        <v xml:space="preserve">     Employees' Appreciation                           </v>
      </c>
      <c r="C50" s="12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42.98</v>
      </c>
      <c r="I50" s="1"/>
      <c r="J50" s="5">
        <f t="shared" si="29"/>
        <v>4.1540304436887241E-4</v>
      </c>
      <c r="K50" s="1"/>
      <c r="L50" s="1">
        <f t="shared" si="30"/>
        <v>-42.98</v>
      </c>
      <c r="M50" s="1"/>
      <c r="N50" s="5">
        <f t="shared" si="31"/>
        <v>-1</v>
      </c>
      <c r="O50" s="12"/>
      <c r="P50" s="1">
        <f>SUM(OSRRefP22_6x_0)</f>
        <v>172.29</v>
      </c>
      <c r="Q50" s="1"/>
      <c r="R50" s="5">
        <f t="shared" si="32"/>
        <v>4.5853363551540031E-5</v>
      </c>
      <c r="S50" s="1"/>
      <c r="T50" s="1">
        <f>SUM(OSRRefT22_6x_0)</f>
        <v>708.83</v>
      </c>
      <c r="U50" s="1"/>
      <c r="V50" s="5">
        <f t="shared" si="33"/>
        <v>1.6022665252720276E-4</v>
      </c>
      <c r="W50" s="1"/>
      <c r="X50" s="1">
        <f t="shared" si="34"/>
        <v>-536.54000000000008</v>
      </c>
      <c r="Y50" s="1"/>
      <c r="Z50" s="5">
        <f t="shared" si="35"/>
        <v>-0.75693748853744913</v>
      </c>
    </row>
    <row r="51" spans="1:26" s="24" customFormat="1" hidden="1" outlineLevel="2" x14ac:dyDescent="0.35">
      <c r="A51" s="27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8"/>
        <v>0</v>
      </c>
      <c r="G51" s="2"/>
      <c r="H51" s="7">
        <v>42.98</v>
      </c>
      <c r="I51" s="2"/>
      <c r="J51" s="6">
        <f t="shared" si="29"/>
        <v>4.1540304436887241E-4</v>
      </c>
      <c r="K51" s="2"/>
      <c r="L51" s="7">
        <f t="shared" si="30"/>
        <v>-42.98</v>
      </c>
      <c r="M51" s="2"/>
      <c r="N51" s="6">
        <f t="shared" si="31"/>
        <v>-1</v>
      </c>
      <c r="O51" s="11"/>
      <c r="P51" s="7">
        <v>172.29</v>
      </c>
      <c r="Q51" s="2"/>
      <c r="R51" s="6">
        <f t="shared" si="32"/>
        <v>4.5853363551540031E-5</v>
      </c>
      <c r="S51" s="2"/>
      <c r="T51" s="7">
        <v>708.83</v>
      </c>
      <c r="U51" s="2"/>
      <c r="V51" s="6">
        <f t="shared" si="33"/>
        <v>1.6022665252720276E-4</v>
      </c>
      <c r="W51" s="2"/>
      <c r="X51" s="7">
        <f t="shared" si="34"/>
        <v>-536.54000000000008</v>
      </c>
      <c r="Y51" s="2"/>
      <c r="Z51" s="6">
        <f t="shared" si="35"/>
        <v>-0.75693748853744913</v>
      </c>
    </row>
    <row r="52" spans="1:26" s="25" customFormat="1" outlineLevel="1" collapsed="1" x14ac:dyDescent="0.35">
      <c r="A52" s="26"/>
      <c r="B52" s="12" t="str">
        <f>CONCATENATE("     ","Equipment Rental                                  ")</f>
        <v xml:space="preserve">     Equipment Rental                                  </v>
      </c>
      <c r="C52" s="12"/>
      <c r="D52" s="1">
        <f>SUM(OSRRefD22_7x_0)</f>
        <v>637.48</v>
      </c>
      <c r="E52" s="1"/>
      <c r="F52" s="5">
        <f t="shared" si="28"/>
        <v>-1.8965789105708956E-2</v>
      </c>
      <c r="G52" s="1"/>
      <c r="H52" s="1">
        <f>SUM(OSRRefH22_7x_0)</f>
        <v>262.29000000000002</v>
      </c>
      <c r="I52" s="1"/>
      <c r="J52" s="5">
        <f t="shared" si="29"/>
        <v>2.5350410541533632E-3</v>
      </c>
      <c r="K52" s="1"/>
      <c r="L52" s="1">
        <f t="shared" si="30"/>
        <v>375.19</v>
      </c>
      <c r="M52" s="1"/>
      <c r="N52" s="5">
        <f t="shared" si="31"/>
        <v>1.4304395897670517</v>
      </c>
      <c r="O52" s="12"/>
      <c r="P52" s="1">
        <f>SUM(OSRRefP22_7x_0)</f>
        <v>2831.1</v>
      </c>
      <c r="Q52" s="1"/>
      <c r="R52" s="5">
        <f t="shared" si="32"/>
        <v>7.5347064571806247E-4</v>
      </c>
      <c r="S52" s="1"/>
      <c r="T52" s="1">
        <f>SUM(OSRRefT22_7x_0)</f>
        <v>3329.96</v>
      </c>
      <c r="U52" s="1"/>
      <c r="V52" s="5">
        <f t="shared" si="33"/>
        <v>7.5271693332602189E-4</v>
      </c>
      <c r="W52" s="1"/>
      <c r="X52" s="1">
        <f t="shared" si="34"/>
        <v>-498.86000000000013</v>
      </c>
      <c r="Y52" s="1"/>
      <c r="Z52" s="5">
        <f t="shared" si="35"/>
        <v>-0.14980960732261051</v>
      </c>
    </row>
    <row r="53" spans="1:26" s="24" customFormat="1" hidden="1" outlineLevel="2" x14ac:dyDescent="0.35">
      <c r="A53" s="27"/>
      <c r="B53" s="11" t="str">
        <f>CONCATENATE("          ", "6351", " - ", "EQUIPMENT RENTAL")</f>
        <v xml:space="preserve">          6351 - EQUIPMENT RENTAL</v>
      </c>
      <c r="C53" s="11"/>
      <c r="D53" s="7">
        <v>637.48</v>
      </c>
      <c r="E53" s="2"/>
      <c r="F53" s="6">
        <f t="shared" si="28"/>
        <v>-1.8965789105708956E-2</v>
      </c>
      <c r="G53" s="2"/>
      <c r="H53" s="7">
        <v>262.29000000000002</v>
      </c>
      <c r="I53" s="2"/>
      <c r="J53" s="6">
        <f t="shared" si="29"/>
        <v>2.5350410541533632E-3</v>
      </c>
      <c r="K53" s="2"/>
      <c r="L53" s="7">
        <f t="shared" si="30"/>
        <v>375.19</v>
      </c>
      <c r="M53" s="2"/>
      <c r="N53" s="6">
        <f t="shared" si="31"/>
        <v>1.4304395897670517</v>
      </c>
      <c r="O53" s="11"/>
      <c r="P53" s="7">
        <v>2831.1</v>
      </c>
      <c r="Q53" s="2"/>
      <c r="R53" s="6">
        <f t="shared" si="32"/>
        <v>7.5347064571806247E-4</v>
      </c>
      <c r="S53" s="2"/>
      <c r="T53" s="7">
        <v>3329.96</v>
      </c>
      <c r="U53" s="2"/>
      <c r="V53" s="6">
        <f t="shared" si="33"/>
        <v>7.5271693332602189E-4</v>
      </c>
      <c r="W53" s="2"/>
      <c r="X53" s="7">
        <f t="shared" si="34"/>
        <v>-498.86000000000013</v>
      </c>
      <c r="Y53" s="2"/>
      <c r="Z53" s="6">
        <f t="shared" si="35"/>
        <v>-0.14980960732261051</v>
      </c>
    </row>
    <row r="54" spans="1:26" s="25" customFormat="1" outlineLevel="1" collapsed="1" x14ac:dyDescent="0.35">
      <c r="A54" s="26"/>
      <c r="B54" s="12" t="str">
        <f>CONCATENATE("     ","General                                           ")</f>
        <v xml:space="preserve">     General                                           </v>
      </c>
      <c r="C54" s="12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7.55</v>
      </c>
      <c r="I54" s="1"/>
      <c r="J54" s="5">
        <f t="shared" si="29"/>
        <v>7.2970986156002481E-5</v>
      </c>
      <c r="K54" s="1"/>
      <c r="L54" s="1">
        <f t="shared" si="30"/>
        <v>-7.55</v>
      </c>
      <c r="M54" s="1"/>
      <c r="N54" s="5">
        <f t="shared" si="31"/>
        <v>-1</v>
      </c>
      <c r="O54" s="12"/>
      <c r="P54" s="1">
        <f>SUM(OSRRefP22_8x_0)</f>
        <v>2391.19</v>
      </c>
      <c r="Q54" s="1"/>
      <c r="R54" s="5">
        <f t="shared" si="32"/>
        <v>6.3639273545073433E-4</v>
      </c>
      <c r="S54" s="1"/>
      <c r="T54" s="1">
        <f>SUM(OSRRefT22_8x_0)</f>
        <v>2472.6</v>
      </c>
      <c r="U54" s="1"/>
      <c r="V54" s="5">
        <f t="shared" si="33"/>
        <v>5.5891598978423818E-4</v>
      </c>
      <c r="W54" s="1"/>
      <c r="X54" s="1">
        <f t="shared" si="34"/>
        <v>-81.409999999999854</v>
      </c>
      <c r="Y54" s="1"/>
      <c r="Z54" s="5">
        <f t="shared" si="35"/>
        <v>-3.2924856426433655E-2</v>
      </c>
    </row>
    <row r="55" spans="1:26" s="24" customFormat="1" hidden="1" outlineLevel="2" x14ac:dyDescent="0.35">
      <c r="A55" s="27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8"/>
        <v>0</v>
      </c>
      <c r="G55" s="2"/>
      <c r="H55" s="7">
        <v>7.55</v>
      </c>
      <c r="I55" s="2"/>
      <c r="J55" s="6">
        <f t="shared" si="29"/>
        <v>7.2970986156002481E-5</v>
      </c>
      <c r="K55" s="2"/>
      <c r="L55" s="7">
        <f t="shared" si="30"/>
        <v>-7.55</v>
      </c>
      <c r="M55" s="2"/>
      <c r="N55" s="6">
        <f t="shared" si="31"/>
        <v>-1</v>
      </c>
      <c r="O55" s="11"/>
      <c r="P55" s="7">
        <v>2391.19</v>
      </c>
      <c r="Q55" s="2"/>
      <c r="R55" s="6">
        <f t="shared" si="32"/>
        <v>6.3639273545073433E-4</v>
      </c>
      <c r="S55" s="2"/>
      <c r="T55" s="7">
        <v>2472.6</v>
      </c>
      <c r="U55" s="2"/>
      <c r="V55" s="6">
        <f t="shared" si="33"/>
        <v>5.5891598978423818E-4</v>
      </c>
      <c r="W55" s="2"/>
      <c r="X55" s="7">
        <f t="shared" si="34"/>
        <v>-81.409999999999854</v>
      </c>
      <c r="Y55" s="2"/>
      <c r="Z55" s="6">
        <f t="shared" si="35"/>
        <v>-3.2924856426433655E-2</v>
      </c>
    </row>
    <row r="56" spans="1:26" s="25" customFormat="1" outlineLevel="1" collapsed="1" x14ac:dyDescent="0.35">
      <c r="A56" s="26"/>
      <c r="B56" s="12" t="str">
        <f>CONCATENATE("     ","R/H Commissions                                   ")</f>
        <v xml:space="preserve">     R/H Commissions                                   </v>
      </c>
      <c r="C56" s="12"/>
      <c r="D56" s="1">
        <f>SUM(OSRRefD22_9x_0)</f>
        <v>-3144.03</v>
      </c>
      <c r="E56" s="1"/>
      <c r="F56" s="5">
        <f t="shared" si="28"/>
        <v>9.3538636383921278E-2</v>
      </c>
      <c r="G56" s="1"/>
      <c r="H56" s="1">
        <f>SUM(OSRRefH22_9x_0)</f>
        <v>8277.26</v>
      </c>
      <c r="I56" s="1"/>
      <c r="J56" s="5">
        <f t="shared" si="29"/>
        <v>7.9999976803924927E-2</v>
      </c>
      <c r="K56" s="1"/>
      <c r="L56" s="1">
        <f t="shared" si="30"/>
        <v>-11421.29</v>
      </c>
      <c r="M56" s="1"/>
      <c r="N56" s="5">
        <f t="shared" si="31"/>
        <v>-1.3798394637839093</v>
      </c>
      <c r="O56" s="12"/>
      <c r="P56" s="1">
        <f>SUM(OSRRefP22_9x_0)</f>
        <v>289579.68</v>
      </c>
      <c r="Q56" s="1"/>
      <c r="R56" s="5">
        <f t="shared" si="32"/>
        <v>7.7068909072950414E-2</v>
      </c>
      <c r="S56" s="1"/>
      <c r="T56" s="1">
        <f>SUM(OSRRefT22_9x_0)</f>
        <v>342604.02</v>
      </c>
      <c r="U56" s="1"/>
      <c r="V56" s="5">
        <f t="shared" si="33"/>
        <v>7.7443527033227752E-2</v>
      </c>
      <c r="W56" s="1"/>
      <c r="X56" s="1">
        <f t="shared" si="34"/>
        <v>-53024.340000000026</v>
      </c>
      <c r="Y56" s="1"/>
      <c r="Z56" s="5">
        <f t="shared" si="35"/>
        <v>-0.15476858677840388</v>
      </c>
    </row>
    <row r="57" spans="1:26" s="24" customFormat="1" hidden="1" outlineLevel="2" x14ac:dyDescent="0.35">
      <c r="A57" s="27"/>
      <c r="B57" s="11" t="str">
        <f>CONCATENATE("          ", "6387", " - ", "COMMISSION DUE HOUSING")</f>
        <v xml:space="preserve">          6387 - COMMISSION DUE HOUSING</v>
      </c>
      <c r="C57" s="11"/>
      <c r="D57" s="7">
        <v>-3144.03</v>
      </c>
      <c r="E57" s="2"/>
      <c r="F57" s="6">
        <f t="shared" si="28"/>
        <v>9.3538636383921278E-2</v>
      </c>
      <c r="G57" s="2"/>
      <c r="H57" s="7">
        <v>8277.26</v>
      </c>
      <c r="I57" s="2"/>
      <c r="J57" s="6">
        <f t="shared" si="29"/>
        <v>7.9999976803924927E-2</v>
      </c>
      <c r="K57" s="2"/>
      <c r="L57" s="7">
        <f t="shared" si="30"/>
        <v>-11421.29</v>
      </c>
      <c r="M57" s="2"/>
      <c r="N57" s="6">
        <f t="shared" si="31"/>
        <v>-1.3798394637839093</v>
      </c>
      <c r="O57" s="11"/>
      <c r="P57" s="7">
        <v>289579.68</v>
      </c>
      <c r="Q57" s="2"/>
      <c r="R57" s="6">
        <f t="shared" si="32"/>
        <v>7.7068909072950414E-2</v>
      </c>
      <c r="S57" s="2"/>
      <c r="T57" s="7">
        <v>342604.02</v>
      </c>
      <c r="U57" s="2"/>
      <c r="V57" s="6">
        <f t="shared" si="33"/>
        <v>7.7443527033227752E-2</v>
      </c>
      <c r="W57" s="2"/>
      <c r="X57" s="7">
        <f t="shared" si="34"/>
        <v>-53024.340000000026</v>
      </c>
      <c r="Y57" s="2"/>
      <c r="Z57" s="6">
        <f t="shared" si="35"/>
        <v>-0.15476858677840388</v>
      </c>
    </row>
    <row r="58" spans="1:26" s="25" customFormat="1" outlineLevel="1" collapsed="1" x14ac:dyDescent="0.35">
      <c r="A58" s="26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SUM(OSRRefD22_10x_0)</f>
        <v>72.349999999999994</v>
      </c>
      <c r="E58" s="1"/>
      <c r="F58" s="5">
        <f t="shared" si="28"/>
        <v>-2.1524986537586168E-3</v>
      </c>
      <c r="G58" s="1"/>
      <c r="H58" s="1">
        <f>SUM(OSRRefH22_10x_0)</f>
        <v>67.47</v>
      </c>
      <c r="I58" s="1"/>
      <c r="J58" s="5">
        <f t="shared" si="29"/>
        <v>6.5209966039013088E-4</v>
      </c>
      <c r="K58" s="1"/>
      <c r="L58" s="1">
        <f t="shared" si="30"/>
        <v>4.8799999999999955</v>
      </c>
      <c r="M58" s="1"/>
      <c r="N58" s="5">
        <f t="shared" si="31"/>
        <v>7.232844227063874E-2</v>
      </c>
      <c r="O58" s="12"/>
      <c r="P58" s="1">
        <f>SUM(OSRRefP22_10x_0)</f>
        <v>8675.0700000000015</v>
      </c>
      <c r="Q58" s="1"/>
      <c r="R58" s="5">
        <f t="shared" si="32"/>
        <v>2.3087883135704829E-3</v>
      </c>
      <c r="S58" s="1"/>
      <c r="T58" s="1">
        <f>SUM(OSRRefT22_10x_0)</f>
        <v>19888.880000000005</v>
      </c>
      <c r="U58" s="1"/>
      <c r="V58" s="5">
        <f t="shared" si="33"/>
        <v>4.4957587361077172E-3</v>
      </c>
      <c r="W58" s="1"/>
      <c r="X58" s="1">
        <f t="shared" si="34"/>
        <v>-11213.810000000003</v>
      </c>
      <c r="Y58" s="1"/>
      <c r="Z58" s="5">
        <f t="shared" si="35"/>
        <v>-0.56382310114998935</v>
      </c>
    </row>
    <row r="59" spans="1:26" s="24" customFormat="1" hidden="1" outlineLevel="2" x14ac:dyDescent="0.3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8238.75</v>
      </c>
      <c r="Q59" s="2"/>
      <c r="R59" s="6">
        <f t="shared" si="32"/>
        <v>2.1926658480483515E-3</v>
      </c>
      <c r="S59" s="2"/>
      <c r="T59" s="7">
        <v>19293.670000000002</v>
      </c>
      <c r="U59" s="2"/>
      <c r="V59" s="6">
        <f t="shared" si="33"/>
        <v>4.3612151842677598E-3</v>
      </c>
      <c r="W59" s="2"/>
      <c r="X59" s="7">
        <f t="shared" si="34"/>
        <v>-11054.920000000002</v>
      </c>
      <c r="Y59" s="2"/>
      <c r="Z59" s="6">
        <f t="shared" si="35"/>
        <v>-0.57298170850854191</v>
      </c>
    </row>
    <row r="60" spans="1:26" s="24" customFormat="1" hidden="1" outlineLevel="2" x14ac:dyDescent="0.35">
      <c r="A60" s="27"/>
      <c r="B60" s="11" t="str">
        <f>CONCATENATE("          ", "6373", " - ", "MAINTENANCE CONTRACTS")</f>
        <v xml:space="preserve">          6373 - MAINTENANCE CONTRACTS</v>
      </c>
      <c r="C60" s="11"/>
      <c r="D60" s="7">
        <v>72.349999999999994</v>
      </c>
      <c r="E60" s="2"/>
      <c r="F60" s="6">
        <f t="shared" si="28"/>
        <v>-2.1524986537586168E-3</v>
      </c>
      <c r="G60" s="2"/>
      <c r="H60" s="7">
        <v>67.47</v>
      </c>
      <c r="I60" s="2"/>
      <c r="J60" s="6">
        <f t="shared" si="29"/>
        <v>6.5209966039013088E-4</v>
      </c>
      <c r="K60" s="2"/>
      <c r="L60" s="7">
        <f t="shared" si="30"/>
        <v>4.8799999999999955</v>
      </c>
      <c r="M60" s="2"/>
      <c r="N60" s="6">
        <f t="shared" si="31"/>
        <v>7.232844227063874E-2</v>
      </c>
      <c r="O60" s="11"/>
      <c r="P60" s="7">
        <v>284.54000000000002</v>
      </c>
      <c r="Q60" s="2"/>
      <c r="R60" s="6">
        <f t="shared" si="32"/>
        <v>7.5727645626299861E-5</v>
      </c>
      <c r="S60" s="2"/>
      <c r="T60" s="7">
        <v>269.88</v>
      </c>
      <c r="U60" s="2"/>
      <c r="V60" s="6">
        <f t="shared" si="33"/>
        <v>6.1004710556891606E-5</v>
      </c>
      <c r="W60" s="2"/>
      <c r="X60" s="7">
        <f t="shared" si="34"/>
        <v>14.660000000000025</v>
      </c>
      <c r="Y60" s="2"/>
      <c r="Z60" s="6">
        <f t="shared" si="35"/>
        <v>5.4320438713502388E-2</v>
      </c>
    </row>
    <row r="61" spans="1:26" s="24" customFormat="1" hidden="1" outlineLevel="2" x14ac:dyDescent="0.3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151.78</v>
      </c>
      <c r="Q61" s="2"/>
      <c r="R61" s="6">
        <f t="shared" si="32"/>
        <v>4.0394819895831139E-5</v>
      </c>
      <c r="S61" s="2"/>
      <c r="T61" s="7">
        <v>325.33</v>
      </c>
      <c r="U61" s="2"/>
      <c r="V61" s="6">
        <f t="shared" si="33"/>
        <v>7.3538841283064872E-5</v>
      </c>
      <c r="W61" s="2"/>
      <c r="X61" s="7">
        <f t="shared" si="34"/>
        <v>-173.54999999999998</v>
      </c>
      <c r="Y61" s="2"/>
      <c r="Z61" s="6">
        <f t="shared" si="35"/>
        <v>-0.5334583346140841</v>
      </c>
    </row>
    <row r="62" spans="1:26" s="25" customFormat="1" outlineLevel="1" collapsed="1" x14ac:dyDescent="0.35">
      <c r="A62" s="26"/>
      <c r="B62" s="12" t="str">
        <f>CONCATENATE("     ","Services                                          ")</f>
        <v xml:space="preserve">     Services                                          </v>
      </c>
      <c r="C62" s="12"/>
      <c r="D62" s="1">
        <f>SUM(OSRRefD22_11x_0)</f>
        <v>4936.3</v>
      </c>
      <c r="E62" s="1"/>
      <c r="F62" s="5">
        <f t="shared" ref="F62:F65" si="36">IF(D$12=0,0,D62/D$12)</f>
        <v>-0.14686080310364424</v>
      </c>
      <c r="G62" s="1"/>
      <c r="H62" s="1">
        <f>SUM(OSRRefH22_11x_0)</f>
        <v>7100.73</v>
      </c>
      <c r="I62" s="1"/>
      <c r="J62" s="5">
        <f t="shared" ref="J62:J65" si="37">IF(H$12=0,0,H62/H$12)</f>
        <v>6.8628777553312786E-2</v>
      </c>
      <c r="K62" s="1"/>
      <c r="L62" s="1">
        <f t="shared" ref="L62:L65" si="38">+D62-H62</f>
        <v>-2164.4299999999994</v>
      </c>
      <c r="M62" s="1"/>
      <c r="N62" s="5">
        <f t="shared" ref="N62:N65" si="39">IF(H62=0,0,L62/H62)</f>
        <v>-0.30481795533698641</v>
      </c>
      <c r="O62" s="12"/>
      <c r="P62" s="1">
        <f>SUM(OSRRefP22_11x_0)</f>
        <v>75782.44</v>
      </c>
      <c r="Q62" s="1"/>
      <c r="R62" s="5">
        <f t="shared" ref="R62:R65" si="40">IF(P$12=0,0,P62/P$12)</f>
        <v>2.016878386524331E-2</v>
      </c>
      <c r="S62" s="1"/>
      <c r="T62" s="1">
        <f>SUM(OSRRefT22_11x_0)</f>
        <v>72326.990000000005</v>
      </c>
      <c r="U62" s="1"/>
      <c r="V62" s="5">
        <f t="shared" ref="V62:V65" si="41">IF(T$12=0,0,T62/T$12)</f>
        <v>1.6349070291986047E-2</v>
      </c>
      <c r="W62" s="1"/>
      <c r="X62" s="1">
        <f t="shared" ref="X62:X65" si="42">+P62-T62</f>
        <v>3455.4499999999971</v>
      </c>
      <c r="Y62" s="1"/>
      <c r="Z62" s="5">
        <f t="shared" ref="Z62:Z65" si="43">IF(T62=0,0,X62/T62)</f>
        <v>4.777538786005054E-2</v>
      </c>
    </row>
    <row r="63" spans="1:26" s="24" customFormat="1" hidden="1" outlineLevel="2" x14ac:dyDescent="0.35">
      <c r="A63" s="27"/>
      <c r="B63" s="11" t="str">
        <f>CONCATENATE("          ", "6282", " - ", "JANITORIAL/EXTERMINATOR EXPENS")</f>
        <v xml:space="preserve">          6282 - JANITORIAL/EXTERMINATOR EXPENS</v>
      </c>
      <c r="C63" s="11"/>
      <c r="D63" s="7">
        <v>417.32</v>
      </c>
      <c r="E63" s="2"/>
      <c r="F63" s="6">
        <f t="shared" si="36"/>
        <v>-1.2415766941071816E-2</v>
      </c>
      <c r="G63" s="2"/>
      <c r="H63" s="7"/>
      <c r="I63" s="2"/>
      <c r="J63" s="6">
        <f t="shared" si="37"/>
        <v>0</v>
      </c>
      <c r="K63" s="2"/>
      <c r="L63" s="7">
        <f t="shared" si="38"/>
        <v>417.32</v>
      </c>
      <c r="M63" s="2"/>
      <c r="N63" s="6">
        <f t="shared" si="39"/>
        <v>0</v>
      </c>
      <c r="O63" s="11"/>
      <c r="P63" s="7">
        <v>5545.16</v>
      </c>
      <c r="Q63" s="2"/>
      <c r="R63" s="6">
        <f t="shared" si="40"/>
        <v>1.4757921958991104E-3</v>
      </c>
      <c r="S63" s="2"/>
      <c r="T63" s="7">
        <v>4590.5200000000004</v>
      </c>
      <c r="U63" s="2"/>
      <c r="V63" s="6">
        <f t="shared" si="41"/>
        <v>1.0376587516882395E-3</v>
      </c>
      <c r="W63" s="2"/>
      <c r="X63" s="7">
        <f t="shared" si="42"/>
        <v>954.63999999999942</v>
      </c>
      <c r="Y63" s="2"/>
      <c r="Z63" s="6">
        <f t="shared" si="43"/>
        <v>0.2079590111795612</v>
      </c>
    </row>
    <row r="64" spans="1:26" s="24" customFormat="1" hidden="1" outlineLevel="2" x14ac:dyDescent="0.35">
      <c r="A64" s="27"/>
      <c r="B64" s="11" t="str">
        <f>CONCATENATE("          ", "6285", " - ", "JANITORIAL SERVICES")</f>
        <v xml:space="preserve">          6285 - JANITORIAL SERVICES</v>
      </c>
      <c r="C64" s="11"/>
      <c r="D64" s="7">
        <v>4157.05</v>
      </c>
      <c r="E64" s="2"/>
      <c r="F64" s="6">
        <f t="shared" si="36"/>
        <v>-0.12367718767943688</v>
      </c>
      <c r="G64" s="2"/>
      <c r="H64" s="7">
        <v>5682.07</v>
      </c>
      <c r="I64" s="2"/>
      <c r="J64" s="6">
        <f t="shared" si="37"/>
        <v>5.4917384279130732E-2</v>
      </c>
      <c r="K64" s="2"/>
      <c r="L64" s="7">
        <f t="shared" si="38"/>
        <v>-1525.0199999999995</v>
      </c>
      <c r="M64" s="2"/>
      <c r="N64" s="6">
        <f t="shared" si="39"/>
        <v>-0.26839162488318513</v>
      </c>
      <c r="O64" s="11"/>
      <c r="P64" s="7">
        <v>52956.08</v>
      </c>
      <c r="Q64" s="2"/>
      <c r="R64" s="6">
        <f t="shared" si="40"/>
        <v>1.409376277499819E-2</v>
      </c>
      <c r="S64" s="2"/>
      <c r="T64" s="7">
        <v>49515.08</v>
      </c>
      <c r="U64" s="2"/>
      <c r="V64" s="6">
        <f t="shared" si="41"/>
        <v>1.1192578640882364E-2</v>
      </c>
      <c r="W64" s="2"/>
      <c r="X64" s="7">
        <f t="shared" si="42"/>
        <v>3441</v>
      </c>
      <c r="Y64" s="2"/>
      <c r="Z64" s="6">
        <f t="shared" si="43"/>
        <v>6.9493980419702436E-2</v>
      </c>
    </row>
    <row r="65" spans="1:26" s="24" customFormat="1" hidden="1" outlineLevel="2" x14ac:dyDescent="0.35">
      <c r="A65" s="27"/>
      <c r="B65" s="11" t="str">
        <f>CONCATENATE("          ", "6286", " - ", "LAUNDRY EXPENSE")</f>
        <v xml:space="preserve">          6286 - LAUNDRY EXPENSE</v>
      </c>
      <c r="C65" s="11"/>
      <c r="D65" s="7">
        <v>361.93</v>
      </c>
      <c r="E65" s="2"/>
      <c r="F65" s="6">
        <f t="shared" si="36"/>
        <v>-1.0767848483135539E-2</v>
      </c>
      <c r="G65" s="2"/>
      <c r="H65" s="7">
        <v>1418.66</v>
      </c>
      <c r="I65" s="2"/>
      <c r="J65" s="6">
        <f t="shared" si="37"/>
        <v>1.3711393274182053E-2</v>
      </c>
      <c r="K65" s="2"/>
      <c r="L65" s="7">
        <f t="shared" si="38"/>
        <v>-1056.73</v>
      </c>
      <c r="M65" s="2"/>
      <c r="N65" s="6">
        <f t="shared" si="39"/>
        <v>-0.74487897029591299</v>
      </c>
      <c r="O65" s="11"/>
      <c r="P65" s="7">
        <v>17281.2</v>
      </c>
      <c r="Q65" s="2"/>
      <c r="R65" s="6">
        <f t="shared" si="40"/>
        <v>4.5992288943460073E-3</v>
      </c>
      <c r="S65" s="2"/>
      <c r="T65" s="7">
        <v>18221.390000000003</v>
      </c>
      <c r="U65" s="2"/>
      <c r="V65" s="6">
        <f t="shared" si="41"/>
        <v>4.1188328994154417E-3</v>
      </c>
      <c r="W65" s="2"/>
      <c r="X65" s="7">
        <f t="shared" si="42"/>
        <v>-940.19000000000233</v>
      </c>
      <c r="Y65" s="2"/>
      <c r="Z65" s="6">
        <f t="shared" si="43"/>
        <v>-5.159814920815603E-2</v>
      </c>
    </row>
    <row r="66" spans="1:26" s="25" customFormat="1" outlineLevel="1" collapsed="1" x14ac:dyDescent="0.35">
      <c r="A66" s="26"/>
      <c r="B66" s="12" t="str">
        <f>CONCATENATE("     ","Supplies                                          ")</f>
        <v xml:space="preserve">     Supplies                                          </v>
      </c>
      <c r="C66" s="12"/>
      <c r="D66" s="1">
        <f>SUM(OSRRefD22_12x_0)</f>
        <v>3578.5099999999998</v>
      </c>
      <c r="E66" s="1"/>
      <c r="F66" s="5">
        <f t="shared" ref="F66:F74" si="44">IF(D$12=0,0,D66/D$12)</f>
        <v>-0.1064649337589737</v>
      </c>
      <c r="G66" s="1"/>
      <c r="H66" s="1">
        <f>SUM(OSRRefH22_12x_0)</f>
        <v>3773.96</v>
      </c>
      <c r="I66" s="1"/>
      <c r="J66" s="5">
        <f t="shared" ref="J66:J74" si="45">IF(H$12=0,0,H66/H$12)</f>
        <v>3.6475441445471143E-2</v>
      </c>
      <c r="K66" s="1"/>
      <c r="L66" s="1">
        <f t="shared" ref="L66:L74" si="46">+D66-H66</f>
        <v>-195.45000000000027</v>
      </c>
      <c r="M66" s="1"/>
      <c r="N66" s="5">
        <f t="shared" ref="N66:N74" si="47">IF(H66=0,0,L66/H66)</f>
        <v>-5.1789102163245046E-2</v>
      </c>
      <c r="O66" s="12"/>
      <c r="P66" s="1">
        <f>SUM(OSRRefP22_12x_0)</f>
        <v>69918.37000000001</v>
      </c>
      <c r="Q66" s="1"/>
      <c r="R66" s="5">
        <f t="shared" ref="R66:R74" si="48">IF(P$12=0,0,P66/P$12)</f>
        <v>1.8608116771380176E-2</v>
      </c>
      <c r="S66" s="1"/>
      <c r="T66" s="1">
        <f>SUM(OSRRefT22_12x_0)</f>
        <v>82169.73</v>
      </c>
      <c r="U66" s="1"/>
      <c r="V66" s="5">
        <f t="shared" ref="V66:V74" si="49">IF(T$12=0,0,T66/T$12)</f>
        <v>1.8573961001882071E-2</v>
      </c>
      <c r="W66" s="1"/>
      <c r="X66" s="1">
        <f t="shared" ref="X66:X74" si="50">+P66-T66</f>
        <v>-12251.359999999986</v>
      </c>
      <c r="Y66" s="1"/>
      <c r="Z66" s="5">
        <f t="shared" ref="Z66:Z74" si="51">IF(T66=0,0,X66/T66)</f>
        <v>-0.14909821414771579</v>
      </c>
    </row>
    <row r="67" spans="1:26" s="24" customFormat="1" hidden="1" outlineLevel="2" x14ac:dyDescent="0.35">
      <c r="A67" s="27"/>
      <c r="B67" s="11" t="str">
        <f>CONCATENATE("          ", "6235", " - ", "COVID-19 EXPENSES")</f>
        <v xml:space="preserve">          6235 - COVID-19 EXPENSES</v>
      </c>
      <c r="C67" s="11"/>
      <c r="D67" s="7">
        <v>29.77</v>
      </c>
      <c r="E67" s="2"/>
      <c r="F67" s="6">
        <f t="shared" si="44"/>
        <v>-8.8569294986031821E-4</v>
      </c>
      <c r="G67" s="2"/>
      <c r="H67" s="7"/>
      <c r="I67" s="2"/>
      <c r="J67" s="6">
        <f t="shared" si="45"/>
        <v>0</v>
      </c>
      <c r="K67" s="2"/>
      <c r="L67" s="7">
        <f t="shared" si="46"/>
        <v>29.77</v>
      </c>
      <c r="M67" s="2"/>
      <c r="N67" s="6">
        <f t="shared" si="47"/>
        <v>0</v>
      </c>
      <c r="O67" s="11"/>
      <c r="P67" s="7">
        <v>356.6</v>
      </c>
      <c r="Q67" s="2"/>
      <c r="R67" s="6">
        <f t="shared" si="48"/>
        <v>9.4905737085606689E-5</v>
      </c>
      <c r="S67" s="2"/>
      <c r="T67" s="7"/>
      <c r="U67" s="2"/>
      <c r="V67" s="6">
        <f t="shared" si="49"/>
        <v>0</v>
      </c>
      <c r="W67" s="2"/>
      <c r="X67" s="7">
        <f t="shared" si="50"/>
        <v>356.6</v>
      </c>
      <c r="Y67" s="2"/>
      <c r="Z67" s="6">
        <f t="shared" si="51"/>
        <v>0</v>
      </c>
    </row>
    <row r="68" spans="1:26" s="24" customFormat="1" hidden="1" outlineLevel="2" x14ac:dyDescent="0.35">
      <c r="A68" s="27"/>
      <c r="B68" s="11" t="str">
        <f>CONCATENATE("          ", "6237", " - ", "JANITORIAL SUPPLIES")</f>
        <v xml:space="preserve">          6237 - JANITORIAL SUPPLIES</v>
      </c>
      <c r="C68" s="11"/>
      <c r="D68" s="7">
        <v>2339.62</v>
      </c>
      <c r="E68" s="2"/>
      <c r="F68" s="6">
        <f t="shared" si="44"/>
        <v>-6.9606480999402004E-2</v>
      </c>
      <c r="G68" s="2"/>
      <c r="H68" s="7">
        <v>1014.39</v>
      </c>
      <c r="I68" s="2"/>
      <c r="J68" s="6">
        <f t="shared" si="45"/>
        <v>9.804111079044683E-3</v>
      </c>
      <c r="K68" s="2"/>
      <c r="L68" s="7">
        <f t="shared" si="46"/>
        <v>1325.23</v>
      </c>
      <c r="M68" s="2"/>
      <c r="N68" s="6">
        <f t="shared" si="47"/>
        <v>1.3064304656000159</v>
      </c>
      <c r="O68" s="11"/>
      <c r="P68" s="7">
        <v>29825.119999999999</v>
      </c>
      <c r="Q68" s="2"/>
      <c r="R68" s="6">
        <f t="shared" si="48"/>
        <v>7.93767525873996E-3</v>
      </c>
      <c r="S68" s="2"/>
      <c r="T68" s="7">
        <v>37979.29</v>
      </c>
      <c r="U68" s="2"/>
      <c r="V68" s="6">
        <f t="shared" si="49"/>
        <v>8.5849844138366979E-3</v>
      </c>
      <c r="W68" s="2"/>
      <c r="X68" s="7">
        <f t="shared" si="50"/>
        <v>-8154.1700000000019</v>
      </c>
      <c r="Y68" s="2"/>
      <c r="Z68" s="6">
        <f t="shared" si="51"/>
        <v>-0.21470043278850134</v>
      </c>
    </row>
    <row r="69" spans="1:26" s="24" customFormat="1" hidden="1" outlineLevel="2" x14ac:dyDescent="0.35">
      <c r="A69" s="27"/>
      <c r="B69" s="11" t="str">
        <f>CONCATENATE("          ", "6239", " - ", "KITCHEN SUPPLIES")</f>
        <v xml:space="preserve">          6239 - KITCHEN SUPPLIES</v>
      </c>
      <c r="C69" s="11"/>
      <c r="D69" s="7">
        <v>349.26</v>
      </c>
      <c r="E69" s="2"/>
      <c r="F69" s="6">
        <f t="shared" si="44"/>
        <v>-1.0390900895808354E-2</v>
      </c>
      <c r="G69" s="2"/>
      <c r="H69" s="7">
        <v>50</v>
      </c>
      <c r="I69" s="2"/>
      <c r="J69" s="6">
        <f t="shared" si="45"/>
        <v>4.8325156394703634E-4</v>
      </c>
      <c r="K69" s="2"/>
      <c r="L69" s="7">
        <f t="shared" si="46"/>
        <v>299.26</v>
      </c>
      <c r="M69" s="2"/>
      <c r="N69" s="6">
        <f t="shared" si="47"/>
        <v>5.9851999999999999</v>
      </c>
      <c r="O69" s="11"/>
      <c r="P69" s="7">
        <v>6074.3</v>
      </c>
      <c r="Q69" s="2"/>
      <c r="R69" s="6">
        <f t="shared" si="48"/>
        <v>1.6166178316856443E-3</v>
      </c>
      <c r="S69" s="2"/>
      <c r="T69" s="7">
        <v>7673.08</v>
      </c>
      <c r="U69" s="2"/>
      <c r="V69" s="6">
        <f t="shared" si="49"/>
        <v>1.734452439898747E-3</v>
      </c>
      <c r="W69" s="2"/>
      <c r="X69" s="7">
        <f t="shared" si="50"/>
        <v>-1598.7799999999997</v>
      </c>
      <c r="Y69" s="2"/>
      <c r="Z69" s="6">
        <f t="shared" si="51"/>
        <v>-0.20836222221063769</v>
      </c>
    </row>
    <row r="70" spans="1:26" s="24" customFormat="1" hidden="1" outlineLevel="2" x14ac:dyDescent="0.35">
      <c r="A70" s="27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44"/>
        <v>0</v>
      </c>
      <c r="G70" s="2"/>
      <c r="H70" s="7">
        <v>808.52</v>
      </c>
      <c r="I70" s="2"/>
      <c r="J70" s="6">
        <f t="shared" si="45"/>
        <v>7.8143710896491567E-3</v>
      </c>
      <c r="K70" s="2"/>
      <c r="L70" s="7">
        <f t="shared" si="46"/>
        <v>-808.52</v>
      </c>
      <c r="M70" s="2"/>
      <c r="N70" s="6">
        <f t="shared" si="47"/>
        <v>-1</v>
      </c>
      <c r="O70" s="11"/>
      <c r="P70" s="7">
        <v>2608.59</v>
      </c>
      <c r="Q70" s="2"/>
      <c r="R70" s="6">
        <f t="shared" si="48"/>
        <v>6.9425170135766336E-4</v>
      </c>
      <c r="S70" s="2"/>
      <c r="T70" s="7">
        <v>4623.78</v>
      </c>
      <c r="U70" s="2"/>
      <c r="V70" s="6">
        <f t="shared" si="49"/>
        <v>1.0451769696855798E-3</v>
      </c>
      <c r="W70" s="2"/>
      <c r="X70" s="7">
        <f t="shared" si="50"/>
        <v>-2015.1899999999996</v>
      </c>
      <c r="Y70" s="2"/>
      <c r="Z70" s="6">
        <f t="shared" si="51"/>
        <v>-0.43583172209750459</v>
      </c>
    </row>
    <row r="71" spans="1:26" s="24" customFormat="1" hidden="1" outlineLevel="2" x14ac:dyDescent="0.35">
      <c r="A71" s="27"/>
      <c r="B71" s="11" t="str">
        <f>CONCATENATE("          ", "6243", " - ", "PAPER SUPPLIES")</f>
        <v xml:space="preserve">          6243 - PAPER SUPPLIES</v>
      </c>
      <c r="C71" s="11"/>
      <c r="D71" s="7">
        <v>859.86</v>
      </c>
      <c r="E71" s="2"/>
      <c r="F71" s="6">
        <f t="shared" si="44"/>
        <v>-2.5581858913903032E-2</v>
      </c>
      <c r="G71" s="2"/>
      <c r="H71" s="7">
        <v>1901.05</v>
      </c>
      <c r="I71" s="2"/>
      <c r="J71" s="6">
        <f t="shared" si="45"/>
        <v>1.8373707712830267E-2</v>
      </c>
      <c r="K71" s="2"/>
      <c r="L71" s="7">
        <f t="shared" si="46"/>
        <v>-1041.19</v>
      </c>
      <c r="M71" s="2"/>
      <c r="N71" s="6">
        <f t="shared" si="47"/>
        <v>-0.54769206491149636</v>
      </c>
      <c r="O71" s="11"/>
      <c r="P71" s="7">
        <v>27008.63</v>
      </c>
      <c r="Q71" s="2"/>
      <c r="R71" s="6">
        <f t="shared" si="48"/>
        <v>7.188092927152074E-3</v>
      </c>
      <c r="S71" s="2"/>
      <c r="T71" s="7">
        <v>27053.070000000003</v>
      </c>
      <c r="U71" s="2"/>
      <c r="V71" s="6">
        <f t="shared" si="49"/>
        <v>6.1151797281211199E-3</v>
      </c>
      <c r="W71" s="2"/>
      <c r="X71" s="7">
        <f t="shared" si="50"/>
        <v>-44.440000000002328</v>
      </c>
      <c r="Y71" s="2"/>
      <c r="Z71" s="6">
        <f t="shared" si="51"/>
        <v>-1.6426971134884997E-3</v>
      </c>
    </row>
    <row r="72" spans="1:26" s="24" customFormat="1" hidden="1" outlineLevel="2" x14ac:dyDescent="0.35">
      <c r="A72" s="27"/>
      <c r="B72" s="11" t="str">
        <f>CONCATENATE("          ", "6245", " - ", "PRINTING")</f>
        <v xml:space="preserve">          6245 - PRINTING</v>
      </c>
      <c r="C72" s="11"/>
      <c r="D72" s="7"/>
      <c r="E72" s="2"/>
      <c r="F72" s="6">
        <f t="shared" si="44"/>
        <v>0</v>
      </c>
      <c r="G72" s="2"/>
      <c r="H72" s="7"/>
      <c r="I72" s="2"/>
      <c r="J72" s="6">
        <f t="shared" si="45"/>
        <v>0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>
        <v>441</v>
      </c>
      <c r="Q72" s="2"/>
      <c r="R72" s="6">
        <f t="shared" si="48"/>
        <v>1.1736800351865549E-4</v>
      </c>
      <c r="S72" s="2"/>
      <c r="T72" s="7">
        <v>1522.08</v>
      </c>
      <c r="U72" s="2"/>
      <c r="V72" s="6">
        <f t="shared" si="49"/>
        <v>3.440568024471379E-4</v>
      </c>
      <c r="W72" s="2"/>
      <c r="X72" s="7">
        <f t="shared" si="50"/>
        <v>-1081.08</v>
      </c>
      <c r="Y72" s="2"/>
      <c r="Z72" s="6">
        <f t="shared" si="51"/>
        <v>-0.71026490066225167</v>
      </c>
    </row>
    <row r="73" spans="1:26" s="24" customFormat="1" hidden="1" outlineLevel="2" x14ac:dyDescent="0.35">
      <c r="A73" s="27"/>
      <c r="B73" s="11" t="str">
        <f>CONCATENATE("          ", "6247", " - ", "STORE SUPPLIES")</f>
        <v xml:space="preserve">          6247 - STORE SUPPLIES</v>
      </c>
      <c r="C73" s="11"/>
      <c r="D73" s="7"/>
      <c r="E73" s="2"/>
      <c r="F73" s="6">
        <f t="shared" si="44"/>
        <v>0</v>
      </c>
      <c r="G73" s="2"/>
      <c r="H73" s="7"/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>
        <v>82.5</v>
      </c>
      <c r="Q73" s="2"/>
      <c r="R73" s="6">
        <f t="shared" si="48"/>
        <v>2.1956599297707659E-5</v>
      </c>
      <c r="S73" s="2"/>
      <c r="T73" s="7"/>
      <c r="U73" s="2"/>
      <c r="V73" s="6">
        <f t="shared" si="49"/>
        <v>0</v>
      </c>
      <c r="W73" s="2"/>
      <c r="X73" s="7">
        <f t="shared" si="50"/>
        <v>82.5</v>
      </c>
      <c r="Y73" s="2"/>
      <c r="Z73" s="6">
        <f t="shared" si="51"/>
        <v>0</v>
      </c>
    </row>
    <row r="74" spans="1:26" s="24" customFormat="1" hidden="1" outlineLevel="2" x14ac:dyDescent="0.35">
      <c r="A74" s="27"/>
      <c r="B74" s="11" t="str">
        <f>CONCATENATE("          ", "6248", " - ", "UNIFORMS")</f>
        <v xml:space="preserve">          6248 - UNIFORMS</v>
      </c>
      <c r="C74" s="11"/>
      <c r="D74" s="7"/>
      <c r="E74" s="2"/>
      <c r="F74" s="6">
        <f t="shared" si="44"/>
        <v>0</v>
      </c>
      <c r="G74" s="2"/>
      <c r="H74" s="7"/>
      <c r="I74" s="2"/>
      <c r="J74" s="6">
        <f t="shared" si="45"/>
        <v>0</v>
      </c>
      <c r="K74" s="2"/>
      <c r="L74" s="7">
        <f t="shared" si="46"/>
        <v>0</v>
      </c>
      <c r="M74" s="2"/>
      <c r="N74" s="6">
        <f t="shared" si="47"/>
        <v>0</v>
      </c>
      <c r="O74" s="11"/>
      <c r="P74" s="7">
        <v>3521.63</v>
      </c>
      <c r="Q74" s="2"/>
      <c r="R74" s="6">
        <f t="shared" si="48"/>
        <v>9.3724871254286337E-4</v>
      </c>
      <c r="S74" s="2"/>
      <c r="T74" s="7">
        <v>3318.43</v>
      </c>
      <c r="U74" s="2"/>
      <c r="V74" s="6">
        <f t="shared" si="49"/>
        <v>7.5011064789278869E-4</v>
      </c>
      <c r="W74" s="2"/>
      <c r="X74" s="7">
        <f t="shared" si="50"/>
        <v>203.20000000000027</v>
      </c>
      <c r="Y74" s="2"/>
      <c r="Z74" s="6">
        <f t="shared" si="51"/>
        <v>6.1233776213450421E-2</v>
      </c>
    </row>
    <row r="75" spans="1:26" s="25" customFormat="1" outlineLevel="1" collapsed="1" x14ac:dyDescent="0.35">
      <c r="A75" s="26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SUM(OSRRefD22_13x_0)</f>
        <v>43</v>
      </c>
      <c r="E75" s="1"/>
      <c r="F75" s="5">
        <f t="shared" ref="F75:F81" si="52">IF(D$12=0,0,D75/D$12)</f>
        <v>-1.2793012040306915E-3</v>
      </c>
      <c r="G75" s="1"/>
      <c r="H75" s="1">
        <f>SUM(OSRRefH22_13x_0)</f>
        <v>173.3</v>
      </c>
      <c r="I75" s="1"/>
      <c r="J75" s="5">
        <f t="shared" ref="J75:J81" si="53">IF(H$12=0,0,H75/H$12)</f>
        <v>1.6749499206404281E-3</v>
      </c>
      <c r="K75" s="1"/>
      <c r="L75" s="1">
        <f t="shared" ref="L75:L81" si="54">+D75-H75</f>
        <v>-130.30000000000001</v>
      </c>
      <c r="M75" s="1"/>
      <c r="N75" s="5">
        <f t="shared" ref="N75:N81" si="55">IF(H75=0,0,L75/H75)</f>
        <v>-0.75187536064627813</v>
      </c>
      <c r="O75" s="12"/>
      <c r="P75" s="1">
        <f>SUM(OSRRefP22_13x_0)</f>
        <v>2015.85</v>
      </c>
      <c r="Q75" s="1"/>
      <c r="R75" s="5">
        <f t="shared" ref="R75:R81" si="56">IF(P$12=0,0,P75/P$12)</f>
        <v>5.3649952356707865E-4</v>
      </c>
      <c r="S75" s="1"/>
      <c r="T75" s="1">
        <f>SUM(OSRRefT22_13x_0)</f>
        <v>2119.3000000000002</v>
      </c>
      <c r="U75" s="1"/>
      <c r="V75" s="5">
        <f t="shared" ref="V75:V81" si="57">IF(T$12=0,0,T75/T$12)</f>
        <v>4.7905470239817844E-4</v>
      </c>
      <c r="W75" s="1"/>
      <c r="X75" s="1">
        <f t="shared" ref="X75:X81" si="58">+P75-T75</f>
        <v>-103.45000000000027</v>
      </c>
      <c r="Y75" s="1"/>
      <c r="Z75" s="5">
        <f t="shared" ref="Z75:Z81" si="59">IF(T75=0,0,X75/T75)</f>
        <v>-4.8813287406219159E-2</v>
      </c>
    </row>
    <row r="76" spans="1:26" s="24" customFormat="1" hidden="1" outlineLevel="2" x14ac:dyDescent="0.35">
      <c r="A76" s="27"/>
      <c r="B76" s="11" t="str">
        <f>CONCATENATE("          ", "6309", " - ", "TELEPHONE")</f>
        <v xml:space="preserve">          6309 - TELEPHONE</v>
      </c>
      <c r="C76" s="11"/>
      <c r="D76" s="7">
        <v>43</v>
      </c>
      <c r="E76" s="2"/>
      <c r="F76" s="6">
        <f t="shared" si="52"/>
        <v>-1.2793012040306915E-3</v>
      </c>
      <c r="G76" s="2"/>
      <c r="H76" s="7">
        <v>173.3</v>
      </c>
      <c r="I76" s="2"/>
      <c r="J76" s="6">
        <f t="shared" si="53"/>
        <v>1.6749499206404281E-3</v>
      </c>
      <c r="K76" s="2"/>
      <c r="L76" s="7">
        <f t="shared" si="54"/>
        <v>-130.30000000000001</v>
      </c>
      <c r="M76" s="2"/>
      <c r="N76" s="6">
        <f t="shared" si="55"/>
        <v>-0.75187536064627813</v>
      </c>
      <c r="O76" s="11"/>
      <c r="P76" s="7">
        <v>2015.85</v>
      </c>
      <c r="Q76" s="2"/>
      <c r="R76" s="6">
        <f t="shared" si="56"/>
        <v>5.3649952356707865E-4</v>
      </c>
      <c r="S76" s="2"/>
      <c r="T76" s="7">
        <v>2119.3000000000002</v>
      </c>
      <c r="U76" s="2"/>
      <c r="V76" s="6">
        <f t="shared" si="57"/>
        <v>4.7905470239817844E-4</v>
      </c>
      <c r="W76" s="2"/>
      <c r="X76" s="7">
        <f t="shared" si="58"/>
        <v>-103.45000000000027</v>
      </c>
      <c r="Y76" s="2"/>
      <c r="Z76" s="6">
        <f t="shared" si="59"/>
        <v>-4.8813287406219159E-2</v>
      </c>
    </row>
    <row r="77" spans="1:26" s="25" customFormat="1" outlineLevel="1" collapsed="1" x14ac:dyDescent="0.35">
      <c r="A77" s="26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SUM(OSRRefD22_14x_0)</f>
        <v>0</v>
      </c>
      <c r="E77" s="1"/>
      <c r="F77" s="5">
        <f t="shared" si="52"/>
        <v>0</v>
      </c>
      <c r="G77" s="1"/>
      <c r="H77" s="1">
        <f>SUM(OSRRefH22_14x_0)</f>
        <v>459.33</v>
      </c>
      <c r="I77" s="1"/>
      <c r="J77" s="5">
        <f t="shared" si="53"/>
        <v>4.439438817355844E-3</v>
      </c>
      <c r="K77" s="1"/>
      <c r="L77" s="1">
        <f t="shared" si="54"/>
        <v>-459.33</v>
      </c>
      <c r="M77" s="1"/>
      <c r="N77" s="5">
        <f t="shared" si="55"/>
        <v>-1</v>
      </c>
      <c r="O77" s="12"/>
      <c r="P77" s="1">
        <f>SUM(OSRRefP22_14x_0)</f>
        <v>678.48</v>
      </c>
      <c r="Q77" s="1"/>
      <c r="R77" s="5">
        <f t="shared" si="56"/>
        <v>1.8057107262434781E-4</v>
      </c>
      <c r="S77" s="1"/>
      <c r="T77" s="1">
        <f>SUM(OSRRefT22_14x_0)</f>
        <v>2121.6999999999998</v>
      </c>
      <c r="U77" s="1"/>
      <c r="V77" s="5">
        <f t="shared" si="57"/>
        <v>4.7959720760544283E-4</v>
      </c>
      <c r="W77" s="1"/>
      <c r="X77" s="1">
        <f t="shared" si="58"/>
        <v>-1443.2199999999998</v>
      </c>
      <c r="Y77" s="1"/>
      <c r="Z77" s="5">
        <f t="shared" si="59"/>
        <v>-0.6802186925578545</v>
      </c>
    </row>
    <row r="78" spans="1:26" s="24" customFormat="1" hidden="1" outlineLevel="2" x14ac:dyDescent="0.35">
      <c r="A78" s="27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52"/>
        <v>0</v>
      </c>
      <c r="G78" s="2"/>
      <c r="H78" s="7">
        <v>459.33</v>
      </c>
      <c r="I78" s="2"/>
      <c r="J78" s="6">
        <f t="shared" si="53"/>
        <v>4.439438817355844E-3</v>
      </c>
      <c r="K78" s="2"/>
      <c r="L78" s="7">
        <f t="shared" si="54"/>
        <v>-459.33</v>
      </c>
      <c r="M78" s="2"/>
      <c r="N78" s="6">
        <f t="shared" si="55"/>
        <v>-1</v>
      </c>
      <c r="O78" s="11"/>
      <c r="P78" s="7">
        <v>678.48</v>
      </c>
      <c r="Q78" s="2"/>
      <c r="R78" s="6">
        <f t="shared" si="56"/>
        <v>1.8057107262434781E-4</v>
      </c>
      <c r="S78" s="2"/>
      <c r="T78" s="7">
        <v>2121.6999999999998</v>
      </c>
      <c r="U78" s="2"/>
      <c r="V78" s="6">
        <f t="shared" si="57"/>
        <v>4.7959720760544283E-4</v>
      </c>
      <c r="W78" s="2"/>
      <c r="X78" s="7">
        <f t="shared" si="58"/>
        <v>-1443.2199999999998</v>
      </c>
      <c r="Y78" s="2"/>
      <c r="Z78" s="6">
        <f t="shared" si="59"/>
        <v>-0.6802186925578545</v>
      </c>
    </row>
    <row r="79" spans="1:26" s="25" customFormat="1" outlineLevel="1" collapsed="1" x14ac:dyDescent="0.35">
      <c r="A79" s="26"/>
      <c r="B79" s="12" t="str">
        <f>CONCATENATE("     ","Travel                                            ")</f>
        <v xml:space="preserve">     Travel                                            </v>
      </c>
      <c r="C79" s="12"/>
      <c r="D79" s="1">
        <f>SUM(OSRRefD22_15x_0)</f>
        <v>0</v>
      </c>
      <c r="E79" s="1"/>
      <c r="F79" s="5">
        <f t="shared" si="52"/>
        <v>0</v>
      </c>
      <c r="G79" s="1"/>
      <c r="H79" s="1">
        <f>SUM(OSRRefH22_15x_0)</f>
        <v>0</v>
      </c>
      <c r="I79" s="1"/>
      <c r="J79" s="5">
        <f t="shared" si="53"/>
        <v>0</v>
      </c>
      <c r="K79" s="1"/>
      <c r="L79" s="1">
        <f t="shared" si="54"/>
        <v>0</v>
      </c>
      <c r="M79" s="1"/>
      <c r="N79" s="5">
        <f t="shared" si="55"/>
        <v>0</v>
      </c>
      <c r="O79" s="12"/>
      <c r="P79" s="1">
        <f>SUM(OSRRefP22_15x_0)</f>
        <v>1429.86</v>
      </c>
      <c r="Q79" s="1"/>
      <c r="R79" s="5">
        <f t="shared" si="56"/>
        <v>3.8054379480994269E-4</v>
      </c>
      <c r="S79" s="1"/>
      <c r="T79" s="1">
        <f>SUM(OSRRefT22_15x_0)</f>
        <v>408.5</v>
      </c>
      <c r="U79" s="1"/>
      <c r="V79" s="5">
        <f t="shared" si="57"/>
        <v>9.2338907153142964E-5</v>
      </c>
      <c r="W79" s="1"/>
      <c r="X79" s="1">
        <f t="shared" si="58"/>
        <v>1021.3599999999999</v>
      </c>
      <c r="Y79" s="1"/>
      <c r="Z79" s="5">
        <f t="shared" si="59"/>
        <v>2.5002692778457769</v>
      </c>
    </row>
    <row r="80" spans="1:26" s="24" customFormat="1" hidden="1" outlineLevel="2" x14ac:dyDescent="0.35">
      <c r="A80" s="27"/>
      <c r="B80" s="11" t="str">
        <f>CONCATENATE("          ", "6292", " - ", "TRAVEL/CONFERENCE")</f>
        <v xml:space="preserve">          6292 - TRAVEL/CONFERENCE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>
        <v>1429.86</v>
      </c>
      <c r="Q80" s="2"/>
      <c r="R80" s="6">
        <f t="shared" si="56"/>
        <v>3.8054379480994269E-4</v>
      </c>
      <c r="S80" s="2"/>
      <c r="T80" s="7"/>
      <c r="U80" s="2"/>
      <c r="V80" s="6">
        <f t="shared" si="57"/>
        <v>0</v>
      </c>
      <c r="W80" s="2"/>
      <c r="X80" s="7">
        <f t="shared" si="58"/>
        <v>1429.86</v>
      </c>
      <c r="Y80" s="2"/>
      <c r="Z80" s="6">
        <f t="shared" si="59"/>
        <v>0</v>
      </c>
    </row>
    <row r="81" spans="1:26" s="24" customFormat="1" hidden="1" outlineLevel="2" x14ac:dyDescent="0.35">
      <c r="A81" s="27"/>
      <c r="B81" s="11" t="str">
        <f>CONCATENATE("          ", "6294", " - ", "TRAVEL OPERATIONAL")</f>
        <v xml:space="preserve">          6294 - TRAVEL OPERATIONAL</v>
      </c>
      <c r="C81" s="11"/>
      <c r="D81" s="7"/>
      <c r="E81" s="2"/>
      <c r="F81" s="6">
        <f t="shared" si="52"/>
        <v>0</v>
      </c>
      <c r="G81" s="2"/>
      <c r="H81" s="7"/>
      <c r="I81" s="2"/>
      <c r="J81" s="6">
        <f t="shared" si="53"/>
        <v>0</v>
      </c>
      <c r="K81" s="2"/>
      <c r="L81" s="7">
        <f t="shared" si="54"/>
        <v>0</v>
      </c>
      <c r="M81" s="2"/>
      <c r="N81" s="6">
        <f t="shared" si="55"/>
        <v>0</v>
      </c>
      <c r="O81" s="11"/>
      <c r="P81" s="7"/>
      <c r="Q81" s="2"/>
      <c r="R81" s="6">
        <f t="shared" si="56"/>
        <v>0</v>
      </c>
      <c r="S81" s="2"/>
      <c r="T81" s="7">
        <v>408.5</v>
      </c>
      <c r="U81" s="2"/>
      <c r="V81" s="6">
        <f t="shared" si="57"/>
        <v>9.2338907153142964E-5</v>
      </c>
      <c r="W81" s="2"/>
      <c r="X81" s="7">
        <f t="shared" si="58"/>
        <v>-408.5</v>
      </c>
      <c r="Y81" s="2"/>
      <c r="Z81" s="6">
        <f t="shared" si="59"/>
        <v>-1</v>
      </c>
    </row>
    <row r="82" spans="1:26" s="56" customFormat="1" x14ac:dyDescent="0.3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35">
      <c r="A83" s="10"/>
      <c r="B83" s="29" t="s">
        <v>0</v>
      </c>
      <c r="C83" s="10"/>
      <c r="D83" s="4">
        <f>SUM(0)</f>
        <v>0</v>
      </c>
      <c r="E83" s="4"/>
      <c r="F83" s="13">
        <f>IF(D$12=0,0,D83/D$12)</f>
        <v>0</v>
      </c>
      <c r="G83" s="4"/>
      <c r="H83" s="4">
        <f>SUM(0)</f>
        <v>0</v>
      </c>
      <c r="I83" s="4"/>
      <c r="J83" s="13">
        <f>IF(H$12=0,0,H83/H$12)</f>
        <v>0</v>
      </c>
      <c r="K83" s="4"/>
      <c r="L83" s="4">
        <f>+D83-H83</f>
        <v>0</v>
      </c>
      <c r="M83" s="4"/>
      <c r="N83" s="13">
        <f>IF(H83=0,0,L83/H83)</f>
        <v>0</v>
      </c>
      <c r="O83" s="10"/>
      <c r="P83" s="4">
        <f>SUM(0)</f>
        <v>0</v>
      </c>
      <c r="Q83" s="4"/>
      <c r="R83" s="13">
        <f>IF(P$12=0,0,P83/P$12)</f>
        <v>0</v>
      </c>
      <c r="S83" s="4"/>
      <c r="T83" s="4">
        <f>SUM(0)</f>
        <v>0</v>
      </c>
      <c r="U83" s="4"/>
      <c r="V83" s="13">
        <f>IF(T$12=0,0,T83/T$12)</f>
        <v>0</v>
      </c>
      <c r="W83" s="4"/>
      <c r="X83" s="4">
        <f>+P83-T83</f>
        <v>0</v>
      </c>
      <c r="Y83" s="4"/>
      <c r="Z83" s="13">
        <f>IF(T83=0,0,X83/T83)</f>
        <v>0</v>
      </c>
    </row>
    <row r="84" spans="1:26" x14ac:dyDescent="0.3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35">
      <c r="A85" s="10"/>
      <c r="B85" s="28" t="s">
        <v>3</v>
      </c>
      <c r="C85" s="28"/>
      <c r="D85" s="22">
        <f>+D22-D24+D83</f>
        <v>-87598.040000000008</v>
      </c>
      <c r="E85" s="14"/>
      <c r="F85" s="21">
        <f>IF(D$12=0,0,D85/D$12)</f>
        <v>2.6061460009936903</v>
      </c>
      <c r="G85" s="14"/>
      <c r="H85" s="22">
        <f>+H22-H24+H83</f>
        <v>-25122.92</v>
      </c>
      <c r="I85" s="14"/>
      <c r="J85" s="21">
        <f>IF(H$12=0,0,H85/H$12)</f>
        <v>-0.24281380761832555</v>
      </c>
      <c r="K85" s="15"/>
      <c r="L85" s="22">
        <f>+D85-H85</f>
        <v>-62475.12000000001</v>
      </c>
      <c r="M85" s="15"/>
      <c r="N85" s="21">
        <f>IF(H85=0,0,L85/H85)</f>
        <v>2.4867778108595662</v>
      </c>
      <c r="O85" s="29"/>
      <c r="P85" s="22">
        <f>+P22-P24+P83</f>
        <v>1120026.0799999998</v>
      </c>
      <c r="Q85" s="14"/>
      <c r="R85" s="21">
        <f>IF(P$12=0,0,P85/P$12)</f>
        <v>0.29808441020051224</v>
      </c>
      <c r="S85" s="14"/>
      <c r="T85" s="22">
        <f>+T22-T24+T83</f>
        <v>1515293.32</v>
      </c>
      <c r="U85" s="14"/>
      <c r="V85" s="21">
        <f>IF(T$12=0,0,T85/T$12)</f>
        <v>0.34252271526378886</v>
      </c>
      <c r="W85" s="15"/>
      <c r="X85" s="22">
        <f>+P85-T85</f>
        <v>-395267.24000000022</v>
      </c>
      <c r="Y85" s="15"/>
      <c r="Z85" s="21">
        <f>IF(T85=0,0,X85/T85)</f>
        <v>-0.26085196495157797</v>
      </c>
    </row>
    <row r="86" spans="1:26" x14ac:dyDescent="0.3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35">
      <c r="A87" s="51"/>
      <c r="B87" s="10" t="s">
        <v>13</v>
      </c>
      <c r="C87" s="10"/>
      <c r="D87" s="4">
        <v>120082.53</v>
      </c>
      <c r="E87" s="4"/>
      <c r="F87" s="13">
        <f>IF(D$12=0,0,D87/D$12)</f>
        <v>-3.5725982607453863</v>
      </c>
      <c r="G87" s="4"/>
      <c r="H87" s="4">
        <v>-134066.07999999999</v>
      </c>
      <c r="I87" s="4"/>
      <c r="J87" s="13">
        <f>IF(H$12=0,0,H87/H$12)</f>
        <v>-1.2957528566449696</v>
      </c>
      <c r="K87" s="4"/>
      <c r="L87" s="4">
        <f>+D87-H87</f>
        <v>254148.61</v>
      </c>
      <c r="M87" s="4"/>
      <c r="N87" s="13">
        <f>IF(H87=0,0,L87/H87)</f>
        <v>-1.8956965848483076</v>
      </c>
      <c r="O87" s="10"/>
      <c r="P87" s="4">
        <v>569017.84</v>
      </c>
      <c r="Q87" s="4"/>
      <c r="R87" s="13">
        <f>IF(P$12=0,0,P87/P$12)</f>
        <v>0.15143874795305612</v>
      </c>
      <c r="S87" s="4"/>
      <c r="T87" s="4">
        <v>315324.2</v>
      </c>
      <c r="U87" s="4"/>
      <c r="V87" s="13">
        <f>IF(T$12=0,0,T87/T$12)</f>
        <v>7.1277091865211958E-2</v>
      </c>
      <c r="W87" s="4"/>
      <c r="X87" s="4">
        <f>+P87-T87</f>
        <v>253693.63999999996</v>
      </c>
      <c r="Y87" s="4"/>
      <c r="Z87" s="13">
        <f>IF(T87=0,0,X87/T87)</f>
        <v>0.80454858840520316</v>
      </c>
    </row>
    <row r="88" spans="1:26" x14ac:dyDescent="0.3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" thickBot="1" x14ac:dyDescent="0.4">
      <c r="A89" s="10"/>
      <c r="B89" s="28" t="s">
        <v>4</v>
      </c>
      <c r="C89" s="28"/>
      <c r="D89" s="34">
        <f>+D85-D87</f>
        <v>-207680.57</v>
      </c>
      <c r="E89" s="14"/>
      <c r="F89" s="32">
        <f>IF(D$12=0,0,D89/D$12)</f>
        <v>6.1787442617390766</v>
      </c>
      <c r="G89" s="14"/>
      <c r="H89" s="34">
        <f>+H85-H87</f>
        <v>108943.15999999999</v>
      </c>
      <c r="I89" s="14"/>
      <c r="J89" s="32">
        <f>IF(H$12=0,0,H89/H$12)</f>
        <v>1.0529390490266441</v>
      </c>
      <c r="K89" s="15"/>
      <c r="L89" s="34">
        <f>D89-H89</f>
        <v>-316623.73</v>
      </c>
      <c r="M89" s="15"/>
      <c r="N89" s="32">
        <f>IF(H89=0,0,L89/H89)</f>
        <v>-2.9063204151596116</v>
      </c>
      <c r="O89" s="29"/>
      <c r="P89" s="34">
        <f>+P85-P87</f>
        <v>551008.23999999987</v>
      </c>
      <c r="Q89" s="14"/>
      <c r="R89" s="32">
        <f>IF(P$12=0,0,P89/P$12)</f>
        <v>0.14664566224745615</v>
      </c>
      <c r="S89" s="14"/>
      <c r="T89" s="34">
        <f>+T85-T87</f>
        <v>1199969.1200000001</v>
      </c>
      <c r="U89" s="14"/>
      <c r="V89" s="32">
        <f>IF(T$12=0,0,T89/T$12)</f>
        <v>0.27124562339857694</v>
      </c>
      <c r="W89" s="15"/>
      <c r="X89" s="34">
        <f>P89-T89</f>
        <v>-648960.88000000024</v>
      </c>
      <c r="Y89" s="15"/>
      <c r="Z89" s="32">
        <f>IF(T89=0,0,X89/T89)</f>
        <v>-0.54081465029700115</v>
      </c>
    </row>
    <row r="90" spans="1:26" ht="15" thickTop="1" x14ac:dyDescent="0.3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3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4">
      <c r="A92" s="10"/>
      <c r="B92" s="28" t="s">
        <v>5</v>
      </c>
      <c r="C92" s="28"/>
      <c r="D92" s="35">
        <f>SUM(D89:D91)</f>
        <v>-207680.57</v>
      </c>
      <c r="E92" s="14"/>
      <c r="F92" s="33">
        <f>IF(D$12=0,0,D92/D$12)</f>
        <v>6.1787442617390766</v>
      </c>
      <c r="G92" s="14"/>
      <c r="H92" s="35">
        <f>SUM(H89:H91)</f>
        <v>108943.15999999999</v>
      </c>
      <c r="I92" s="14"/>
      <c r="J92" s="33">
        <f>IF(H$12=0,0,H92/H$12)</f>
        <v>1.0529390490266441</v>
      </c>
      <c r="K92" s="15"/>
      <c r="L92" s="35">
        <f>+D92-H92</f>
        <v>-316623.73</v>
      </c>
      <c r="M92" s="15"/>
      <c r="N92" s="33">
        <f>IF(H92=0,0,L92/H92)</f>
        <v>-2.9063204151596116</v>
      </c>
      <c r="O92" s="29"/>
      <c r="P92" s="35">
        <f>SUM(P89:P91)</f>
        <v>551008.23999999987</v>
      </c>
      <c r="Q92" s="14"/>
      <c r="R92" s="33">
        <f>IF(P$12=0,0,P92/P$12)</f>
        <v>0.14664566224745615</v>
      </c>
      <c r="S92" s="14"/>
      <c r="T92" s="35">
        <f>SUM(T89:T91)</f>
        <v>1199969.1200000001</v>
      </c>
      <c r="U92" s="14"/>
      <c r="V92" s="33">
        <f>IF(T$12=0,0,T92/T$12)</f>
        <v>0.27124562339857694</v>
      </c>
      <c r="W92" s="15"/>
      <c r="X92" s="35">
        <f>+P92-T92</f>
        <v>-648960.88000000024</v>
      </c>
      <c r="Y92" s="15"/>
      <c r="Z92" s="33">
        <f>IF(T92=0,0,X92/T92)</f>
        <v>-0.54081465029700115</v>
      </c>
    </row>
    <row r="93" spans="1:26" ht="15" thickTop="1" x14ac:dyDescent="0.3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5">
      <c r="A94" s="9"/>
      <c r="B94" s="52">
        <v>44043.52339829861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5">
      <c r="A95" s="9"/>
      <c r="B95" s="61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5">
      <c r="A96" s="9"/>
      <c r="B96" s="54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3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","435", " - ", "Ground Floor Coffee House")</f>
        <v>Department 435 - Ground Floor Coffee House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5" si="0">+D12-H12</f>
        <v>0</v>
      </c>
      <c r="M12" s="4"/>
      <c r="N12" s="13">
        <f t="shared" ref="N12:N15" si="1">IF(H12=0,0,L12/H12)</f>
        <v>0</v>
      </c>
      <c r="O12" s="10"/>
      <c r="P12" s="4">
        <f>SUM(OSRRefP13x_0)</f>
        <v>5179.0200000000004</v>
      </c>
      <c r="Q12" s="4"/>
      <c r="R12" s="13"/>
      <c r="S12" s="4"/>
      <c r="T12" s="4">
        <f>SUM(OSRRefT13x_0)</f>
        <v>10529.93</v>
      </c>
      <c r="U12" s="4"/>
      <c r="V12" s="13"/>
      <c r="W12" s="4"/>
      <c r="X12" s="4">
        <f t="shared" ref="X12:X15" si="2">+P12-T12</f>
        <v>-5350.91</v>
      </c>
      <c r="Y12" s="4"/>
      <c r="Z12" s="13">
        <f t="shared" ref="Z12:Z15" si="3">IF(T12=0,0,X12/T12)</f>
        <v>-0.50816197258671236</v>
      </c>
    </row>
    <row r="13" spans="1:26" s="24" customFormat="1" hidden="1" outlineLevel="1" x14ac:dyDescent="0.3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--973.49</f>
        <v>973.49</v>
      </c>
      <c r="Q13" s="2"/>
      <c r="R13" s="19"/>
      <c r="S13" s="2"/>
      <c r="T13" s="2">
        <f>--1808.05</f>
        <v>1808.05</v>
      </c>
      <c r="U13" s="2"/>
      <c r="V13" s="19"/>
      <c r="W13" s="2"/>
      <c r="X13" s="2">
        <f t="shared" si="2"/>
        <v>-834.56</v>
      </c>
      <c r="Y13" s="2"/>
      <c r="Z13" s="19">
        <f t="shared" si="3"/>
        <v>-0.46158015541605596</v>
      </c>
    </row>
    <row r="14" spans="1:26" s="24" customFormat="1" hidden="1" outlineLevel="1" x14ac:dyDescent="0.3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--471.63</f>
        <v>471.63</v>
      </c>
      <c r="Q14" s="2"/>
      <c r="R14" s="19"/>
      <c r="S14" s="2"/>
      <c r="T14" s="2">
        <f>--252.75</f>
        <v>252.75</v>
      </c>
      <c r="U14" s="2"/>
      <c r="V14" s="19"/>
      <c r="W14" s="2"/>
      <c r="X14" s="2">
        <f t="shared" si="2"/>
        <v>218.88</v>
      </c>
      <c r="Y14" s="2"/>
      <c r="Z14" s="19">
        <f t="shared" si="3"/>
        <v>0.86599406528189904</v>
      </c>
    </row>
    <row r="15" spans="1:26" s="24" customFormat="1" hidden="1" outlineLevel="1" x14ac:dyDescent="0.3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--3733.9</f>
        <v>3733.9</v>
      </c>
      <c r="Q15" s="2"/>
      <c r="R15" s="19"/>
      <c r="S15" s="2"/>
      <c r="T15" s="2">
        <f>--8469.13</f>
        <v>8469.1299999999992</v>
      </c>
      <c r="U15" s="2"/>
      <c r="V15" s="19"/>
      <c r="W15" s="2"/>
      <c r="X15" s="2">
        <f t="shared" si="2"/>
        <v>-4735.2299999999996</v>
      </c>
      <c r="Y15" s="2"/>
      <c r="Z15" s="19">
        <f t="shared" si="3"/>
        <v>-0.55911646178533092</v>
      </c>
    </row>
    <row r="16" spans="1:26" x14ac:dyDescent="0.3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5">
      <c r="A17" s="10"/>
      <c r="B17" s="29" t="s">
        <v>8</v>
      </c>
      <c r="C17" s="10"/>
      <c r="D17" s="4">
        <f>SUM(OSRRefD16x_0)</f>
        <v>0</v>
      </c>
      <c r="E17" s="4"/>
      <c r="F17" s="13">
        <f t="shared" ref="F17:F19" si="6">IF(D$12=0,0,D17/D$12)</f>
        <v>0</v>
      </c>
      <c r="G17" s="4"/>
      <c r="H17" s="4">
        <f>SUM(OSRRefH16x_0)</f>
        <v>11520</v>
      </c>
      <c r="I17" s="4"/>
      <c r="J17" s="13">
        <f t="shared" ref="J17:J19" si="7">IF(H$12=0,0,H17/H$12)</f>
        <v>0</v>
      </c>
      <c r="K17" s="4"/>
      <c r="L17" s="4">
        <f t="shared" ref="L17:L19" si="8">+D17-H17</f>
        <v>-11520</v>
      </c>
      <c r="M17" s="4"/>
      <c r="N17" s="13">
        <f t="shared" ref="N17:N19" si="9">IF(H17=0,0,L17/H17)</f>
        <v>-1</v>
      </c>
      <c r="O17" s="10"/>
      <c r="P17" s="4">
        <f>SUM(OSRRefP16x_0)</f>
        <v>6466.4699999999993</v>
      </c>
      <c r="Q17" s="4"/>
      <c r="R17" s="13">
        <f t="shared" ref="R17:R19" si="10">IF(P$12=0,0,P17/P$12)</f>
        <v>1.2485895014886983</v>
      </c>
      <c r="S17" s="4"/>
      <c r="T17" s="4">
        <f>SUM(OSRRefT16x_0)</f>
        <v>16727.900000000001</v>
      </c>
      <c r="U17" s="4"/>
      <c r="V17" s="13">
        <f t="shared" ref="V17:V19" si="11">IF(T$12=0,0,T17/T$12)</f>
        <v>1.5886050524552395</v>
      </c>
      <c r="W17" s="4"/>
      <c r="X17" s="4">
        <f t="shared" ref="X17:X19" si="12">+P17-T17</f>
        <v>-10261.430000000002</v>
      </c>
      <c r="Y17" s="4"/>
      <c r="Z17" s="13">
        <f t="shared" ref="Z17:Z19" si="13">IF(T17=0,0,X17/T17)</f>
        <v>-0.61343205064592699</v>
      </c>
    </row>
    <row r="18" spans="1:26" s="24" customFormat="1" hidden="1" outlineLevel="1" x14ac:dyDescent="0.3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3948.48</v>
      </c>
      <c r="Q18" s="2"/>
      <c r="R18" s="19">
        <f t="shared" si="10"/>
        <v>0.762399063915567</v>
      </c>
      <c r="S18" s="2"/>
      <c r="T18" s="2">
        <v>4288.88</v>
      </c>
      <c r="U18" s="2"/>
      <c r="V18" s="19">
        <f t="shared" si="11"/>
        <v>0.40730375225666265</v>
      </c>
      <c r="W18" s="2"/>
      <c r="X18" s="2">
        <f t="shared" si="12"/>
        <v>-340.40000000000009</v>
      </c>
      <c r="Y18" s="2"/>
      <c r="Z18" s="19">
        <f t="shared" si="13"/>
        <v>-7.9368040141015853E-2</v>
      </c>
    </row>
    <row r="19" spans="1:26" s="24" customFormat="1" hidden="1" outlineLevel="1" x14ac:dyDescent="0.3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>
        <v>11520</v>
      </c>
      <c r="I19" s="2"/>
      <c r="J19" s="19">
        <f t="shared" si="7"/>
        <v>0</v>
      </c>
      <c r="K19" s="2"/>
      <c r="L19" s="2">
        <f t="shared" si="8"/>
        <v>-11520</v>
      </c>
      <c r="M19" s="2"/>
      <c r="N19" s="19">
        <f t="shared" si="9"/>
        <v>-1</v>
      </c>
      <c r="O19" s="11"/>
      <c r="P19" s="2">
        <v>2517.9899999999998</v>
      </c>
      <c r="Q19" s="2"/>
      <c r="R19" s="19">
        <f t="shared" si="10"/>
        <v>0.48619043757313152</v>
      </c>
      <c r="S19" s="2"/>
      <c r="T19" s="2">
        <v>12439.02</v>
      </c>
      <c r="U19" s="2"/>
      <c r="V19" s="19">
        <f t="shared" si="11"/>
        <v>1.1813013001985768</v>
      </c>
      <c r="W19" s="2"/>
      <c r="X19" s="2">
        <f t="shared" si="12"/>
        <v>-9921.0300000000007</v>
      </c>
      <c r="Y19" s="2"/>
      <c r="Z19" s="19">
        <f t="shared" si="13"/>
        <v>-0.79757328149645235</v>
      </c>
    </row>
    <row r="20" spans="1:26" x14ac:dyDescent="0.3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5">
      <c r="A21" s="10"/>
      <c r="B21" s="28" t="s">
        <v>6</v>
      </c>
      <c r="C21" s="28"/>
      <c r="D21" s="22">
        <f>D12-D17</f>
        <v>0</v>
      </c>
      <c r="E21" s="14"/>
      <c r="F21" s="21">
        <f>IF(D$12=0,0,D21/D$12)</f>
        <v>0</v>
      </c>
      <c r="G21" s="14"/>
      <c r="H21" s="22">
        <f>H12-H17</f>
        <v>-11520</v>
      </c>
      <c r="I21" s="14"/>
      <c r="J21" s="21">
        <f>IF(H$12=0,0,H21/H$12)</f>
        <v>0</v>
      </c>
      <c r="K21" s="15"/>
      <c r="L21" s="22">
        <f>+D21-H21</f>
        <v>11520</v>
      </c>
      <c r="M21" s="15"/>
      <c r="N21" s="21">
        <f>IF(H21=0,0,L21/H21)</f>
        <v>-1</v>
      </c>
      <c r="O21" s="29"/>
      <c r="P21" s="22">
        <f>P12-P17</f>
        <v>-1287.4499999999989</v>
      </c>
      <c r="Q21" s="14"/>
      <c r="R21" s="21">
        <f>IF(P$12=0,0,P21/P$12)</f>
        <v>-0.24858950148869841</v>
      </c>
      <c r="S21" s="14"/>
      <c r="T21" s="22">
        <f>T12-T17</f>
        <v>-6197.9700000000012</v>
      </c>
      <c r="U21" s="14"/>
      <c r="V21" s="21">
        <f>IF(T$12=0,0,T21/T$12)</f>
        <v>-0.58860505245523964</v>
      </c>
      <c r="W21" s="15"/>
      <c r="X21" s="22">
        <f>+P21-T21</f>
        <v>4910.5200000000023</v>
      </c>
      <c r="Y21" s="15"/>
      <c r="Z21" s="21">
        <f>IF(T21=0,0,X21/T21)</f>
        <v>-0.79227876223989491</v>
      </c>
    </row>
    <row r="22" spans="1:26" x14ac:dyDescent="0.3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5">
      <c r="A23" s="10"/>
      <c r="B23" s="29" t="s">
        <v>9</v>
      </c>
      <c r="C23" s="10"/>
      <c r="D23" s="20">
        <f>SUM(OSRRefD22x_0)</f>
        <v>116.1</v>
      </c>
      <c r="E23" s="20"/>
      <c r="F23" s="36">
        <f t="shared" ref="F23:F27" si="14">IF(D$12=0,0,D23/D$12)</f>
        <v>0</v>
      </c>
      <c r="G23" s="20"/>
      <c r="H23" s="20">
        <f>SUM(OSRRefH22x_0)</f>
        <v>108.49000000000001</v>
      </c>
      <c r="I23" s="20"/>
      <c r="J23" s="36">
        <f t="shared" ref="J23:J27" si="15">IF(H$12=0,0,H23/H$12)</f>
        <v>0</v>
      </c>
      <c r="K23" s="4"/>
      <c r="L23" s="20">
        <f t="shared" ref="L23:L27" si="16">+D23-H23</f>
        <v>7.6099999999999852</v>
      </c>
      <c r="M23" s="4"/>
      <c r="N23" s="36">
        <f t="shared" ref="N23:N27" si="17">IF(H23=0,0,L23/H23)</f>
        <v>7.0144713798506633E-2</v>
      </c>
      <c r="O23" s="10"/>
      <c r="P23" s="20">
        <f>SUM(OSRRefP22x_0)</f>
        <v>16005.319999999998</v>
      </c>
      <c r="Q23" s="20"/>
      <c r="R23" s="36">
        <f t="shared" ref="R23:R27" si="18">IF(P$12=0,0,P23/P$12)</f>
        <v>3.0904147888982849</v>
      </c>
      <c r="S23" s="20"/>
      <c r="T23" s="20">
        <f>SUM(OSRRefT22x_0)</f>
        <v>22565.199999999997</v>
      </c>
      <c r="U23" s="20"/>
      <c r="V23" s="36">
        <f t="shared" ref="V23:V27" si="19">IF(T$12=0,0,T23/T$12)</f>
        <v>2.1429582152967774</v>
      </c>
      <c r="W23" s="4"/>
      <c r="X23" s="20">
        <f t="shared" ref="X23:X27" si="20">+P23-T23</f>
        <v>-6559.8799999999992</v>
      </c>
      <c r="Y23" s="4"/>
      <c r="Z23" s="36">
        <f t="shared" ref="Z23:Z27" si="21">IF(T23=0,0,X23/T23)</f>
        <v>-0.29070781557442432</v>
      </c>
    </row>
    <row r="24" spans="1:26" s="25" customFormat="1" outlineLevel="1" collapsed="1" x14ac:dyDescent="0.35">
      <c r="A24" s="26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-34.9</v>
      </c>
      <c r="E24" s="1"/>
      <c r="F24" s="5">
        <f t="shared" si="14"/>
        <v>0</v>
      </c>
      <c r="G24" s="1"/>
      <c r="H24" s="1">
        <f>SUM(OSRRefH22_0x_0)</f>
        <v>27.450000000000003</v>
      </c>
      <c r="I24" s="1"/>
      <c r="J24" s="5">
        <f t="shared" si="15"/>
        <v>0</v>
      </c>
      <c r="K24" s="1"/>
      <c r="L24" s="1">
        <f t="shared" si="16"/>
        <v>-62.35</v>
      </c>
      <c r="M24" s="1"/>
      <c r="N24" s="5">
        <f t="shared" si="17"/>
        <v>-2.2714025500910746</v>
      </c>
      <c r="O24" s="12"/>
      <c r="P24" s="1">
        <f>SUM(OSRRefP22_0x_0)</f>
        <v>823.68000000000006</v>
      </c>
      <c r="Q24" s="1"/>
      <c r="R24" s="5">
        <f t="shared" si="18"/>
        <v>0.15904167197655156</v>
      </c>
      <c r="S24" s="1"/>
      <c r="T24" s="1">
        <f>SUM(OSRRefT22_0x_0)</f>
        <v>1350.27</v>
      </c>
      <c r="U24" s="1"/>
      <c r="V24" s="5">
        <f t="shared" si="19"/>
        <v>0.12823162167269866</v>
      </c>
      <c r="W24" s="1"/>
      <c r="X24" s="1">
        <f t="shared" si="20"/>
        <v>-526.58999999999992</v>
      </c>
      <c r="Y24" s="1"/>
      <c r="Z24" s="5">
        <f t="shared" si="21"/>
        <v>-0.38998866893288003</v>
      </c>
    </row>
    <row r="25" spans="1:26" s="24" customFormat="1" hidden="1" outlineLevel="2" x14ac:dyDescent="0.35">
      <c r="A25" s="27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4"/>
        <v>0</v>
      </c>
      <c r="G25" s="2"/>
      <c r="H25" s="7"/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602.38</v>
      </c>
      <c r="Q25" s="2"/>
      <c r="R25" s="6">
        <f t="shared" si="18"/>
        <v>0.11631158018312343</v>
      </c>
      <c r="S25" s="2"/>
      <c r="T25" s="7">
        <v>1098.75</v>
      </c>
      <c r="U25" s="2"/>
      <c r="V25" s="6">
        <f t="shared" si="19"/>
        <v>0.10434542299901328</v>
      </c>
      <c r="W25" s="2"/>
      <c r="X25" s="7">
        <f t="shared" si="20"/>
        <v>-496.37</v>
      </c>
      <c r="Y25" s="2"/>
      <c r="Z25" s="6">
        <f t="shared" si="21"/>
        <v>-0.45175881683731511</v>
      </c>
    </row>
    <row r="26" spans="1:26" s="24" customFormat="1" hidden="1" outlineLevel="2" x14ac:dyDescent="0.3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4"/>
        <v>0</v>
      </c>
      <c r="G26" s="2"/>
      <c r="H26" s="7">
        <v>22.53</v>
      </c>
      <c r="I26" s="2"/>
      <c r="J26" s="6">
        <f t="shared" si="15"/>
        <v>0</v>
      </c>
      <c r="K26" s="2"/>
      <c r="L26" s="7">
        <f t="shared" si="16"/>
        <v>-22.53</v>
      </c>
      <c r="M26" s="2"/>
      <c r="N26" s="6">
        <f t="shared" si="17"/>
        <v>-1</v>
      </c>
      <c r="O26" s="11"/>
      <c r="P26" s="7">
        <v>221.3</v>
      </c>
      <c r="Q26" s="2"/>
      <c r="R26" s="6">
        <f t="shared" si="18"/>
        <v>4.2730091793428099E-2</v>
      </c>
      <c r="S26" s="2"/>
      <c r="T26" s="7">
        <v>199.45</v>
      </c>
      <c r="U26" s="2"/>
      <c r="V26" s="6">
        <f t="shared" si="19"/>
        <v>1.8941246523006324E-2</v>
      </c>
      <c r="W26" s="2"/>
      <c r="X26" s="7">
        <f t="shared" si="20"/>
        <v>21.850000000000023</v>
      </c>
      <c r="Y26" s="2"/>
      <c r="Z26" s="6">
        <f t="shared" si="21"/>
        <v>0.10955126598144911</v>
      </c>
    </row>
    <row r="27" spans="1:26" s="24" customFormat="1" hidden="1" outlineLevel="2" x14ac:dyDescent="0.3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-34.9</v>
      </c>
      <c r="E27" s="2"/>
      <c r="F27" s="6">
        <f t="shared" si="14"/>
        <v>0</v>
      </c>
      <c r="G27" s="2"/>
      <c r="H27" s="7">
        <v>4.92</v>
      </c>
      <c r="I27" s="2"/>
      <c r="J27" s="6">
        <f t="shared" si="15"/>
        <v>0</v>
      </c>
      <c r="K27" s="2"/>
      <c r="L27" s="7">
        <f t="shared" si="16"/>
        <v>-39.82</v>
      </c>
      <c r="M27" s="2"/>
      <c r="N27" s="6">
        <f t="shared" si="17"/>
        <v>-8.0934959349593498</v>
      </c>
      <c r="O27" s="11"/>
      <c r="P27" s="7">
        <v>0</v>
      </c>
      <c r="Q27" s="2"/>
      <c r="R27" s="6">
        <f t="shared" si="18"/>
        <v>0</v>
      </c>
      <c r="S27" s="2"/>
      <c r="T27" s="7">
        <v>52.07</v>
      </c>
      <c r="U27" s="2"/>
      <c r="V27" s="6">
        <f t="shared" si="19"/>
        <v>4.9449521506790646E-3</v>
      </c>
      <c r="W27" s="2"/>
      <c r="X27" s="7">
        <f t="shared" si="20"/>
        <v>-52.07</v>
      </c>
      <c r="Y27" s="2"/>
      <c r="Z27" s="6">
        <f t="shared" si="21"/>
        <v>-1</v>
      </c>
    </row>
    <row r="28" spans="1:26" s="25" customFormat="1" outlineLevel="1" collapsed="1" x14ac:dyDescent="0.3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0</v>
      </c>
      <c r="E28" s="1"/>
      <c r="F28" s="5">
        <f t="shared" ref="F28:F31" si="22">IF(D$12=0,0,D28/D$12)</f>
        <v>0</v>
      </c>
      <c r="G28" s="1"/>
      <c r="H28" s="1">
        <f>SUM(OSRRefH22_1x_0)</f>
        <v>0</v>
      </c>
      <c r="I28" s="1"/>
      <c r="J28" s="5">
        <f t="shared" ref="J28:J31" si="23">IF(H$12=0,0,H28/H$12)</f>
        <v>0</v>
      </c>
      <c r="K28" s="1"/>
      <c r="L28" s="1">
        <f t="shared" ref="L28:L31" si="24">+D28-H28</f>
        <v>0</v>
      </c>
      <c r="M28" s="1"/>
      <c r="N28" s="5">
        <f t="shared" ref="N28:N31" si="25">IF(H28=0,0,L28/H28)</f>
        <v>0</v>
      </c>
      <c r="O28" s="12"/>
      <c r="P28" s="1">
        <f>SUM(OSRRefP22_1x_0)</f>
        <v>10914.98</v>
      </c>
      <c r="Q28" s="1"/>
      <c r="R28" s="5">
        <f t="shared" ref="R28:R31" si="26">IF(P$12=0,0,P28/P$12)</f>
        <v>2.1075377194913321</v>
      </c>
      <c r="S28" s="1"/>
      <c r="T28" s="1">
        <f>SUM(OSRRefT22_1x_0)</f>
        <v>17827.21</v>
      </c>
      <c r="U28" s="1"/>
      <c r="V28" s="5">
        <f t="shared" ref="V28:V31" si="27">IF(T$12=0,0,T28/T$12)</f>
        <v>1.6930036571943021</v>
      </c>
      <c r="W28" s="1"/>
      <c r="X28" s="1">
        <f t="shared" ref="X28:X31" si="28">+P28-T28</f>
        <v>-6912.23</v>
      </c>
      <c r="Y28" s="1"/>
      <c r="Z28" s="5">
        <f t="shared" ref="Z28:Z31" si="29">IF(T28=0,0,X28/T28)</f>
        <v>-0.38773481660899267</v>
      </c>
    </row>
    <row r="29" spans="1:26" s="24" customFormat="1" hidden="1" outlineLevel="2" x14ac:dyDescent="0.35">
      <c r="A29" s="27"/>
      <c r="B29" s="11" t="str">
        <f>CONCATENATE("          ", "6005", " - ", "TEMPORARY WAGES-HOURLY")</f>
        <v xml:space="preserve">          6005 - TEMPORARY WAGES-HOURLY</v>
      </c>
      <c r="C29" s="11"/>
      <c r="D29" s="7"/>
      <c r="E29" s="2"/>
      <c r="F29" s="6">
        <f t="shared" si="22"/>
        <v>0</v>
      </c>
      <c r="G29" s="2"/>
      <c r="H29" s="7"/>
      <c r="I29" s="2"/>
      <c r="J29" s="6">
        <f t="shared" si="23"/>
        <v>0</v>
      </c>
      <c r="K29" s="2"/>
      <c r="L29" s="7">
        <f t="shared" si="24"/>
        <v>0</v>
      </c>
      <c r="M29" s="2"/>
      <c r="N29" s="6">
        <f t="shared" si="25"/>
        <v>0</v>
      </c>
      <c r="O29" s="11"/>
      <c r="P29" s="7">
        <v>7765.17</v>
      </c>
      <c r="Q29" s="2"/>
      <c r="R29" s="6">
        <f t="shared" si="26"/>
        <v>1.4993512286108182</v>
      </c>
      <c r="S29" s="2"/>
      <c r="T29" s="7">
        <v>13228.56</v>
      </c>
      <c r="U29" s="2"/>
      <c r="V29" s="6">
        <f t="shared" si="27"/>
        <v>1.2562818556248712</v>
      </c>
      <c r="W29" s="2"/>
      <c r="X29" s="7">
        <f t="shared" si="28"/>
        <v>-5463.3899999999994</v>
      </c>
      <c r="Y29" s="2"/>
      <c r="Z29" s="6">
        <f t="shared" si="29"/>
        <v>-0.41299960086358606</v>
      </c>
    </row>
    <row r="30" spans="1:26" s="24" customFormat="1" hidden="1" outlineLevel="2" x14ac:dyDescent="0.35">
      <c r="A30" s="27"/>
      <c r="B30" s="11" t="str">
        <f>CONCATENATE("          ", "6006", " - ", "TEMPORARY PART TIME")</f>
        <v xml:space="preserve">          6006 - TEMPORARY PART TIME</v>
      </c>
      <c r="C30" s="11"/>
      <c r="D30" s="7"/>
      <c r="E30" s="2"/>
      <c r="F30" s="6">
        <f t="shared" si="22"/>
        <v>0</v>
      </c>
      <c r="G30" s="2"/>
      <c r="H30" s="7"/>
      <c r="I30" s="2"/>
      <c r="J30" s="6">
        <f t="shared" si="23"/>
        <v>0</v>
      </c>
      <c r="K30" s="2"/>
      <c r="L30" s="7">
        <f t="shared" si="24"/>
        <v>0</v>
      </c>
      <c r="M30" s="2"/>
      <c r="N30" s="6">
        <f t="shared" si="25"/>
        <v>0</v>
      </c>
      <c r="O30" s="11"/>
      <c r="P30" s="7">
        <v>73.31</v>
      </c>
      <c r="Q30" s="2"/>
      <c r="R30" s="6">
        <f t="shared" si="26"/>
        <v>1.4155187660986054E-2</v>
      </c>
      <c r="S30" s="2"/>
      <c r="T30" s="7">
        <v>942</v>
      </c>
      <c r="U30" s="2"/>
      <c r="V30" s="6">
        <f t="shared" si="27"/>
        <v>8.9459284154785448E-2</v>
      </c>
      <c r="W30" s="2"/>
      <c r="X30" s="7">
        <f t="shared" si="28"/>
        <v>-868.69</v>
      </c>
      <c r="Y30" s="2"/>
      <c r="Z30" s="6">
        <f t="shared" si="29"/>
        <v>-0.92217622080679407</v>
      </c>
    </row>
    <row r="31" spans="1:26" s="24" customFormat="1" hidden="1" outlineLevel="2" x14ac:dyDescent="0.35">
      <c r="A31" s="27"/>
      <c r="B31" s="11" t="str">
        <f>CONCATENATE("          ", "6007", " - ", "STUDENT HOURLY")</f>
        <v xml:space="preserve">          6007 - STUDENT HOURLY</v>
      </c>
      <c r="C31" s="11"/>
      <c r="D31" s="7"/>
      <c r="E31" s="2"/>
      <c r="F31" s="6">
        <f t="shared" si="22"/>
        <v>0</v>
      </c>
      <c r="G31" s="2"/>
      <c r="H31" s="7"/>
      <c r="I31" s="2"/>
      <c r="J31" s="6">
        <f t="shared" si="23"/>
        <v>0</v>
      </c>
      <c r="K31" s="2"/>
      <c r="L31" s="7">
        <f t="shared" si="24"/>
        <v>0</v>
      </c>
      <c r="M31" s="2"/>
      <c r="N31" s="6">
        <f t="shared" si="25"/>
        <v>0</v>
      </c>
      <c r="O31" s="11"/>
      <c r="P31" s="7">
        <v>3076.5</v>
      </c>
      <c r="Q31" s="2"/>
      <c r="R31" s="6">
        <f t="shared" si="26"/>
        <v>0.59403130321952802</v>
      </c>
      <c r="S31" s="2"/>
      <c r="T31" s="7">
        <v>3656.65</v>
      </c>
      <c r="U31" s="2"/>
      <c r="V31" s="6">
        <f t="shared" si="27"/>
        <v>0.3472625174146457</v>
      </c>
      <c r="W31" s="2"/>
      <c r="X31" s="7">
        <f t="shared" si="28"/>
        <v>-580.15000000000009</v>
      </c>
      <c r="Y31" s="2"/>
      <c r="Z31" s="6">
        <f t="shared" si="29"/>
        <v>-0.15865614701981323</v>
      </c>
    </row>
    <row r="32" spans="1:26" s="25" customFormat="1" outlineLevel="1" collapsed="1" x14ac:dyDescent="0.35">
      <c r="A32" s="26"/>
      <c r="B32" s="12" t="str">
        <f>CONCATENATE("     ","Advertising/Promo                                 ")</f>
        <v xml:space="preserve">     Advertising/Promo                                 </v>
      </c>
      <c r="C32" s="12"/>
      <c r="D32" s="1">
        <f>SUM(OSRRefD22_2x_0)</f>
        <v>0</v>
      </c>
      <c r="E32" s="1"/>
      <c r="F32" s="5">
        <f t="shared" ref="F32:F48" si="30">IF(D$12=0,0,D32/D$12)</f>
        <v>0</v>
      </c>
      <c r="G32" s="1"/>
      <c r="H32" s="1">
        <f>SUM(OSRRefH22_2x_0)</f>
        <v>0</v>
      </c>
      <c r="I32" s="1"/>
      <c r="J32" s="5">
        <f t="shared" ref="J32:J48" si="31">IF(H$12=0,0,H32/H$12)</f>
        <v>0</v>
      </c>
      <c r="K32" s="1"/>
      <c r="L32" s="1">
        <f t="shared" ref="L32:L48" si="32">+D32-H32</f>
        <v>0</v>
      </c>
      <c r="M32" s="1"/>
      <c r="N32" s="5">
        <f t="shared" ref="N32:N48" si="33">IF(H32=0,0,L32/H32)</f>
        <v>0</v>
      </c>
      <c r="O32" s="12"/>
      <c r="P32" s="1">
        <f>SUM(OSRRefP22_2x_0)</f>
        <v>0</v>
      </c>
      <c r="Q32" s="1"/>
      <c r="R32" s="5">
        <f t="shared" ref="R32:R48" si="34">IF(P$12=0,0,P32/P$12)</f>
        <v>0</v>
      </c>
      <c r="S32" s="1"/>
      <c r="T32" s="1">
        <f>SUM(OSRRefT22_2x_0)</f>
        <v>12</v>
      </c>
      <c r="U32" s="1"/>
      <c r="V32" s="5">
        <f t="shared" ref="V32:V48" si="35">IF(T$12=0,0,T32/T$12)</f>
        <v>1.1396087153475853E-3</v>
      </c>
      <c r="W32" s="1"/>
      <c r="X32" s="1">
        <f t="shared" ref="X32:X48" si="36">+P32-T32</f>
        <v>-12</v>
      </c>
      <c r="Y32" s="1"/>
      <c r="Z32" s="5">
        <f t="shared" ref="Z32:Z48" si="37">IF(T32=0,0,X32/T32)</f>
        <v>-1</v>
      </c>
    </row>
    <row r="33" spans="1:26" s="24" customFormat="1" hidden="1" outlineLevel="2" x14ac:dyDescent="0.35">
      <c r="A33" s="27"/>
      <c r="B33" s="11" t="str">
        <f>CONCATENATE("          ", "6362", " - ", "ADVERTISING EXPENSE")</f>
        <v xml:space="preserve">          6362 - ADVERTISING EXPENSE</v>
      </c>
      <c r="C33" s="11"/>
      <c r="D33" s="7"/>
      <c r="E33" s="2"/>
      <c r="F33" s="6">
        <f t="shared" si="30"/>
        <v>0</v>
      </c>
      <c r="G33" s="2"/>
      <c r="H33" s="7"/>
      <c r="I33" s="2"/>
      <c r="J33" s="6">
        <f t="shared" si="31"/>
        <v>0</v>
      </c>
      <c r="K33" s="2"/>
      <c r="L33" s="7">
        <f t="shared" si="32"/>
        <v>0</v>
      </c>
      <c r="M33" s="2"/>
      <c r="N33" s="6">
        <f t="shared" si="33"/>
        <v>0</v>
      </c>
      <c r="O33" s="11"/>
      <c r="P33" s="7"/>
      <c r="Q33" s="2"/>
      <c r="R33" s="6">
        <f t="shared" si="34"/>
        <v>0</v>
      </c>
      <c r="S33" s="2"/>
      <c r="T33" s="7">
        <v>12</v>
      </c>
      <c r="U33" s="2"/>
      <c r="V33" s="6">
        <f t="shared" si="35"/>
        <v>1.1396087153475853E-3</v>
      </c>
      <c r="W33" s="2"/>
      <c r="X33" s="7">
        <f t="shared" si="36"/>
        <v>-12</v>
      </c>
      <c r="Y33" s="2"/>
      <c r="Z33" s="6">
        <f t="shared" si="37"/>
        <v>-1</v>
      </c>
    </row>
    <row r="34" spans="1:26" s="25" customFormat="1" outlineLevel="1" collapsed="1" x14ac:dyDescent="0.35">
      <c r="A34" s="26"/>
      <c r="B34" s="12" t="str">
        <f>CONCATENATE("     ","Bad Debts/Over/Short                              ")</f>
        <v xml:space="preserve">     Bad Debts/Over/Short                              </v>
      </c>
      <c r="C34" s="12"/>
      <c r="D34" s="1">
        <f>SUM(OSRRefD22_3x_0)</f>
        <v>0</v>
      </c>
      <c r="E34" s="1"/>
      <c r="F34" s="5">
        <f t="shared" si="30"/>
        <v>0</v>
      </c>
      <c r="G34" s="1"/>
      <c r="H34" s="1">
        <f>SUM(OSRRefH22_3x_0)</f>
        <v>5.54</v>
      </c>
      <c r="I34" s="1"/>
      <c r="J34" s="5">
        <f t="shared" si="31"/>
        <v>0</v>
      </c>
      <c r="K34" s="1"/>
      <c r="L34" s="1">
        <f t="shared" si="32"/>
        <v>-5.54</v>
      </c>
      <c r="M34" s="1"/>
      <c r="N34" s="5">
        <f t="shared" si="33"/>
        <v>-1</v>
      </c>
      <c r="O34" s="12"/>
      <c r="P34" s="1">
        <f>SUM(OSRRefP22_3x_0)</f>
        <v>-1.41</v>
      </c>
      <c r="Q34" s="1"/>
      <c r="R34" s="5">
        <f t="shared" si="34"/>
        <v>-2.7225227938876463E-4</v>
      </c>
      <c r="S34" s="1"/>
      <c r="T34" s="1">
        <f>SUM(OSRRefT22_3x_0)</f>
        <v>0.97</v>
      </c>
      <c r="U34" s="1"/>
      <c r="V34" s="5">
        <f t="shared" si="35"/>
        <v>9.2118371157263155E-5</v>
      </c>
      <c r="W34" s="1"/>
      <c r="X34" s="1">
        <f t="shared" si="36"/>
        <v>-2.38</v>
      </c>
      <c r="Y34" s="1"/>
      <c r="Z34" s="5">
        <f t="shared" si="37"/>
        <v>-2.4536082474226806</v>
      </c>
    </row>
    <row r="35" spans="1:26" s="24" customFormat="1" hidden="1" outlineLevel="2" x14ac:dyDescent="0.35">
      <c r="A35" s="27"/>
      <c r="B35" s="11" t="str">
        <f>CONCATENATE("          ", "6272", " - ", "CASH (OVER/SHORT)")</f>
        <v xml:space="preserve">          6272 - CASH (OVER/SHORT)</v>
      </c>
      <c r="C35" s="11"/>
      <c r="D35" s="7"/>
      <c r="E35" s="2"/>
      <c r="F35" s="6">
        <f t="shared" si="30"/>
        <v>0</v>
      </c>
      <c r="G35" s="2"/>
      <c r="H35" s="7">
        <v>5.54</v>
      </c>
      <c r="I35" s="2"/>
      <c r="J35" s="6">
        <f t="shared" si="31"/>
        <v>0</v>
      </c>
      <c r="K35" s="2"/>
      <c r="L35" s="7">
        <f t="shared" si="32"/>
        <v>-5.54</v>
      </c>
      <c r="M35" s="2"/>
      <c r="N35" s="6">
        <f t="shared" si="33"/>
        <v>-1</v>
      </c>
      <c r="O35" s="11"/>
      <c r="P35" s="7">
        <v>-1.41</v>
      </c>
      <c r="Q35" s="2"/>
      <c r="R35" s="6">
        <f t="shared" si="34"/>
        <v>-2.7225227938876463E-4</v>
      </c>
      <c r="S35" s="2"/>
      <c r="T35" s="7">
        <v>0.97</v>
      </c>
      <c r="U35" s="2"/>
      <c r="V35" s="6">
        <f t="shared" si="35"/>
        <v>9.2118371157263155E-5</v>
      </c>
      <c r="W35" s="2"/>
      <c r="X35" s="7">
        <f t="shared" si="36"/>
        <v>-2.38</v>
      </c>
      <c r="Y35" s="2"/>
      <c r="Z35" s="6">
        <f t="shared" si="37"/>
        <v>-2.4536082474226806</v>
      </c>
    </row>
    <row r="36" spans="1:26" s="25" customFormat="1" outlineLevel="1" collapsed="1" x14ac:dyDescent="0.35">
      <c r="A36" s="26"/>
      <c r="B36" s="12" t="str">
        <f>CONCATENATE("     ","Bank/card Fees                                    ")</f>
        <v xml:space="preserve">     Bank/card Fees                                    </v>
      </c>
      <c r="C36" s="12"/>
      <c r="D36" s="1">
        <f>SUM(OSRRefD22_4x_0)</f>
        <v>0</v>
      </c>
      <c r="E36" s="1"/>
      <c r="F36" s="5">
        <f t="shared" si="30"/>
        <v>0</v>
      </c>
      <c r="G36" s="1"/>
      <c r="H36" s="1">
        <f>SUM(OSRRefH22_4x_0)</f>
        <v>0</v>
      </c>
      <c r="I36" s="1"/>
      <c r="J36" s="5">
        <f t="shared" si="31"/>
        <v>0</v>
      </c>
      <c r="K36" s="1"/>
      <c r="L36" s="1">
        <f t="shared" si="32"/>
        <v>0</v>
      </c>
      <c r="M36" s="1"/>
      <c r="N36" s="5">
        <f t="shared" si="33"/>
        <v>0</v>
      </c>
      <c r="O36" s="12"/>
      <c r="P36" s="1">
        <f>SUM(OSRRefP22_4x_0)</f>
        <v>125.26</v>
      </c>
      <c r="Q36" s="1"/>
      <c r="R36" s="5">
        <f t="shared" si="34"/>
        <v>2.418604291931678E-2</v>
      </c>
      <c r="S36" s="1"/>
      <c r="T36" s="1">
        <f>SUM(OSRRefT22_4x_0)</f>
        <v>216.05</v>
      </c>
      <c r="U36" s="1"/>
      <c r="V36" s="5">
        <f t="shared" si="35"/>
        <v>2.0517705245903819E-2</v>
      </c>
      <c r="W36" s="1"/>
      <c r="X36" s="1">
        <f t="shared" si="36"/>
        <v>-90.79</v>
      </c>
      <c r="Y36" s="1"/>
      <c r="Z36" s="5">
        <f t="shared" si="37"/>
        <v>-0.42022679935200186</v>
      </c>
    </row>
    <row r="37" spans="1:26" s="24" customFormat="1" hidden="1" outlineLevel="2" x14ac:dyDescent="0.35">
      <c r="A37" s="27"/>
      <c r="B37" s="11" t="str">
        <f>CONCATENATE("          ", "6381", " - ", "BANK/CREDIT CARD FEES")</f>
        <v xml:space="preserve">          6381 - BANK/CREDIT CARD FEES</v>
      </c>
      <c r="C37" s="11"/>
      <c r="D37" s="7"/>
      <c r="E37" s="2"/>
      <c r="F37" s="6">
        <f t="shared" si="30"/>
        <v>0</v>
      </c>
      <c r="G37" s="2"/>
      <c r="H37" s="7"/>
      <c r="I37" s="2"/>
      <c r="J37" s="6">
        <f t="shared" si="31"/>
        <v>0</v>
      </c>
      <c r="K37" s="2"/>
      <c r="L37" s="7">
        <f t="shared" si="32"/>
        <v>0</v>
      </c>
      <c r="M37" s="2"/>
      <c r="N37" s="6">
        <f t="shared" si="33"/>
        <v>0</v>
      </c>
      <c r="O37" s="11"/>
      <c r="P37" s="7">
        <v>125.26</v>
      </c>
      <c r="Q37" s="2"/>
      <c r="R37" s="6">
        <f t="shared" si="34"/>
        <v>2.418604291931678E-2</v>
      </c>
      <c r="S37" s="2"/>
      <c r="T37" s="7">
        <v>216.05</v>
      </c>
      <c r="U37" s="2"/>
      <c r="V37" s="6">
        <f t="shared" si="35"/>
        <v>2.0517705245903819E-2</v>
      </c>
      <c r="W37" s="2"/>
      <c r="X37" s="7">
        <f t="shared" si="36"/>
        <v>-90.79</v>
      </c>
      <c r="Y37" s="2"/>
      <c r="Z37" s="6">
        <f t="shared" si="37"/>
        <v>-0.42022679935200186</v>
      </c>
    </row>
    <row r="38" spans="1:26" s="25" customFormat="1" outlineLevel="1" collapsed="1" x14ac:dyDescent="0.35">
      <c r="A38" s="26"/>
      <c r="B38" s="12" t="str">
        <f>CONCATENATE("     ","Employees' Appreciation                           ")</f>
        <v xml:space="preserve">     Employees' Appreciation                           </v>
      </c>
      <c r="C38" s="12"/>
      <c r="D38" s="1">
        <f>SUM(OSRRefD22_5x_0)</f>
        <v>0</v>
      </c>
      <c r="E38" s="1"/>
      <c r="F38" s="5">
        <f t="shared" si="30"/>
        <v>0</v>
      </c>
      <c r="G38" s="1"/>
      <c r="H38" s="1">
        <f>SUM(OSRRefH22_5x_0)</f>
        <v>0</v>
      </c>
      <c r="I38" s="1"/>
      <c r="J38" s="5">
        <f t="shared" si="31"/>
        <v>0</v>
      </c>
      <c r="K38" s="1"/>
      <c r="L38" s="1">
        <f t="shared" si="32"/>
        <v>0</v>
      </c>
      <c r="M38" s="1"/>
      <c r="N38" s="5">
        <f t="shared" si="33"/>
        <v>0</v>
      </c>
      <c r="O38" s="12"/>
      <c r="P38" s="1">
        <f>SUM(OSRRefP22_5x_0)</f>
        <v>40.799999999999997</v>
      </c>
      <c r="Q38" s="1"/>
      <c r="R38" s="5">
        <f t="shared" si="34"/>
        <v>7.877938297206807E-3</v>
      </c>
      <c r="S38" s="1"/>
      <c r="T38" s="1">
        <f>SUM(OSRRefT22_5x_0)</f>
        <v>0</v>
      </c>
      <c r="U38" s="1"/>
      <c r="V38" s="5">
        <f t="shared" si="35"/>
        <v>0</v>
      </c>
      <c r="W38" s="1"/>
      <c r="X38" s="1">
        <f t="shared" si="36"/>
        <v>40.799999999999997</v>
      </c>
      <c r="Y38" s="1"/>
      <c r="Z38" s="5">
        <f t="shared" si="37"/>
        <v>0</v>
      </c>
    </row>
    <row r="39" spans="1:26" s="24" customFormat="1" hidden="1" outlineLevel="2" x14ac:dyDescent="0.35">
      <c r="A39" s="27"/>
      <c r="B39" s="11" t="str">
        <f>CONCATENATE("          ", "6277", " - ", "EMPLOYEE APPRECIATION")</f>
        <v xml:space="preserve">          6277 - EMPLOYEE APPRECIATION</v>
      </c>
      <c r="C39" s="11"/>
      <c r="D39" s="7"/>
      <c r="E39" s="2"/>
      <c r="F39" s="6">
        <f t="shared" si="30"/>
        <v>0</v>
      </c>
      <c r="G39" s="2"/>
      <c r="H39" s="7"/>
      <c r="I39" s="2"/>
      <c r="J39" s="6">
        <f t="shared" si="31"/>
        <v>0</v>
      </c>
      <c r="K39" s="2"/>
      <c r="L39" s="7">
        <f t="shared" si="32"/>
        <v>0</v>
      </c>
      <c r="M39" s="2"/>
      <c r="N39" s="6">
        <f t="shared" si="33"/>
        <v>0</v>
      </c>
      <c r="O39" s="11"/>
      <c r="P39" s="7">
        <v>40.799999999999997</v>
      </c>
      <c r="Q39" s="2"/>
      <c r="R39" s="6">
        <f t="shared" si="34"/>
        <v>7.877938297206807E-3</v>
      </c>
      <c r="S39" s="2"/>
      <c r="T39" s="7"/>
      <c r="U39" s="2"/>
      <c r="V39" s="6">
        <f t="shared" si="35"/>
        <v>0</v>
      </c>
      <c r="W39" s="2"/>
      <c r="X39" s="7">
        <f t="shared" si="36"/>
        <v>40.799999999999997</v>
      </c>
      <c r="Y39" s="2"/>
      <c r="Z39" s="6">
        <f t="shared" si="37"/>
        <v>0</v>
      </c>
    </row>
    <row r="40" spans="1:26" s="25" customFormat="1" outlineLevel="1" collapsed="1" x14ac:dyDescent="0.35">
      <c r="A40" s="26"/>
      <c r="B40" s="12" t="str">
        <f>CONCATENATE("     ","General                                           ")</f>
        <v xml:space="preserve">     General                                           </v>
      </c>
      <c r="C40" s="12"/>
      <c r="D40" s="1">
        <f>SUM(OSRRefD22_6x_0)</f>
        <v>0</v>
      </c>
      <c r="E40" s="1"/>
      <c r="F40" s="5">
        <f t="shared" si="30"/>
        <v>0</v>
      </c>
      <c r="G40" s="1"/>
      <c r="H40" s="1">
        <f>SUM(OSRRefH22_6x_0)</f>
        <v>0</v>
      </c>
      <c r="I40" s="1"/>
      <c r="J40" s="5">
        <f t="shared" si="31"/>
        <v>0</v>
      </c>
      <c r="K40" s="1"/>
      <c r="L40" s="1">
        <f t="shared" si="32"/>
        <v>0</v>
      </c>
      <c r="M40" s="1"/>
      <c r="N40" s="5">
        <f t="shared" si="33"/>
        <v>0</v>
      </c>
      <c r="O40" s="12"/>
      <c r="P40" s="1">
        <f>SUM(OSRRefP22_6x_0)</f>
        <v>1154.05</v>
      </c>
      <c r="Q40" s="1"/>
      <c r="R40" s="5">
        <f t="shared" si="34"/>
        <v>0.22283173264439987</v>
      </c>
      <c r="S40" s="1"/>
      <c r="T40" s="1">
        <f>SUM(OSRRefT22_6x_0)</f>
        <v>1115.22</v>
      </c>
      <c r="U40" s="1"/>
      <c r="V40" s="5">
        <f t="shared" si="35"/>
        <v>0.10590953596082785</v>
      </c>
      <c r="W40" s="1"/>
      <c r="X40" s="1">
        <f t="shared" si="36"/>
        <v>38.829999999999927</v>
      </c>
      <c r="Y40" s="1"/>
      <c r="Z40" s="5">
        <f t="shared" si="37"/>
        <v>3.4818242140564129E-2</v>
      </c>
    </row>
    <row r="41" spans="1:26" s="24" customFormat="1" hidden="1" outlineLevel="2" x14ac:dyDescent="0.35">
      <c r="A41" s="27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30"/>
        <v>0</v>
      </c>
      <c r="G41" s="2"/>
      <c r="H41" s="7"/>
      <c r="I41" s="2"/>
      <c r="J41" s="6">
        <f t="shared" si="31"/>
        <v>0</v>
      </c>
      <c r="K41" s="2"/>
      <c r="L41" s="7">
        <f t="shared" si="32"/>
        <v>0</v>
      </c>
      <c r="M41" s="2"/>
      <c r="N41" s="6">
        <f t="shared" si="33"/>
        <v>0</v>
      </c>
      <c r="O41" s="11"/>
      <c r="P41" s="7">
        <v>1154.05</v>
      </c>
      <c r="Q41" s="2"/>
      <c r="R41" s="6">
        <f t="shared" si="34"/>
        <v>0.22283173264439987</v>
      </c>
      <c r="S41" s="2"/>
      <c r="T41" s="7">
        <v>1115.22</v>
      </c>
      <c r="U41" s="2"/>
      <c r="V41" s="6">
        <f t="shared" si="35"/>
        <v>0.10590953596082785</v>
      </c>
      <c r="W41" s="2"/>
      <c r="X41" s="7">
        <f t="shared" si="36"/>
        <v>38.829999999999927</v>
      </c>
      <c r="Y41" s="2"/>
      <c r="Z41" s="6">
        <f t="shared" si="37"/>
        <v>3.4818242140564129E-2</v>
      </c>
    </row>
    <row r="42" spans="1:26" s="25" customFormat="1" outlineLevel="1" collapsed="1" x14ac:dyDescent="0.35">
      <c r="A42" s="26"/>
      <c r="B42" s="12" t="str">
        <f>CONCATENATE("     ","R/H Commissions                                   ")</f>
        <v xml:space="preserve">     R/H Commissions                                   </v>
      </c>
      <c r="C42" s="12"/>
      <c r="D42" s="1">
        <f>SUM(OSRRefD22_7x_0)</f>
        <v>0</v>
      </c>
      <c r="E42" s="1"/>
      <c r="F42" s="5">
        <f t="shared" si="30"/>
        <v>0</v>
      </c>
      <c r="G42" s="1"/>
      <c r="H42" s="1">
        <f>SUM(OSRRefH22_7x_0)</f>
        <v>0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2"/>
      <c r="P42" s="1">
        <f>SUM(OSRRefP22_7x_0)</f>
        <v>414.32</v>
      </c>
      <c r="Q42" s="1"/>
      <c r="R42" s="5">
        <f t="shared" si="34"/>
        <v>7.9999691061243244E-2</v>
      </c>
      <c r="S42" s="1"/>
      <c r="T42" s="1">
        <f>SUM(OSRRefT22_7x_0)</f>
        <v>792.32</v>
      </c>
      <c r="U42" s="1"/>
      <c r="V42" s="5">
        <f t="shared" si="35"/>
        <v>7.5244564778683243E-2</v>
      </c>
      <c r="W42" s="1"/>
      <c r="X42" s="1">
        <f t="shared" si="36"/>
        <v>-378.00000000000006</v>
      </c>
      <c r="Y42" s="1"/>
      <c r="Z42" s="5">
        <f t="shared" si="37"/>
        <v>-0.47707996768982236</v>
      </c>
    </row>
    <row r="43" spans="1:26" s="24" customFormat="1" hidden="1" outlineLevel="2" x14ac:dyDescent="0.35">
      <c r="A43" s="27"/>
      <c r="B43" s="11" t="str">
        <f>CONCATENATE("          ", "6387", " - ", "COMMISSION DUE HOUSING")</f>
        <v xml:space="preserve">          6387 - COMMISSION DUE HOUSING</v>
      </c>
      <c r="C43" s="11"/>
      <c r="D43" s="7"/>
      <c r="E43" s="2"/>
      <c r="F43" s="6">
        <f t="shared" si="30"/>
        <v>0</v>
      </c>
      <c r="G43" s="2"/>
      <c r="H43" s="7"/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>
        <v>414.32</v>
      </c>
      <c r="Q43" s="2"/>
      <c r="R43" s="6">
        <f t="shared" si="34"/>
        <v>7.9999691061243244E-2</v>
      </c>
      <c r="S43" s="2"/>
      <c r="T43" s="7">
        <v>792.32</v>
      </c>
      <c r="U43" s="2"/>
      <c r="V43" s="6">
        <f t="shared" si="35"/>
        <v>7.5244564778683243E-2</v>
      </c>
      <c r="W43" s="2"/>
      <c r="X43" s="7">
        <f t="shared" si="36"/>
        <v>-378.00000000000006</v>
      </c>
      <c r="Y43" s="2"/>
      <c r="Z43" s="6">
        <f t="shared" si="37"/>
        <v>-0.47707996768982236</v>
      </c>
    </row>
    <row r="44" spans="1:26" s="25" customFormat="1" outlineLevel="1" collapsed="1" x14ac:dyDescent="0.35">
      <c r="A44" s="26"/>
      <c r="B44" s="12" t="str">
        <f>CONCATENATE("     ","Supplies                                          ")</f>
        <v xml:space="preserve">     Supplies                                          </v>
      </c>
      <c r="C44" s="12"/>
      <c r="D44" s="1">
        <f>SUM(OSRRefD22_8x_0)</f>
        <v>0</v>
      </c>
      <c r="E44" s="1"/>
      <c r="F44" s="5">
        <f t="shared" si="30"/>
        <v>0</v>
      </c>
      <c r="G44" s="1"/>
      <c r="H44" s="1">
        <f>SUM(OSRRefH22_8x_0)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2"/>
      <c r="P44" s="1">
        <f>SUM(OSRRefP22_8x_0)</f>
        <v>1592.1399999999999</v>
      </c>
      <c r="Q44" s="1"/>
      <c r="R44" s="5">
        <f t="shared" si="34"/>
        <v>0.30742109511065796</v>
      </c>
      <c r="S44" s="1"/>
      <c r="T44" s="1">
        <f>SUM(OSRRefT22_8x_0)</f>
        <v>405.15999999999997</v>
      </c>
      <c r="U44" s="1"/>
      <c r="V44" s="5">
        <f t="shared" si="35"/>
        <v>3.8476988925852301E-2</v>
      </c>
      <c r="W44" s="1"/>
      <c r="X44" s="1">
        <f t="shared" si="36"/>
        <v>1186.98</v>
      </c>
      <c r="Y44" s="1"/>
      <c r="Z44" s="5">
        <f t="shared" si="37"/>
        <v>2.9296574192911446</v>
      </c>
    </row>
    <row r="45" spans="1:26" s="24" customFormat="1" hidden="1" outlineLevel="2" x14ac:dyDescent="0.35">
      <c r="A45" s="27"/>
      <c r="B45" s="11" t="str">
        <f>CONCATENATE("          ", "6237", " - ", "JANITORIAL SUPPLIES")</f>
        <v xml:space="preserve">          6237 - JANITORIAL SUPPLIES</v>
      </c>
      <c r="C45" s="11"/>
      <c r="D45" s="7"/>
      <c r="E45" s="2"/>
      <c r="F45" s="6">
        <f t="shared" si="30"/>
        <v>0</v>
      </c>
      <c r="G45" s="2"/>
      <c r="H45" s="7"/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>
        <v>47.13</v>
      </c>
      <c r="Q45" s="2"/>
      <c r="R45" s="6">
        <f t="shared" si="34"/>
        <v>9.1001772536116864E-3</v>
      </c>
      <c r="S45" s="2"/>
      <c r="T45" s="7">
        <v>240.67</v>
      </c>
      <c r="U45" s="2"/>
      <c r="V45" s="6">
        <f t="shared" si="35"/>
        <v>2.2855802460225279E-2</v>
      </c>
      <c r="W45" s="2"/>
      <c r="X45" s="7">
        <f t="shared" si="36"/>
        <v>-193.54</v>
      </c>
      <c r="Y45" s="2"/>
      <c r="Z45" s="6">
        <f t="shared" si="37"/>
        <v>-0.80417168737275113</v>
      </c>
    </row>
    <row r="46" spans="1:26" s="24" customFormat="1" hidden="1" outlineLevel="2" x14ac:dyDescent="0.35">
      <c r="A46" s="27"/>
      <c r="B46" s="11" t="str">
        <f>CONCATENATE("          ", "6243", " - ", "PAPER SUPPLIES")</f>
        <v xml:space="preserve">          6243 - PAPER SUPPLIES</v>
      </c>
      <c r="C46" s="11"/>
      <c r="D46" s="7"/>
      <c r="E46" s="2"/>
      <c r="F46" s="6">
        <f t="shared" si="30"/>
        <v>0</v>
      </c>
      <c r="G46" s="2"/>
      <c r="H46" s="7"/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230.39</v>
      </c>
      <c r="U46" s="2"/>
      <c r="V46" s="6">
        <f t="shared" si="35"/>
        <v>2.1879537660744183E-2</v>
      </c>
      <c r="W46" s="2"/>
      <c r="X46" s="7">
        <f t="shared" si="36"/>
        <v>-230.39</v>
      </c>
      <c r="Y46" s="2"/>
      <c r="Z46" s="6">
        <f t="shared" si="37"/>
        <v>-1</v>
      </c>
    </row>
    <row r="47" spans="1:26" s="24" customFormat="1" hidden="1" outlineLevel="2" x14ac:dyDescent="0.35">
      <c r="A47" s="27"/>
      <c r="B47" s="11" t="str">
        <f>CONCATENATE("          ", "6247", " - ", "STORE SUPPLIES")</f>
        <v xml:space="preserve">          6247 - STORE SUPPLIES</v>
      </c>
      <c r="C47" s="11"/>
      <c r="D47" s="7"/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0</v>
      </c>
      <c r="M47" s="2"/>
      <c r="N47" s="6">
        <f t="shared" si="33"/>
        <v>0</v>
      </c>
      <c r="O47" s="11"/>
      <c r="P47" s="7">
        <v>431.41</v>
      </c>
      <c r="Q47" s="2"/>
      <c r="R47" s="6">
        <f t="shared" si="34"/>
        <v>8.3299543156813455E-2</v>
      </c>
      <c r="S47" s="2"/>
      <c r="T47" s="7">
        <v>-65.900000000000006</v>
      </c>
      <c r="U47" s="2"/>
      <c r="V47" s="6">
        <f t="shared" si="35"/>
        <v>-6.2583511951171565E-3</v>
      </c>
      <c r="W47" s="2"/>
      <c r="X47" s="7">
        <f t="shared" si="36"/>
        <v>497.31000000000006</v>
      </c>
      <c r="Y47" s="2"/>
      <c r="Z47" s="6">
        <f t="shared" si="37"/>
        <v>-7.546433990895296</v>
      </c>
    </row>
    <row r="48" spans="1:26" s="24" customFormat="1" hidden="1" outlineLevel="2" x14ac:dyDescent="0.35">
      <c r="A48" s="27"/>
      <c r="B48" s="11" t="str">
        <f>CONCATENATE("          ", "6248", " - ", "UNIFORMS")</f>
        <v xml:space="preserve">          6248 - UNIFORMS</v>
      </c>
      <c r="C48" s="11"/>
      <c r="D48" s="7"/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0</v>
      </c>
      <c r="M48" s="2"/>
      <c r="N48" s="6">
        <f t="shared" si="33"/>
        <v>0</v>
      </c>
      <c r="O48" s="11"/>
      <c r="P48" s="7">
        <v>1113.5999999999999</v>
      </c>
      <c r="Q48" s="2"/>
      <c r="R48" s="6">
        <f t="shared" si="34"/>
        <v>0.21502137470023283</v>
      </c>
      <c r="S48" s="2"/>
      <c r="T48" s="7"/>
      <c r="U48" s="2"/>
      <c r="V48" s="6">
        <f t="shared" si="35"/>
        <v>0</v>
      </c>
      <c r="W48" s="2"/>
      <c r="X48" s="7">
        <f t="shared" si="36"/>
        <v>1113.5999999999999</v>
      </c>
      <c r="Y48" s="2"/>
      <c r="Z48" s="6">
        <f t="shared" si="37"/>
        <v>0</v>
      </c>
    </row>
    <row r="49" spans="1:26" s="25" customFormat="1" outlineLevel="1" collapsed="1" x14ac:dyDescent="0.35">
      <c r="A49" s="26"/>
      <c r="B49" s="12" t="str">
        <f>CONCATENATE("     ","Telephone/Data Lines                              ")</f>
        <v xml:space="preserve">     Telephone/Data Lines                              </v>
      </c>
      <c r="C49" s="12"/>
      <c r="D49" s="1">
        <f>SUM(OSRRefD22_9x_0)</f>
        <v>151</v>
      </c>
      <c r="E49" s="1"/>
      <c r="F49" s="5">
        <f t="shared" ref="F49:F50" si="38">IF(D$12=0,0,D49/D$12)</f>
        <v>0</v>
      </c>
      <c r="G49" s="1"/>
      <c r="H49" s="1">
        <f>SUM(OSRRefH22_9x_0)</f>
        <v>75.5</v>
      </c>
      <c r="I49" s="1"/>
      <c r="J49" s="5">
        <f t="shared" ref="J49:J50" si="39">IF(H$12=0,0,H49/H$12)</f>
        <v>0</v>
      </c>
      <c r="K49" s="1"/>
      <c r="L49" s="1">
        <f t="shared" ref="L49:L50" si="40">+D49-H49</f>
        <v>75.5</v>
      </c>
      <c r="M49" s="1"/>
      <c r="N49" s="5">
        <f t="shared" ref="N49:N50" si="41">IF(H49=0,0,L49/H49)</f>
        <v>1</v>
      </c>
      <c r="O49" s="12"/>
      <c r="P49" s="1">
        <f>SUM(OSRRefP22_9x_0)</f>
        <v>941.5</v>
      </c>
      <c r="Q49" s="1"/>
      <c r="R49" s="5">
        <f t="shared" ref="R49:R50" si="42">IF(P$12=0,0,P49/P$12)</f>
        <v>0.18179114967696589</v>
      </c>
      <c r="S49" s="1"/>
      <c r="T49" s="1">
        <f>SUM(OSRRefT22_9x_0)</f>
        <v>846</v>
      </c>
      <c r="U49" s="1"/>
      <c r="V49" s="5">
        <f t="shared" ref="V49:V50" si="43">IF(T$12=0,0,T49/T$12)</f>
        <v>8.0342414432004766E-2</v>
      </c>
      <c r="W49" s="1"/>
      <c r="X49" s="1">
        <f t="shared" ref="X49:X50" si="44">+P49-T49</f>
        <v>95.5</v>
      </c>
      <c r="Y49" s="1"/>
      <c r="Z49" s="5">
        <f t="shared" ref="Z49:Z50" si="45">IF(T49=0,0,X49/T49)</f>
        <v>0.11288416075650118</v>
      </c>
    </row>
    <row r="50" spans="1:26" s="24" customFormat="1" hidden="1" outlineLevel="2" x14ac:dyDescent="0.35">
      <c r="A50" s="27"/>
      <c r="B50" s="11" t="str">
        <f>CONCATENATE("          ", "6309", " - ", "TELEPHONE")</f>
        <v xml:space="preserve">          6309 - TELEPHONE</v>
      </c>
      <c r="C50" s="11"/>
      <c r="D50" s="7">
        <v>151</v>
      </c>
      <c r="E50" s="2"/>
      <c r="F50" s="6">
        <f t="shared" si="38"/>
        <v>0</v>
      </c>
      <c r="G50" s="2"/>
      <c r="H50" s="7">
        <v>75.5</v>
      </c>
      <c r="I50" s="2"/>
      <c r="J50" s="6">
        <f t="shared" si="39"/>
        <v>0</v>
      </c>
      <c r="K50" s="2"/>
      <c r="L50" s="7">
        <f t="shared" si="40"/>
        <v>75.5</v>
      </c>
      <c r="M50" s="2"/>
      <c r="N50" s="6">
        <f t="shared" si="41"/>
        <v>1</v>
      </c>
      <c r="O50" s="11"/>
      <c r="P50" s="7">
        <v>941.5</v>
      </c>
      <c r="Q50" s="2"/>
      <c r="R50" s="6">
        <f t="shared" si="42"/>
        <v>0.18179114967696589</v>
      </c>
      <c r="S50" s="2"/>
      <c r="T50" s="7">
        <v>846</v>
      </c>
      <c r="U50" s="2"/>
      <c r="V50" s="6">
        <f t="shared" si="43"/>
        <v>8.0342414432004766E-2</v>
      </c>
      <c r="W50" s="2"/>
      <c r="X50" s="7">
        <f t="shared" si="44"/>
        <v>95.5</v>
      </c>
      <c r="Y50" s="2"/>
      <c r="Z50" s="6">
        <f t="shared" si="45"/>
        <v>0.11288416075650118</v>
      </c>
    </row>
    <row r="51" spans="1:26" s="56" customFormat="1" x14ac:dyDescent="0.3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5">
      <c r="A52" s="10"/>
      <c r="B52" s="29" t="s">
        <v>0</v>
      </c>
      <c r="C52" s="10"/>
      <c r="D52" s="4">
        <f>SUM(0)</f>
        <v>0</v>
      </c>
      <c r="E52" s="4"/>
      <c r="F52" s="13">
        <f>IF(D$12=0,0,D52/D$12)</f>
        <v>0</v>
      </c>
      <c r="G52" s="4"/>
      <c r="H52" s="4">
        <f>SUM(0)</f>
        <v>0</v>
      </c>
      <c r="I52" s="4"/>
      <c r="J52" s="13">
        <f>IF(H$12=0,0,H52/H$12)</f>
        <v>0</v>
      </c>
      <c r="K52" s="4"/>
      <c r="L52" s="4">
        <f>+D52-H52</f>
        <v>0</v>
      </c>
      <c r="M52" s="4"/>
      <c r="N52" s="13">
        <f>IF(H52=0,0,L52/H52)</f>
        <v>0</v>
      </c>
      <c r="O52" s="10"/>
      <c r="P52" s="4">
        <f>SUM(0)</f>
        <v>0</v>
      </c>
      <c r="Q52" s="4"/>
      <c r="R52" s="13">
        <f>IF(P$12=0,0,P52/P$12)</f>
        <v>0</v>
      </c>
      <c r="S52" s="4"/>
      <c r="T52" s="4">
        <f>SUM(0)</f>
        <v>0</v>
      </c>
      <c r="U52" s="4"/>
      <c r="V52" s="13">
        <f>IF(T$12=0,0,T52/T$12)</f>
        <v>0</v>
      </c>
      <c r="W52" s="4"/>
      <c r="X52" s="4">
        <f>+P52-T52</f>
        <v>0</v>
      </c>
      <c r="Y52" s="4"/>
      <c r="Z52" s="13">
        <f>IF(T52=0,0,X52/T52)</f>
        <v>0</v>
      </c>
    </row>
    <row r="53" spans="1:26" x14ac:dyDescent="0.3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35">
      <c r="A54" s="10"/>
      <c r="B54" s="28" t="s">
        <v>3</v>
      </c>
      <c r="C54" s="28"/>
      <c r="D54" s="22">
        <f>+D21-D23+D52</f>
        <v>-116.1</v>
      </c>
      <c r="E54" s="14"/>
      <c r="F54" s="21">
        <f>IF(D$12=0,0,D54/D$12)</f>
        <v>0</v>
      </c>
      <c r="G54" s="14"/>
      <c r="H54" s="22">
        <f>+H21-H23+H52</f>
        <v>-11628.49</v>
      </c>
      <c r="I54" s="14"/>
      <c r="J54" s="21">
        <f>IF(H$12=0,0,H54/H$12)</f>
        <v>0</v>
      </c>
      <c r="K54" s="15"/>
      <c r="L54" s="22">
        <f>+D54-H54</f>
        <v>11512.39</v>
      </c>
      <c r="M54" s="15"/>
      <c r="N54" s="21">
        <f>IF(H54=0,0,L54/H54)</f>
        <v>-0.99001590060274369</v>
      </c>
      <c r="O54" s="29"/>
      <c r="P54" s="22">
        <f>+P21-P23+P52</f>
        <v>-17292.769999999997</v>
      </c>
      <c r="Q54" s="14"/>
      <c r="R54" s="21">
        <f>IF(P$12=0,0,P54/P$12)</f>
        <v>-3.3390042903869834</v>
      </c>
      <c r="S54" s="14"/>
      <c r="T54" s="22">
        <f>+T21-T23+T52</f>
        <v>-28763.17</v>
      </c>
      <c r="U54" s="14"/>
      <c r="V54" s="21">
        <f>IF(T$12=0,0,T54/T$12)</f>
        <v>-2.731563267752017</v>
      </c>
      <c r="W54" s="15"/>
      <c r="X54" s="22">
        <f>+P54-T54</f>
        <v>11470.400000000001</v>
      </c>
      <c r="Y54" s="15"/>
      <c r="Z54" s="21">
        <f>IF(T54=0,0,X54/T54)</f>
        <v>-0.3987877553134791</v>
      </c>
    </row>
    <row r="55" spans="1:26" x14ac:dyDescent="0.3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35">
      <c r="A56" s="51"/>
      <c r="B56" s="10" t="s">
        <v>13</v>
      </c>
      <c r="C56" s="10"/>
      <c r="D56" s="4">
        <v>171</v>
      </c>
      <c r="E56" s="4"/>
      <c r="F56" s="13">
        <f>IF(D$12=0,0,D56/D$12)</f>
        <v>0</v>
      </c>
      <c r="G56" s="4"/>
      <c r="H56" s="4">
        <v>-344.73</v>
      </c>
      <c r="I56" s="4"/>
      <c r="J56" s="13">
        <f>IF(H$12=0,0,H56/H$12)</f>
        <v>0</v>
      </c>
      <c r="K56" s="4"/>
      <c r="L56" s="4">
        <f>+D56-H56</f>
        <v>515.73</v>
      </c>
      <c r="M56" s="4"/>
      <c r="N56" s="13">
        <f>IF(H56=0,0,L56/H56)</f>
        <v>-1.496040379427378</v>
      </c>
      <c r="O56" s="10"/>
      <c r="P56" s="4">
        <v>784.3</v>
      </c>
      <c r="Q56" s="4"/>
      <c r="R56" s="13">
        <f>IF(P$12=0,0,P56/P$12)</f>
        <v>0.15143791682596319</v>
      </c>
      <c r="S56" s="4"/>
      <c r="T56" s="4">
        <v>750.54</v>
      </c>
      <c r="U56" s="4"/>
      <c r="V56" s="13">
        <f>IF(T$12=0,0,T56/T$12)</f>
        <v>7.1276827101414725E-2</v>
      </c>
      <c r="W56" s="4"/>
      <c r="X56" s="4">
        <f>+P56-T56</f>
        <v>33.759999999999991</v>
      </c>
      <c r="Y56" s="4"/>
      <c r="Z56" s="13">
        <f>IF(T56=0,0,X56/T56)</f>
        <v>4.4980947051456277E-2</v>
      </c>
    </row>
    <row r="57" spans="1:26" x14ac:dyDescent="0.3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" thickBot="1" x14ac:dyDescent="0.4">
      <c r="A58" s="10"/>
      <c r="B58" s="28" t="s">
        <v>4</v>
      </c>
      <c r="C58" s="28"/>
      <c r="D58" s="34">
        <f>+D54-D56</f>
        <v>-287.10000000000002</v>
      </c>
      <c r="E58" s="14"/>
      <c r="F58" s="32">
        <f>IF(D$12=0,0,D58/D$12)</f>
        <v>0</v>
      </c>
      <c r="G58" s="14"/>
      <c r="H58" s="34">
        <f>+H54-H56</f>
        <v>-11283.76</v>
      </c>
      <c r="I58" s="14"/>
      <c r="J58" s="32">
        <f>IF(H$12=0,0,H58/H$12)</f>
        <v>0</v>
      </c>
      <c r="K58" s="15"/>
      <c r="L58" s="34">
        <f>D58-H58</f>
        <v>10996.66</v>
      </c>
      <c r="M58" s="15"/>
      <c r="N58" s="32">
        <f>IF(H58=0,0,L58/H58)</f>
        <v>-0.97455635355590686</v>
      </c>
      <c r="O58" s="29"/>
      <c r="P58" s="34">
        <f>+P54-P56</f>
        <v>-18077.069999999996</v>
      </c>
      <c r="Q58" s="14"/>
      <c r="R58" s="32">
        <f>IF(P$12=0,0,P58/P$12)</f>
        <v>-3.4904422072129466</v>
      </c>
      <c r="S58" s="14"/>
      <c r="T58" s="34">
        <f>+T54-T56</f>
        <v>-29513.71</v>
      </c>
      <c r="U58" s="14"/>
      <c r="V58" s="32">
        <f>IF(T$12=0,0,T58/T$12)</f>
        <v>-2.802840094853432</v>
      </c>
      <c r="W58" s="15"/>
      <c r="X58" s="34">
        <f>P58-T58</f>
        <v>11436.640000000003</v>
      </c>
      <c r="Y58" s="15"/>
      <c r="Z58" s="32">
        <f>IF(T58=0,0,X58/T58)</f>
        <v>-0.3875026216629493</v>
      </c>
    </row>
    <row r="59" spans="1:26" ht="15" thickTop="1" x14ac:dyDescent="0.3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3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" thickBot="1" x14ac:dyDescent="0.4">
      <c r="A61" s="10"/>
      <c r="B61" s="28" t="s">
        <v>5</v>
      </c>
      <c r="C61" s="28"/>
      <c r="D61" s="35">
        <f>SUM(D58:D60)</f>
        <v>-287.10000000000002</v>
      </c>
      <c r="E61" s="14"/>
      <c r="F61" s="33">
        <f>IF(D$12=0,0,D61/D$12)</f>
        <v>0</v>
      </c>
      <c r="G61" s="14"/>
      <c r="H61" s="35">
        <f>SUM(H58:H60)</f>
        <v>-11283.76</v>
      </c>
      <c r="I61" s="14"/>
      <c r="J61" s="33">
        <f>IF(H$12=0,0,H61/H$12)</f>
        <v>0</v>
      </c>
      <c r="K61" s="15"/>
      <c r="L61" s="35">
        <f>+D61-H61</f>
        <v>10996.66</v>
      </c>
      <c r="M61" s="15"/>
      <c r="N61" s="33">
        <f>IF(H61=0,0,L61/H61)</f>
        <v>-0.97455635355590686</v>
      </c>
      <c r="O61" s="29"/>
      <c r="P61" s="35">
        <f>SUM(P58:P60)</f>
        <v>-18077.069999999996</v>
      </c>
      <c r="Q61" s="14"/>
      <c r="R61" s="33">
        <f>IF(P$12=0,0,P61/P$12)</f>
        <v>-3.4904422072129466</v>
      </c>
      <c r="S61" s="14"/>
      <c r="T61" s="35">
        <f>SUM(T58:T60)</f>
        <v>-29513.71</v>
      </c>
      <c r="U61" s="14"/>
      <c r="V61" s="33">
        <f>IF(T$12=0,0,T61/T$12)</f>
        <v>-2.802840094853432</v>
      </c>
      <c r="W61" s="15"/>
      <c r="X61" s="35">
        <f>+P61-T61</f>
        <v>11436.640000000003</v>
      </c>
      <c r="Y61" s="15"/>
      <c r="Z61" s="33">
        <f>IF(T61=0,0,X61/T61)</f>
        <v>-0.3875026216629493</v>
      </c>
    </row>
    <row r="62" spans="1:26" ht="15" thickTop="1" x14ac:dyDescent="0.35">
      <c r="A62" s="9"/>
      <c r="C62" s="9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35">
      <c r="A63" s="9"/>
      <c r="B63" s="52">
        <v>44043.523416006945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35">
      <c r="A64" s="9"/>
      <c r="B64" s="61" t="s">
        <v>313</v>
      </c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1:24" x14ac:dyDescent="0.35">
      <c r="A65" s="9"/>
      <c r="B65" s="54"/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35"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","444", " - ", "Parkside Dining Hall")</f>
        <v>Department 444 - Parkside Dining Hall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-66685</v>
      </c>
      <c r="E12" s="4"/>
      <c r="F12" s="13"/>
      <c r="G12" s="4"/>
      <c r="H12" s="4">
        <f>SUM(OSRRefH13x_0)</f>
        <v>63942.34</v>
      </c>
      <c r="I12" s="4"/>
      <c r="J12" s="13"/>
      <c r="K12" s="4"/>
      <c r="L12" s="4">
        <f t="shared" ref="L12:L15" si="0">+D12-H12</f>
        <v>-130627.34</v>
      </c>
      <c r="M12" s="4"/>
      <c r="N12" s="13">
        <f t="shared" ref="N12:N15" si="1">IF(H12=0,0,L12/H12)</f>
        <v>-2.0428927061474447</v>
      </c>
      <c r="O12" s="10"/>
      <c r="P12" s="4">
        <f>SUM(OSRRefP13x_0)</f>
        <v>3313755.62</v>
      </c>
      <c r="Q12" s="4"/>
      <c r="R12" s="13"/>
      <c r="S12" s="4"/>
      <c r="T12" s="4">
        <f>SUM(OSRRefT13x_0)</f>
        <v>4110084.8600000003</v>
      </c>
      <c r="U12" s="4"/>
      <c r="V12" s="13"/>
      <c r="W12" s="4"/>
      <c r="X12" s="4">
        <f t="shared" ref="X12:X15" si="2">+P12-T12</f>
        <v>-796329.24000000022</v>
      </c>
      <c r="Y12" s="4"/>
      <c r="Z12" s="13">
        <f t="shared" ref="Z12:Z15" si="3">IF(T12=0,0,X12/T12)</f>
        <v>-0.19375007259582475</v>
      </c>
    </row>
    <row r="13" spans="1:26" s="24" customFormat="1" hidden="1" outlineLevel="1" x14ac:dyDescent="0.3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--92.2</f>
        <v>92.2</v>
      </c>
      <c r="I13" s="2"/>
      <c r="J13" s="19"/>
      <c r="K13" s="2"/>
      <c r="L13" s="2">
        <f t="shared" si="0"/>
        <v>-92.2</v>
      </c>
      <c r="M13" s="2"/>
      <c r="N13" s="19">
        <f t="shared" si="1"/>
        <v>-1</v>
      </c>
      <c r="O13" s="11"/>
      <c r="P13" s="2">
        <f>--4314.79</f>
        <v>4314.79</v>
      </c>
      <c r="Q13" s="2"/>
      <c r="R13" s="19"/>
      <c r="S13" s="2"/>
      <c r="T13" s="2">
        <f>--2971.99</f>
        <v>2971.99</v>
      </c>
      <c r="U13" s="2"/>
      <c r="V13" s="19"/>
      <c r="W13" s="2"/>
      <c r="X13" s="2">
        <f t="shared" si="2"/>
        <v>1342.8000000000002</v>
      </c>
      <c r="Y13" s="2"/>
      <c r="Z13" s="19">
        <f t="shared" si="3"/>
        <v>0.45181847852785517</v>
      </c>
    </row>
    <row r="14" spans="1:26" s="24" customFormat="1" hidden="1" outlineLevel="1" x14ac:dyDescent="0.3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-66685</f>
        <v>-66685</v>
      </c>
      <c r="E14" s="2"/>
      <c r="F14" s="19"/>
      <c r="G14" s="2"/>
      <c r="H14" s="2">
        <f>--63085.45</f>
        <v>63085.45</v>
      </c>
      <c r="I14" s="2"/>
      <c r="J14" s="19"/>
      <c r="K14" s="2"/>
      <c r="L14" s="2">
        <f t="shared" si="0"/>
        <v>-129770.45</v>
      </c>
      <c r="M14" s="2"/>
      <c r="N14" s="19">
        <f t="shared" si="1"/>
        <v>-2.0570583232742257</v>
      </c>
      <c r="O14" s="11"/>
      <c r="P14" s="2">
        <f>--3263328.39</f>
        <v>3263328.39</v>
      </c>
      <c r="Q14" s="2"/>
      <c r="R14" s="19"/>
      <c r="S14" s="2"/>
      <c r="T14" s="2">
        <f>--4043342.02</f>
        <v>4043342.02</v>
      </c>
      <c r="U14" s="2"/>
      <c r="V14" s="19"/>
      <c r="W14" s="2"/>
      <c r="X14" s="2">
        <f t="shared" si="2"/>
        <v>-780013.62999999989</v>
      </c>
      <c r="Y14" s="2"/>
      <c r="Z14" s="19">
        <f t="shared" si="3"/>
        <v>-0.19291309667639739</v>
      </c>
    </row>
    <row r="15" spans="1:26" s="24" customFormat="1" hidden="1" outlineLevel="1" x14ac:dyDescent="0.3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>
        <f>--764.69</f>
        <v>764.69</v>
      </c>
      <c r="I15" s="2"/>
      <c r="J15" s="19"/>
      <c r="K15" s="2"/>
      <c r="L15" s="2">
        <f t="shared" si="0"/>
        <v>-764.69</v>
      </c>
      <c r="M15" s="2"/>
      <c r="N15" s="19">
        <f t="shared" si="1"/>
        <v>-1</v>
      </c>
      <c r="O15" s="11"/>
      <c r="P15" s="2">
        <f>--46112.44</f>
        <v>46112.44</v>
      </c>
      <c r="Q15" s="2"/>
      <c r="R15" s="19"/>
      <c r="S15" s="2"/>
      <c r="T15" s="2">
        <f>--63770.85</f>
        <v>63770.85</v>
      </c>
      <c r="U15" s="2"/>
      <c r="V15" s="19"/>
      <c r="W15" s="2"/>
      <c r="X15" s="2">
        <f t="shared" si="2"/>
        <v>-17658.409999999996</v>
      </c>
      <c r="Y15" s="2"/>
      <c r="Z15" s="19">
        <f t="shared" si="3"/>
        <v>-0.2769041027365951</v>
      </c>
    </row>
    <row r="16" spans="1:26" x14ac:dyDescent="0.3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5">
      <c r="A17" s="10"/>
      <c r="B17" s="29" t="s">
        <v>8</v>
      </c>
      <c r="C17" s="10"/>
      <c r="D17" s="4">
        <f>SUM(OSRRefD16x_0)</f>
        <v>3546</v>
      </c>
      <c r="E17" s="4"/>
      <c r="F17" s="13">
        <f t="shared" ref="F17:F19" si="4">IF(D$12=0,0,D17/D$12)</f>
        <v>-5.3175376771387867E-2</v>
      </c>
      <c r="G17" s="4"/>
      <c r="H17" s="4">
        <f>SUM(OSRRefH16x_0)</f>
        <v>32456.32</v>
      </c>
      <c r="I17" s="4"/>
      <c r="J17" s="13">
        <f t="shared" ref="J17:J19" si="5">IF(H$12=0,0,H17/H$12)</f>
        <v>0.50758730443709132</v>
      </c>
      <c r="K17" s="4"/>
      <c r="L17" s="4">
        <f t="shared" ref="L17:L19" si="6">+D17-H17</f>
        <v>-28910.32</v>
      </c>
      <c r="M17" s="4"/>
      <c r="N17" s="13">
        <f t="shared" ref="N17:N19" si="7">IF(H17=0,0,L17/H17)</f>
        <v>-0.89074546960345469</v>
      </c>
      <c r="O17" s="10"/>
      <c r="P17" s="4">
        <f>SUM(OSRRefP16x_0)</f>
        <v>849805.54999999993</v>
      </c>
      <c r="Q17" s="4"/>
      <c r="R17" s="13">
        <f t="shared" ref="R17:R19" si="8">IF(P$12=0,0,P17/P$12)</f>
        <v>0.25644786382889634</v>
      </c>
      <c r="S17" s="4"/>
      <c r="T17" s="4">
        <f>SUM(OSRRefT16x_0)</f>
        <v>1092401.3099999998</v>
      </c>
      <c r="U17" s="4"/>
      <c r="V17" s="13">
        <f t="shared" ref="V17:V19" si="9">IF(T$12=0,0,T17/T$12)</f>
        <v>0.26578558526404727</v>
      </c>
      <c r="W17" s="4"/>
      <c r="X17" s="4">
        <f t="shared" ref="X17:X19" si="10">+P17-T17</f>
        <v>-242595.75999999989</v>
      </c>
      <c r="Y17" s="4"/>
      <c r="Z17" s="13">
        <f t="shared" ref="Z17:Z19" si="11">IF(T17=0,0,X17/T17)</f>
        <v>-0.22207567656615126</v>
      </c>
    </row>
    <row r="18" spans="1:26" s="24" customFormat="1" hidden="1" outlineLevel="1" x14ac:dyDescent="0.3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4"/>
        <v>0</v>
      </c>
      <c r="G18" s="2"/>
      <c r="H18" s="2">
        <v>36014.32</v>
      </c>
      <c r="I18" s="2"/>
      <c r="J18" s="19">
        <f t="shared" si="5"/>
        <v>0.56323118609672407</v>
      </c>
      <c r="K18" s="2"/>
      <c r="L18" s="2">
        <f t="shared" si="6"/>
        <v>-36014.32</v>
      </c>
      <c r="M18" s="2"/>
      <c r="N18" s="19">
        <f t="shared" si="7"/>
        <v>-1</v>
      </c>
      <c r="O18" s="11"/>
      <c r="P18" s="2">
        <v>830847.79999999993</v>
      </c>
      <c r="Q18" s="2"/>
      <c r="R18" s="19">
        <f t="shared" si="8"/>
        <v>0.25072693803534007</v>
      </c>
      <c r="S18" s="2"/>
      <c r="T18" s="2">
        <v>1100879.5599999998</v>
      </c>
      <c r="U18" s="2"/>
      <c r="V18" s="19">
        <f t="shared" si="9"/>
        <v>0.26784837722304344</v>
      </c>
      <c r="W18" s="2"/>
      <c r="X18" s="2">
        <f t="shared" si="10"/>
        <v>-270031.75999999989</v>
      </c>
      <c r="Y18" s="2"/>
      <c r="Z18" s="19">
        <f t="shared" si="11"/>
        <v>-0.24528728646755865</v>
      </c>
    </row>
    <row r="19" spans="1:26" s="24" customFormat="1" hidden="1" outlineLevel="1" x14ac:dyDescent="0.3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3546</v>
      </c>
      <c r="E19" s="2"/>
      <c r="F19" s="19">
        <f t="shared" si="4"/>
        <v>-5.3175376771387867E-2</v>
      </c>
      <c r="G19" s="2"/>
      <c r="H19" s="2">
        <v>-3558</v>
      </c>
      <c r="I19" s="2"/>
      <c r="J19" s="19">
        <f t="shared" si="5"/>
        <v>-5.564388165963273E-2</v>
      </c>
      <c r="K19" s="2"/>
      <c r="L19" s="2">
        <f t="shared" si="6"/>
        <v>7104</v>
      </c>
      <c r="M19" s="2"/>
      <c r="N19" s="19">
        <f t="shared" si="7"/>
        <v>-1.9966273187183812</v>
      </c>
      <c r="O19" s="11"/>
      <c r="P19" s="2">
        <v>18957.75</v>
      </c>
      <c r="Q19" s="2"/>
      <c r="R19" s="19">
        <f t="shared" si="8"/>
        <v>5.7209257935562545E-3</v>
      </c>
      <c r="S19" s="2"/>
      <c r="T19" s="2">
        <v>-8478.25</v>
      </c>
      <c r="U19" s="2"/>
      <c r="V19" s="19">
        <f t="shared" si="9"/>
        <v>-2.0627919589961945E-3</v>
      </c>
      <c r="W19" s="2"/>
      <c r="X19" s="2">
        <f t="shared" si="10"/>
        <v>27436</v>
      </c>
      <c r="Y19" s="2"/>
      <c r="Z19" s="19">
        <f t="shared" si="11"/>
        <v>-3.2360451744168901</v>
      </c>
    </row>
    <row r="20" spans="1:26" x14ac:dyDescent="0.3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5">
      <c r="A21" s="10"/>
      <c r="B21" s="28" t="s">
        <v>6</v>
      </c>
      <c r="C21" s="28"/>
      <c r="D21" s="22">
        <f>D12-D17</f>
        <v>-70231</v>
      </c>
      <c r="E21" s="14"/>
      <c r="F21" s="21">
        <f>IF(D$12=0,0,D21/D$12)</f>
        <v>1.0531753767713878</v>
      </c>
      <c r="G21" s="14"/>
      <c r="H21" s="22">
        <f>H12-H17</f>
        <v>31486.019999999997</v>
      </c>
      <c r="I21" s="14"/>
      <c r="J21" s="21">
        <f>IF(H$12=0,0,H21/H$12)</f>
        <v>0.49241269556290868</v>
      </c>
      <c r="K21" s="15"/>
      <c r="L21" s="22">
        <f>+D21-H21</f>
        <v>-101717.01999999999</v>
      </c>
      <c r="M21" s="15"/>
      <c r="N21" s="21">
        <f>IF(H21=0,0,L21/H21)</f>
        <v>-3.2305454928885897</v>
      </c>
      <c r="O21" s="29"/>
      <c r="P21" s="22">
        <f>P12-P17</f>
        <v>2463950.0700000003</v>
      </c>
      <c r="Q21" s="14"/>
      <c r="R21" s="21">
        <f>IF(P$12=0,0,P21/P$12)</f>
        <v>0.74355213617110372</v>
      </c>
      <c r="S21" s="14"/>
      <c r="T21" s="22">
        <f>T12-T17</f>
        <v>3017683.5500000007</v>
      </c>
      <c r="U21" s="14"/>
      <c r="V21" s="21">
        <f>IF(T$12=0,0,T21/T$12)</f>
        <v>0.73421441473595284</v>
      </c>
      <c r="W21" s="15"/>
      <c r="X21" s="22">
        <f>+P21-T21</f>
        <v>-553733.48000000045</v>
      </c>
      <c r="Y21" s="15"/>
      <c r="Z21" s="21">
        <f>IF(T21=0,0,X21/T21)</f>
        <v>-0.18349620522668797</v>
      </c>
    </row>
    <row r="22" spans="1:26" x14ac:dyDescent="0.3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5">
      <c r="A23" s="10"/>
      <c r="B23" s="29" t="s">
        <v>9</v>
      </c>
      <c r="C23" s="10"/>
      <c r="D23" s="20">
        <f>SUM(OSRRefD22x_0)</f>
        <v>42456.049999999996</v>
      </c>
      <c r="E23" s="20"/>
      <c r="F23" s="36">
        <f t="shared" ref="F23:F33" si="12">IF(D$12=0,0,D23/D$12)</f>
        <v>-0.63666566694159099</v>
      </c>
      <c r="G23" s="20"/>
      <c r="H23" s="20">
        <f>SUM(OSRRefH22x_0)</f>
        <v>100955.14999999998</v>
      </c>
      <c r="I23" s="20"/>
      <c r="J23" s="36">
        <f t="shared" ref="J23:J33" si="13">IF(H$12=0,0,H23/H$12)</f>
        <v>1.5788466609135665</v>
      </c>
      <c r="K23" s="4"/>
      <c r="L23" s="20">
        <f t="shared" ref="L23:L33" si="14">+D23-H23</f>
        <v>-58499.099999999984</v>
      </c>
      <c r="M23" s="4"/>
      <c r="N23" s="36">
        <f t="shared" ref="N23:N33" si="15">IF(H23=0,0,L23/H23)</f>
        <v>-0.5794563229315195</v>
      </c>
      <c r="O23" s="10"/>
      <c r="P23" s="20">
        <f>SUM(OSRRefP22x_0)</f>
        <v>1753369</v>
      </c>
      <c r="Q23" s="20"/>
      <c r="R23" s="36">
        <f t="shared" ref="R23:R33" si="16">IF(P$12=0,0,P23/P$12)</f>
        <v>0.52911837837939302</v>
      </c>
      <c r="S23" s="20"/>
      <c r="T23" s="20">
        <f>SUM(OSRRefT22x_0)</f>
        <v>1970508.9800000002</v>
      </c>
      <c r="U23" s="20"/>
      <c r="V23" s="36">
        <f t="shared" ref="V23:V33" si="17">IF(T$12=0,0,T23/T$12)</f>
        <v>0.47943267526597982</v>
      </c>
      <c r="W23" s="4"/>
      <c r="X23" s="20">
        <f t="shared" ref="X23:X33" si="18">+P23-T23</f>
        <v>-217139.98000000021</v>
      </c>
      <c r="Y23" s="4"/>
      <c r="Z23" s="36">
        <f t="shared" ref="Z23:Z33" si="19">IF(T23=0,0,X23/T23)</f>
        <v>-0.11019486955091176</v>
      </c>
    </row>
    <row r="24" spans="1:26" s="25" customFormat="1" outlineLevel="1" collapsed="1" x14ac:dyDescent="0.35">
      <c r="A24" s="26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24331.479999999996</v>
      </c>
      <c r="E24" s="1"/>
      <c r="F24" s="5">
        <f t="shared" si="12"/>
        <v>-0.36487186023843438</v>
      </c>
      <c r="G24" s="1"/>
      <c r="H24" s="1">
        <f>SUM(OSRRefH22_0x_0)</f>
        <v>29704.41</v>
      </c>
      <c r="I24" s="1"/>
      <c r="J24" s="5">
        <f t="shared" si="13"/>
        <v>0.46454993670860345</v>
      </c>
      <c r="K24" s="1"/>
      <c r="L24" s="1">
        <f t="shared" si="14"/>
        <v>-5372.9300000000039</v>
      </c>
      <c r="M24" s="1"/>
      <c r="N24" s="5">
        <f t="shared" si="15"/>
        <v>-0.18087987608573958</v>
      </c>
      <c r="O24" s="12"/>
      <c r="P24" s="1">
        <f>SUM(OSRRefP22_0x_0)</f>
        <v>372049.08</v>
      </c>
      <c r="Q24" s="1"/>
      <c r="R24" s="5">
        <f t="shared" si="16"/>
        <v>0.11227414530948424</v>
      </c>
      <c r="S24" s="1"/>
      <c r="T24" s="1">
        <f>SUM(OSRRefT22_0x_0)</f>
        <v>383472.38</v>
      </c>
      <c r="U24" s="1"/>
      <c r="V24" s="5">
        <f t="shared" si="17"/>
        <v>9.330035584715396E-2</v>
      </c>
      <c r="W24" s="1"/>
      <c r="X24" s="1">
        <f t="shared" si="18"/>
        <v>-11423.299999999988</v>
      </c>
      <c r="Y24" s="1"/>
      <c r="Z24" s="5">
        <f t="shared" si="19"/>
        <v>-2.9789107627516714E-2</v>
      </c>
    </row>
    <row r="25" spans="1:26" s="24" customFormat="1" hidden="1" outlineLevel="2" x14ac:dyDescent="0.35">
      <c r="A25" s="27"/>
      <c r="B25" s="11" t="str">
        <f>CONCATENATE("          ", "6111", " - ", "F.I.C.A.")</f>
        <v xml:space="preserve">          6111 - F.I.C.A.</v>
      </c>
      <c r="C25" s="11"/>
      <c r="D25" s="7">
        <v>2489.33</v>
      </c>
      <c r="E25" s="2"/>
      <c r="F25" s="6">
        <f t="shared" si="12"/>
        <v>-3.7329684336807376E-2</v>
      </c>
      <c r="G25" s="2"/>
      <c r="H25" s="7">
        <v>4201.45</v>
      </c>
      <c r="I25" s="2"/>
      <c r="J25" s="6">
        <f t="shared" si="13"/>
        <v>6.570685401879256E-2</v>
      </c>
      <c r="K25" s="2"/>
      <c r="L25" s="7">
        <f t="shared" si="14"/>
        <v>-1712.12</v>
      </c>
      <c r="M25" s="2"/>
      <c r="N25" s="6">
        <f t="shared" si="15"/>
        <v>-0.40750693213057398</v>
      </c>
      <c r="O25" s="11"/>
      <c r="P25" s="7">
        <v>51185.29</v>
      </c>
      <c r="Q25" s="2"/>
      <c r="R25" s="6">
        <f t="shared" si="16"/>
        <v>1.5446308017125293E-2</v>
      </c>
      <c r="S25" s="2"/>
      <c r="T25" s="7">
        <v>57199.46</v>
      </c>
      <c r="U25" s="2"/>
      <c r="V25" s="6">
        <f t="shared" si="17"/>
        <v>1.3916856208170843E-2</v>
      </c>
      <c r="W25" s="2"/>
      <c r="X25" s="7">
        <f t="shared" si="18"/>
        <v>-6014.1699999999983</v>
      </c>
      <c r="Y25" s="2"/>
      <c r="Z25" s="6">
        <f t="shared" si="19"/>
        <v>-0.10514382478435982</v>
      </c>
    </row>
    <row r="26" spans="1:26" s="24" customFormat="1" hidden="1" outlineLevel="2" x14ac:dyDescent="0.3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1262.07</v>
      </c>
      <c r="E26" s="2"/>
      <c r="F26" s="6">
        <f t="shared" si="12"/>
        <v>-1.8925845392517057E-2</v>
      </c>
      <c r="G26" s="2"/>
      <c r="H26" s="7">
        <v>2956.97</v>
      </c>
      <c r="I26" s="2"/>
      <c r="J26" s="6">
        <f t="shared" si="13"/>
        <v>4.6244319491591954E-2</v>
      </c>
      <c r="K26" s="2"/>
      <c r="L26" s="7">
        <f t="shared" si="14"/>
        <v>-1694.8999999999999</v>
      </c>
      <c r="M26" s="2"/>
      <c r="N26" s="6">
        <f t="shared" si="15"/>
        <v>-0.57318809456977915</v>
      </c>
      <c r="O26" s="11"/>
      <c r="P26" s="7">
        <v>33455.5</v>
      </c>
      <c r="Q26" s="2"/>
      <c r="R26" s="6">
        <f t="shared" si="16"/>
        <v>1.0095946664890153E-2</v>
      </c>
      <c r="S26" s="2"/>
      <c r="T26" s="7">
        <v>35270.25</v>
      </c>
      <c r="U26" s="2"/>
      <c r="V26" s="6">
        <f t="shared" si="17"/>
        <v>8.5813921613287561E-3</v>
      </c>
      <c r="W26" s="2"/>
      <c r="X26" s="7">
        <f t="shared" si="18"/>
        <v>-1814.75</v>
      </c>
      <c r="Y26" s="2"/>
      <c r="Z26" s="6">
        <f t="shared" si="19"/>
        <v>-5.1452711562861055E-2</v>
      </c>
    </row>
    <row r="27" spans="1:26" s="24" customFormat="1" hidden="1" outlineLevel="2" x14ac:dyDescent="0.35">
      <c r="A27" s="27"/>
      <c r="B27" s="11" t="str">
        <f>CONCATENATE("          ", "6113", " - ", "GROUP INSURANCE")</f>
        <v xml:space="preserve">          6113 - GROUP INSURANCE</v>
      </c>
      <c r="C27" s="11"/>
      <c r="D27" s="7">
        <v>16509.649999999998</v>
      </c>
      <c r="E27" s="2"/>
      <c r="F27" s="6">
        <f t="shared" si="12"/>
        <v>-0.24757666641673537</v>
      </c>
      <c r="G27" s="2"/>
      <c r="H27" s="7">
        <v>16686.48</v>
      </c>
      <c r="I27" s="2"/>
      <c r="J27" s="6">
        <f t="shared" si="13"/>
        <v>0.26096135987516256</v>
      </c>
      <c r="K27" s="2"/>
      <c r="L27" s="7">
        <f t="shared" si="14"/>
        <v>-176.83000000000175</v>
      </c>
      <c r="M27" s="2"/>
      <c r="N27" s="6">
        <f t="shared" si="15"/>
        <v>-1.0597202046207574E-2</v>
      </c>
      <c r="O27" s="11"/>
      <c r="P27" s="7">
        <v>210134.7</v>
      </c>
      <c r="Q27" s="2"/>
      <c r="R27" s="6">
        <f t="shared" si="16"/>
        <v>6.3412853600833735E-2</v>
      </c>
      <c r="S27" s="2"/>
      <c r="T27" s="7">
        <v>194408.66</v>
      </c>
      <c r="U27" s="2"/>
      <c r="V27" s="6">
        <f t="shared" si="17"/>
        <v>4.7300400508032331E-2</v>
      </c>
      <c r="W27" s="2"/>
      <c r="X27" s="7">
        <f t="shared" si="18"/>
        <v>15726.040000000008</v>
      </c>
      <c r="Y27" s="2"/>
      <c r="Z27" s="6">
        <f t="shared" si="19"/>
        <v>8.0891663982458437E-2</v>
      </c>
    </row>
    <row r="28" spans="1:26" s="24" customFormat="1" hidden="1" outlineLevel="2" x14ac:dyDescent="0.3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-2535.62</v>
      </c>
      <c r="E28" s="2"/>
      <c r="F28" s="6">
        <f t="shared" si="12"/>
        <v>3.8023843443053158E-2</v>
      </c>
      <c r="G28" s="2"/>
      <c r="H28" s="7">
        <v>219.66</v>
      </c>
      <c r="I28" s="2"/>
      <c r="J28" s="6">
        <f t="shared" si="13"/>
        <v>3.4352824748046444E-3</v>
      </c>
      <c r="K28" s="2"/>
      <c r="L28" s="7">
        <f t="shared" si="14"/>
        <v>-2755.2799999999997</v>
      </c>
      <c r="M28" s="2"/>
      <c r="N28" s="6">
        <f t="shared" si="15"/>
        <v>-12.54338523172175</v>
      </c>
      <c r="O28" s="11"/>
      <c r="P28" s="7">
        <v>0</v>
      </c>
      <c r="Q28" s="2"/>
      <c r="R28" s="6">
        <f t="shared" si="16"/>
        <v>0</v>
      </c>
      <c r="S28" s="2"/>
      <c r="T28" s="7">
        <v>2917.81</v>
      </c>
      <c r="U28" s="2"/>
      <c r="V28" s="6">
        <f t="shared" si="17"/>
        <v>7.099147826354125E-4</v>
      </c>
      <c r="W28" s="2"/>
      <c r="X28" s="7">
        <f t="shared" si="18"/>
        <v>-2917.81</v>
      </c>
      <c r="Y28" s="2"/>
      <c r="Z28" s="6">
        <f t="shared" si="19"/>
        <v>-1</v>
      </c>
    </row>
    <row r="29" spans="1:26" s="24" customFormat="1" hidden="1" outlineLevel="2" x14ac:dyDescent="0.35">
      <c r="A29" s="27"/>
      <c r="B29" s="11" t="str">
        <f>CONCATENATE("          ", "6115", " - ", "P.E.R.S.")</f>
        <v xml:space="preserve">          6115 - P.E.R.S.</v>
      </c>
      <c r="C29" s="11"/>
      <c r="D29" s="7">
        <v>1334.66</v>
      </c>
      <c r="E29" s="2"/>
      <c r="F29" s="6">
        <f t="shared" si="12"/>
        <v>-2.0014396041088702E-2</v>
      </c>
      <c r="G29" s="2"/>
      <c r="H29" s="7"/>
      <c r="I29" s="2"/>
      <c r="J29" s="6">
        <f t="shared" si="13"/>
        <v>0</v>
      </c>
      <c r="K29" s="2"/>
      <c r="L29" s="7">
        <f t="shared" si="14"/>
        <v>1334.66</v>
      </c>
      <c r="M29" s="2"/>
      <c r="N29" s="6">
        <f t="shared" si="15"/>
        <v>0</v>
      </c>
      <c r="O29" s="11"/>
      <c r="P29" s="7">
        <v>16454.14</v>
      </c>
      <c r="Q29" s="2"/>
      <c r="R29" s="6">
        <f t="shared" si="16"/>
        <v>4.9654053849631794E-3</v>
      </c>
      <c r="S29" s="2"/>
      <c r="T29" s="7">
        <v>13523.15</v>
      </c>
      <c r="U29" s="2"/>
      <c r="V29" s="6">
        <f t="shared" si="17"/>
        <v>3.2902362020817248E-3</v>
      </c>
      <c r="W29" s="2"/>
      <c r="X29" s="7">
        <f t="shared" si="18"/>
        <v>2930.99</v>
      </c>
      <c r="Y29" s="2"/>
      <c r="Z29" s="6">
        <f t="shared" si="19"/>
        <v>0.21673870363044112</v>
      </c>
    </row>
    <row r="30" spans="1:26" s="24" customFormat="1" hidden="1" outlineLevel="2" x14ac:dyDescent="0.35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548.91</v>
      </c>
      <c r="E30" s="2"/>
      <c r="F30" s="6">
        <f t="shared" si="12"/>
        <v>-8.2313863687485944E-3</v>
      </c>
      <c r="G30" s="2"/>
      <c r="H30" s="7">
        <v>635.08000000000004</v>
      </c>
      <c r="I30" s="2"/>
      <c r="J30" s="6">
        <f t="shared" si="13"/>
        <v>9.9320731771780652E-3</v>
      </c>
      <c r="K30" s="2"/>
      <c r="L30" s="7">
        <f t="shared" si="14"/>
        <v>-86.170000000000073</v>
      </c>
      <c r="M30" s="2"/>
      <c r="N30" s="6">
        <f t="shared" si="15"/>
        <v>-0.13568369339295847</v>
      </c>
      <c r="O30" s="11"/>
      <c r="P30" s="7">
        <v>8419.14</v>
      </c>
      <c r="Q30" s="2"/>
      <c r="R30" s="6">
        <f t="shared" si="16"/>
        <v>2.5406641181343359E-3</v>
      </c>
      <c r="S30" s="2"/>
      <c r="T30" s="7">
        <v>8810.68</v>
      </c>
      <c r="U30" s="2"/>
      <c r="V30" s="6">
        <f t="shared" si="17"/>
        <v>2.1436735006975013E-3</v>
      </c>
      <c r="W30" s="2"/>
      <c r="X30" s="7">
        <f t="shared" si="18"/>
        <v>-391.54000000000087</v>
      </c>
      <c r="Y30" s="2"/>
      <c r="Z30" s="6">
        <f t="shared" si="19"/>
        <v>-4.4439248729950566E-2</v>
      </c>
    </row>
    <row r="31" spans="1:26" s="24" customFormat="1" hidden="1" outlineLevel="2" x14ac:dyDescent="0.35">
      <c r="A31" s="27"/>
      <c r="B31" s="11" t="str">
        <f>CONCATENATE("          ", "6118", " - ", "VACATION")</f>
        <v xml:space="preserve">          6118 - VACATION</v>
      </c>
      <c r="C31" s="11"/>
      <c r="D31" s="7">
        <v>2366.1799999999998</v>
      </c>
      <c r="E31" s="2"/>
      <c r="F31" s="6">
        <f t="shared" si="12"/>
        <v>-3.5482942190897503E-2</v>
      </c>
      <c r="G31" s="2"/>
      <c r="H31" s="7">
        <v>2365.1</v>
      </c>
      <c r="I31" s="2"/>
      <c r="J31" s="6">
        <f t="shared" si="13"/>
        <v>3.6988011386508535E-2</v>
      </c>
      <c r="K31" s="2"/>
      <c r="L31" s="7">
        <f t="shared" si="14"/>
        <v>1.0799999999999272</v>
      </c>
      <c r="M31" s="2"/>
      <c r="N31" s="6">
        <f t="shared" si="15"/>
        <v>4.5664031119188505E-4</v>
      </c>
      <c r="O31" s="11"/>
      <c r="P31" s="7">
        <v>34542.700000000004</v>
      </c>
      <c r="Q31" s="2"/>
      <c r="R31" s="6">
        <f t="shared" si="16"/>
        <v>1.0424033622612159E-2</v>
      </c>
      <c r="S31" s="2"/>
      <c r="T31" s="7">
        <v>32979.14</v>
      </c>
      <c r="U31" s="2"/>
      <c r="V31" s="6">
        <f t="shared" si="17"/>
        <v>8.0239559822616411E-3</v>
      </c>
      <c r="W31" s="2"/>
      <c r="X31" s="7">
        <f t="shared" si="18"/>
        <v>1563.5600000000049</v>
      </c>
      <c r="Y31" s="2"/>
      <c r="Z31" s="6">
        <f t="shared" si="19"/>
        <v>4.7410575290926474E-2</v>
      </c>
    </row>
    <row r="32" spans="1:26" s="24" customFormat="1" hidden="1" outlineLevel="2" x14ac:dyDescent="0.35">
      <c r="A32" s="27"/>
      <c r="B32" s="11" t="str">
        <f>CONCATENATE("          ", "6119", " - ", "SICK LEAVE")</f>
        <v xml:space="preserve">          6119 - SICK LEAVE</v>
      </c>
      <c r="C32" s="11"/>
      <c r="D32" s="7">
        <v>1504</v>
      </c>
      <c r="E32" s="2"/>
      <c r="F32" s="6">
        <f t="shared" si="12"/>
        <v>-2.255379770563095E-2</v>
      </c>
      <c r="G32" s="2"/>
      <c r="H32" s="7">
        <v>1493.01</v>
      </c>
      <c r="I32" s="2"/>
      <c r="J32" s="6">
        <f t="shared" si="13"/>
        <v>2.3349317525758365E-2</v>
      </c>
      <c r="K32" s="2"/>
      <c r="L32" s="7">
        <f t="shared" si="14"/>
        <v>10.990000000000009</v>
      </c>
      <c r="M32" s="2"/>
      <c r="N32" s="6">
        <f t="shared" si="15"/>
        <v>7.3609687811870038E-3</v>
      </c>
      <c r="O32" s="11"/>
      <c r="P32" s="7">
        <v>3302.8</v>
      </c>
      <c r="Q32" s="2"/>
      <c r="R32" s="6">
        <f t="shared" si="16"/>
        <v>9.9669389621435023E-4</v>
      </c>
      <c r="S32" s="2"/>
      <c r="T32" s="7">
        <v>23283.040000000001</v>
      </c>
      <c r="U32" s="2"/>
      <c r="V32" s="6">
        <f t="shared" si="17"/>
        <v>5.6648562725782744E-3</v>
      </c>
      <c r="W32" s="2"/>
      <c r="X32" s="7">
        <f t="shared" si="18"/>
        <v>-19980.240000000002</v>
      </c>
      <c r="Y32" s="2"/>
      <c r="Z32" s="6">
        <f t="shared" si="19"/>
        <v>-0.85814567169922829</v>
      </c>
    </row>
    <row r="33" spans="1:26" s="24" customFormat="1" hidden="1" outlineLevel="2" x14ac:dyDescent="0.35">
      <c r="A33" s="27"/>
      <c r="B33" s="11" t="str">
        <f>CONCATENATE("          ", "6156", " - ", "EMPLOYEE MEALS")</f>
        <v xml:space="preserve">          6156 - EMPLOYEE MEALS</v>
      </c>
      <c r="C33" s="11"/>
      <c r="D33" s="7">
        <v>852.3</v>
      </c>
      <c r="E33" s="2"/>
      <c r="F33" s="6">
        <f t="shared" si="12"/>
        <v>-1.2780985229062007E-2</v>
      </c>
      <c r="G33" s="2"/>
      <c r="H33" s="7">
        <v>1146.6600000000001</v>
      </c>
      <c r="I33" s="2"/>
      <c r="J33" s="6">
        <f t="shared" si="13"/>
        <v>1.7932718758806764E-2</v>
      </c>
      <c r="K33" s="2"/>
      <c r="L33" s="7">
        <f t="shared" si="14"/>
        <v>-294.36000000000013</v>
      </c>
      <c r="M33" s="2"/>
      <c r="N33" s="6">
        <f t="shared" si="15"/>
        <v>-0.25671079483020259</v>
      </c>
      <c r="O33" s="11"/>
      <c r="P33" s="7">
        <v>14554.81</v>
      </c>
      <c r="Q33" s="2"/>
      <c r="R33" s="6">
        <f t="shared" si="16"/>
        <v>4.3922400047110288E-3</v>
      </c>
      <c r="S33" s="2"/>
      <c r="T33" s="7">
        <v>15080.190000000002</v>
      </c>
      <c r="U33" s="2"/>
      <c r="V33" s="6">
        <f t="shared" si="17"/>
        <v>3.6690702293674785E-3</v>
      </c>
      <c r="W33" s="2"/>
      <c r="X33" s="7">
        <f t="shared" si="18"/>
        <v>-525.38000000000284</v>
      </c>
      <c r="Y33" s="2"/>
      <c r="Z33" s="6">
        <f t="shared" si="19"/>
        <v>-3.4839083592448292E-2</v>
      </c>
    </row>
    <row r="34" spans="1:26" s="25" customFormat="1" outlineLevel="1" collapsed="1" x14ac:dyDescent="0.35">
      <c r="A34" s="26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21975.620000000003</v>
      </c>
      <c r="E34" s="1"/>
      <c r="F34" s="5">
        <f t="shared" ref="F34:F40" si="20">IF(D$12=0,0,D34/D$12)</f>
        <v>-0.32954367548924052</v>
      </c>
      <c r="G34" s="1"/>
      <c r="H34" s="1">
        <f>SUM(OSRRefH22_1x_0)</f>
        <v>55140.490000000005</v>
      </c>
      <c r="I34" s="1"/>
      <c r="J34" s="5">
        <f t="shared" ref="J34:J40" si="21">IF(H$12=0,0,H34/H$12)</f>
        <v>0.86234707706974767</v>
      </c>
      <c r="K34" s="1"/>
      <c r="L34" s="1">
        <f t="shared" ref="L34:L40" si="22">+D34-H34</f>
        <v>-33164.870000000003</v>
      </c>
      <c r="M34" s="1"/>
      <c r="N34" s="5">
        <f t="shared" ref="N34:N40" si="23">IF(H34=0,0,L34/H34)</f>
        <v>-0.60146128552720513</v>
      </c>
      <c r="O34" s="12"/>
      <c r="P34" s="1">
        <f>SUM(OSRRefP22_1x_0)</f>
        <v>935181.37</v>
      </c>
      <c r="Q34" s="1"/>
      <c r="R34" s="5">
        <f t="shared" ref="R34:R40" si="24">IF(P$12=0,0,P34/P$12)</f>
        <v>0.28221193028108693</v>
      </c>
      <c r="S34" s="1"/>
      <c r="T34" s="1">
        <f>SUM(OSRRefT22_1x_0)</f>
        <v>1031140.0499999999</v>
      </c>
      <c r="U34" s="1"/>
      <c r="V34" s="5">
        <f t="shared" ref="V34:V40" si="25">IF(T$12=0,0,T34/T$12)</f>
        <v>0.25088047695443444</v>
      </c>
      <c r="W34" s="1"/>
      <c r="X34" s="1">
        <f t="shared" ref="X34:X40" si="26">+P34-T34</f>
        <v>-95958.679999999935</v>
      </c>
      <c r="Y34" s="1"/>
      <c r="Z34" s="5">
        <f t="shared" ref="Z34:Z40" si="27">IF(T34=0,0,X34/T34)</f>
        <v>-9.3060763181490175E-2</v>
      </c>
    </row>
    <row r="35" spans="1:26" s="24" customFormat="1" hidden="1" outlineLevel="2" x14ac:dyDescent="0.35">
      <c r="A35" s="27"/>
      <c r="B35" s="11" t="str">
        <f>CONCATENATE("          ", "6002", " - ", "STAFF SALARIES")</f>
        <v xml:space="preserve">          6002 - STAFF SALARIES</v>
      </c>
      <c r="C35" s="11"/>
      <c r="D35" s="7">
        <v>12601.86</v>
      </c>
      <c r="E35" s="2"/>
      <c r="F35" s="6">
        <f t="shared" si="20"/>
        <v>-0.18897593161880483</v>
      </c>
      <c r="G35" s="2"/>
      <c r="H35" s="7">
        <v>13724.82</v>
      </c>
      <c r="I35" s="2"/>
      <c r="J35" s="6">
        <f t="shared" si="21"/>
        <v>0.21464369305220923</v>
      </c>
      <c r="K35" s="2"/>
      <c r="L35" s="7">
        <f t="shared" si="22"/>
        <v>-1122.9599999999991</v>
      </c>
      <c r="M35" s="2"/>
      <c r="N35" s="6">
        <f t="shared" si="23"/>
        <v>-8.1819652279592675E-2</v>
      </c>
      <c r="O35" s="11"/>
      <c r="P35" s="7">
        <v>172840.85</v>
      </c>
      <c r="Q35" s="2"/>
      <c r="R35" s="6">
        <f t="shared" si="24"/>
        <v>5.2158598828721113E-2</v>
      </c>
      <c r="S35" s="2"/>
      <c r="T35" s="7">
        <v>166732.10999999999</v>
      </c>
      <c r="U35" s="2"/>
      <c r="V35" s="6">
        <f t="shared" si="25"/>
        <v>4.0566585771175528E-2</v>
      </c>
      <c r="W35" s="2"/>
      <c r="X35" s="7">
        <f t="shared" si="26"/>
        <v>6108.7400000000198</v>
      </c>
      <c r="Y35" s="2"/>
      <c r="Z35" s="6">
        <f t="shared" si="27"/>
        <v>3.663805370183356E-2</v>
      </c>
    </row>
    <row r="36" spans="1:26" s="24" customFormat="1" hidden="1" outlineLevel="2" x14ac:dyDescent="0.35">
      <c r="A36" s="27"/>
      <c r="B36" s="11" t="str">
        <f>CONCATENATE("          ", "6004", " - ", "STAFF HOURLY")</f>
        <v xml:space="preserve">          6004 - STAFF HOURLY</v>
      </c>
      <c r="C36" s="11"/>
      <c r="D36" s="7">
        <v>9373.76</v>
      </c>
      <c r="E36" s="2"/>
      <c r="F36" s="6">
        <f t="shared" si="20"/>
        <v>-0.14056774387043564</v>
      </c>
      <c r="G36" s="2"/>
      <c r="H36" s="7">
        <v>16656.62</v>
      </c>
      <c r="I36" s="2"/>
      <c r="J36" s="6">
        <f t="shared" si="21"/>
        <v>0.26049437665246533</v>
      </c>
      <c r="K36" s="2"/>
      <c r="L36" s="7">
        <f t="shared" si="22"/>
        <v>-7282.8599999999988</v>
      </c>
      <c r="M36" s="2"/>
      <c r="N36" s="6">
        <f t="shared" si="23"/>
        <v>-0.43723516535767754</v>
      </c>
      <c r="O36" s="11"/>
      <c r="P36" s="7">
        <v>230880.56000000003</v>
      </c>
      <c r="Q36" s="2"/>
      <c r="R36" s="6">
        <f t="shared" si="24"/>
        <v>6.9673381647859717E-2</v>
      </c>
      <c r="S36" s="2"/>
      <c r="T36" s="7">
        <v>236169.2</v>
      </c>
      <c r="U36" s="2"/>
      <c r="V36" s="6">
        <f t="shared" si="25"/>
        <v>5.7460906050489674E-2</v>
      </c>
      <c r="W36" s="2"/>
      <c r="X36" s="7">
        <f t="shared" si="26"/>
        <v>-5288.6399999999849</v>
      </c>
      <c r="Y36" s="2"/>
      <c r="Z36" s="6">
        <f t="shared" si="27"/>
        <v>-2.2393436570052255E-2</v>
      </c>
    </row>
    <row r="37" spans="1:26" s="24" customFormat="1" hidden="1" outlineLevel="2" x14ac:dyDescent="0.3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0"/>
        <v>0</v>
      </c>
      <c r="G37" s="2"/>
      <c r="H37" s="7">
        <v>12002.86</v>
      </c>
      <c r="I37" s="2"/>
      <c r="J37" s="6">
        <f t="shared" si="21"/>
        <v>0.18771380590700937</v>
      </c>
      <c r="K37" s="2"/>
      <c r="L37" s="7">
        <f t="shared" si="22"/>
        <v>-12002.86</v>
      </c>
      <c r="M37" s="2"/>
      <c r="N37" s="6">
        <f t="shared" si="23"/>
        <v>-1</v>
      </c>
      <c r="O37" s="11"/>
      <c r="P37" s="7">
        <v>146126.22999999998</v>
      </c>
      <c r="Q37" s="2"/>
      <c r="R37" s="6">
        <f t="shared" si="24"/>
        <v>4.4096863727084372E-2</v>
      </c>
      <c r="S37" s="2"/>
      <c r="T37" s="7">
        <v>222060.67</v>
      </c>
      <c r="U37" s="2"/>
      <c r="V37" s="6">
        <f t="shared" si="25"/>
        <v>5.4028244565247248E-2</v>
      </c>
      <c r="W37" s="2"/>
      <c r="X37" s="7">
        <f t="shared" si="26"/>
        <v>-75934.440000000031</v>
      </c>
      <c r="Y37" s="2"/>
      <c r="Z37" s="6">
        <f t="shared" si="27"/>
        <v>-0.34195357511980862</v>
      </c>
    </row>
    <row r="38" spans="1:26" s="24" customFormat="1" hidden="1" outlineLevel="2" x14ac:dyDescent="0.3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1437</v>
      </c>
      <c r="I38" s="2"/>
      <c r="J38" s="6">
        <f t="shared" si="21"/>
        <v>2.247337210367966E-2</v>
      </c>
      <c r="K38" s="2"/>
      <c r="L38" s="7">
        <f t="shared" si="22"/>
        <v>-1437</v>
      </c>
      <c r="M38" s="2"/>
      <c r="N38" s="6">
        <f t="shared" si="23"/>
        <v>-1</v>
      </c>
      <c r="O38" s="11"/>
      <c r="P38" s="7">
        <v>13546.1</v>
      </c>
      <c r="Q38" s="2"/>
      <c r="R38" s="6">
        <f t="shared" si="24"/>
        <v>4.087839162985712E-3</v>
      </c>
      <c r="S38" s="2"/>
      <c r="T38" s="7">
        <v>28882.58</v>
      </c>
      <c r="U38" s="2"/>
      <c r="V38" s="6">
        <f t="shared" si="25"/>
        <v>7.0272466345135268E-3</v>
      </c>
      <c r="W38" s="2"/>
      <c r="X38" s="7">
        <f t="shared" si="26"/>
        <v>-15336.480000000001</v>
      </c>
      <c r="Y38" s="2"/>
      <c r="Z38" s="6">
        <f t="shared" si="27"/>
        <v>-0.53099411479168412</v>
      </c>
    </row>
    <row r="39" spans="1:26" s="24" customFormat="1" hidden="1" outlineLevel="2" x14ac:dyDescent="0.35">
      <c r="A39" s="27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0"/>
        <v>0</v>
      </c>
      <c r="G39" s="2"/>
      <c r="H39" s="7">
        <v>9129.19</v>
      </c>
      <c r="I39" s="2"/>
      <c r="J39" s="6">
        <f t="shared" si="21"/>
        <v>0.14277222259929806</v>
      </c>
      <c r="K39" s="2"/>
      <c r="L39" s="7">
        <f t="shared" si="22"/>
        <v>-9129.19</v>
      </c>
      <c r="M39" s="2"/>
      <c r="N39" s="6">
        <f t="shared" si="23"/>
        <v>-1</v>
      </c>
      <c r="O39" s="11"/>
      <c r="P39" s="7">
        <v>291246.51</v>
      </c>
      <c r="Q39" s="2"/>
      <c r="R39" s="6">
        <f t="shared" si="24"/>
        <v>8.7890159504278711E-2</v>
      </c>
      <c r="S39" s="2"/>
      <c r="T39" s="7">
        <v>265970.34999999998</v>
      </c>
      <c r="U39" s="2"/>
      <c r="V39" s="6">
        <f t="shared" si="25"/>
        <v>6.4711644420889142E-2</v>
      </c>
      <c r="W39" s="2"/>
      <c r="X39" s="7">
        <f t="shared" si="26"/>
        <v>25276.160000000033</v>
      </c>
      <c r="Y39" s="2"/>
      <c r="Z39" s="6">
        <f t="shared" si="27"/>
        <v>9.5033750942539408E-2</v>
      </c>
    </row>
    <row r="40" spans="1:26" s="24" customFormat="1" hidden="1" outlineLevel="2" x14ac:dyDescent="0.3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0"/>
        <v>0</v>
      </c>
      <c r="G40" s="2"/>
      <c r="H40" s="7">
        <v>2190</v>
      </c>
      <c r="I40" s="2"/>
      <c r="J40" s="6">
        <f t="shared" si="21"/>
        <v>3.4249606755085912E-2</v>
      </c>
      <c r="K40" s="2"/>
      <c r="L40" s="7">
        <f t="shared" si="22"/>
        <v>-2190</v>
      </c>
      <c r="M40" s="2"/>
      <c r="N40" s="6">
        <f t="shared" si="23"/>
        <v>-1</v>
      </c>
      <c r="O40" s="11"/>
      <c r="P40" s="7">
        <v>80541.119999999995</v>
      </c>
      <c r="Q40" s="2"/>
      <c r="R40" s="6">
        <f t="shared" si="24"/>
        <v>2.43050874101573E-2</v>
      </c>
      <c r="S40" s="2"/>
      <c r="T40" s="7">
        <v>111325.14</v>
      </c>
      <c r="U40" s="2"/>
      <c r="V40" s="6">
        <f t="shared" si="25"/>
        <v>2.7085849512119318E-2</v>
      </c>
      <c r="W40" s="2"/>
      <c r="X40" s="7">
        <f t="shared" si="26"/>
        <v>-30784.020000000004</v>
      </c>
      <c r="Y40" s="2"/>
      <c r="Z40" s="6">
        <f t="shared" si="27"/>
        <v>-0.27652352379705075</v>
      </c>
    </row>
    <row r="41" spans="1:26" s="25" customFormat="1" outlineLevel="1" collapsed="1" x14ac:dyDescent="0.35">
      <c r="A41" s="26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2" si="28">IF(D$12=0,0,D41/D$12)</f>
        <v>0</v>
      </c>
      <c r="G41" s="1"/>
      <c r="H41" s="1">
        <f>SUM(OSRRefH22_2x_0)</f>
        <v>56.33</v>
      </c>
      <c r="I41" s="1"/>
      <c r="J41" s="5">
        <f t="shared" ref="J41:J62" si="29">IF(H$12=0,0,H41/H$12)</f>
        <v>8.8094993082830561E-4</v>
      </c>
      <c r="K41" s="1"/>
      <c r="L41" s="1">
        <f t="shared" ref="L41:L62" si="30">+D41-H41</f>
        <v>-56.33</v>
      </c>
      <c r="M41" s="1"/>
      <c r="N41" s="5">
        <f t="shared" ref="N41:N62" si="31">IF(H41=0,0,L41/H41)</f>
        <v>-1</v>
      </c>
      <c r="O41" s="12"/>
      <c r="P41" s="1">
        <f>SUM(OSRRefP22_2x_0)</f>
        <v>2628.74</v>
      </c>
      <c r="Q41" s="1"/>
      <c r="R41" s="5">
        <f t="shared" ref="R41:R62" si="32">IF(P$12=0,0,P41/P$12)</f>
        <v>7.9328118951632273E-4</v>
      </c>
      <c r="S41" s="1"/>
      <c r="T41" s="1">
        <f>SUM(OSRRefT22_2x_0)</f>
        <v>4045.78</v>
      </c>
      <c r="U41" s="1"/>
      <c r="V41" s="5">
        <f t="shared" ref="V41:V62" si="33">IF(T$12=0,0,T41/T$12)</f>
        <v>9.8435437170024762E-4</v>
      </c>
      <c r="W41" s="1"/>
      <c r="X41" s="1">
        <f t="shared" ref="X41:X62" si="34">+P41-T41</f>
        <v>-1417.0400000000004</v>
      </c>
      <c r="Y41" s="1"/>
      <c r="Z41" s="5">
        <f t="shared" ref="Z41:Z62" si="35">IF(T41=0,0,X41/T41)</f>
        <v>-0.35025137303560755</v>
      </c>
    </row>
    <row r="42" spans="1:26" s="24" customFormat="1" hidden="1" outlineLevel="2" x14ac:dyDescent="0.3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56.33</v>
      </c>
      <c r="I42" s="2"/>
      <c r="J42" s="6">
        <f t="shared" si="29"/>
        <v>8.8094993082830561E-4</v>
      </c>
      <c r="K42" s="2"/>
      <c r="L42" s="7">
        <f t="shared" si="30"/>
        <v>-56.33</v>
      </c>
      <c r="M42" s="2"/>
      <c r="N42" s="6">
        <f t="shared" si="31"/>
        <v>-1</v>
      </c>
      <c r="O42" s="11"/>
      <c r="P42" s="7">
        <v>2628.74</v>
      </c>
      <c r="Q42" s="2"/>
      <c r="R42" s="6">
        <f t="shared" si="32"/>
        <v>7.9328118951632273E-4</v>
      </c>
      <c r="S42" s="2"/>
      <c r="T42" s="7">
        <v>4045.78</v>
      </c>
      <c r="U42" s="2"/>
      <c r="V42" s="6">
        <f t="shared" si="33"/>
        <v>9.8435437170024762E-4</v>
      </c>
      <c r="W42" s="2"/>
      <c r="X42" s="7">
        <f t="shared" si="34"/>
        <v>-1417.0400000000004</v>
      </c>
      <c r="Y42" s="2"/>
      <c r="Z42" s="6">
        <f t="shared" si="35"/>
        <v>-0.35025137303560755</v>
      </c>
    </row>
    <row r="43" spans="1:26" s="25" customFormat="1" outlineLevel="1" collapsed="1" x14ac:dyDescent="0.35">
      <c r="A43" s="26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62.29</v>
      </c>
      <c r="I43" s="1"/>
      <c r="J43" s="5">
        <f t="shared" si="29"/>
        <v>9.7415890628963539E-4</v>
      </c>
      <c r="K43" s="1"/>
      <c r="L43" s="1">
        <f t="shared" si="30"/>
        <v>-62.29</v>
      </c>
      <c r="M43" s="1"/>
      <c r="N43" s="5">
        <f t="shared" si="31"/>
        <v>-1</v>
      </c>
      <c r="O43" s="12"/>
      <c r="P43" s="1">
        <f>SUM(OSRRefP22_3x_0)</f>
        <v>16.690000000000001</v>
      </c>
      <c r="Q43" s="1"/>
      <c r="R43" s="5">
        <f t="shared" si="32"/>
        <v>5.0365814241908405E-6</v>
      </c>
      <c r="S43" s="1"/>
      <c r="T43" s="1">
        <f>SUM(OSRRefT22_3x_0)</f>
        <v>34.83</v>
      </c>
      <c r="U43" s="1"/>
      <c r="V43" s="5">
        <f t="shared" si="33"/>
        <v>8.474277584623885E-6</v>
      </c>
      <c r="W43" s="1"/>
      <c r="X43" s="1">
        <f t="shared" si="34"/>
        <v>-18.139999999999997</v>
      </c>
      <c r="Y43" s="1"/>
      <c r="Z43" s="5">
        <f t="shared" si="35"/>
        <v>-0.52081538903244329</v>
      </c>
    </row>
    <row r="44" spans="1:26" s="24" customFormat="1" hidden="1" outlineLevel="2" x14ac:dyDescent="0.35">
      <c r="A44" s="27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8"/>
        <v>0</v>
      </c>
      <c r="G44" s="2"/>
      <c r="H44" s="7">
        <v>62.29</v>
      </c>
      <c r="I44" s="2"/>
      <c r="J44" s="6">
        <f t="shared" si="29"/>
        <v>9.7415890628963539E-4</v>
      </c>
      <c r="K44" s="2"/>
      <c r="L44" s="7">
        <f t="shared" si="30"/>
        <v>-62.29</v>
      </c>
      <c r="M44" s="2"/>
      <c r="N44" s="6">
        <f t="shared" si="31"/>
        <v>-1</v>
      </c>
      <c r="O44" s="11"/>
      <c r="P44" s="7">
        <v>16.690000000000001</v>
      </c>
      <c r="Q44" s="2"/>
      <c r="R44" s="6">
        <f t="shared" si="32"/>
        <v>5.0365814241908405E-6</v>
      </c>
      <c r="S44" s="2"/>
      <c r="T44" s="7">
        <v>34.83</v>
      </c>
      <c r="U44" s="2"/>
      <c r="V44" s="6">
        <f t="shared" si="33"/>
        <v>8.474277584623885E-6</v>
      </c>
      <c r="W44" s="2"/>
      <c r="X44" s="7">
        <f t="shared" si="34"/>
        <v>-18.139999999999997</v>
      </c>
      <c r="Y44" s="2"/>
      <c r="Z44" s="6">
        <f t="shared" si="35"/>
        <v>-0.52081538903244329</v>
      </c>
    </row>
    <row r="45" spans="1:26" s="25" customFormat="1" outlineLevel="1" collapsed="1" x14ac:dyDescent="0.35">
      <c r="A45" s="26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79.44</v>
      </c>
      <c r="I45" s="1"/>
      <c r="J45" s="5">
        <f t="shared" si="29"/>
        <v>1.2423692970885958E-3</v>
      </c>
      <c r="K45" s="1"/>
      <c r="L45" s="1">
        <f t="shared" si="30"/>
        <v>-79.44</v>
      </c>
      <c r="M45" s="1"/>
      <c r="N45" s="5">
        <f t="shared" si="31"/>
        <v>-1</v>
      </c>
      <c r="O45" s="12"/>
      <c r="P45" s="1">
        <f>SUM(OSRRefP22_4x_0)</f>
        <v>1125.75</v>
      </c>
      <c r="Q45" s="1"/>
      <c r="R45" s="5">
        <f t="shared" si="32"/>
        <v>3.3972028389951095E-4</v>
      </c>
      <c r="S45" s="1"/>
      <c r="T45" s="1">
        <f>SUM(OSRRefT22_4x_0)</f>
        <v>1558.43</v>
      </c>
      <c r="U45" s="1"/>
      <c r="V45" s="5">
        <f t="shared" si="33"/>
        <v>3.7917221981640542E-4</v>
      </c>
      <c r="W45" s="1"/>
      <c r="X45" s="1">
        <f t="shared" si="34"/>
        <v>-432.68000000000006</v>
      </c>
      <c r="Y45" s="1"/>
      <c r="Z45" s="5">
        <f t="shared" si="35"/>
        <v>-0.27763839248474431</v>
      </c>
    </row>
    <row r="46" spans="1:26" s="24" customFormat="1" hidden="1" outlineLevel="2" x14ac:dyDescent="0.35">
      <c r="A46" s="27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>
        <v>79.44</v>
      </c>
      <c r="I46" s="2"/>
      <c r="J46" s="6">
        <f t="shared" si="29"/>
        <v>1.2423692970885958E-3</v>
      </c>
      <c r="K46" s="2"/>
      <c r="L46" s="7">
        <f t="shared" si="30"/>
        <v>-79.44</v>
      </c>
      <c r="M46" s="2"/>
      <c r="N46" s="6">
        <f t="shared" si="31"/>
        <v>-1</v>
      </c>
      <c r="O46" s="11"/>
      <c r="P46" s="7">
        <v>1125.75</v>
      </c>
      <c r="Q46" s="2"/>
      <c r="R46" s="6">
        <f t="shared" si="32"/>
        <v>3.3972028389951095E-4</v>
      </c>
      <c r="S46" s="2"/>
      <c r="T46" s="7">
        <v>1558.43</v>
      </c>
      <c r="U46" s="2"/>
      <c r="V46" s="6">
        <f t="shared" si="33"/>
        <v>3.7917221981640542E-4</v>
      </c>
      <c r="W46" s="2"/>
      <c r="X46" s="7">
        <f t="shared" si="34"/>
        <v>-432.68000000000006</v>
      </c>
      <c r="Y46" s="2"/>
      <c r="Z46" s="6">
        <f t="shared" si="35"/>
        <v>-0.27763839248474431</v>
      </c>
    </row>
    <row r="47" spans="1:26" s="25" customFormat="1" outlineLevel="1" collapsed="1" x14ac:dyDescent="0.35">
      <c r="A47" s="26"/>
      <c r="B47" s="12" t="str">
        <f>CONCATENATE("     ","Donations                                         ")</f>
        <v xml:space="preserve">     Donations                                         </v>
      </c>
      <c r="C47" s="12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2"/>
      <c r="P47" s="1">
        <f>SUM(OSRRefP22_5x_0)</f>
        <v>27751.46</v>
      </c>
      <c r="Q47" s="1"/>
      <c r="R47" s="5">
        <f t="shared" si="32"/>
        <v>8.3746248010889823E-3</v>
      </c>
      <c r="S47" s="1"/>
      <c r="T47" s="1">
        <f>SUM(OSRRefT22_5x_0)</f>
        <v>30256.060000000005</v>
      </c>
      <c r="U47" s="1"/>
      <c r="V47" s="5">
        <f t="shared" si="33"/>
        <v>7.3614197834348371E-3</v>
      </c>
      <c r="W47" s="1"/>
      <c r="X47" s="1">
        <f t="shared" si="34"/>
        <v>-2504.6000000000058</v>
      </c>
      <c r="Y47" s="1"/>
      <c r="Z47" s="5">
        <f t="shared" si="35"/>
        <v>-8.2780110827384845E-2</v>
      </c>
    </row>
    <row r="48" spans="1:26" s="24" customFormat="1" hidden="1" outlineLevel="2" x14ac:dyDescent="0.35">
      <c r="A48" s="27"/>
      <c r="B48" s="11" t="str">
        <f>CONCATENATE("          ", "6399", " - ", "DONATION-ON CAMPUS")</f>
        <v xml:space="preserve">          6399 - DONATION-ON CAMPUS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27751.46</v>
      </c>
      <c r="Q48" s="2"/>
      <c r="R48" s="6">
        <f t="shared" si="32"/>
        <v>8.3746248010889823E-3</v>
      </c>
      <c r="S48" s="2"/>
      <c r="T48" s="7">
        <v>30256.060000000005</v>
      </c>
      <c r="U48" s="2"/>
      <c r="V48" s="6">
        <f t="shared" si="33"/>
        <v>7.3614197834348371E-3</v>
      </c>
      <c r="W48" s="2"/>
      <c r="X48" s="7">
        <f t="shared" si="34"/>
        <v>-2504.6000000000058</v>
      </c>
      <c r="Y48" s="2"/>
      <c r="Z48" s="6">
        <f t="shared" si="35"/>
        <v>-8.2780110827384845E-2</v>
      </c>
    </row>
    <row r="49" spans="1:26" s="25" customFormat="1" outlineLevel="1" collapsed="1" x14ac:dyDescent="0.35">
      <c r="A49" s="26"/>
      <c r="B49" s="12" t="str">
        <f>CONCATENATE("     ","Employees' Appreciation                           ")</f>
        <v xml:space="preserve">     Employees' Appreciation                           </v>
      </c>
      <c r="C49" s="12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109.42</v>
      </c>
      <c r="I49" s="1"/>
      <c r="J49" s="5">
        <f t="shared" si="29"/>
        <v>1.7112292105668952E-3</v>
      </c>
      <c r="K49" s="1"/>
      <c r="L49" s="1">
        <f t="shared" si="30"/>
        <v>-109.42</v>
      </c>
      <c r="M49" s="1"/>
      <c r="N49" s="5">
        <f t="shared" si="31"/>
        <v>-1</v>
      </c>
      <c r="O49" s="12"/>
      <c r="P49" s="1">
        <f>SUM(OSRRefP22_6x_0)</f>
        <v>1564</v>
      </c>
      <c r="Q49" s="1"/>
      <c r="R49" s="5">
        <f t="shared" si="32"/>
        <v>4.7197203999008229E-4</v>
      </c>
      <c r="S49" s="1"/>
      <c r="T49" s="1">
        <f>SUM(OSRRefT22_6x_0)</f>
        <v>965.35</v>
      </c>
      <c r="U49" s="1"/>
      <c r="V49" s="5">
        <f t="shared" si="33"/>
        <v>2.3487349601827927E-4</v>
      </c>
      <c r="W49" s="1"/>
      <c r="X49" s="1">
        <f t="shared" si="34"/>
        <v>598.65</v>
      </c>
      <c r="Y49" s="1"/>
      <c r="Z49" s="5">
        <f t="shared" si="35"/>
        <v>0.6201377738644015</v>
      </c>
    </row>
    <row r="50" spans="1:26" s="24" customFormat="1" hidden="1" outlineLevel="2" x14ac:dyDescent="0.35">
      <c r="A50" s="27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28"/>
        <v>0</v>
      </c>
      <c r="G50" s="2"/>
      <c r="H50" s="7">
        <v>109.42</v>
      </c>
      <c r="I50" s="2"/>
      <c r="J50" s="6">
        <f t="shared" si="29"/>
        <v>1.7112292105668952E-3</v>
      </c>
      <c r="K50" s="2"/>
      <c r="L50" s="7">
        <f t="shared" si="30"/>
        <v>-109.42</v>
      </c>
      <c r="M50" s="2"/>
      <c r="N50" s="6">
        <f t="shared" si="31"/>
        <v>-1</v>
      </c>
      <c r="O50" s="11"/>
      <c r="P50" s="7">
        <v>1564</v>
      </c>
      <c r="Q50" s="2"/>
      <c r="R50" s="6">
        <f t="shared" si="32"/>
        <v>4.7197203999008229E-4</v>
      </c>
      <c r="S50" s="2"/>
      <c r="T50" s="7">
        <v>965.35</v>
      </c>
      <c r="U50" s="2"/>
      <c r="V50" s="6">
        <f t="shared" si="33"/>
        <v>2.3487349601827927E-4</v>
      </c>
      <c r="W50" s="2"/>
      <c r="X50" s="7">
        <f t="shared" si="34"/>
        <v>598.65</v>
      </c>
      <c r="Y50" s="2"/>
      <c r="Z50" s="6">
        <f t="shared" si="35"/>
        <v>0.6201377738644015</v>
      </c>
    </row>
    <row r="51" spans="1:26" s="25" customFormat="1" outlineLevel="1" collapsed="1" x14ac:dyDescent="0.35">
      <c r="A51" s="26"/>
      <c r="B51" s="12" t="str">
        <f>CONCATENATE("     ","Equipment Rental                                  ")</f>
        <v xml:space="preserve">     Equipment Rental                                  </v>
      </c>
      <c r="C51" s="12"/>
      <c r="D51" s="1">
        <f>SUM(OSRRefD22_7x_0)</f>
        <v>323.94</v>
      </c>
      <c r="E51" s="1"/>
      <c r="F51" s="5">
        <f t="shared" si="28"/>
        <v>-4.8577641148684113E-3</v>
      </c>
      <c r="G51" s="1"/>
      <c r="H51" s="1">
        <f>SUM(OSRRefH22_7x_0)</f>
        <v>336.79</v>
      </c>
      <c r="I51" s="1"/>
      <c r="J51" s="5">
        <f t="shared" si="29"/>
        <v>5.2670890680572534E-3</v>
      </c>
      <c r="K51" s="1"/>
      <c r="L51" s="1">
        <f t="shared" si="30"/>
        <v>-12.850000000000023</v>
      </c>
      <c r="M51" s="1"/>
      <c r="N51" s="5">
        <f t="shared" si="31"/>
        <v>-3.8154339499391378E-2</v>
      </c>
      <c r="O51" s="12"/>
      <c r="P51" s="1">
        <f>SUM(OSRRefP22_7x_0)</f>
        <v>3081.17</v>
      </c>
      <c r="Q51" s="1"/>
      <c r="R51" s="5">
        <f t="shared" si="32"/>
        <v>9.2981207829682987E-4</v>
      </c>
      <c r="S51" s="1"/>
      <c r="T51" s="1">
        <f>SUM(OSRRefT22_7x_0)</f>
        <v>3334.88</v>
      </c>
      <c r="U51" s="1"/>
      <c r="V51" s="5">
        <f t="shared" si="33"/>
        <v>8.1138957310968995E-4</v>
      </c>
      <c r="W51" s="1"/>
      <c r="X51" s="1">
        <f t="shared" si="34"/>
        <v>-253.71000000000004</v>
      </c>
      <c r="Y51" s="1"/>
      <c r="Z51" s="5">
        <f t="shared" si="35"/>
        <v>-7.6077699947224492E-2</v>
      </c>
    </row>
    <row r="52" spans="1:26" s="24" customFormat="1" hidden="1" outlineLevel="2" x14ac:dyDescent="0.35">
      <c r="A52" s="27"/>
      <c r="B52" s="11" t="str">
        <f>CONCATENATE("          ", "6351", " - ", "EQUIPMENT RENTAL")</f>
        <v xml:space="preserve">          6351 - EQUIPMENT RENTAL</v>
      </c>
      <c r="C52" s="11"/>
      <c r="D52" s="7">
        <v>323.94</v>
      </c>
      <c r="E52" s="2"/>
      <c r="F52" s="6">
        <f t="shared" si="28"/>
        <v>-4.8577641148684113E-3</v>
      </c>
      <c r="G52" s="2"/>
      <c r="H52" s="7">
        <v>336.79</v>
      </c>
      <c r="I52" s="2"/>
      <c r="J52" s="6">
        <f t="shared" si="29"/>
        <v>5.2670890680572534E-3</v>
      </c>
      <c r="K52" s="2"/>
      <c r="L52" s="7">
        <f t="shared" si="30"/>
        <v>-12.850000000000023</v>
      </c>
      <c r="M52" s="2"/>
      <c r="N52" s="6">
        <f t="shared" si="31"/>
        <v>-3.8154339499391378E-2</v>
      </c>
      <c r="O52" s="11"/>
      <c r="P52" s="7">
        <v>3081.17</v>
      </c>
      <c r="Q52" s="2"/>
      <c r="R52" s="6">
        <f t="shared" si="32"/>
        <v>9.2981207829682987E-4</v>
      </c>
      <c r="S52" s="2"/>
      <c r="T52" s="7">
        <v>3334.88</v>
      </c>
      <c r="U52" s="2"/>
      <c r="V52" s="6">
        <f t="shared" si="33"/>
        <v>8.1138957310968995E-4</v>
      </c>
      <c r="W52" s="2"/>
      <c r="X52" s="7">
        <f t="shared" si="34"/>
        <v>-253.71000000000004</v>
      </c>
      <c r="Y52" s="2"/>
      <c r="Z52" s="6">
        <f t="shared" si="35"/>
        <v>-7.6077699947224492E-2</v>
      </c>
    </row>
    <row r="53" spans="1:26" s="25" customFormat="1" outlineLevel="1" collapsed="1" x14ac:dyDescent="0.35">
      <c r="A53" s="26"/>
      <c r="B53" s="12" t="str">
        <f>CONCATENATE("     ","Freight out/Postage                               ")</f>
        <v xml:space="preserve">     Freight out/Postage                               </v>
      </c>
      <c r="C53" s="12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2"/>
      <c r="P53" s="1">
        <f>SUM(OSRRefP22_8x_0)</f>
        <v>0</v>
      </c>
      <c r="Q53" s="1"/>
      <c r="R53" s="5">
        <f t="shared" si="32"/>
        <v>0</v>
      </c>
      <c r="S53" s="1"/>
      <c r="T53" s="1">
        <f>SUM(OSRRefT22_8x_0)</f>
        <v>7.4</v>
      </c>
      <c r="U53" s="1"/>
      <c r="V53" s="5">
        <f t="shared" si="33"/>
        <v>1.8004494437616063E-6</v>
      </c>
      <c r="W53" s="1"/>
      <c r="X53" s="1">
        <f t="shared" si="34"/>
        <v>-7.4</v>
      </c>
      <c r="Y53" s="1"/>
      <c r="Z53" s="5">
        <f t="shared" si="35"/>
        <v>-1</v>
      </c>
    </row>
    <row r="54" spans="1:26" s="24" customFormat="1" hidden="1" outlineLevel="2" x14ac:dyDescent="0.35">
      <c r="A54" s="27"/>
      <c r="B54" s="11" t="str">
        <f>CONCATENATE("          ", "6307", " - ", "POSTAGE")</f>
        <v xml:space="preserve">          6307 - POSTAGE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7.4</v>
      </c>
      <c r="U54" s="2"/>
      <c r="V54" s="6">
        <f t="shared" si="33"/>
        <v>1.8004494437616063E-6</v>
      </c>
      <c r="W54" s="2"/>
      <c r="X54" s="7">
        <f t="shared" si="34"/>
        <v>-7.4</v>
      </c>
      <c r="Y54" s="2"/>
      <c r="Z54" s="6">
        <f t="shared" si="35"/>
        <v>-1</v>
      </c>
    </row>
    <row r="55" spans="1:26" s="25" customFormat="1" outlineLevel="1" collapsed="1" x14ac:dyDescent="0.35">
      <c r="A55" s="26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2"/>
      <c r="P55" s="1">
        <f>SUM(OSRRefP22_9x_0)</f>
        <v>3224.62</v>
      </c>
      <c r="Q55" s="1"/>
      <c r="R55" s="5">
        <f t="shared" si="32"/>
        <v>9.7310132966292779E-4</v>
      </c>
      <c r="S55" s="1"/>
      <c r="T55" s="1">
        <f>SUM(OSRRefT22_9x_0)</f>
        <v>3225.6</v>
      </c>
      <c r="U55" s="1"/>
      <c r="V55" s="5">
        <f t="shared" si="33"/>
        <v>7.84801314296951E-4</v>
      </c>
      <c r="W55" s="1"/>
      <c r="X55" s="1">
        <f t="shared" si="34"/>
        <v>-0.98000000000001819</v>
      </c>
      <c r="Y55" s="1"/>
      <c r="Z55" s="5">
        <f t="shared" si="35"/>
        <v>-3.0381944444445009E-4</v>
      </c>
    </row>
    <row r="56" spans="1:26" s="24" customFormat="1" hidden="1" outlineLevel="2" x14ac:dyDescent="0.35">
      <c r="A56" s="27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3224.62</v>
      </c>
      <c r="Q56" s="2"/>
      <c r="R56" s="6">
        <f t="shared" si="32"/>
        <v>9.7310132966292779E-4</v>
      </c>
      <c r="S56" s="2"/>
      <c r="T56" s="7">
        <v>3225.6</v>
      </c>
      <c r="U56" s="2"/>
      <c r="V56" s="6">
        <f t="shared" si="33"/>
        <v>7.84801314296951E-4</v>
      </c>
      <c r="W56" s="2"/>
      <c r="X56" s="7">
        <f t="shared" si="34"/>
        <v>-0.98000000000001819</v>
      </c>
      <c r="Y56" s="2"/>
      <c r="Z56" s="6">
        <f t="shared" si="35"/>
        <v>-3.0381944444445009E-4</v>
      </c>
    </row>
    <row r="57" spans="1:26" s="25" customFormat="1" outlineLevel="1" collapsed="1" x14ac:dyDescent="0.35">
      <c r="A57" s="26"/>
      <c r="B57" s="12" t="str">
        <f>CONCATENATE("     ","R/H Commissions                                   ")</f>
        <v xml:space="preserve">     R/H Commissions                                   </v>
      </c>
      <c r="C57" s="12"/>
      <c r="D57" s="1">
        <f>SUM(OSRRefD22_10x_0)</f>
        <v>-5335</v>
      </c>
      <c r="E57" s="1"/>
      <c r="F57" s="5">
        <f t="shared" si="28"/>
        <v>8.000299917522681E-2</v>
      </c>
      <c r="G57" s="1"/>
      <c r="H57" s="1">
        <f>SUM(OSRRefH22_10x_0)</f>
        <v>5115.3900000000003</v>
      </c>
      <c r="I57" s="1"/>
      <c r="J57" s="5">
        <f t="shared" si="29"/>
        <v>8.0000043789451566E-2</v>
      </c>
      <c r="K57" s="1"/>
      <c r="L57" s="1">
        <f t="shared" si="30"/>
        <v>-10450.39</v>
      </c>
      <c r="M57" s="1"/>
      <c r="N57" s="5">
        <f t="shared" si="31"/>
        <v>-2.0429312330047167</v>
      </c>
      <c r="O57" s="12"/>
      <c r="P57" s="1">
        <f>SUM(OSRRefP22_10x_0)</f>
        <v>259594.55000000002</v>
      </c>
      <c r="Q57" s="1"/>
      <c r="R57" s="5">
        <f t="shared" si="32"/>
        <v>7.8338471441053339E-2</v>
      </c>
      <c r="S57" s="1"/>
      <c r="T57" s="1">
        <f>SUM(OSRRefT22_10x_0)</f>
        <v>321417.73000000004</v>
      </c>
      <c r="U57" s="1"/>
      <c r="V57" s="5">
        <f t="shared" si="33"/>
        <v>7.8202212593732195E-2</v>
      </c>
      <c r="W57" s="1"/>
      <c r="X57" s="1">
        <f t="shared" si="34"/>
        <v>-61823.180000000022</v>
      </c>
      <c r="Y57" s="1"/>
      <c r="Z57" s="5">
        <f t="shared" si="35"/>
        <v>-0.19234526981445615</v>
      </c>
    </row>
    <row r="58" spans="1:26" s="24" customFormat="1" hidden="1" outlineLevel="2" x14ac:dyDescent="0.35">
      <c r="A58" s="27"/>
      <c r="B58" s="11" t="str">
        <f>CONCATENATE("          ", "6387", " - ", "COMMISSION DUE HOUSING")</f>
        <v xml:space="preserve">          6387 - COMMISSION DUE HOUSING</v>
      </c>
      <c r="C58" s="11"/>
      <c r="D58" s="7">
        <v>-5335</v>
      </c>
      <c r="E58" s="2"/>
      <c r="F58" s="6">
        <f t="shared" si="28"/>
        <v>8.000299917522681E-2</v>
      </c>
      <c r="G58" s="2"/>
      <c r="H58" s="7">
        <v>5115.3900000000003</v>
      </c>
      <c r="I58" s="2"/>
      <c r="J58" s="6">
        <f t="shared" si="29"/>
        <v>8.0000043789451566E-2</v>
      </c>
      <c r="K58" s="2"/>
      <c r="L58" s="7">
        <f t="shared" si="30"/>
        <v>-10450.39</v>
      </c>
      <c r="M58" s="2"/>
      <c r="N58" s="6">
        <f t="shared" si="31"/>
        <v>-2.0429312330047167</v>
      </c>
      <c r="O58" s="11"/>
      <c r="P58" s="7">
        <v>259594.55000000002</v>
      </c>
      <c r="Q58" s="2"/>
      <c r="R58" s="6">
        <f t="shared" si="32"/>
        <v>7.8338471441053339E-2</v>
      </c>
      <c r="S58" s="2"/>
      <c r="T58" s="7">
        <v>321417.73000000004</v>
      </c>
      <c r="U58" s="2"/>
      <c r="V58" s="6">
        <f t="shared" si="33"/>
        <v>7.8202212593732195E-2</v>
      </c>
      <c r="W58" s="2"/>
      <c r="X58" s="7">
        <f t="shared" si="34"/>
        <v>-61823.180000000022</v>
      </c>
      <c r="Y58" s="2"/>
      <c r="Z58" s="6">
        <f t="shared" si="35"/>
        <v>-0.19234526981445615</v>
      </c>
    </row>
    <row r="59" spans="1:26" s="25" customFormat="1" outlineLevel="1" collapsed="1" x14ac:dyDescent="0.35">
      <c r="A59" s="26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73.81</v>
      </c>
      <c r="E59" s="1"/>
      <c r="F59" s="5">
        <f t="shared" si="28"/>
        <v>-1.1068456174551998E-3</v>
      </c>
      <c r="G59" s="1"/>
      <c r="H59" s="1">
        <f>SUM(OSRRefH22_11x_0)</f>
        <v>72.349999999999994</v>
      </c>
      <c r="I59" s="1"/>
      <c r="J59" s="5">
        <f t="shared" si="29"/>
        <v>1.1314881501052355E-3</v>
      </c>
      <c r="K59" s="1"/>
      <c r="L59" s="1">
        <f t="shared" si="30"/>
        <v>1.460000000000008</v>
      </c>
      <c r="M59" s="1"/>
      <c r="N59" s="5">
        <f t="shared" si="31"/>
        <v>2.0179682100898523E-2</v>
      </c>
      <c r="O59" s="12"/>
      <c r="P59" s="1">
        <f>SUM(OSRRefP22_11x_0)</f>
        <v>9519.0399999999991</v>
      </c>
      <c r="Q59" s="1"/>
      <c r="R59" s="5">
        <f t="shared" si="32"/>
        <v>2.8725835853882307E-3</v>
      </c>
      <c r="S59" s="1"/>
      <c r="T59" s="1">
        <f>SUM(OSRRefT22_11x_0)</f>
        <v>21605.720000000005</v>
      </c>
      <c r="U59" s="1"/>
      <c r="V59" s="5">
        <f t="shared" si="33"/>
        <v>5.2567576427120302E-3</v>
      </c>
      <c r="W59" s="1"/>
      <c r="X59" s="1">
        <f t="shared" si="34"/>
        <v>-12086.680000000006</v>
      </c>
      <c r="Y59" s="1"/>
      <c r="Z59" s="5">
        <f t="shared" si="35"/>
        <v>-0.55942037571532</v>
      </c>
    </row>
    <row r="60" spans="1:26" s="24" customFormat="1" hidden="1" outlineLevel="2" x14ac:dyDescent="0.3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8238.75</v>
      </c>
      <c r="Q60" s="2"/>
      <c r="R60" s="6">
        <f t="shared" si="32"/>
        <v>2.4862273941613109E-3</v>
      </c>
      <c r="S60" s="2"/>
      <c r="T60" s="7">
        <v>19122.230000000003</v>
      </c>
      <c r="U60" s="2"/>
      <c r="V60" s="6">
        <f t="shared" si="33"/>
        <v>4.6525146441866901E-3</v>
      </c>
      <c r="W60" s="2"/>
      <c r="X60" s="7">
        <f t="shared" si="34"/>
        <v>-10883.480000000003</v>
      </c>
      <c r="Y60" s="2"/>
      <c r="Z60" s="6">
        <f t="shared" si="35"/>
        <v>-0.5691532839004656</v>
      </c>
    </row>
    <row r="61" spans="1:26" s="24" customFormat="1" hidden="1" outlineLevel="2" x14ac:dyDescent="0.35">
      <c r="A61" s="27"/>
      <c r="B61" s="11" t="str">
        <f>CONCATENATE("          ", "6373", " - ", "MAINTENANCE CONTRACTS")</f>
        <v xml:space="preserve">          6373 - MAINTENANCE CONTRACTS</v>
      </c>
      <c r="C61" s="11"/>
      <c r="D61" s="7">
        <v>73.81</v>
      </c>
      <c r="E61" s="2"/>
      <c r="F61" s="6">
        <f t="shared" si="28"/>
        <v>-1.1068456174551998E-3</v>
      </c>
      <c r="G61" s="2"/>
      <c r="H61" s="7">
        <v>72.349999999999994</v>
      </c>
      <c r="I61" s="2"/>
      <c r="J61" s="6">
        <f t="shared" si="29"/>
        <v>1.1314881501052355E-3</v>
      </c>
      <c r="K61" s="2"/>
      <c r="L61" s="7">
        <f t="shared" si="30"/>
        <v>1.460000000000008</v>
      </c>
      <c r="M61" s="2"/>
      <c r="N61" s="6">
        <f t="shared" si="31"/>
        <v>2.0179682100898523E-2</v>
      </c>
      <c r="O61" s="11"/>
      <c r="P61" s="7">
        <v>372.88</v>
      </c>
      <c r="Q61" s="2"/>
      <c r="R61" s="6">
        <f t="shared" si="32"/>
        <v>1.1252489403548714E-4</v>
      </c>
      <c r="S61" s="2"/>
      <c r="T61" s="7">
        <v>380.95</v>
      </c>
      <c r="U61" s="2"/>
      <c r="V61" s="6">
        <f t="shared" si="33"/>
        <v>9.2686650756889714E-5</v>
      </c>
      <c r="W61" s="2"/>
      <c r="X61" s="7">
        <f t="shared" si="34"/>
        <v>-8.0699999999999932</v>
      </c>
      <c r="Y61" s="2"/>
      <c r="Z61" s="6">
        <f t="shared" si="35"/>
        <v>-2.118388239926498E-2</v>
      </c>
    </row>
    <row r="62" spans="1:26" s="24" customFormat="1" hidden="1" outlineLevel="2" x14ac:dyDescent="0.3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28"/>
        <v>0</v>
      </c>
      <c r="G62" s="2"/>
      <c r="H62" s="7"/>
      <c r="I62" s="2"/>
      <c r="J62" s="6">
        <f t="shared" si="29"/>
        <v>0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>
        <v>907.41</v>
      </c>
      <c r="Q62" s="2"/>
      <c r="R62" s="6">
        <f t="shared" si="32"/>
        <v>2.7383129719143258E-4</v>
      </c>
      <c r="S62" s="2"/>
      <c r="T62" s="7">
        <v>2102.54</v>
      </c>
      <c r="U62" s="2"/>
      <c r="V62" s="6">
        <f t="shared" si="33"/>
        <v>5.115563477684497E-4</v>
      </c>
      <c r="W62" s="2"/>
      <c r="X62" s="7">
        <f t="shared" si="34"/>
        <v>-1195.1300000000001</v>
      </c>
      <c r="Y62" s="2"/>
      <c r="Z62" s="6">
        <f t="shared" si="35"/>
        <v>-0.5684220038619956</v>
      </c>
    </row>
    <row r="63" spans="1:26" s="25" customFormat="1" outlineLevel="1" collapsed="1" x14ac:dyDescent="0.35">
      <c r="A63" s="26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421.34</v>
      </c>
      <c r="E63" s="1"/>
      <c r="F63" s="5">
        <f t="shared" ref="F63:F66" si="36">IF(D$12=0,0,D63/D$12)</f>
        <v>-6.3183624503261602E-3</v>
      </c>
      <c r="G63" s="1"/>
      <c r="H63" s="1">
        <f>SUM(OSRRefH22_12x_0)</f>
        <v>5046.8600000000006</v>
      </c>
      <c r="I63" s="1"/>
      <c r="J63" s="5">
        <f t="shared" ref="J63:J66" si="37">IF(H$12=0,0,H63/H$12)</f>
        <v>7.8928296962544706E-2</v>
      </c>
      <c r="K63" s="1"/>
      <c r="L63" s="1">
        <f t="shared" ref="L63:L66" si="38">+D63-H63</f>
        <v>-4625.5200000000004</v>
      </c>
      <c r="M63" s="1"/>
      <c r="N63" s="5">
        <f t="shared" ref="N63:N66" si="39">IF(H63=0,0,L63/H63)</f>
        <v>-0.91651442679210438</v>
      </c>
      <c r="O63" s="12"/>
      <c r="P63" s="1">
        <f>SUM(OSRRefP22_12x_0)</f>
        <v>55562.11</v>
      </c>
      <c r="Q63" s="1"/>
      <c r="R63" s="5">
        <f t="shared" ref="R63:R66" si="40">IF(P$12=0,0,P63/P$12)</f>
        <v>1.6767111510775801E-2</v>
      </c>
      <c r="S63" s="1"/>
      <c r="T63" s="1">
        <f>SUM(OSRRefT22_12x_0)</f>
        <v>66565.13</v>
      </c>
      <c r="U63" s="1"/>
      <c r="V63" s="5">
        <f t="shared" ref="V63:V66" si="41">IF(T$12=0,0,T63/T$12)</f>
        <v>1.619556098411068E-2</v>
      </c>
      <c r="W63" s="1"/>
      <c r="X63" s="1">
        <f t="shared" ref="X63:X66" si="42">+P63-T63</f>
        <v>-11003.020000000004</v>
      </c>
      <c r="Y63" s="1"/>
      <c r="Z63" s="5">
        <f t="shared" ref="Z63:Z66" si="43">IF(T63=0,0,X63/T63)</f>
        <v>-0.16529705568065448</v>
      </c>
    </row>
    <row r="64" spans="1:26" s="24" customFormat="1" hidden="1" outlineLevel="2" x14ac:dyDescent="0.3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421.34</v>
      </c>
      <c r="E64" s="2"/>
      <c r="F64" s="6">
        <f t="shared" si="36"/>
        <v>-6.3183624503261602E-3</v>
      </c>
      <c r="G64" s="2"/>
      <c r="H64" s="7"/>
      <c r="I64" s="2"/>
      <c r="J64" s="6">
        <f t="shared" si="37"/>
        <v>0</v>
      </c>
      <c r="K64" s="2"/>
      <c r="L64" s="7">
        <f t="shared" si="38"/>
        <v>421.34</v>
      </c>
      <c r="M64" s="2"/>
      <c r="N64" s="6">
        <f t="shared" si="39"/>
        <v>0</v>
      </c>
      <c r="O64" s="11"/>
      <c r="P64" s="7">
        <v>5477.42</v>
      </c>
      <c r="Q64" s="2"/>
      <c r="R64" s="6">
        <f t="shared" si="40"/>
        <v>1.6529342015872612E-3</v>
      </c>
      <c r="S64" s="2"/>
      <c r="T64" s="7">
        <v>4648.8599999999997</v>
      </c>
      <c r="U64" s="2"/>
      <c r="V64" s="6">
        <f t="shared" si="41"/>
        <v>1.1310861352872405E-3</v>
      </c>
      <c r="W64" s="2"/>
      <c r="X64" s="7">
        <f t="shared" si="42"/>
        <v>828.5600000000004</v>
      </c>
      <c r="Y64" s="2"/>
      <c r="Z64" s="6">
        <f t="shared" si="43"/>
        <v>0.17822864100015928</v>
      </c>
    </row>
    <row r="65" spans="1:26" s="24" customFormat="1" hidden="1" outlineLevel="2" x14ac:dyDescent="0.35">
      <c r="A65" s="27"/>
      <c r="B65" s="11" t="str">
        <f>CONCATENATE("          ", "6285", " - ", "JANITORIAL SERVICES")</f>
        <v xml:space="preserve">          6285 - JANITORIAL SERVICES</v>
      </c>
      <c r="C65" s="11"/>
      <c r="D65" s="7"/>
      <c r="E65" s="2"/>
      <c r="F65" s="6">
        <f t="shared" si="36"/>
        <v>0</v>
      </c>
      <c r="G65" s="2"/>
      <c r="H65" s="7">
        <v>3916.67</v>
      </c>
      <c r="I65" s="2"/>
      <c r="J65" s="6">
        <f t="shared" si="37"/>
        <v>6.1253154013443993E-2</v>
      </c>
      <c r="K65" s="2"/>
      <c r="L65" s="7">
        <f t="shared" si="38"/>
        <v>-3916.67</v>
      </c>
      <c r="M65" s="2"/>
      <c r="N65" s="6">
        <f t="shared" si="39"/>
        <v>-1</v>
      </c>
      <c r="O65" s="11"/>
      <c r="P65" s="7">
        <v>38570.82</v>
      </c>
      <c r="Q65" s="2"/>
      <c r="R65" s="6">
        <f t="shared" si="40"/>
        <v>1.1639609078957971E-2</v>
      </c>
      <c r="S65" s="2"/>
      <c r="T65" s="7">
        <v>48677.4</v>
      </c>
      <c r="U65" s="2"/>
      <c r="V65" s="6">
        <f t="shared" si="41"/>
        <v>1.1843405101859624E-2</v>
      </c>
      <c r="W65" s="2"/>
      <c r="X65" s="7">
        <f t="shared" si="42"/>
        <v>-10106.580000000002</v>
      </c>
      <c r="Y65" s="2"/>
      <c r="Z65" s="6">
        <f t="shared" si="43"/>
        <v>-0.20762366108296668</v>
      </c>
    </row>
    <row r="66" spans="1:26" s="24" customFormat="1" hidden="1" outlineLevel="2" x14ac:dyDescent="0.35">
      <c r="A66" s="27"/>
      <c r="B66" s="11" t="str">
        <f>CONCATENATE("          ", "6286", " - ", "LAUNDRY EXPENSE")</f>
        <v xml:space="preserve">          6286 - LAUNDRY EXPENSE</v>
      </c>
      <c r="C66" s="11"/>
      <c r="D66" s="7"/>
      <c r="E66" s="2"/>
      <c r="F66" s="6">
        <f t="shared" si="36"/>
        <v>0</v>
      </c>
      <c r="G66" s="2"/>
      <c r="H66" s="7">
        <v>1130.19</v>
      </c>
      <c r="I66" s="2"/>
      <c r="J66" s="6">
        <f t="shared" si="37"/>
        <v>1.7675142949100706E-2</v>
      </c>
      <c r="K66" s="2"/>
      <c r="L66" s="7">
        <f t="shared" si="38"/>
        <v>-1130.19</v>
      </c>
      <c r="M66" s="2"/>
      <c r="N66" s="6">
        <f t="shared" si="39"/>
        <v>-1</v>
      </c>
      <c r="O66" s="11"/>
      <c r="P66" s="7">
        <v>11513.87</v>
      </c>
      <c r="Q66" s="2"/>
      <c r="R66" s="6">
        <f t="shared" si="40"/>
        <v>3.4745682302305685E-3</v>
      </c>
      <c r="S66" s="2"/>
      <c r="T66" s="7">
        <v>13238.87</v>
      </c>
      <c r="U66" s="2"/>
      <c r="V66" s="6">
        <f t="shared" si="41"/>
        <v>3.2210697469638133E-3</v>
      </c>
      <c r="W66" s="2"/>
      <c r="X66" s="7">
        <f t="shared" si="42"/>
        <v>-1725</v>
      </c>
      <c r="Y66" s="2"/>
      <c r="Z66" s="6">
        <f t="shared" si="43"/>
        <v>-0.13029812967420934</v>
      </c>
    </row>
    <row r="67" spans="1:26" s="25" customFormat="1" outlineLevel="1" collapsed="1" x14ac:dyDescent="0.35">
      <c r="A67" s="26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SUM(OSRRefD22_13x_0)</f>
        <v>18.16</v>
      </c>
      <c r="E67" s="1"/>
      <c r="F67" s="5">
        <f t="shared" ref="F67:F75" si="44">IF(D$12=0,0,D67/D$12)</f>
        <v>-2.7232511059458651E-4</v>
      </c>
      <c r="G67" s="1"/>
      <c r="H67" s="1">
        <f>SUM(OSRRefH22_13x_0)</f>
        <v>4142.1000000000004</v>
      </c>
      <c r="I67" s="1"/>
      <c r="J67" s="5">
        <f t="shared" ref="J67:J75" si="45">IF(H$12=0,0,H67/H$12)</f>
        <v>6.4778674036639894E-2</v>
      </c>
      <c r="K67" s="1"/>
      <c r="L67" s="1">
        <f t="shared" ref="L67:L75" si="46">+D67-H67</f>
        <v>-4123.9400000000005</v>
      </c>
      <c r="M67" s="1"/>
      <c r="N67" s="5">
        <f t="shared" ref="N67:N75" si="47">IF(H67=0,0,L67/H67)</f>
        <v>-0.99561575046474016</v>
      </c>
      <c r="O67" s="12"/>
      <c r="P67" s="1">
        <f>SUM(OSRRefP22_13x_0)</f>
        <v>76960</v>
      </c>
      <c r="Q67" s="1"/>
      <c r="R67" s="5">
        <f t="shared" ref="R67:R75" si="48">IF(P$12=0,0,P67/P$12)</f>
        <v>2.322440421843781E-2</v>
      </c>
      <c r="S67" s="1"/>
      <c r="T67" s="1">
        <f>SUM(OSRRefT22_13x_0)</f>
        <v>96148.700000000012</v>
      </c>
      <c r="U67" s="1"/>
      <c r="V67" s="5">
        <f t="shared" ref="V67:V75" si="49">IF(T$12=0,0,T67/T$12)</f>
        <v>2.3393361274783996E-2</v>
      </c>
      <c r="W67" s="1"/>
      <c r="X67" s="1">
        <f t="shared" ref="X67:X75" si="50">+P67-T67</f>
        <v>-19188.700000000012</v>
      </c>
      <c r="Y67" s="1"/>
      <c r="Z67" s="5">
        <f t="shared" ref="Z67:Z75" si="51">IF(T67=0,0,X67/T67)</f>
        <v>-0.19957316115558515</v>
      </c>
    </row>
    <row r="68" spans="1:26" s="24" customFormat="1" hidden="1" outlineLevel="2" x14ac:dyDescent="0.35">
      <c r="A68" s="27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4"/>
        <v>0</v>
      </c>
      <c r="G68" s="2"/>
      <c r="H68" s="7"/>
      <c r="I68" s="2"/>
      <c r="J68" s="6">
        <f t="shared" si="45"/>
        <v>0</v>
      </c>
      <c r="K68" s="2"/>
      <c r="L68" s="7">
        <f t="shared" si="46"/>
        <v>0</v>
      </c>
      <c r="M68" s="2"/>
      <c r="N68" s="6">
        <f t="shared" si="47"/>
        <v>0</v>
      </c>
      <c r="O68" s="11"/>
      <c r="P68" s="7">
        <v>118.34</v>
      </c>
      <c r="Q68" s="2"/>
      <c r="R68" s="6">
        <f t="shared" si="48"/>
        <v>3.5711746299505332E-5</v>
      </c>
      <c r="S68" s="2"/>
      <c r="T68" s="7"/>
      <c r="U68" s="2"/>
      <c r="V68" s="6">
        <f t="shared" si="49"/>
        <v>0</v>
      </c>
      <c r="W68" s="2"/>
      <c r="X68" s="7">
        <f t="shared" si="50"/>
        <v>118.34</v>
      </c>
      <c r="Y68" s="2"/>
      <c r="Z68" s="6">
        <f t="shared" si="51"/>
        <v>0</v>
      </c>
    </row>
    <row r="69" spans="1:26" s="24" customFormat="1" hidden="1" outlineLevel="2" x14ac:dyDescent="0.35">
      <c r="A69" s="27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44"/>
        <v>0</v>
      </c>
      <c r="G69" s="2"/>
      <c r="H69" s="7">
        <v>2311.67</v>
      </c>
      <c r="I69" s="2"/>
      <c r="J69" s="6">
        <f t="shared" si="45"/>
        <v>3.6152414816223492E-2</v>
      </c>
      <c r="K69" s="2"/>
      <c r="L69" s="7">
        <f t="shared" si="46"/>
        <v>-2311.67</v>
      </c>
      <c r="M69" s="2"/>
      <c r="N69" s="6">
        <f t="shared" si="47"/>
        <v>-1</v>
      </c>
      <c r="O69" s="11"/>
      <c r="P69" s="7">
        <v>34387.160000000003</v>
      </c>
      <c r="Q69" s="2"/>
      <c r="R69" s="6">
        <f t="shared" si="48"/>
        <v>1.0377095942880665E-2</v>
      </c>
      <c r="S69" s="2"/>
      <c r="T69" s="7">
        <v>43612.590000000004</v>
      </c>
      <c r="U69" s="2"/>
      <c r="V69" s="6">
        <f t="shared" si="49"/>
        <v>1.0611116676554459E-2</v>
      </c>
      <c r="W69" s="2"/>
      <c r="X69" s="7">
        <f t="shared" si="50"/>
        <v>-9225.43</v>
      </c>
      <c r="Y69" s="2"/>
      <c r="Z69" s="6">
        <f t="shared" si="51"/>
        <v>-0.21153134908979263</v>
      </c>
    </row>
    <row r="70" spans="1:26" s="24" customFormat="1" hidden="1" outlineLevel="2" x14ac:dyDescent="0.35">
      <c r="A70" s="27"/>
      <c r="B70" s="11" t="str">
        <f>CONCATENATE("          ", "6239", " - ", "KITCHEN SUPPLIES")</f>
        <v xml:space="preserve">          6239 - KITCHEN SUPPLIES</v>
      </c>
      <c r="C70" s="11"/>
      <c r="D70" s="7"/>
      <c r="E70" s="2"/>
      <c r="F70" s="6">
        <f t="shared" si="44"/>
        <v>0</v>
      </c>
      <c r="G70" s="2"/>
      <c r="H70" s="7">
        <v>19</v>
      </c>
      <c r="I70" s="2"/>
      <c r="J70" s="6">
        <f t="shared" si="45"/>
        <v>2.9714270700759469E-4</v>
      </c>
      <c r="K70" s="2"/>
      <c r="L70" s="7">
        <f t="shared" si="46"/>
        <v>-19</v>
      </c>
      <c r="M70" s="2"/>
      <c r="N70" s="6">
        <f t="shared" si="47"/>
        <v>-1</v>
      </c>
      <c r="O70" s="11"/>
      <c r="P70" s="7">
        <v>16573.400000000001</v>
      </c>
      <c r="Q70" s="2"/>
      <c r="R70" s="6">
        <f t="shared" si="48"/>
        <v>5.0013947618744439E-3</v>
      </c>
      <c r="S70" s="2"/>
      <c r="T70" s="7">
        <v>13439.29</v>
      </c>
      <c r="U70" s="2"/>
      <c r="V70" s="6">
        <f t="shared" si="49"/>
        <v>3.2698327304122865E-3</v>
      </c>
      <c r="W70" s="2"/>
      <c r="X70" s="7">
        <f t="shared" si="50"/>
        <v>3134.1100000000006</v>
      </c>
      <c r="Y70" s="2"/>
      <c r="Z70" s="6">
        <f t="shared" si="51"/>
        <v>0.23320502794418457</v>
      </c>
    </row>
    <row r="71" spans="1:26" s="24" customFormat="1" hidden="1" outlineLevel="2" x14ac:dyDescent="0.35">
      <c r="A71" s="27"/>
      <c r="B71" s="11" t="str">
        <f>CONCATENATE("          ", "6241", " - ", "OFFICE EXPENSE")</f>
        <v xml:space="preserve">          6241 - OFFICE EXPENSE</v>
      </c>
      <c r="C71" s="11"/>
      <c r="D71" s="7">
        <v>18.16</v>
      </c>
      <c r="E71" s="2"/>
      <c r="F71" s="6">
        <f t="shared" si="44"/>
        <v>-2.7232511059458651E-4</v>
      </c>
      <c r="G71" s="2"/>
      <c r="H71" s="7">
        <v>263.06</v>
      </c>
      <c r="I71" s="2"/>
      <c r="J71" s="6">
        <f t="shared" si="45"/>
        <v>4.1140189739693606E-3</v>
      </c>
      <c r="K71" s="2"/>
      <c r="L71" s="7">
        <f t="shared" si="46"/>
        <v>-244.9</v>
      </c>
      <c r="M71" s="2"/>
      <c r="N71" s="6">
        <f t="shared" si="47"/>
        <v>-0.93096631947084318</v>
      </c>
      <c r="O71" s="11"/>
      <c r="P71" s="7">
        <v>3297.69</v>
      </c>
      <c r="Q71" s="2"/>
      <c r="R71" s="6">
        <f t="shared" si="48"/>
        <v>9.9515183922947227E-4</v>
      </c>
      <c r="S71" s="2"/>
      <c r="T71" s="7">
        <v>4045.04</v>
      </c>
      <c r="U71" s="2"/>
      <c r="V71" s="6">
        <f t="shared" si="49"/>
        <v>9.8417432675587126E-4</v>
      </c>
      <c r="W71" s="2"/>
      <c r="X71" s="7">
        <f t="shared" si="50"/>
        <v>-747.34999999999991</v>
      </c>
      <c r="Y71" s="2"/>
      <c r="Z71" s="6">
        <f t="shared" si="51"/>
        <v>-0.18475713466368687</v>
      </c>
    </row>
    <row r="72" spans="1:26" s="24" customFormat="1" hidden="1" outlineLevel="2" x14ac:dyDescent="0.35">
      <c r="A72" s="27"/>
      <c r="B72" s="11" t="str">
        <f>CONCATENATE("          ", "6243", " - ", "PAPER SUPPLIES")</f>
        <v xml:space="preserve">          6243 - PAPER SUPPLIES</v>
      </c>
      <c r="C72" s="11"/>
      <c r="D72" s="7"/>
      <c r="E72" s="2"/>
      <c r="F72" s="6">
        <f t="shared" si="44"/>
        <v>0</v>
      </c>
      <c r="G72" s="2"/>
      <c r="H72" s="7">
        <v>1548.37</v>
      </c>
      <c r="I72" s="2"/>
      <c r="J72" s="6">
        <f t="shared" si="45"/>
        <v>2.4215097539439439E-2</v>
      </c>
      <c r="K72" s="2"/>
      <c r="L72" s="7">
        <f t="shared" si="46"/>
        <v>-1548.37</v>
      </c>
      <c r="M72" s="2"/>
      <c r="N72" s="6">
        <f t="shared" si="47"/>
        <v>-1</v>
      </c>
      <c r="O72" s="11"/>
      <c r="P72" s="7">
        <v>19420.62</v>
      </c>
      <c r="Q72" s="2"/>
      <c r="R72" s="6">
        <f t="shared" si="48"/>
        <v>5.8606071862354163E-3</v>
      </c>
      <c r="S72" s="2"/>
      <c r="T72" s="7">
        <v>31756.31</v>
      </c>
      <c r="U72" s="2"/>
      <c r="V72" s="6">
        <f t="shared" si="49"/>
        <v>7.7264365777596133E-3</v>
      </c>
      <c r="W72" s="2"/>
      <c r="X72" s="7">
        <f t="shared" si="50"/>
        <v>-12335.690000000002</v>
      </c>
      <c r="Y72" s="2"/>
      <c r="Z72" s="6">
        <f t="shared" si="51"/>
        <v>-0.38844846898144025</v>
      </c>
    </row>
    <row r="73" spans="1:26" s="24" customFormat="1" hidden="1" outlineLevel="2" x14ac:dyDescent="0.35">
      <c r="A73" s="27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44"/>
        <v>0</v>
      </c>
      <c r="G73" s="2"/>
      <c r="H73" s="7"/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>
        <v>441</v>
      </c>
      <c r="Q73" s="2"/>
      <c r="R73" s="6">
        <f t="shared" si="48"/>
        <v>1.3308163020180709E-4</v>
      </c>
      <c r="S73" s="2"/>
      <c r="T73" s="7">
        <v>20.73</v>
      </c>
      <c r="U73" s="2"/>
      <c r="V73" s="6">
        <f t="shared" si="49"/>
        <v>5.043691482321365E-6</v>
      </c>
      <c r="W73" s="2"/>
      <c r="X73" s="7">
        <f t="shared" si="50"/>
        <v>420.27</v>
      </c>
      <c r="Y73" s="2"/>
      <c r="Z73" s="6">
        <f t="shared" si="51"/>
        <v>20.273516642547033</v>
      </c>
    </row>
    <row r="74" spans="1:26" s="24" customFormat="1" hidden="1" outlineLevel="2" x14ac:dyDescent="0.35">
      <c r="A74" s="27"/>
      <c r="B74" s="11" t="str">
        <f>CONCATENATE("          ", "6247", " - ", "STORE SUPPLIES")</f>
        <v xml:space="preserve">          6247 - STORE SUPPLIES</v>
      </c>
      <c r="C74" s="11"/>
      <c r="D74" s="7"/>
      <c r="E74" s="2"/>
      <c r="F74" s="6">
        <f t="shared" si="44"/>
        <v>0</v>
      </c>
      <c r="G74" s="2"/>
      <c r="H74" s="7"/>
      <c r="I74" s="2"/>
      <c r="J74" s="6">
        <f t="shared" si="45"/>
        <v>0</v>
      </c>
      <c r="K74" s="2"/>
      <c r="L74" s="7">
        <f t="shared" si="46"/>
        <v>0</v>
      </c>
      <c r="M74" s="2"/>
      <c r="N74" s="6">
        <f t="shared" si="47"/>
        <v>0</v>
      </c>
      <c r="O74" s="11"/>
      <c r="P74" s="7">
        <v>153.87</v>
      </c>
      <c r="Q74" s="2"/>
      <c r="R74" s="6">
        <f t="shared" si="48"/>
        <v>4.643371981667133E-5</v>
      </c>
      <c r="S74" s="2"/>
      <c r="T74" s="7"/>
      <c r="U74" s="2"/>
      <c r="V74" s="6">
        <f t="shared" si="49"/>
        <v>0</v>
      </c>
      <c r="W74" s="2"/>
      <c r="X74" s="7">
        <f t="shared" si="50"/>
        <v>153.87</v>
      </c>
      <c r="Y74" s="2"/>
      <c r="Z74" s="6">
        <f t="shared" si="51"/>
        <v>0</v>
      </c>
    </row>
    <row r="75" spans="1:26" s="24" customFormat="1" hidden="1" outlineLevel="2" x14ac:dyDescent="0.35">
      <c r="A75" s="27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44"/>
        <v>0</v>
      </c>
      <c r="G75" s="2"/>
      <c r="H75" s="7"/>
      <c r="I75" s="2"/>
      <c r="J75" s="6">
        <f t="shared" si="45"/>
        <v>0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>
        <v>2567.92</v>
      </c>
      <c r="Q75" s="2"/>
      <c r="R75" s="6">
        <f t="shared" si="48"/>
        <v>7.7492739189982879E-4</v>
      </c>
      <c r="S75" s="2"/>
      <c r="T75" s="7">
        <v>3274.74</v>
      </c>
      <c r="U75" s="2"/>
      <c r="V75" s="6">
        <f t="shared" si="49"/>
        <v>7.9675727181944352E-4</v>
      </c>
      <c r="W75" s="2"/>
      <c r="X75" s="7">
        <f t="shared" si="50"/>
        <v>-706.81999999999971</v>
      </c>
      <c r="Y75" s="2"/>
      <c r="Z75" s="6">
        <f t="shared" si="51"/>
        <v>-0.21584003615554204</v>
      </c>
    </row>
    <row r="76" spans="1:26" s="25" customFormat="1" outlineLevel="1" collapsed="1" x14ac:dyDescent="0.35">
      <c r="A76" s="26"/>
      <c r="B76" s="12" t="str">
        <f>CONCATENATE("     ","Telephone/Data Lines                              ")</f>
        <v xml:space="preserve">     Telephone/Data Lines                              </v>
      </c>
      <c r="C76" s="12"/>
      <c r="D76" s="1">
        <f>SUM(OSRRefD22_14x_0)</f>
        <v>152.69999999999999</v>
      </c>
      <c r="E76" s="1"/>
      <c r="F76" s="5">
        <f t="shared" ref="F76:F81" si="52">IF(D$12=0,0,D76/D$12)</f>
        <v>-2.2898702856714403E-3</v>
      </c>
      <c r="G76" s="1"/>
      <c r="H76" s="1">
        <f>SUM(OSRRefH22_14x_0)</f>
        <v>261.95</v>
      </c>
      <c r="I76" s="1"/>
      <c r="J76" s="5">
        <f t="shared" ref="J76:J81" si="53">IF(H$12=0,0,H76/H$12)</f>
        <v>4.0966595842441798E-3</v>
      </c>
      <c r="K76" s="1"/>
      <c r="L76" s="1">
        <f t="shared" ref="L76:L81" si="54">+D76-H76</f>
        <v>-109.25</v>
      </c>
      <c r="M76" s="1"/>
      <c r="N76" s="5">
        <f t="shared" ref="N76:N81" si="55">IF(H76=0,0,L76/H76)</f>
        <v>-0.41706432525291087</v>
      </c>
      <c r="O76" s="12"/>
      <c r="P76" s="1">
        <f>SUM(OSRRefP22_14x_0)</f>
        <v>3444.85</v>
      </c>
      <c r="Q76" s="1"/>
      <c r="R76" s="5">
        <f t="shared" ref="R76:R81" si="56">IF(P$12=0,0,P76/P$12)</f>
        <v>1.0395606662147283E-3</v>
      </c>
      <c r="S76" s="1"/>
      <c r="T76" s="1">
        <f>SUM(OSRRefT22_14x_0)</f>
        <v>2854.4</v>
      </c>
      <c r="U76" s="1"/>
      <c r="V76" s="5">
        <f t="shared" ref="V76:V81" si="57">IF(T$12=0,0,T76/T$12)</f>
        <v>6.944868773342066E-4</v>
      </c>
      <c r="W76" s="1"/>
      <c r="X76" s="1">
        <f t="shared" ref="X76:X81" si="58">+P76-T76</f>
        <v>590.44999999999982</v>
      </c>
      <c r="Y76" s="1"/>
      <c r="Z76" s="5">
        <f t="shared" ref="Z76:Z81" si="59">IF(T76=0,0,X76/T76)</f>
        <v>0.20685608183856496</v>
      </c>
    </row>
    <row r="77" spans="1:26" s="24" customFormat="1" hidden="1" outlineLevel="2" x14ac:dyDescent="0.35">
      <c r="A77" s="27"/>
      <c r="B77" s="11" t="str">
        <f>CONCATENATE("          ", "6309", " - ", "TELEPHONE")</f>
        <v xml:space="preserve">          6309 - TELEPHONE</v>
      </c>
      <c r="C77" s="11"/>
      <c r="D77" s="7">
        <v>152.69999999999999</v>
      </c>
      <c r="E77" s="2"/>
      <c r="F77" s="6">
        <f t="shared" si="52"/>
        <v>-2.2898702856714403E-3</v>
      </c>
      <c r="G77" s="2"/>
      <c r="H77" s="7">
        <v>261.95</v>
      </c>
      <c r="I77" s="2"/>
      <c r="J77" s="6">
        <f t="shared" si="53"/>
        <v>4.0966595842441798E-3</v>
      </c>
      <c r="K77" s="2"/>
      <c r="L77" s="7">
        <f t="shared" si="54"/>
        <v>-109.25</v>
      </c>
      <c r="M77" s="2"/>
      <c r="N77" s="6">
        <f t="shared" si="55"/>
        <v>-0.41706432525291087</v>
      </c>
      <c r="O77" s="11"/>
      <c r="P77" s="7">
        <v>3444.85</v>
      </c>
      <c r="Q77" s="2"/>
      <c r="R77" s="6">
        <f t="shared" si="56"/>
        <v>1.0395606662147283E-3</v>
      </c>
      <c r="S77" s="2"/>
      <c r="T77" s="7">
        <v>2854.4</v>
      </c>
      <c r="U77" s="2"/>
      <c r="V77" s="6">
        <f t="shared" si="57"/>
        <v>6.944868773342066E-4</v>
      </c>
      <c r="W77" s="2"/>
      <c r="X77" s="7">
        <f t="shared" si="58"/>
        <v>590.44999999999982</v>
      </c>
      <c r="Y77" s="2"/>
      <c r="Z77" s="6">
        <f t="shared" si="59"/>
        <v>0.20685608183856496</v>
      </c>
    </row>
    <row r="78" spans="1:26" s="25" customFormat="1" outlineLevel="1" collapsed="1" x14ac:dyDescent="0.35">
      <c r="A78" s="26"/>
      <c r="B78" s="12" t="str">
        <f>CONCATENATE("     ","Training                                          ")</f>
        <v xml:space="preserve">     Training                                          </v>
      </c>
      <c r="C78" s="12"/>
      <c r="D78" s="1">
        <f>SUM(OSRRefD22_15x_0)</f>
        <v>494</v>
      </c>
      <c r="E78" s="1"/>
      <c r="F78" s="5">
        <f t="shared" si="52"/>
        <v>-7.4079628102271871E-3</v>
      </c>
      <c r="G78" s="1"/>
      <c r="H78" s="1">
        <f>SUM(OSRRefH22_15x_0)</f>
        <v>827.33</v>
      </c>
      <c r="I78" s="1"/>
      <c r="J78" s="5">
        <f t="shared" si="53"/>
        <v>1.2938688199399648E-2</v>
      </c>
      <c r="K78" s="1"/>
      <c r="L78" s="1">
        <f t="shared" si="54"/>
        <v>-333.33000000000004</v>
      </c>
      <c r="M78" s="1"/>
      <c r="N78" s="5">
        <f t="shared" si="55"/>
        <v>-0.40289848065463602</v>
      </c>
      <c r="O78" s="12"/>
      <c r="P78" s="1">
        <f>SUM(OSRRefP22_15x_0)</f>
        <v>1606.43</v>
      </c>
      <c r="Q78" s="1"/>
      <c r="R78" s="5">
        <f t="shared" si="56"/>
        <v>4.8477624309543985E-4</v>
      </c>
      <c r="S78" s="1"/>
      <c r="T78" s="1">
        <f>SUM(OSRRefT22_15x_0)</f>
        <v>3876.54</v>
      </c>
      <c r="U78" s="1"/>
      <c r="V78" s="5">
        <f t="shared" si="57"/>
        <v>9.431776063134618E-4</v>
      </c>
      <c r="W78" s="1"/>
      <c r="X78" s="1">
        <f t="shared" si="58"/>
        <v>-2270.1099999999997</v>
      </c>
      <c r="Y78" s="1"/>
      <c r="Z78" s="5">
        <f t="shared" si="59"/>
        <v>-0.58560210909728772</v>
      </c>
    </row>
    <row r="79" spans="1:26" s="24" customFormat="1" hidden="1" outlineLevel="2" x14ac:dyDescent="0.35">
      <c r="A79" s="27"/>
      <c r="B79" s="11" t="str">
        <f>CONCATENATE("          ", "6376", " - ", "TRAINING")</f>
        <v xml:space="preserve">          6376 - TRAINING</v>
      </c>
      <c r="C79" s="11"/>
      <c r="D79" s="7">
        <v>494</v>
      </c>
      <c r="E79" s="2"/>
      <c r="F79" s="6">
        <f t="shared" si="52"/>
        <v>-7.4079628102271871E-3</v>
      </c>
      <c r="G79" s="2"/>
      <c r="H79" s="7">
        <v>827.33</v>
      </c>
      <c r="I79" s="2"/>
      <c r="J79" s="6">
        <f t="shared" si="53"/>
        <v>1.2938688199399648E-2</v>
      </c>
      <c r="K79" s="2"/>
      <c r="L79" s="7">
        <f t="shared" si="54"/>
        <v>-333.33000000000004</v>
      </c>
      <c r="M79" s="2"/>
      <c r="N79" s="6">
        <f t="shared" si="55"/>
        <v>-0.40289848065463602</v>
      </c>
      <c r="O79" s="11"/>
      <c r="P79" s="7">
        <v>1606.43</v>
      </c>
      <c r="Q79" s="2"/>
      <c r="R79" s="6">
        <f t="shared" si="56"/>
        <v>4.8477624309543985E-4</v>
      </c>
      <c r="S79" s="2"/>
      <c r="T79" s="7">
        <v>3876.54</v>
      </c>
      <c r="U79" s="2"/>
      <c r="V79" s="6">
        <f t="shared" si="57"/>
        <v>9.431776063134618E-4</v>
      </c>
      <c r="W79" s="2"/>
      <c r="X79" s="7">
        <f t="shared" si="58"/>
        <v>-2270.1099999999997</v>
      </c>
      <c r="Y79" s="2"/>
      <c r="Z79" s="6">
        <f t="shared" si="59"/>
        <v>-0.58560210909728772</v>
      </c>
    </row>
    <row r="80" spans="1:26" s="25" customFormat="1" outlineLevel="1" collapsed="1" x14ac:dyDescent="0.35">
      <c r="A80" s="26"/>
      <c r="B80" s="12" t="str">
        <f>CONCATENATE("     ","Travel                                            ")</f>
        <v xml:space="preserve">     Travel                                            </v>
      </c>
      <c r="C80" s="12"/>
      <c r="D80" s="1">
        <f>SUM(OSRRefD22_16x_0)</f>
        <v>0</v>
      </c>
      <c r="E80" s="1"/>
      <c r="F80" s="5">
        <f t="shared" si="52"/>
        <v>0</v>
      </c>
      <c r="G80" s="1"/>
      <c r="H80" s="1">
        <f>SUM(OSRRefH22_16x_0)</f>
        <v>0</v>
      </c>
      <c r="I80" s="1"/>
      <c r="J80" s="5">
        <f t="shared" si="53"/>
        <v>0</v>
      </c>
      <c r="K80" s="1"/>
      <c r="L80" s="1">
        <f t="shared" si="54"/>
        <v>0</v>
      </c>
      <c r="M80" s="1"/>
      <c r="N80" s="5">
        <f t="shared" si="55"/>
        <v>0</v>
      </c>
      <c r="O80" s="12"/>
      <c r="P80" s="1">
        <f>SUM(OSRRefP22_16x_0)</f>
        <v>59.14</v>
      </c>
      <c r="Q80" s="1"/>
      <c r="R80" s="5">
        <f t="shared" si="56"/>
        <v>1.7846819977630095E-5</v>
      </c>
      <c r="S80" s="1"/>
      <c r="T80" s="1">
        <f>SUM(OSRRefT22_16x_0)</f>
        <v>0</v>
      </c>
      <c r="U80" s="1"/>
      <c r="V80" s="5">
        <f t="shared" si="57"/>
        <v>0</v>
      </c>
      <c r="W80" s="1"/>
      <c r="X80" s="1">
        <f t="shared" si="58"/>
        <v>59.14</v>
      </c>
      <c r="Y80" s="1"/>
      <c r="Z80" s="5">
        <f t="shared" si="59"/>
        <v>0</v>
      </c>
    </row>
    <row r="81" spans="1:26" s="24" customFormat="1" hidden="1" outlineLevel="2" x14ac:dyDescent="0.35">
      <c r="A81" s="27"/>
      <c r="B81" s="11" t="str">
        <f>CONCATENATE("          ", "6292", " - ", "TRAVEL/CONFERENCE")</f>
        <v xml:space="preserve">          6292 - TRAVEL/CONFERENCE</v>
      </c>
      <c r="C81" s="11"/>
      <c r="D81" s="7"/>
      <c r="E81" s="2"/>
      <c r="F81" s="6">
        <f t="shared" si="52"/>
        <v>0</v>
      </c>
      <c r="G81" s="2"/>
      <c r="H81" s="7"/>
      <c r="I81" s="2"/>
      <c r="J81" s="6">
        <f t="shared" si="53"/>
        <v>0</v>
      </c>
      <c r="K81" s="2"/>
      <c r="L81" s="7">
        <f t="shared" si="54"/>
        <v>0</v>
      </c>
      <c r="M81" s="2"/>
      <c r="N81" s="6">
        <f t="shared" si="55"/>
        <v>0</v>
      </c>
      <c r="O81" s="11"/>
      <c r="P81" s="7">
        <v>59.14</v>
      </c>
      <c r="Q81" s="2"/>
      <c r="R81" s="6">
        <f t="shared" si="56"/>
        <v>1.7846819977630095E-5</v>
      </c>
      <c r="S81" s="2"/>
      <c r="T81" s="7"/>
      <c r="U81" s="2"/>
      <c r="V81" s="6">
        <f t="shared" si="57"/>
        <v>0</v>
      </c>
      <c r="W81" s="2"/>
      <c r="X81" s="7">
        <f t="shared" si="58"/>
        <v>59.14</v>
      </c>
      <c r="Y81" s="2"/>
      <c r="Z81" s="6">
        <f t="shared" si="59"/>
        <v>0</v>
      </c>
    </row>
    <row r="82" spans="1:26" s="56" customFormat="1" x14ac:dyDescent="0.3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35">
      <c r="A83" s="10"/>
      <c r="B83" s="29" t="s">
        <v>0</v>
      </c>
      <c r="C83" s="10"/>
      <c r="D83" s="4">
        <f>SUM(0)</f>
        <v>0</v>
      </c>
      <c r="E83" s="4"/>
      <c r="F83" s="13">
        <f>IF(D$12=0,0,D83/D$12)</f>
        <v>0</v>
      </c>
      <c r="G83" s="4"/>
      <c r="H83" s="4">
        <f>SUM(0)</f>
        <v>0</v>
      </c>
      <c r="I83" s="4"/>
      <c r="J83" s="13">
        <f>IF(H$12=0,0,H83/H$12)</f>
        <v>0</v>
      </c>
      <c r="K83" s="4"/>
      <c r="L83" s="4">
        <f>+D83-H83</f>
        <v>0</v>
      </c>
      <c r="M83" s="4"/>
      <c r="N83" s="13">
        <f>IF(H83=0,0,L83/H83)</f>
        <v>0</v>
      </c>
      <c r="O83" s="10"/>
      <c r="P83" s="4">
        <f>SUM(0)</f>
        <v>0</v>
      </c>
      <c r="Q83" s="4"/>
      <c r="R83" s="13">
        <f>IF(P$12=0,0,P83/P$12)</f>
        <v>0</v>
      </c>
      <c r="S83" s="4"/>
      <c r="T83" s="4">
        <f>SUM(0)</f>
        <v>0</v>
      </c>
      <c r="U83" s="4"/>
      <c r="V83" s="13">
        <f>IF(T$12=0,0,T83/T$12)</f>
        <v>0</v>
      </c>
      <c r="W83" s="4"/>
      <c r="X83" s="4">
        <f>+P83-T83</f>
        <v>0</v>
      </c>
      <c r="Y83" s="4"/>
      <c r="Z83" s="13">
        <f>IF(T83=0,0,X83/T83)</f>
        <v>0</v>
      </c>
    </row>
    <row r="84" spans="1:26" x14ac:dyDescent="0.3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35">
      <c r="A85" s="10"/>
      <c r="B85" s="28" t="s">
        <v>3</v>
      </c>
      <c r="C85" s="28"/>
      <c r="D85" s="22">
        <f>+D21-D23+D83</f>
        <v>-112687.04999999999</v>
      </c>
      <c r="E85" s="14"/>
      <c r="F85" s="21">
        <f>IF(D$12=0,0,D85/D$12)</f>
        <v>1.6898410437129787</v>
      </c>
      <c r="G85" s="14"/>
      <c r="H85" s="22">
        <f>+H21-H23+H83</f>
        <v>-69469.129999999976</v>
      </c>
      <c r="I85" s="14"/>
      <c r="J85" s="21">
        <f>IF(H$12=0,0,H85/H$12)</f>
        <v>-1.0864339653506578</v>
      </c>
      <c r="K85" s="15"/>
      <c r="L85" s="22">
        <f>+D85-H85</f>
        <v>-43217.920000000013</v>
      </c>
      <c r="M85" s="15"/>
      <c r="N85" s="21">
        <f>IF(H85=0,0,L85/H85)</f>
        <v>0.62211690286030685</v>
      </c>
      <c r="O85" s="29"/>
      <c r="P85" s="22">
        <f>+P21-P23+P83</f>
        <v>710581.0700000003</v>
      </c>
      <c r="Q85" s="14"/>
      <c r="R85" s="21">
        <f>IF(P$12=0,0,P85/P$12)</f>
        <v>0.21443375779171076</v>
      </c>
      <c r="S85" s="14"/>
      <c r="T85" s="22">
        <f>+T21-T23+T83</f>
        <v>1047174.5700000005</v>
      </c>
      <c r="U85" s="14"/>
      <c r="V85" s="21">
        <f>IF(T$12=0,0,T85/T$12)</f>
        <v>0.25478173946997301</v>
      </c>
      <c r="W85" s="15"/>
      <c r="X85" s="22">
        <f>+P85-T85</f>
        <v>-336593.50000000023</v>
      </c>
      <c r="Y85" s="15"/>
      <c r="Z85" s="21">
        <f>IF(T85=0,0,X85/T85)</f>
        <v>-0.3214301699476908</v>
      </c>
    </row>
    <row r="86" spans="1:26" x14ac:dyDescent="0.3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35">
      <c r="A87" s="51"/>
      <c r="B87" s="10" t="s">
        <v>13</v>
      </c>
      <c r="C87" s="10"/>
      <c r="D87" s="4">
        <v>101517.29</v>
      </c>
      <c r="E87" s="4"/>
      <c r="F87" s="13">
        <f>IF(D$12=0,0,D87/D$12)</f>
        <v>-1.5223407063057659</v>
      </c>
      <c r="G87" s="4"/>
      <c r="H87" s="4">
        <v>-127902.9</v>
      </c>
      <c r="I87" s="4"/>
      <c r="J87" s="13">
        <f>IF(H$12=0,0,H87/H$12)</f>
        <v>-2.0002849442169306</v>
      </c>
      <c r="K87" s="4"/>
      <c r="L87" s="4">
        <f>+D87-H87</f>
        <v>229420.19</v>
      </c>
      <c r="M87" s="4"/>
      <c r="N87" s="13">
        <f>IF(H87=0,0,L87/H87)</f>
        <v>-1.7937059284816843</v>
      </c>
      <c r="O87" s="10"/>
      <c r="P87" s="4">
        <v>501831.01</v>
      </c>
      <c r="Q87" s="4"/>
      <c r="R87" s="13">
        <f>IF(P$12=0,0,P87/P$12)</f>
        <v>0.1514387503324702</v>
      </c>
      <c r="S87" s="4"/>
      <c r="T87" s="4">
        <v>292954.90000000002</v>
      </c>
      <c r="U87" s="4"/>
      <c r="V87" s="13">
        <f>IF(T$12=0,0,T87/T$12)</f>
        <v>7.127709280435636E-2</v>
      </c>
      <c r="W87" s="4"/>
      <c r="X87" s="4">
        <f>+P87-T87</f>
        <v>208876.11</v>
      </c>
      <c r="Y87" s="4"/>
      <c r="Z87" s="13">
        <f>IF(T87=0,0,X87/T87)</f>
        <v>0.71299749551893477</v>
      </c>
    </row>
    <row r="88" spans="1:26" x14ac:dyDescent="0.3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" thickBot="1" x14ac:dyDescent="0.4">
      <c r="A89" s="10"/>
      <c r="B89" s="28" t="s">
        <v>4</v>
      </c>
      <c r="C89" s="28"/>
      <c r="D89" s="34">
        <f>+D85-D87</f>
        <v>-214204.33999999997</v>
      </c>
      <c r="E89" s="14"/>
      <c r="F89" s="32">
        <f>IF(D$12=0,0,D89/D$12)</f>
        <v>3.2121817500187442</v>
      </c>
      <c r="G89" s="14"/>
      <c r="H89" s="34">
        <f>+H85-H87</f>
        <v>58433.770000000019</v>
      </c>
      <c r="I89" s="14"/>
      <c r="J89" s="32">
        <f>IF(H$12=0,0,H89/H$12)</f>
        <v>0.91385097886627265</v>
      </c>
      <c r="K89" s="15"/>
      <c r="L89" s="34">
        <f>D89-H89</f>
        <v>-272638.11</v>
      </c>
      <c r="M89" s="15"/>
      <c r="N89" s="32">
        <f>IF(H89=0,0,L89/H89)</f>
        <v>-4.6657627943567546</v>
      </c>
      <c r="O89" s="29"/>
      <c r="P89" s="34">
        <f>+P85-P87</f>
        <v>208750.06000000029</v>
      </c>
      <c r="Q89" s="14"/>
      <c r="R89" s="32">
        <f>IF(P$12=0,0,P89/P$12)</f>
        <v>6.299500745924054E-2</v>
      </c>
      <c r="S89" s="14"/>
      <c r="T89" s="34">
        <f>+T85-T87</f>
        <v>754219.67000000051</v>
      </c>
      <c r="U89" s="14"/>
      <c r="V89" s="32">
        <f>IF(T$12=0,0,T89/T$12)</f>
        <v>0.18350464666561664</v>
      </c>
      <c r="W89" s="15"/>
      <c r="X89" s="34">
        <f>P89-T89</f>
        <v>-545469.61000000022</v>
      </c>
      <c r="Y89" s="15"/>
      <c r="Z89" s="32">
        <f>IF(T89=0,0,X89/T89)</f>
        <v>-0.7232237923468634</v>
      </c>
    </row>
    <row r="90" spans="1:26" ht="15" thickTop="1" x14ac:dyDescent="0.3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3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4">
      <c r="A92" s="10"/>
      <c r="B92" s="28" t="s">
        <v>5</v>
      </c>
      <c r="C92" s="28"/>
      <c r="D92" s="35">
        <f>SUM(D89:D91)</f>
        <v>-214204.33999999997</v>
      </c>
      <c r="E92" s="14"/>
      <c r="F92" s="33">
        <f>IF(D$12=0,0,D92/D$12)</f>
        <v>3.2121817500187442</v>
      </c>
      <c r="G92" s="14"/>
      <c r="H92" s="35">
        <f>SUM(H89:H91)</f>
        <v>58433.770000000019</v>
      </c>
      <c r="I92" s="14"/>
      <c r="J92" s="33">
        <f>IF(H$12=0,0,H92/H$12)</f>
        <v>0.91385097886627265</v>
      </c>
      <c r="K92" s="15"/>
      <c r="L92" s="35">
        <f>+D92-H92</f>
        <v>-272638.11</v>
      </c>
      <c r="M92" s="15"/>
      <c r="N92" s="33">
        <f>IF(H92=0,0,L92/H92)</f>
        <v>-4.6657627943567546</v>
      </c>
      <c r="O92" s="29"/>
      <c r="P92" s="35">
        <f>SUM(P89:P91)</f>
        <v>208750.06000000029</v>
      </c>
      <c r="Q92" s="14"/>
      <c r="R92" s="33">
        <f>IF(P$12=0,0,P92/P$12)</f>
        <v>6.299500745924054E-2</v>
      </c>
      <c r="S92" s="14"/>
      <c r="T92" s="35">
        <f>SUM(T89:T91)</f>
        <v>754219.67000000051</v>
      </c>
      <c r="U92" s="14"/>
      <c r="V92" s="33">
        <f>IF(T$12=0,0,T92/T$12)</f>
        <v>0.18350464666561664</v>
      </c>
      <c r="W92" s="15"/>
      <c r="X92" s="35">
        <f>+P92-T92</f>
        <v>-545469.61000000022</v>
      </c>
      <c r="Y92" s="15"/>
      <c r="Z92" s="33">
        <f>IF(T92=0,0,X92/T92)</f>
        <v>-0.7232237923468634</v>
      </c>
    </row>
    <row r="93" spans="1:26" ht="15" thickTop="1" x14ac:dyDescent="0.3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5">
      <c r="A94" s="9"/>
      <c r="B94" s="52">
        <v>44043.523433182869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5">
      <c r="A95" s="9"/>
      <c r="B95" s="61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5">
      <c r="A96" s="9"/>
      <c r="B96" s="54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3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","445", " - ", "Central Park Coffee House")</f>
        <v>Department 445 - Central Park Coffee House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5">
      <c r="A12" s="10"/>
      <c r="B12" s="29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5">
      <c r="A14" s="10"/>
      <c r="B14" s="29" t="s">
        <v>8</v>
      </c>
      <c r="C14" s="10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10589</v>
      </c>
      <c r="I14" s="4"/>
      <c r="J14" s="13">
        <f t="shared" ref="J14:J15" si="1">IF(H$12=0,0,H14/H$12)</f>
        <v>0</v>
      </c>
      <c r="K14" s="4"/>
      <c r="L14" s="4">
        <f t="shared" ref="L14:L15" si="2">+D14-H14</f>
        <v>-10589</v>
      </c>
      <c r="M14" s="4"/>
      <c r="N14" s="13">
        <f t="shared" ref="N14:N15" si="3">IF(H14=0,0,L14/H14)</f>
        <v>-1</v>
      </c>
      <c r="O14" s="10"/>
      <c r="P14" s="4">
        <f>SUM(OSRRefP16x_0)</f>
        <v>0</v>
      </c>
      <c r="Q14" s="4"/>
      <c r="R14" s="13">
        <f t="shared" ref="R14:R15" si="4">IF(P$12=0,0,P14/P$12)</f>
        <v>0</v>
      </c>
      <c r="S14" s="4"/>
      <c r="T14" s="4">
        <f>SUM(OSRRefT16x_0)</f>
        <v>10589</v>
      </c>
      <c r="U14" s="4"/>
      <c r="V14" s="13">
        <f t="shared" ref="V14:V15" si="5">IF(T$12=0,0,T14/T$12)</f>
        <v>0</v>
      </c>
      <c r="W14" s="4"/>
      <c r="X14" s="4">
        <f t="shared" ref="X14:X15" si="6">+P14-T14</f>
        <v>-10589</v>
      </c>
      <c r="Y14" s="4"/>
      <c r="Z14" s="13">
        <f t="shared" ref="Z14:Z15" si="7">IF(T14=0,0,X14/T14)</f>
        <v>-1</v>
      </c>
    </row>
    <row r="15" spans="1:26" s="24" customFormat="1" hidden="1" outlineLevel="1" x14ac:dyDescent="0.35">
      <c r="A15" s="44"/>
      <c r="B15" s="11" t="str">
        <f>CONCATENATE("          ", "5059", " - ", "PURCHASES @ COST-FOOD")</f>
        <v xml:space="preserve">          5059 - PURCHASES @ COST-FOOD</v>
      </c>
      <c r="C15" s="11"/>
      <c r="D15" s="2"/>
      <c r="E15" s="2"/>
      <c r="F15" s="19">
        <f t="shared" si="0"/>
        <v>0</v>
      </c>
      <c r="G15" s="2"/>
      <c r="H15" s="2">
        <v>10589</v>
      </c>
      <c r="I15" s="2"/>
      <c r="J15" s="19">
        <f t="shared" si="1"/>
        <v>0</v>
      </c>
      <c r="K15" s="2"/>
      <c r="L15" s="2">
        <f t="shared" si="2"/>
        <v>-10589</v>
      </c>
      <c r="M15" s="2"/>
      <c r="N15" s="19">
        <f t="shared" si="3"/>
        <v>-1</v>
      </c>
      <c r="O15" s="11"/>
      <c r="P15" s="2"/>
      <c r="Q15" s="2"/>
      <c r="R15" s="19">
        <f t="shared" si="4"/>
        <v>0</v>
      </c>
      <c r="S15" s="2"/>
      <c r="T15" s="2">
        <v>10589</v>
      </c>
      <c r="U15" s="2"/>
      <c r="V15" s="19">
        <f t="shared" si="5"/>
        <v>0</v>
      </c>
      <c r="W15" s="2"/>
      <c r="X15" s="2">
        <f t="shared" si="6"/>
        <v>-10589</v>
      </c>
      <c r="Y15" s="2"/>
      <c r="Z15" s="19">
        <f t="shared" si="7"/>
        <v>-1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8" t="s">
        <v>6</v>
      </c>
      <c r="C17" s="28"/>
      <c r="D17" s="22">
        <f>D12-D14</f>
        <v>0</v>
      </c>
      <c r="E17" s="14"/>
      <c r="F17" s="21">
        <f>IF(D$12=0,0,D17/D$12)</f>
        <v>0</v>
      </c>
      <c r="G17" s="14"/>
      <c r="H17" s="22">
        <f>H12-H14</f>
        <v>-10589</v>
      </c>
      <c r="I17" s="14"/>
      <c r="J17" s="21">
        <f>IF(H$12=0,0,H17/H$12)</f>
        <v>0</v>
      </c>
      <c r="K17" s="15"/>
      <c r="L17" s="22">
        <f>+D17-H17</f>
        <v>10589</v>
      </c>
      <c r="M17" s="15"/>
      <c r="N17" s="21">
        <f>IF(H17=0,0,L17/H17)</f>
        <v>-1</v>
      </c>
      <c r="O17" s="29"/>
      <c r="P17" s="22">
        <f>P12-P14</f>
        <v>0</v>
      </c>
      <c r="Q17" s="14"/>
      <c r="R17" s="21">
        <f>IF(P$12=0,0,P17/P$12)</f>
        <v>0</v>
      </c>
      <c r="S17" s="14"/>
      <c r="T17" s="22">
        <f>T12-T14</f>
        <v>-10589</v>
      </c>
      <c r="U17" s="14"/>
      <c r="V17" s="21">
        <f>IF(T$12=0,0,T17/T$12)</f>
        <v>0</v>
      </c>
      <c r="W17" s="15"/>
      <c r="X17" s="22">
        <f>+P17-T17</f>
        <v>10589</v>
      </c>
      <c r="Y17" s="15"/>
      <c r="Z17" s="21">
        <f>IF(T17=0,0,X17/T17)</f>
        <v>-1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9" t="s">
        <v>9</v>
      </c>
      <c r="C19" s="10"/>
      <c r="D19" s="20">
        <f>SUM(OSRRefD22x_0)</f>
        <v>0</v>
      </c>
      <c r="E19" s="20"/>
      <c r="F19" s="36">
        <f t="shared" ref="F19:F21" si="8">IF(D$12=0,0,D19/D$12)</f>
        <v>0</v>
      </c>
      <c r="G19" s="20"/>
      <c r="H19" s="20">
        <f>SUM(OSRRefH22x_0)</f>
        <v>0</v>
      </c>
      <c r="I19" s="20"/>
      <c r="J19" s="36">
        <f t="shared" ref="J19:J21" si="9">IF(H$12=0,0,H19/H$12)</f>
        <v>0</v>
      </c>
      <c r="K19" s="4"/>
      <c r="L19" s="20">
        <f t="shared" ref="L19:L21" si="10">+D19-H19</f>
        <v>0</v>
      </c>
      <c r="M19" s="4"/>
      <c r="N19" s="36">
        <f t="shared" ref="N19:N21" si="11">IF(H19=0,0,L19/H19)</f>
        <v>0</v>
      </c>
      <c r="O19" s="10"/>
      <c r="P19" s="20">
        <f>SUM(OSRRefP22x_0)</f>
        <v>0</v>
      </c>
      <c r="Q19" s="20"/>
      <c r="R19" s="36">
        <f t="shared" ref="R19:R21" si="12">IF(P$12=0,0,P19/P$12)</f>
        <v>0</v>
      </c>
      <c r="S19" s="20"/>
      <c r="T19" s="20">
        <f>SUM(OSRRefT22x_0)</f>
        <v>929.2</v>
      </c>
      <c r="U19" s="20"/>
      <c r="V19" s="36">
        <f t="shared" ref="V19:V21" si="13">IF(T$12=0,0,T19/T$12)</f>
        <v>0</v>
      </c>
      <c r="W19" s="4"/>
      <c r="X19" s="20">
        <f t="shared" ref="X19:X21" si="14">+P19-T19</f>
        <v>-929.2</v>
      </c>
      <c r="Y19" s="4"/>
      <c r="Z19" s="36">
        <f t="shared" ref="Z19:Z21" si="15">IF(T19=0,0,X19/T19)</f>
        <v>-1</v>
      </c>
    </row>
    <row r="20" spans="1:26" s="25" customFormat="1" outlineLevel="1" collapsed="1" x14ac:dyDescent="0.35">
      <c r="A20" s="26"/>
      <c r="B20" s="12" t="str">
        <f>CONCATENATE("     ","General                                           ")</f>
        <v xml:space="preserve">     General                                           </v>
      </c>
      <c r="C20" s="12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2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929.2</v>
      </c>
      <c r="U20" s="1"/>
      <c r="V20" s="5">
        <f t="shared" si="13"/>
        <v>0</v>
      </c>
      <c r="W20" s="1"/>
      <c r="X20" s="1">
        <f t="shared" si="14"/>
        <v>-929.2</v>
      </c>
      <c r="Y20" s="1"/>
      <c r="Z20" s="5">
        <f t="shared" si="15"/>
        <v>-1</v>
      </c>
    </row>
    <row r="21" spans="1:26" s="24" customFormat="1" hidden="1" outlineLevel="2" x14ac:dyDescent="0.35">
      <c r="A21" s="27"/>
      <c r="B21" s="11" t="str">
        <f>CONCATENATE("          ", "6279", " - ", "GENERAL EXPENSE")</f>
        <v xml:space="preserve">          6279 - GENERAL EXPENSE</v>
      </c>
      <c r="C21" s="11"/>
      <c r="D21" s="7"/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0</v>
      </c>
      <c r="M21" s="2"/>
      <c r="N21" s="6">
        <f t="shared" si="11"/>
        <v>0</v>
      </c>
      <c r="O21" s="11"/>
      <c r="P21" s="7"/>
      <c r="Q21" s="2"/>
      <c r="R21" s="6">
        <f t="shared" si="12"/>
        <v>0</v>
      </c>
      <c r="S21" s="2"/>
      <c r="T21" s="7">
        <v>929.2</v>
      </c>
      <c r="U21" s="2"/>
      <c r="V21" s="6">
        <f t="shared" si="13"/>
        <v>0</v>
      </c>
      <c r="W21" s="2"/>
      <c r="X21" s="7">
        <f t="shared" si="14"/>
        <v>-929.2</v>
      </c>
      <c r="Y21" s="2"/>
      <c r="Z21" s="6">
        <f t="shared" si="15"/>
        <v>-1</v>
      </c>
    </row>
    <row r="22" spans="1:26" s="56" customFormat="1" x14ac:dyDescent="0.35">
      <c r="A22" s="37"/>
      <c r="B22" s="37"/>
      <c r="C22" s="37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5">
      <c r="A23" s="10"/>
      <c r="B23" s="29" t="s">
        <v>0</v>
      </c>
      <c r="C23" s="10"/>
      <c r="D23" s="4">
        <f>SUM(0)</f>
        <v>0</v>
      </c>
      <c r="E23" s="4"/>
      <c r="F23" s="13">
        <f>IF(D$12=0,0,D23/D$12)</f>
        <v>0</v>
      </c>
      <c r="G23" s="4"/>
      <c r="H23" s="4">
        <f>SUM(0)</f>
        <v>0</v>
      </c>
      <c r="I23" s="4"/>
      <c r="J23" s="13">
        <f>IF(H$12=0,0,H23/H$12)</f>
        <v>0</v>
      </c>
      <c r="K23" s="4"/>
      <c r="L23" s="4">
        <f>+D23-H23</f>
        <v>0</v>
      </c>
      <c r="M23" s="4"/>
      <c r="N23" s="13">
        <f>IF(H23=0,0,L23/H23)</f>
        <v>0</v>
      </c>
      <c r="O23" s="10"/>
      <c r="P23" s="4">
        <f>SUM(0)</f>
        <v>0</v>
      </c>
      <c r="Q23" s="4"/>
      <c r="R23" s="13">
        <f>IF(P$12=0,0,P23/P$12)</f>
        <v>0</v>
      </c>
      <c r="S23" s="4"/>
      <c r="T23" s="4">
        <f>SUM(0)</f>
        <v>0</v>
      </c>
      <c r="U23" s="4"/>
      <c r="V23" s="13">
        <f>IF(T$12=0,0,T23/T$12)</f>
        <v>0</v>
      </c>
      <c r="W23" s="4"/>
      <c r="X23" s="4">
        <f>+P23-T23</f>
        <v>0</v>
      </c>
      <c r="Y23" s="4"/>
      <c r="Z23" s="13">
        <f>IF(T23=0,0,X23/T23)</f>
        <v>0</v>
      </c>
    </row>
    <row r="24" spans="1:26" x14ac:dyDescent="0.3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5">
      <c r="A25" s="10"/>
      <c r="B25" s="28" t="s">
        <v>3</v>
      </c>
      <c r="C25" s="28"/>
      <c r="D25" s="22">
        <f>+D17-D19+D23</f>
        <v>0</v>
      </c>
      <c r="E25" s="14"/>
      <c r="F25" s="21">
        <f>IF(D$12=0,0,D25/D$12)</f>
        <v>0</v>
      </c>
      <c r="G25" s="14"/>
      <c r="H25" s="22">
        <f>+H17-H19+H23</f>
        <v>-10589</v>
      </c>
      <c r="I25" s="14"/>
      <c r="J25" s="21">
        <f>IF(H$12=0,0,H25/H$12)</f>
        <v>0</v>
      </c>
      <c r="K25" s="15"/>
      <c r="L25" s="22">
        <f>+D25-H25</f>
        <v>10589</v>
      </c>
      <c r="M25" s="15"/>
      <c r="N25" s="21">
        <f>IF(H25=0,0,L25/H25)</f>
        <v>-1</v>
      </c>
      <c r="O25" s="29"/>
      <c r="P25" s="22">
        <f>+P17-P19+P23</f>
        <v>0</v>
      </c>
      <c r="Q25" s="14"/>
      <c r="R25" s="21">
        <f>IF(P$12=0,0,P25/P$12)</f>
        <v>0</v>
      </c>
      <c r="S25" s="14"/>
      <c r="T25" s="22">
        <f>+T17-T19+T23</f>
        <v>-11518.2</v>
      </c>
      <c r="U25" s="14"/>
      <c r="V25" s="21">
        <f>IF(T$12=0,0,T25/T$12)</f>
        <v>0</v>
      </c>
      <c r="W25" s="15"/>
      <c r="X25" s="22">
        <f>+P25-T25</f>
        <v>11518.2</v>
      </c>
      <c r="Y25" s="15"/>
      <c r="Z25" s="21">
        <f>IF(T25=0,0,X25/T25)</f>
        <v>-1</v>
      </c>
    </row>
    <row r="26" spans="1:26" x14ac:dyDescent="0.3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51"/>
      <c r="B27" s="10" t="s">
        <v>13</v>
      </c>
      <c r="C27" s="10"/>
      <c r="D27" s="4"/>
      <c r="E27" s="4"/>
      <c r="F27" s="13">
        <f>IF(D$12=0,0,D27/D$12)</f>
        <v>0</v>
      </c>
      <c r="G27" s="4"/>
      <c r="H27" s="4"/>
      <c r="I27" s="4"/>
      <c r="J27" s="13">
        <f>IF(H$12=0,0,H27/H$12)</f>
        <v>0</v>
      </c>
      <c r="K27" s="4"/>
      <c r="L27" s="4">
        <f>+D27-H27</f>
        <v>0</v>
      </c>
      <c r="M27" s="4"/>
      <c r="N27" s="13">
        <f>IF(H27=0,0,L27/H27)</f>
        <v>0</v>
      </c>
      <c r="O27" s="10"/>
      <c r="P27" s="4"/>
      <c r="Q27" s="4"/>
      <c r="R27" s="13">
        <f>IF(P$12=0,0,P27/P$12)</f>
        <v>0</v>
      </c>
      <c r="S27" s="4"/>
      <c r="T27" s="4"/>
      <c r="U27" s="4"/>
      <c r="V27" s="13">
        <f>IF(T$12=0,0,T27/T$12)</f>
        <v>0</v>
      </c>
      <c r="W27" s="4"/>
      <c r="X27" s="4">
        <f>+P27-T27</f>
        <v>0</v>
      </c>
      <c r="Y27" s="4"/>
      <c r="Z27" s="13">
        <f>IF(T27=0,0,X27/T27)</f>
        <v>0</v>
      </c>
    </row>
    <row r="28" spans="1:26" x14ac:dyDescent="0.3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4">
      <c r="A29" s="10"/>
      <c r="B29" s="28" t="s">
        <v>4</v>
      </c>
      <c r="C29" s="28"/>
      <c r="D29" s="34">
        <f>+D25-D27</f>
        <v>0</v>
      </c>
      <c r="E29" s="14"/>
      <c r="F29" s="32">
        <f>IF(D$12=0,0,D29/D$12)</f>
        <v>0</v>
      </c>
      <c r="G29" s="14"/>
      <c r="H29" s="34">
        <f>+H25-H27</f>
        <v>-10589</v>
      </c>
      <c r="I29" s="14"/>
      <c r="J29" s="32">
        <f>IF(H$12=0,0,H29/H$12)</f>
        <v>0</v>
      </c>
      <c r="K29" s="15"/>
      <c r="L29" s="34">
        <f>D29-H29</f>
        <v>10589</v>
      </c>
      <c r="M29" s="15"/>
      <c r="N29" s="32">
        <f>IF(H29=0,0,L29/H29)</f>
        <v>-1</v>
      </c>
      <c r="O29" s="29"/>
      <c r="P29" s="34">
        <f>+P25-P27</f>
        <v>0</v>
      </c>
      <c r="Q29" s="14"/>
      <c r="R29" s="32">
        <f>IF(P$12=0,0,P29/P$12)</f>
        <v>0</v>
      </c>
      <c r="S29" s="14"/>
      <c r="T29" s="34">
        <f>+T25-T27</f>
        <v>-11518.2</v>
      </c>
      <c r="U29" s="14"/>
      <c r="V29" s="32">
        <f>IF(T$12=0,0,T29/T$12)</f>
        <v>0</v>
      </c>
      <c r="W29" s="15"/>
      <c r="X29" s="34">
        <f>P29-T29</f>
        <v>11518.2</v>
      </c>
      <c r="Y29" s="15"/>
      <c r="Z29" s="32">
        <f>IF(T29=0,0,X29/T29)</f>
        <v>-1</v>
      </c>
    </row>
    <row r="30" spans="1:26" ht="15" thickTop="1" x14ac:dyDescent="0.3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3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4">
      <c r="A32" s="10"/>
      <c r="B32" s="28" t="s">
        <v>5</v>
      </c>
      <c r="C32" s="28"/>
      <c r="D32" s="35">
        <f>SUM(D29:D31)</f>
        <v>0</v>
      </c>
      <c r="E32" s="14"/>
      <c r="F32" s="33">
        <f>IF(D$12=0,0,D32/D$12)</f>
        <v>0</v>
      </c>
      <c r="G32" s="14"/>
      <c r="H32" s="35">
        <f>SUM(H29:H31)</f>
        <v>-10589</v>
      </c>
      <c r="I32" s="14"/>
      <c r="J32" s="33">
        <f>IF(H$12=0,0,H32/H$12)</f>
        <v>0</v>
      </c>
      <c r="K32" s="15"/>
      <c r="L32" s="35">
        <f>+D32-H32</f>
        <v>10589</v>
      </c>
      <c r="M32" s="15"/>
      <c r="N32" s="33">
        <f>IF(H32=0,0,L32/H32)</f>
        <v>-1</v>
      </c>
      <c r="O32" s="29"/>
      <c r="P32" s="35">
        <f>SUM(P29:P31)</f>
        <v>0</v>
      </c>
      <c r="Q32" s="14"/>
      <c r="R32" s="33">
        <f>IF(P$12=0,0,P32/P$12)</f>
        <v>0</v>
      </c>
      <c r="S32" s="14"/>
      <c r="T32" s="35">
        <f>SUM(T29:T31)</f>
        <v>-11518.2</v>
      </c>
      <c r="U32" s="14"/>
      <c r="V32" s="33">
        <f>IF(T$12=0,0,T32/T$12)</f>
        <v>0</v>
      </c>
      <c r="W32" s="15"/>
      <c r="X32" s="35">
        <f>+P32-T32</f>
        <v>11518.2</v>
      </c>
      <c r="Y32" s="15"/>
      <c r="Z32" s="33">
        <f>IF(T32=0,0,X32/T32)</f>
        <v>-1</v>
      </c>
    </row>
    <row r="33" spans="1:24" ht="15" thickTop="1" x14ac:dyDescent="0.35">
      <c r="A33" s="9"/>
      <c r="C33" s="9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5">
      <c r="A34" s="9"/>
      <c r="B34" s="52">
        <v>44043.523449918983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5">
      <c r="A35" s="9"/>
      <c r="B35" s="61" t="s">
        <v>313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5">
      <c r="A36" s="9"/>
      <c r="B36" s="54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4" x14ac:dyDescent="0.35"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","450", " - ", "Beachside Dining Hall")</f>
        <v>Department 450 - Beachside Dining Hall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-33341.82</v>
      </c>
      <c r="E12" s="4"/>
      <c r="F12" s="13"/>
      <c r="G12" s="4"/>
      <c r="H12" s="4">
        <f>SUM(OSRRefH13x_0)</f>
        <v>-10022.379999999999</v>
      </c>
      <c r="I12" s="4"/>
      <c r="J12" s="13"/>
      <c r="K12" s="4"/>
      <c r="L12" s="4">
        <f t="shared" ref="L12:L15" si="0">+D12-H12</f>
        <v>-23319.440000000002</v>
      </c>
      <c r="M12" s="4"/>
      <c r="N12" s="13">
        <f t="shared" ref="N12:N15" si="1">IF(H12=0,0,L12/H12)</f>
        <v>2.3267367631241287</v>
      </c>
      <c r="O12" s="10"/>
      <c r="P12" s="4">
        <f>SUM(OSRRefP13x_0)</f>
        <v>1960998.74</v>
      </c>
      <c r="Q12" s="4"/>
      <c r="R12" s="13"/>
      <c r="S12" s="4"/>
      <c r="T12" s="4">
        <f>SUM(OSRRefT13x_0)</f>
        <v>2395626.9500000002</v>
      </c>
      <c r="U12" s="4"/>
      <c r="V12" s="13"/>
      <c r="W12" s="4"/>
      <c r="X12" s="4">
        <f t="shared" ref="X12:X15" si="2">+P12-T12</f>
        <v>-434628.2100000002</v>
      </c>
      <c r="Y12" s="4"/>
      <c r="Z12" s="13">
        <f t="shared" ref="Z12:Z15" si="3">IF(T12=0,0,X12/T12)</f>
        <v>-0.18142566395823864</v>
      </c>
    </row>
    <row r="13" spans="1:26" s="24" customFormat="1" hidden="1" outlineLevel="1" x14ac:dyDescent="0.3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--959.82</f>
        <v>959.82</v>
      </c>
      <c r="Q13" s="2"/>
      <c r="R13" s="19"/>
      <c r="S13" s="2"/>
      <c r="T13" s="2">
        <f>--906.45</f>
        <v>906.45</v>
      </c>
      <c r="U13" s="2"/>
      <c r="V13" s="19"/>
      <c r="W13" s="2"/>
      <c r="X13" s="2">
        <f t="shared" si="2"/>
        <v>53.370000000000005</v>
      </c>
      <c r="Y13" s="2"/>
      <c r="Z13" s="19">
        <f t="shared" si="3"/>
        <v>5.8878040708257487E-2</v>
      </c>
    </row>
    <row r="14" spans="1:26" s="24" customFormat="1" hidden="1" outlineLevel="1" x14ac:dyDescent="0.3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-33341.82</f>
        <v>-33341.82</v>
      </c>
      <c r="E14" s="2"/>
      <c r="F14" s="19"/>
      <c r="G14" s="2"/>
      <c r="H14" s="2">
        <f>-10022.38</f>
        <v>-10022.379999999999</v>
      </c>
      <c r="I14" s="2"/>
      <c r="J14" s="19"/>
      <c r="K14" s="2"/>
      <c r="L14" s="2">
        <f t="shared" si="0"/>
        <v>-23319.440000000002</v>
      </c>
      <c r="M14" s="2"/>
      <c r="N14" s="19">
        <f t="shared" si="1"/>
        <v>2.3267367631241287</v>
      </c>
      <c r="O14" s="11"/>
      <c r="P14" s="2">
        <f>--1950872.52</f>
        <v>1950872.52</v>
      </c>
      <c r="Q14" s="2"/>
      <c r="R14" s="19"/>
      <c r="S14" s="2"/>
      <c r="T14" s="2">
        <f>--2385180.32</f>
        <v>2385180.3199999998</v>
      </c>
      <c r="U14" s="2"/>
      <c r="V14" s="19"/>
      <c r="W14" s="2"/>
      <c r="X14" s="2">
        <f t="shared" si="2"/>
        <v>-434307.79999999981</v>
      </c>
      <c r="Y14" s="2"/>
      <c r="Z14" s="19">
        <f t="shared" si="3"/>
        <v>-0.18208593973305962</v>
      </c>
    </row>
    <row r="15" spans="1:26" s="24" customFormat="1" hidden="1" outlineLevel="1" x14ac:dyDescent="0.3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--9166.4</f>
        <v>9166.4</v>
      </c>
      <c r="Q15" s="2"/>
      <c r="R15" s="19"/>
      <c r="S15" s="2"/>
      <c r="T15" s="2">
        <f>--9540.18</f>
        <v>9540.18</v>
      </c>
      <c r="U15" s="2"/>
      <c r="V15" s="19"/>
      <c r="W15" s="2"/>
      <c r="X15" s="2">
        <f t="shared" si="2"/>
        <v>-373.78000000000065</v>
      </c>
      <c r="Y15" s="2"/>
      <c r="Z15" s="19">
        <f t="shared" si="3"/>
        <v>-3.9179554264175374E-2</v>
      </c>
    </row>
    <row r="16" spans="1:26" x14ac:dyDescent="0.3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5">
      <c r="A17" s="10"/>
      <c r="B17" s="29" t="s">
        <v>8</v>
      </c>
      <c r="C17" s="10"/>
      <c r="D17" s="4">
        <f>SUM(OSRRefD16x_0)</f>
        <v>969</v>
      </c>
      <c r="E17" s="4"/>
      <c r="F17" s="13">
        <f t="shared" ref="F17:F19" si="4">IF(D$12=0,0,D17/D$12)</f>
        <v>-2.9062600661871489E-2</v>
      </c>
      <c r="G17" s="4"/>
      <c r="H17" s="4">
        <f>SUM(OSRRefH16x_0)</f>
        <v>6727.73</v>
      </c>
      <c r="I17" s="4"/>
      <c r="J17" s="13">
        <f t="shared" ref="J17:J19" si="5">IF(H$12=0,0,H17/H$12)</f>
        <v>-0.67127069618194479</v>
      </c>
      <c r="K17" s="4"/>
      <c r="L17" s="4">
        <f t="shared" ref="L17:L19" si="6">+D17-H17</f>
        <v>-5758.73</v>
      </c>
      <c r="M17" s="4"/>
      <c r="N17" s="13">
        <f t="shared" ref="N17:N19" si="7">IF(H17=0,0,L17/H17)</f>
        <v>-0.85596924965775978</v>
      </c>
      <c r="O17" s="10"/>
      <c r="P17" s="4">
        <f>SUM(OSRRefP16x_0)</f>
        <v>448851.54000000004</v>
      </c>
      <c r="Q17" s="4"/>
      <c r="R17" s="13">
        <f t="shared" ref="R17:R19" si="8">IF(P$12=0,0,P17/P$12)</f>
        <v>0.22888925466622179</v>
      </c>
      <c r="S17" s="4"/>
      <c r="T17" s="4">
        <f>SUM(OSRRefT16x_0)</f>
        <v>520655.92</v>
      </c>
      <c r="U17" s="4"/>
      <c r="V17" s="13">
        <f t="shared" ref="V17:V19" si="9">IF(T$12=0,0,T17/T$12)</f>
        <v>0.21733597545310632</v>
      </c>
      <c r="W17" s="4"/>
      <c r="X17" s="4">
        <f t="shared" ref="X17:X19" si="10">+P17-T17</f>
        <v>-71804.379999999946</v>
      </c>
      <c r="Y17" s="4"/>
      <c r="Z17" s="13">
        <f t="shared" ref="Z17:Z19" si="11">IF(T17=0,0,X17/T17)</f>
        <v>-0.13791138685218435</v>
      </c>
    </row>
    <row r="18" spans="1:26" s="24" customFormat="1" hidden="1" outlineLevel="1" x14ac:dyDescent="0.3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-450</v>
      </c>
      <c r="E18" s="2"/>
      <c r="F18" s="19">
        <f t="shared" si="4"/>
        <v>1.349656377486292E-2</v>
      </c>
      <c r="G18" s="2"/>
      <c r="H18" s="2">
        <v>6750.73</v>
      </c>
      <c r="I18" s="2"/>
      <c r="J18" s="19">
        <f t="shared" si="5"/>
        <v>-0.67356556027610215</v>
      </c>
      <c r="K18" s="2"/>
      <c r="L18" s="2">
        <f t="shared" si="6"/>
        <v>-7200.73</v>
      </c>
      <c r="M18" s="2"/>
      <c r="N18" s="19">
        <f t="shared" si="7"/>
        <v>-1.0666594575697739</v>
      </c>
      <c r="O18" s="11"/>
      <c r="P18" s="2">
        <v>436724.54000000004</v>
      </c>
      <c r="Q18" s="2"/>
      <c r="R18" s="19">
        <f t="shared" si="8"/>
        <v>0.22270516094263276</v>
      </c>
      <c r="S18" s="2"/>
      <c r="T18" s="2">
        <v>522962.42</v>
      </c>
      <c r="U18" s="2"/>
      <c r="V18" s="19">
        <f t="shared" si="9"/>
        <v>0.21829877143434204</v>
      </c>
      <c r="W18" s="2"/>
      <c r="X18" s="2">
        <f t="shared" si="10"/>
        <v>-86237.879999999946</v>
      </c>
      <c r="Y18" s="2"/>
      <c r="Z18" s="19">
        <f t="shared" si="11"/>
        <v>-0.16490263296548144</v>
      </c>
    </row>
    <row r="19" spans="1:26" s="24" customFormat="1" hidden="1" outlineLevel="1" x14ac:dyDescent="0.3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1419</v>
      </c>
      <c r="E19" s="2"/>
      <c r="F19" s="19">
        <f t="shared" si="4"/>
        <v>-4.2559164436734409E-2</v>
      </c>
      <c r="G19" s="2"/>
      <c r="H19" s="2">
        <v>-23</v>
      </c>
      <c r="I19" s="2"/>
      <c r="J19" s="19">
        <f t="shared" si="5"/>
        <v>2.2948640941572764E-3</v>
      </c>
      <c r="K19" s="2"/>
      <c r="L19" s="2">
        <f t="shared" si="6"/>
        <v>1442</v>
      </c>
      <c r="M19" s="2"/>
      <c r="N19" s="19">
        <f t="shared" si="7"/>
        <v>-62.695652173913047</v>
      </c>
      <c r="O19" s="11"/>
      <c r="P19" s="2">
        <v>12127</v>
      </c>
      <c r="Q19" s="2"/>
      <c r="R19" s="19">
        <f t="shared" si="8"/>
        <v>6.1840937235890323E-3</v>
      </c>
      <c r="S19" s="2"/>
      <c r="T19" s="2">
        <v>-2306.5</v>
      </c>
      <c r="U19" s="2"/>
      <c r="V19" s="19">
        <f t="shared" si="9"/>
        <v>-9.6279598123572615E-4</v>
      </c>
      <c r="W19" s="2"/>
      <c r="X19" s="2">
        <f t="shared" si="10"/>
        <v>14433.5</v>
      </c>
      <c r="Y19" s="2"/>
      <c r="Z19" s="19">
        <f t="shared" si="11"/>
        <v>-6.2577498374159983</v>
      </c>
    </row>
    <row r="20" spans="1:26" x14ac:dyDescent="0.3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5">
      <c r="A21" s="10"/>
      <c r="B21" s="28" t="s">
        <v>6</v>
      </c>
      <c r="C21" s="28"/>
      <c r="D21" s="22">
        <f>D12-D17</f>
        <v>-34310.82</v>
      </c>
      <c r="E21" s="14"/>
      <c r="F21" s="21">
        <f>IF(D$12=0,0,D21/D$12)</f>
        <v>1.0290626006618715</v>
      </c>
      <c r="G21" s="14"/>
      <c r="H21" s="22">
        <f>H12-H17</f>
        <v>-16750.11</v>
      </c>
      <c r="I21" s="14"/>
      <c r="J21" s="21">
        <f>IF(H$12=0,0,H21/H$12)</f>
        <v>1.671270696181945</v>
      </c>
      <c r="K21" s="15"/>
      <c r="L21" s="22">
        <f>+D21-H21</f>
        <v>-17560.71</v>
      </c>
      <c r="M21" s="15"/>
      <c r="N21" s="21">
        <f>IF(H21=0,0,L21/H21)</f>
        <v>1.0483937120412941</v>
      </c>
      <c r="O21" s="29"/>
      <c r="P21" s="22">
        <f>P12-P17</f>
        <v>1512147.2</v>
      </c>
      <c r="Q21" s="14"/>
      <c r="R21" s="21">
        <f>IF(P$12=0,0,P21/P$12)</f>
        <v>0.77111074533377821</v>
      </c>
      <c r="S21" s="14"/>
      <c r="T21" s="22">
        <f>T12-T17</f>
        <v>1874971.0300000003</v>
      </c>
      <c r="U21" s="14"/>
      <c r="V21" s="21">
        <f>IF(T$12=0,0,T21/T$12)</f>
        <v>0.78266402454689377</v>
      </c>
      <c r="W21" s="15"/>
      <c r="X21" s="22">
        <f>+P21-T21</f>
        <v>-362823.83000000031</v>
      </c>
      <c r="Y21" s="15"/>
      <c r="Z21" s="21">
        <f>IF(T21=0,0,X21/T21)</f>
        <v>-0.19350903251022511</v>
      </c>
    </row>
    <row r="22" spans="1:26" x14ac:dyDescent="0.3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5">
      <c r="A23" s="10"/>
      <c r="B23" s="29" t="s">
        <v>9</v>
      </c>
      <c r="C23" s="10"/>
      <c r="D23" s="20">
        <f>SUM(OSRRefD22x_0)</f>
        <v>28158.18</v>
      </c>
      <c r="E23" s="20"/>
      <c r="F23" s="36">
        <f t="shared" ref="F23:F33" si="12">IF(D$12=0,0,D23/D$12)</f>
        <v>-0.84453038256459911</v>
      </c>
      <c r="G23" s="20"/>
      <c r="H23" s="20">
        <f>SUM(OSRRefH22x_0)</f>
        <v>46615.739999999991</v>
      </c>
      <c r="I23" s="20"/>
      <c r="J23" s="36">
        <f t="shared" ref="J23:J33" si="13">IF(H$12=0,0,H23/H$12)</f>
        <v>-4.6511646934161339</v>
      </c>
      <c r="K23" s="4"/>
      <c r="L23" s="20">
        <f t="shared" ref="L23:L33" si="14">+D23-H23</f>
        <v>-18457.55999999999</v>
      </c>
      <c r="M23" s="4"/>
      <c r="N23" s="36">
        <f t="shared" ref="N23:N33" si="15">IF(H23=0,0,L23/H23)</f>
        <v>-0.39595123878758537</v>
      </c>
      <c r="O23" s="10"/>
      <c r="P23" s="20">
        <f>SUM(OSRRefP22x_0)</f>
        <v>1216927.9700000002</v>
      </c>
      <c r="Q23" s="20"/>
      <c r="R23" s="36">
        <f t="shared" ref="R23:R33" si="16">IF(P$12=0,0,P23/P$12)</f>
        <v>0.62056540128118609</v>
      </c>
      <c r="S23" s="20"/>
      <c r="T23" s="20">
        <f>SUM(OSRRefT22x_0)</f>
        <v>1265662.8299999998</v>
      </c>
      <c r="U23" s="20"/>
      <c r="V23" s="36">
        <f t="shared" ref="V23:V33" si="17">IF(T$12=0,0,T23/T$12)</f>
        <v>0.5283221705282618</v>
      </c>
      <c r="W23" s="4"/>
      <c r="X23" s="20">
        <f t="shared" ref="X23:X33" si="18">+P23-T23</f>
        <v>-48734.859999999637</v>
      </c>
      <c r="Y23" s="4"/>
      <c r="Z23" s="36">
        <f t="shared" ref="Z23:Z33" si="19">IF(T23=0,0,X23/T23)</f>
        <v>-3.8505405108562478E-2</v>
      </c>
    </row>
    <row r="24" spans="1:26" s="25" customFormat="1" outlineLevel="1" collapsed="1" x14ac:dyDescent="0.35">
      <c r="A24" s="26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16788.280000000002</v>
      </c>
      <c r="E24" s="1"/>
      <c r="F24" s="5">
        <f t="shared" si="12"/>
        <v>-0.50352020375612372</v>
      </c>
      <c r="G24" s="1"/>
      <c r="H24" s="1">
        <f>SUM(OSRRefH22_0x_0)</f>
        <v>10388.549999999999</v>
      </c>
      <c r="I24" s="1"/>
      <c r="J24" s="5">
        <f t="shared" si="13"/>
        <v>-1.0365352341459813</v>
      </c>
      <c r="K24" s="1"/>
      <c r="L24" s="1">
        <f t="shared" si="14"/>
        <v>6399.7300000000032</v>
      </c>
      <c r="M24" s="1"/>
      <c r="N24" s="5">
        <f t="shared" si="15"/>
        <v>0.61603688676475576</v>
      </c>
      <c r="O24" s="12"/>
      <c r="P24" s="1">
        <f>SUM(OSRRefP22_0x_0)</f>
        <v>258813.22000000003</v>
      </c>
      <c r="Q24" s="1"/>
      <c r="R24" s="5">
        <f t="shared" si="16"/>
        <v>0.13198030917653727</v>
      </c>
      <c r="S24" s="1"/>
      <c r="T24" s="1">
        <f>SUM(OSRRefT22_0x_0)</f>
        <v>272059.33</v>
      </c>
      <c r="U24" s="1"/>
      <c r="V24" s="5">
        <f t="shared" si="17"/>
        <v>0.11356498139244926</v>
      </c>
      <c r="W24" s="1"/>
      <c r="X24" s="1">
        <f t="shared" si="18"/>
        <v>-13246.109999999986</v>
      </c>
      <c r="Y24" s="1"/>
      <c r="Z24" s="5">
        <f t="shared" si="19"/>
        <v>-4.8688313685106795E-2</v>
      </c>
    </row>
    <row r="25" spans="1:26" s="24" customFormat="1" hidden="1" outlineLevel="2" x14ac:dyDescent="0.35">
      <c r="A25" s="27"/>
      <c r="B25" s="11" t="str">
        <f>CONCATENATE("          ", "6111", " - ", "F.I.C.A.")</f>
        <v xml:space="preserve">          6111 - F.I.C.A.</v>
      </c>
      <c r="C25" s="11"/>
      <c r="D25" s="7">
        <v>1568.77</v>
      </c>
      <c r="E25" s="2"/>
      <c r="F25" s="6">
        <f t="shared" si="12"/>
        <v>-4.705112078464823E-2</v>
      </c>
      <c r="G25" s="2"/>
      <c r="H25" s="7">
        <v>2305.66</v>
      </c>
      <c r="I25" s="2"/>
      <c r="J25" s="6">
        <f t="shared" si="13"/>
        <v>-0.23005114553628978</v>
      </c>
      <c r="K25" s="2"/>
      <c r="L25" s="7">
        <f t="shared" si="14"/>
        <v>-736.88999999999987</v>
      </c>
      <c r="M25" s="2"/>
      <c r="N25" s="6">
        <f t="shared" si="15"/>
        <v>-0.31960046147307059</v>
      </c>
      <c r="O25" s="11"/>
      <c r="P25" s="7">
        <v>41716.54</v>
      </c>
      <c r="Q25" s="2"/>
      <c r="R25" s="6">
        <f t="shared" si="16"/>
        <v>2.1273109028106769E-2</v>
      </c>
      <c r="S25" s="2"/>
      <c r="T25" s="7">
        <v>36560.29</v>
      </c>
      <c r="U25" s="2"/>
      <c r="V25" s="6">
        <f t="shared" si="17"/>
        <v>1.5261261775336097E-2</v>
      </c>
      <c r="W25" s="2"/>
      <c r="X25" s="7">
        <f t="shared" si="18"/>
        <v>5156.25</v>
      </c>
      <c r="Y25" s="2"/>
      <c r="Z25" s="6">
        <f t="shared" si="19"/>
        <v>0.14103416575743791</v>
      </c>
    </row>
    <row r="26" spans="1:26" s="24" customFormat="1" hidden="1" outlineLevel="2" x14ac:dyDescent="0.3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740.18</v>
      </c>
      <c r="E26" s="2"/>
      <c r="F26" s="6">
        <f t="shared" si="12"/>
        <v>-2.2199747944173412E-2</v>
      </c>
      <c r="G26" s="2"/>
      <c r="H26" s="7">
        <v>1510.57</v>
      </c>
      <c r="I26" s="2"/>
      <c r="J26" s="6">
        <f t="shared" si="13"/>
        <v>-0.15071968933526766</v>
      </c>
      <c r="K26" s="2"/>
      <c r="L26" s="7">
        <f t="shared" si="14"/>
        <v>-770.39</v>
      </c>
      <c r="M26" s="2"/>
      <c r="N26" s="6">
        <f t="shared" si="15"/>
        <v>-0.5099995365987674</v>
      </c>
      <c r="O26" s="11"/>
      <c r="P26" s="7">
        <v>25014.48</v>
      </c>
      <c r="Q26" s="2"/>
      <c r="R26" s="6">
        <f t="shared" si="16"/>
        <v>1.2755989838116877E-2</v>
      </c>
      <c r="S26" s="2"/>
      <c r="T26" s="7">
        <v>23042.47</v>
      </c>
      <c r="U26" s="2"/>
      <c r="V26" s="6">
        <f t="shared" si="17"/>
        <v>9.6185551761304063E-3</v>
      </c>
      <c r="W26" s="2"/>
      <c r="X26" s="7">
        <f t="shared" si="18"/>
        <v>1972.0099999999984</v>
      </c>
      <c r="Y26" s="2"/>
      <c r="Z26" s="6">
        <f t="shared" si="19"/>
        <v>8.5581537048762493E-2</v>
      </c>
    </row>
    <row r="27" spans="1:26" s="24" customFormat="1" hidden="1" outlineLevel="2" x14ac:dyDescent="0.35">
      <c r="A27" s="27"/>
      <c r="B27" s="11" t="str">
        <f>CONCATENATE("          ", "6113", " - ", "GROUP INSURANCE")</f>
        <v xml:space="preserve">          6113 - GROUP INSURANCE</v>
      </c>
      <c r="C27" s="11"/>
      <c r="D27" s="7">
        <v>12616.96</v>
      </c>
      <c r="E27" s="2"/>
      <c r="F27" s="6">
        <f t="shared" si="12"/>
        <v>-0.37841245618865432</v>
      </c>
      <c r="G27" s="2"/>
      <c r="H27" s="7">
        <v>11065.21</v>
      </c>
      <c r="I27" s="2"/>
      <c r="J27" s="6">
        <f t="shared" si="13"/>
        <v>-1.1040501357960883</v>
      </c>
      <c r="K27" s="2"/>
      <c r="L27" s="7">
        <f t="shared" si="14"/>
        <v>1551.75</v>
      </c>
      <c r="M27" s="2"/>
      <c r="N27" s="6">
        <f t="shared" si="15"/>
        <v>0.14023683237823775</v>
      </c>
      <c r="O27" s="11"/>
      <c r="P27" s="7">
        <v>167665.99</v>
      </c>
      <c r="Q27" s="2"/>
      <c r="R27" s="6">
        <f t="shared" si="16"/>
        <v>8.5500304808966879E-2</v>
      </c>
      <c r="S27" s="2"/>
      <c r="T27" s="7">
        <v>145056.21</v>
      </c>
      <c r="U27" s="2"/>
      <c r="V27" s="6">
        <f t="shared" si="17"/>
        <v>6.0550416666501426E-2</v>
      </c>
      <c r="W27" s="2"/>
      <c r="X27" s="7">
        <f t="shared" si="18"/>
        <v>22609.78</v>
      </c>
      <c r="Y27" s="2"/>
      <c r="Z27" s="6">
        <f t="shared" si="19"/>
        <v>0.15586909378095568</v>
      </c>
    </row>
    <row r="28" spans="1:26" s="24" customFormat="1" hidden="1" outlineLevel="2" x14ac:dyDescent="0.3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-1896.74</v>
      </c>
      <c r="E28" s="2"/>
      <c r="F28" s="6">
        <f t="shared" si="12"/>
        <v>5.6887716387407763E-2</v>
      </c>
      <c r="G28" s="2"/>
      <c r="H28" s="7">
        <v>112.24</v>
      </c>
      <c r="I28" s="2"/>
      <c r="J28" s="6">
        <f t="shared" si="13"/>
        <v>-1.1198936779487507E-2</v>
      </c>
      <c r="K28" s="2"/>
      <c r="L28" s="7">
        <f t="shared" si="14"/>
        <v>-2008.98</v>
      </c>
      <c r="M28" s="2"/>
      <c r="N28" s="6">
        <f t="shared" si="15"/>
        <v>-17.89896650035638</v>
      </c>
      <c r="O28" s="11"/>
      <c r="P28" s="7">
        <v>0</v>
      </c>
      <c r="Q28" s="2"/>
      <c r="R28" s="6">
        <f t="shared" si="16"/>
        <v>0</v>
      </c>
      <c r="S28" s="2"/>
      <c r="T28" s="7">
        <v>1912.88</v>
      </c>
      <c r="U28" s="2"/>
      <c r="V28" s="6">
        <f t="shared" si="17"/>
        <v>7.9848826212278168E-4</v>
      </c>
      <c r="W28" s="2"/>
      <c r="X28" s="7">
        <f t="shared" si="18"/>
        <v>-1912.88</v>
      </c>
      <c r="Y28" s="2"/>
      <c r="Z28" s="6">
        <f t="shared" si="19"/>
        <v>-1</v>
      </c>
    </row>
    <row r="29" spans="1:26" s="24" customFormat="1" hidden="1" outlineLevel="2" x14ac:dyDescent="0.35">
      <c r="A29" s="27"/>
      <c r="B29" s="11" t="str">
        <f>CONCATENATE("          ", "6115", " - ", "P.E.R.S.")</f>
        <v xml:space="preserve">          6115 - P.E.R.S.</v>
      </c>
      <c r="C29" s="11"/>
      <c r="D29" s="7">
        <v>449.45</v>
      </c>
      <c r="E29" s="2"/>
      <c r="F29" s="6">
        <f t="shared" si="12"/>
        <v>-1.3480067974693644E-2</v>
      </c>
      <c r="G29" s="2"/>
      <c r="H29" s="7"/>
      <c r="I29" s="2"/>
      <c r="J29" s="6">
        <f t="shared" si="13"/>
        <v>0</v>
      </c>
      <c r="K29" s="2"/>
      <c r="L29" s="7">
        <f t="shared" si="14"/>
        <v>449.45</v>
      </c>
      <c r="M29" s="2"/>
      <c r="N29" s="6">
        <f t="shared" si="15"/>
        <v>0</v>
      </c>
      <c r="O29" s="11"/>
      <c r="P29" s="7">
        <v>13163.64</v>
      </c>
      <c r="Q29" s="2"/>
      <c r="R29" s="6">
        <f t="shared" si="16"/>
        <v>6.7127223141408036E-3</v>
      </c>
      <c r="S29" s="2"/>
      <c r="T29" s="7">
        <v>11106.72</v>
      </c>
      <c r="U29" s="2"/>
      <c r="V29" s="6">
        <f t="shared" si="17"/>
        <v>4.636247726299789E-3</v>
      </c>
      <c r="W29" s="2"/>
      <c r="X29" s="7">
        <f t="shared" si="18"/>
        <v>2056.92</v>
      </c>
      <c r="Y29" s="2"/>
      <c r="Z29" s="6">
        <f t="shared" si="19"/>
        <v>0.18519598945503266</v>
      </c>
    </row>
    <row r="30" spans="1:26" s="24" customFormat="1" hidden="1" outlineLevel="2" x14ac:dyDescent="0.35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530.52</v>
      </c>
      <c r="E30" s="2"/>
      <c r="F30" s="6">
        <f t="shared" si="12"/>
        <v>-1.5911548919645059E-2</v>
      </c>
      <c r="G30" s="2"/>
      <c r="H30" s="7">
        <v>219.63</v>
      </c>
      <c r="I30" s="2"/>
      <c r="J30" s="6">
        <f t="shared" si="13"/>
        <v>-2.1913956565207067E-2</v>
      </c>
      <c r="K30" s="2"/>
      <c r="L30" s="7">
        <f t="shared" si="14"/>
        <v>310.89</v>
      </c>
      <c r="M30" s="2"/>
      <c r="N30" s="6">
        <f t="shared" si="15"/>
        <v>1.4155170058735145</v>
      </c>
      <c r="O30" s="11"/>
      <c r="P30" s="7">
        <v>6431.65</v>
      </c>
      <c r="Q30" s="2"/>
      <c r="R30" s="6">
        <f t="shared" si="16"/>
        <v>3.2797828314769847E-3</v>
      </c>
      <c r="S30" s="2"/>
      <c r="T30" s="7">
        <v>4920.3500000000004</v>
      </c>
      <c r="U30" s="2"/>
      <c r="V30" s="6">
        <f t="shared" si="17"/>
        <v>2.0538882316380688E-3</v>
      </c>
      <c r="W30" s="2"/>
      <c r="X30" s="7">
        <f t="shared" si="18"/>
        <v>1511.2999999999993</v>
      </c>
      <c r="Y30" s="2"/>
      <c r="Z30" s="6">
        <f t="shared" si="19"/>
        <v>0.30715294643673707</v>
      </c>
    </row>
    <row r="31" spans="1:26" s="24" customFormat="1" hidden="1" outlineLevel="2" x14ac:dyDescent="0.35">
      <c r="A31" s="27"/>
      <c r="B31" s="11" t="str">
        <f>CONCATENATE("          ", "6118", " - ", "VACATION")</f>
        <v xml:space="preserve">          6118 - VACATION</v>
      </c>
      <c r="C31" s="11"/>
      <c r="D31" s="7">
        <v>1199.6199999999999</v>
      </c>
      <c r="E31" s="2"/>
      <c r="F31" s="6">
        <f t="shared" si="12"/>
        <v>-3.5979439634669014E-2</v>
      </c>
      <c r="G31" s="2"/>
      <c r="H31" s="7">
        <v>1746.34</v>
      </c>
      <c r="I31" s="2"/>
      <c r="J31" s="6">
        <f t="shared" si="13"/>
        <v>-0.17424404183437467</v>
      </c>
      <c r="K31" s="2"/>
      <c r="L31" s="7">
        <f t="shared" si="14"/>
        <v>-546.72</v>
      </c>
      <c r="M31" s="2"/>
      <c r="N31" s="6">
        <f t="shared" si="15"/>
        <v>-0.31306618413367387</v>
      </c>
      <c r="O31" s="11"/>
      <c r="P31" s="7">
        <v>24555.34</v>
      </c>
      <c r="Q31" s="2"/>
      <c r="R31" s="6">
        <f t="shared" si="16"/>
        <v>1.2521854042598722E-2</v>
      </c>
      <c r="S31" s="2"/>
      <c r="T31" s="7">
        <v>26254.58</v>
      </c>
      <c r="U31" s="2"/>
      <c r="V31" s="6">
        <f t="shared" si="17"/>
        <v>1.0959377460668491E-2</v>
      </c>
      <c r="W31" s="2"/>
      <c r="X31" s="7">
        <f t="shared" si="18"/>
        <v>-1699.2400000000016</v>
      </c>
      <c r="Y31" s="2"/>
      <c r="Z31" s="6">
        <f t="shared" si="19"/>
        <v>-6.4721659992275693E-2</v>
      </c>
    </row>
    <row r="32" spans="1:26" s="24" customFormat="1" hidden="1" outlineLevel="2" x14ac:dyDescent="0.35">
      <c r="A32" s="27"/>
      <c r="B32" s="11" t="str">
        <f>CONCATENATE("          ", "6119", " - ", "SICK LEAVE")</f>
        <v xml:space="preserve">          6119 - SICK LEAVE</v>
      </c>
      <c r="C32" s="11"/>
      <c r="D32" s="7">
        <v>946.52</v>
      </c>
      <c r="E32" s="2"/>
      <c r="F32" s="6">
        <f t="shared" si="12"/>
        <v>-2.8388372320407224E-2</v>
      </c>
      <c r="G32" s="2"/>
      <c r="H32" s="7">
        <v>-7327.3</v>
      </c>
      <c r="I32" s="2"/>
      <c r="J32" s="6">
        <f t="shared" si="13"/>
        <v>0.73109381204863522</v>
      </c>
      <c r="K32" s="2"/>
      <c r="L32" s="7">
        <f t="shared" si="14"/>
        <v>8273.82</v>
      </c>
      <c r="M32" s="2"/>
      <c r="N32" s="6">
        <f t="shared" si="15"/>
        <v>-1.1291771866854092</v>
      </c>
      <c r="O32" s="11"/>
      <c r="P32" s="7">
        <v>-32536.11</v>
      </c>
      <c r="Q32" s="2"/>
      <c r="R32" s="6">
        <f t="shared" si="16"/>
        <v>-1.6591601685577832E-2</v>
      </c>
      <c r="S32" s="2"/>
      <c r="T32" s="7">
        <v>11961.89</v>
      </c>
      <c r="U32" s="2"/>
      <c r="V32" s="6">
        <f t="shared" si="17"/>
        <v>4.9932189984755338E-3</v>
      </c>
      <c r="W32" s="2"/>
      <c r="X32" s="7">
        <f t="shared" si="18"/>
        <v>-44498</v>
      </c>
      <c r="Y32" s="2"/>
      <c r="Z32" s="6">
        <f t="shared" si="19"/>
        <v>-3.7199807053902019</v>
      </c>
    </row>
    <row r="33" spans="1:26" s="24" customFormat="1" hidden="1" outlineLevel="2" x14ac:dyDescent="0.35">
      <c r="A33" s="27"/>
      <c r="B33" s="11" t="str">
        <f>CONCATENATE("          ", "6156", " - ", "EMPLOYEE MEALS")</f>
        <v xml:space="preserve">          6156 - EMPLOYEE MEALS</v>
      </c>
      <c r="C33" s="11"/>
      <c r="D33" s="7">
        <v>633</v>
      </c>
      <c r="E33" s="2"/>
      <c r="F33" s="6">
        <f t="shared" si="12"/>
        <v>-1.8985166376640508E-2</v>
      </c>
      <c r="G33" s="2"/>
      <c r="H33" s="7">
        <v>756.2</v>
      </c>
      <c r="I33" s="2"/>
      <c r="J33" s="6">
        <f t="shared" si="13"/>
        <v>-7.5451140347901402E-2</v>
      </c>
      <c r="K33" s="2"/>
      <c r="L33" s="7">
        <f t="shared" si="14"/>
        <v>-123.20000000000005</v>
      </c>
      <c r="M33" s="2"/>
      <c r="N33" s="6">
        <f t="shared" si="15"/>
        <v>-0.16291986247024601</v>
      </c>
      <c r="O33" s="11"/>
      <c r="P33" s="7">
        <v>12801.69</v>
      </c>
      <c r="Q33" s="2"/>
      <c r="R33" s="6">
        <f t="shared" si="16"/>
        <v>6.5281479987080466E-3</v>
      </c>
      <c r="S33" s="2"/>
      <c r="T33" s="7">
        <v>11243.94</v>
      </c>
      <c r="U33" s="2"/>
      <c r="V33" s="6">
        <f t="shared" si="17"/>
        <v>4.6935270952766662E-3</v>
      </c>
      <c r="W33" s="2"/>
      <c r="X33" s="7">
        <f t="shared" si="18"/>
        <v>1557.75</v>
      </c>
      <c r="Y33" s="2"/>
      <c r="Z33" s="6">
        <f t="shared" si="19"/>
        <v>0.13854129424383266</v>
      </c>
    </row>
    <row r="34" spans="1:26" s="25" customFormat="1" outlineLevel="1" collapsed="1" x14ac:dyDescent="0.35">
      <c r="A34" s="26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12759.61</v>
      </c>
      <c r="E34" s="1"/>
      <c r="F34" s="5">
        <f t="shared" ref="F34:F40" si="20">IF(D$12=0,0,D34/D$12)</f>
        <v>-0.38269086690528592</v>
      </c>
      <c r="G34" s="1"/>
      <c r="H34" s="1">
        <f>SUM(OSRRefH22_1x_0)</f>
        <v>28599.22</v>
      </c>
      <c r="I34" s="1"/>
      <c r="J34" s="5">
        <f t="shared" ref="J34:J40" si="21">IF(H$12=0,0,H34/H$12)</f>
        <v>-2.8535357869088984</v>
      </c>
      <c r="K34" s="1"/>
      <c r="L34" s="1">
        <f t="shared" ref="L34:L40" si="22">+D34-H34</f>
        <v>-15839.61</v>
      </c>
      <c r="M34" s="1"/>
      <c r="N34" s="5">
        <f t="shared" ref="N34:N40" si="23">IF(H34=0,0,L34/H34)</f>
        <v>-0.55384762241767438</v>
      </c>
      <c r="O34" s="12"/>
      <c r="P34" s="1">
        <f>SUM(OSRRefP22_1x_0)</f>
        <v>672066.21999999986</v>
      </c>
      <c r="Q34" s="1"/>
      <c r="R34" s="5">
        <f t="shared" ref="R34:R40" si="24">IF(P$12=0,0,P34/P$12)</f>
        <v>0.34271629363719014</v>
      </c>
      <c r="S34" s="1"/>
      <c r="T34" s="1">
        <f>SUM(OSRRefT22_1x_0)</f>
        <v>655777.77</v>
      </c>
      <c r="U34" s="1"/>
      <c r="V34" s="5">
        <f t="shared" ref="V34:V40" si="25">IF(T$12=0,0,T34/T$12)</f>
        <v>0.2737395194189145</v>
      </c>
      <c r="W34" s="1"/>
      <c r="X34" s="1">
        <f t="shared" ref="X34:X40" si="26">+P34-T34</f>
        <v>16288.449999999837</v>
      </c>
      <c r="Y34" s="1"/>
      <c r="Z34" s="5">
        <f t="shared" ref="Z34:Z40" si="27">IF(T34=0,0,X34/T34)</f>
        <v>2.4838368644304359E-2</v>
      </c>
    </row>
    <row r="35" spans="1:26" s="24" customFormat="1" hidden="1" outlineLevel="2" x14ac:dyDescent="0.35">
      <c r="A35" s="27"/>
      <c r="B35" s="11" t="str">
        <f>CONCATENATE("          ", "6002", " - ", "STAFF SALARIES")</f>
        <v xml:space="preserve">          6002 - STAFF SALARIES</v>
      </c>
      <c r="C35" s="11"/>
      <c r="D35" s="7">
        <v>2858.26</v>
      </c>
      <c r="E35" s="2"/>
      <c r="F35" s="6">
        <f t="shared" si="20"/>
        <v>-8.5725974166977095E-2</v>
      </c>
      <c r="G35" s="2"/>
      <c r="H35" s="7">
        <v>9115.4</v>
      </c>
      <c r="I35" s="2"/>
      <c r="J35" s="6">
        <f t="shared" si="21"/>
        <v>-0.90950452886440147</v>
      </c>
      <c r="K35" s="2"/>
      <c r="L35" s="7">
        <f t="shared" si="22"/>
        <v>-6257.1399999999994</v>
      </c>
      <c r="M35" s="2"/>
      <c r="N35" s="6">
        <f t="shared" si="23"/>
        <v>-0.68643614103604889</v>
      </c>
      <c r="O35" s="11"/>
      <c r="P35" s="7">
        <v>102393.01000000001</v>
      </c>
      <c r="Q35" s="2"/>
      <c r="R35" s="6">
        <f t="shared" si="24"/>
        <v>5.2214725033428631E-2</v>
      </c>
      <c r="S35" s="2"/>
      <c r="T35" s="7">
        <v>109948.41</v>
      </c>
      <c r="U35" s="2"/>
      <c r="V35" s="6">
        <f t="shared" si="25"/>
        <v>4.5895463815849954E-2</v>
      </c>
      <c r="W35" s="2"/>
      <c r="X35" s="7">
        <f t="shared" si="26"/>
        <v>-7555.3999999999942</v>
      </c>
      <c r="Y35" s="2"/>
      <c r="Z35" s="6">
        <f t="shared" si="27"/>
        <v>-6.8717683138846603E-2</v>
      </c>
    </row>
    <row r="36" spans="1:26" s="24" customFormat="1" hidden="1" outlineLevel="2" x14ac:dyDescent="0.35">
      <c r="A36" s="27"/>
      <c r="B36" s="11" t="str">
        <f>CONCATENATE("          ", "6004", " - ", "STAFF HOURLY")</f>
        <v xml:space="preserve">          6004 - STAFF HOURLY</v>
      </c>
      <c r="C36" s="11"/>
      <c r="D36" s="7">
        <v>9901.35</v>
      </c>
      <c r="E36" s="2"/>
      <c r="F36" s="6">
        <f t="shared" si="20"/>
        <v>-0.29696489273830884</v>
      </c>
      <c r="G36" s="2"/>
      <c r="H36" s="7">
        <v>12064.25</v>
      </c>
      <c r="I36" s="2"/>
      <c r="J36" s="6">
        <f t="shared" si="21"/>
        <v>-1.2037310499103009</v>
      </c>
      <c r="K36" s="2"/>
      <c r="L36" s="7">
        <f t="shared" si="22"/>
        <v>-2162.8999999999996</v>
      </c>
      <c r="M36" s="2"/>
      <c r="N36" s="6">
        <f t="shared" si="23"/>
        <v>-0.17928176223138609</v>
      </c>
      <c r="O36" s="11"/>
      <c r="P36" s="7">
        <v>242990.05999999997</v>
      </c>
      <c r="Q36" s="2"/>
      <c r="R36" s="6">
        <f t="shared" si="24"/>
        <v>0.12391137997365566</v>
      </c>
      <c r="S36" s="2"/>
      <c r="T36" s="7">
        <v>201291.66999999998</v>
      </c>
      <c r="U36" s="2"/>
      <c r="V36" s="6">
        <f t="shared" si="25"/>
        <v>8.4024630796543667E-2</v>
      </c>
      <c r="W36" s="2"/>
      <c r="X36" s="7">
        <f t="shared" si="26"/>
        <v>41698.389999999985</v>
      </c>
      <c r="Y36" s="2"/>
      <c r="Z36" s="6">
        <f t="shared" si="27"/>
        <v>0.20715407647022843</v>
      </c>
    </row>
    <row r="37" spans="1:26" s="24" customFormat="1" hidden="1" outlineLevel="2" x14ac:dyDescent="0.3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0"/>
        <v>0</v>
      </c>
      <c r="G37" s="2"/>
      <c r="H37" s="7">
        <v>5268</v>
      </c>
      <c r="I37" s="2"/>
      <c r="J37" s="6">
        <f t="shared" si="21"/>
        <v>-0.52562365426176216</v>
      </c>
      <c r="K37" s="2"/>
      <c r="L37" s="7">
        <f t="shared" si="22"/>
        <v>-5268</v>
      </c>
      <c r="M37" s="2"/>
      <c r="N37" s="6">
        <f t="shared" si="23"/>
        <v>-1</v>
      </c>
      <c r="O37" s="11"/>
      <c r="P37" s="7">
        <v>107403.49</v>
      </c>
      <c r="Q37" s="2"/>
      <c r="R37" s="6">
        <f t="shared" si="24"/>
        <v>5.4769790418121335E-2</v>
      </c>
      <c r="S37" s="2"/>
      <c r="T37" s="7">
        <v>108123.94</v>
      </c>
      <c r="U37" s="2"/>
      <c r="V37" s="6">
        <f t="shared" si="25"/>
        <v>4.5133880298015509E-2</v>
      </c>
      <c r="W37" s="2"/>
      <c r="X37" s="7">
        <f t="shared" si="26"/>
        <v>-720.44999999999709</v>
      </c>
      <c r="Y37" s="2"/>
      <c r="Z37" s="6">
        <f t="shared" si="27"/>
        <v>-6.6631867096222826E-3</v>
      </c>
    </row>
    <row r="38" spans="1:26" s="24" customFormat="1" hidden="1" outlineLevel="2" x14ac:dyDescent="0.3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325.13</v>
      </c>
      <c r="I38" s="2"/>
      <c r="J38" s="6">
        <f t="shared" si="21"/>
        <v>-3.2440398388406746E-2</v>
      </c>
      <c r="K38" s="2"/>
      <c r="L38" s="7">
        <f t="shared" si="22"/>
        <v>-325.13</v>
      </c>
      <c r="M38" s="2"/>
      <c r="N38" s="6">
        <f t="shared" si="23"/>
        <v>-1</v>
      </c>
      <c r="O38" s="11"/>
      <c r="P38" s="7">
        <v>10378.219999999999</v>
      </c>
      <c r="Q38" s="2"/>
      <c r="R38" s="6">
        <f t="shared" si="24"/>
        <v>5.2923134463615205E-3</v>
      </c>
      <c r="S38" s="2"/>
      <c r="T38" s="7">
        <v>5170.88</v>
      </c>
      <c r="U38" s="2"/>
      <c r="V38" s="6">
        <f t="shared" si="25"/>
        <v>2.1584662837425502E-3</v>
      </c>
      <c r="W38" s="2"/>
      <c r="X38" s="7">
        <f t="shared" si="26"/>
        <v>5207.3399999999992</v>
      </c>
      <c r="Y38" s="2"/>
      <c r="Z38" s="6">
        <f t="shared" si="27"/>
        <v>1.0070510241970416</v>
      </c>
    </row>
    <row r="39" spans="1:26" s="24" customFormat="1" hidden="1" outlineLevel="2" x14ac:dyDescent="0.35">
      <c r="A39" s="27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0"/>
        <v>0</v>
      </c>
      <c r="G39" s="2"/>
      <c r="H39" s="7">
        <v>1340.44</v>
      </c>
      <c r="I39" s="2"/>
      <c r="J39" s="6">
        <f t="shared" si="21"/>
        <v>-0.13374467940748605</v>
      </c>
      <c r="K39" s="2"/>
      <c r="L39" s="7">
        <f t="shared" si="22"/>
        <v>-1340.44</v>
      </c>
      <c r="M39" s="2"/>
      <c r="N39" s="6">
        <f t="shared" si="23"/>
        <v>-1</v>
      </c>
      <c r="O39" s="11"/>
      <c r="P39" s="7">
        <v>146844.08000000002</v>
      </c>
      <c r="Q39" s="2"/>
      <c r="R39" s="6">
        <f t="shared" si="24"/>
        <v>7.4882291867255368E-2</v>
      </c>
      <c r="S39" s="2"/>
      <c r="T39" s="7">
        <v>159045.97</v>
      </c>
      <c r="U39" s="2"/>
      <c r="V39" s="6">
        <f t="shared" si="25"/>
        <v>6.6390123888028549E-2</v>
      </c>
      <c r="W39" s="2"/>
      <c r="X39" s="7">
        <f t="shared" si="26"/>
        <v>-12201.889999999985</v>
      </c>
      <c r="Y39" s="2"/>
      <c r="Z39" s="6">
        <f t="shared" si="27"/>
        <v>-7.6719265505438367E-2</v>
      </c>
    </row>
    <row r="40" spans="1:26" s="24" customFormat="1" hidden="1" outlineLevel="2" x14ac:dyDescent="0.3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0"/>
        <v>0</v>
      </c>
      <c r="G40" s="2"/>
      <c r="H40" s="7">
        <v>486</v>
      </c>
      <c r="I40" s="2"/>
      <c r="J40" s="6">
        <f t="shared" si="21"/>
        <v>-4.8491476076540703E-2</v>
      </c>
      <c r="K40" s="2"/>
      <c r="L40" s="7">
        <f t="shared" si="22"/>
        <v>-486</v>
      </c>
      <c r="M40" s="2"/>
      <c r="N40" s="6">
        <f t="shared" si="23"/>
        <v>-1</v>
      </c>
      <c r="O40" s="11"/>
      <c r="P40" s="7">
        <v>62057.36</v>
      </c>
      <c r="Q40" s="2"/>
      <c r="R40" s="6">
        <f t="shared" si="24"/>
        <v>3.1645792898367699E-2</v>
      </c>
      <c r="S40" s="2"/>
      <c r="T40" s="7">
        <v>72196.899999999994</v>
      </c>
      <c r="U40" s="2"/>
      <c r="V40" s="6">
        <f t="shared" si="25"/>
        <v>3.0136954336734269E-2</v>
      </c>
      <c r="W40" s="2"/>
      <c r="X40" s="7">
        <f t="shared" si="26"/>
        <v>-10139.539999999994</v>
      </c>
      <c r="Y40" s="2"/>
      <c r="Z40" s="6">
        <f t="shared" si="27"/>
        <v>-0.14044287220088389</v>
      </c>
    </row>
    <row r="41" spans="1:26" s="25" customFormat="1" outlineLevel="1" collapsed="1" x14ac:dyDescent="0.35">
      <c r="A41" s="26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4" si="28">IF(D$12=0,0,D41/D$12)</f>
        <v>0</v>
      </c>
      <c r="G41" s="1"/>
      <c r="H41" s="1">
        <f>SUM(OSRRefH22_2x_0)</f>
        <v>56.33</v>
      </c>
      <c r="I41" s="1"/>
      <c r="J41" s="5">
        <f t="shared" ref="J41:J64" si="29">IF(H$12=0,0,H41/H$12)</f>
        <v>-5.6204214966904071E-3</v>
      </c>
      <c r="K41" s="1"/>
      <c r="L41" s="1">
        <f t="shared" ref="L41:L64" si="30">+D41-H41</f>
        <v>-56.33</v>
      </c>
      <c r="M41" s="1"/>
      <c r="N41" s="5">
        <f t="shared" ref="N41:N64" si="31">IF(H41=0,0,L41/H41)</f>
        <v>-1</v>
      </c>
      <c r="O41" s="12"/>
      <c r="P41" s="1">
        <f>SUM(OSRRefP22_2x_0)</f>
        <v>3020.03</v>
      </c>
      <c r="Q41" s="1"/>
      <c r="R41" s="5">
        <f t="shared" ref="R41:R64" si="32">IF(P$12=0,0,P41/P$12)</f>
        <v>1.5400468844768355E-3</v>
      </c>
      <c r="S41" s="1"/>
      <c r="T41" s="1">
        <f>SUM(OSRRefT22_2x_0)</f>
        <v>4091.72</v>
      </c>
      <c r="U41" s="1"/>
      <c r="V41" s="5">
        <f t="shared" ref="V41:V64" si="33">IF(T$12=0,0,T41/T$12)</f>
        <v>1.7079954790122892E-3</v>
      </c>
      <c r="W41" s="1"/>
      <c r="X41" s="1">
        <f t="shared" ref="X41:X64" si="34">+P41-T41</f>
        <v>-1071.6899999999996</v>
      </c>
      <c r="Y41" s="1"/>
      <c r="Z41" s="5">
        <f t="shared" ref="Z41:Z64" si="35">IF(T41=0,0,X41/T41)</f>
        <v>-0.26191674894665318</v>
      </c>
    </row>
    <row r="42" spans="1:26" s="24" customFormat="1" hidden="1" outlineLevel="2" x14ac:dyDescent="0.3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56.33</v>
      </c>
      <c r="I42" s="2"/>
      <c r="J42" s="6">
        <f t="shared" si="29"/>
        <v>-5.6204214966904071E-3</v>
      </c>
      <c r="K42" s="2"/>
      <c r="L42" s="7">
        <f t="shared" si="30"/>
        <v>-56.33</v>
      </c>
      <c r="M42" s="2"/>
      <c r="N42" s="6">
        <f t="shared" si="31"/>
        <v>-1</v>
      </c>
      <c r="O42" s="11"/>
      <c r="P42" s="7">
        <v>3020.03</v>
      </c>
      <c r="Q42" s="2"/>
      <c r="R42" s="6">
        <f t="shared" si="32"/>
        <v>1.5400468844768355E-3</v>
      </c>
      <c r="S42" s="2"/>
      <c r="T42" s="7">
        <v>4091.72</v>
      </c>
      <c r="U42" s="2"/>
      <c r="V42" s="6">
        <f t="shared" si="33"/>
        <v>1.7079954790122892E-3</v>
      </c>
      <c r="W42" s="2"/>
      <c r="X42" s="7">
        <f t="shared" si="34"/>
        <v>-1071.6899999999996</v>
      </c>
      <c r="Y42" s="2"/>
      <c r="Z42" s="6">
        <f t="shared" si="35"/>
        <v>-0.26191674894665318</v>
      </c>
    </row>
    <row r="43" spans="1:26" s="25" customFormat="1" outlineLevel="1" collapsed="1" x14ac:dyDescent="0.35">
      <c r="A43" s="26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2"/>
      <c r="P43" s="1">
        <f>SUM(OSRRefP22_3x_0)</f>
        <v>46.62</v>
      </c>
      <c r="Q43" s="1"/>
      <c r="R43" s="5">
        <f t="shared" si="32"/>
        <v>2.3773600180895577E-5</v>
      </c>
      <c r="S43" s="1"/>
      <c r="T43" s="1">
        <f>SUM(OSRRefT22_3x_0)</f>
        <v>59.74</v>
      </c>
      <c r="U43" s="1"/>
      <c r="V43" s="5">
        <f t="shared" si="33"/>
        <v>2.4937104668988634E-5</v>
      </c>
      <c r="W43" s="1"/>
      <c r="X43" s="1">
        <f t="shared" si="34"/>
        <v>-13.120000000000005</v>
      </c>
      <c r="Y43" s="1"/>
      <c r="Z43" s="5">
        <f t="shared" si="35"/>
        <v>-0.21961834616672254</v>
      </c>
    </row>
    <row r="44" spans="1:26" s="24" customFormat="1" hidden="1" outlineLevel="2" x14ac:dyDescent="0.35">
      <c r="A44" s="27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8"/>
        <v>0</v>
      </c>
      <c r="G44" s="2"/>
      <c r="H44" s="7"/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>
        <v>46.62</v>
      </c>
      <c r="Q44" s="2"/>
      <c r="R44" s="6">
        <f t="shared" si="32"/>
        <v>2.3773600180895577E-5</v>
      </c>
      <c r="S44" s="2"/>
      <c r="T44" s="7">
        <v>59.74</v>
      </c>
      <c r="U44" s="2"/>
      <c r="V44" s="6">
        <f t="shared" si="33"/>
        <v>2.4937104668988634E-5</v>
      </c>
      <c r="W44" s="2"/>
      <c r="X44" s="7">
        <f t="shared" si="34"/>
        <v>-13.120000000000005</v>
      </c>
      <c r="Y44" s="2"/>
      <c r="Z44" s="6">
        <f t="shared" si="35"/>
        <v>-0.21961834616672254</v>
      </c>
    </row>
    <row r="45" spans="1:26" s="25" customFormat="1" outlineLevel="1" collapsed="1" x14ac:dyDescent="0.35">
      <c r="A45" s="26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0</v>
      </c>
      <c r="M45" s="1"/>
      <c r="N45" s="5">
        <f t="shared" si="31"/>
        <v>0</v>
      </c>
      <c r="O45" s="12"/>
      <c r="P45" s="1">
        <f>SUM(OSRRefP22_4x_0)</f>
        <v>70.89</v>
      </c>
      <c r="Q45" s="1"/>
      <c r="R45" s="5">
        <f t="shared" si="32"/>
        <v>3.6149946735814835E-5</v>
      </c>
      <c r="S45" s="1"/>
      <c r="T45" s="1">
        <f>SUM(OSRRefT22_4x_0)</f>
        <v>147.99</v>
      </c>
      <c r="U45" s="1"/>
      <c r="V45" s="5">
        <f t="shared" si="33"/>
        <v>6.1775060595306791E-5</v>
      </c>
      <c r="W45" s="1"/>
      <c r="X45" s="1">
        <f t="shared" si="34"/>
        <v>-77.100000000000009</v>
      </c>
      <c r="Y45" s="1"/>
      <c r="Z45" s="5">
        <f t="shared" si="35"/>
        <v>-0.5209811473748226</v>
      </c>
    </row>
    <row r="46" spans="1:26" s="24" customFormat="1" hidden="1" outlineLevel="2" x14ac:dyDescent="0.35">
      <c r="A46" s="27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70.89</v>
      </c>
      <c r="Q46" s="2"/>
      <c r="R46" s="6">
        <f t="shared" si="32"/>
        <v>3.6149946735814835E-5</v>
      </c>
      <c r="S46" s="2"/>
      <c r="T46" s="7">
        <v>147.99</v>
      </c>
      <c r="U46" s="2"/>
      <c r="V46" s="6">
        <f t="shared" si="33"/>
        <v>6.1775060595306791E-5</v>
      </c>
      <c r="W46" s="2"/>
      <c r="X46" s="7">
        <f t="shared" si="34"/>
        <v>-77.100000000000009</v>
      </c>
      <c r="Y46" s="2"/>
      <c r="Z46" s="6">
        <f t="shared" si="35"/>
        <v>-0.5209811473748226</v>
      </c>
    </row>
    <row r="47" spans="1:26" s="25" customFormat="1" outlineLevel="1" collapsed="1" x14ac:dyDescent="0.35">
      <c r="A47" s="26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213.01</v>
      </c>
      <c r="E47" s="1"/>
      <c r="F47" s="5">
        <f t="shared" si="28"/>
        <v>-6.3886734437412235E-3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213.01</v>
      </c>
      <c r="M47" s="1"/>
      <c r="N47" s="5">
        <f t="shared" si="31"/>
        <v>0</v>
      </c>
      <c r="O47" s="12"/>
      <c r="P47" s="1">
        <f>SUM(OSRRefP22_5x_0)</f>
        <v>852.07</v>
      </c>
      <c r="Q47" s="1"/>
      <c r="R47" s="5">
        <f t="shared" si="32"/>
        <v>4.3450818331479402E-4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852.07</v>
      </c>
      <c r="Y47" s="1"/>
      <c r="Z47" s="5">
        <f t="shared" si="35"/>
        <v>0</v>
      </c>
    </row>
    <row r="48" spans="1:26" s="24" customFormat="1" hidden="1" outlineLevel="2" x14ac:dyDescent="0.3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213.01</v>
      </c>
      <c r="E48" s="2"/>
      <c r="F48" s="6">
        <f t="shared" si="28"/>
        <v>-6.3886734437412235E-3</v>
      </c>
      <c r="G48" s="2"/>
      <c r="H48" s="7"/>
      <c r="I48" s="2"/>
      <c r="J48" s="6">
        <f t="shared" si="29"/>
        <v>0</v>
      </c>
      <c r="K48" s="2"/>
      <c r="L48" s="7">
        <f t="shared" si="30"/>
        <v>213.01</v>
      </c>
      <c r="M48" s="2"/>
      <c r="N48" s="6">
        <f t="shared" si="31"/>
        <v>0</v>
      </c>
      <c r="O48" s="11"/>
      <c r="P48" s="7">
        <v>852.07</v>
      </c>
      <c r="Q48" s="2"/>
      <c r="R48" s="6">
        <f t="shared" si="32"/>
        <v>4.3450818331479402E-4</v>
      </c>
      <c r="S48" s="2"/>
      <c r="T48" s="7"/>
      <c r="U48" s="2"/>
      <c r="V48" s="6">
        <f t="shared" si="33"/>
        <v>0</v>
      </c>
      <c r="W48" s="2"/>
      <c r="X48" s="7">
        <f t="shared" si="34"/>
        <v>852.07</v>
      </c>
      <c r="Y48" s="2"/>
      <c r="Z48" s="6">
        <f t="shared" si="35"/>
        <v>0</v>
      </c>
    </row>
    <row r="49" spans="1:26" s="25" customFormat="1" outlineLevel="1" collapsed="1" x14ac:dyDescent="0.35">
      <c r="A49" s="26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SUM(OSRRefP22_6x_0)</f>
        <v>21833.94</v>
      </c>
      <c r="Q49" s="1"/>
      <c r="R49" s="5">
        <f t="shared" si="32"/>
        <v>1.1134091804668879E-2</v>
      </c>
      <c r="S49" s="1"/>
      <c r="T49" s="1">
        <f>SUM(OSRRefT22_6x_0)</f>
        <v>23385.88</v>
      </c>
      <c r="U49" s="1"/>
      <c r="V49" s="5">
        <f t="shared" si="33"/>
        <v>9.7619038723871423E-3</v>
      </c>
      <c r="W49" s="1"/>
      <c r="X49" s="1">
        <f t="shared" si="34"/>
        <v>-1551.9400000000023</v>
      </c>
      <c r="Y49" s="1"/>
      <c r="Z49" s="5">
        <f t="shared" si="35"/>
        <v>-6.6362266461642769E-2</v>
      </c>
    </row>
    <row r="50" spans="1:26" s="24" customFormat="1" hidden="1" outlineLevel="2" x14ac:dyDescent="0.35">
      <c r="A50" s="27"/>
      <c r="B50" s="11" t="str">
        <f>CONCATENATE("          ", "6399", " - ", "DONATION-ON CAMPUS")</f>
        <v xml:space="preserve">          6399 - DONATION-ON CAMPUS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21833.94</v>
      </c>
      <c r="Q50" s="2"/>
      <c r="R50" s="6">
        <f t="shared" si="32"/>
        <v>1.1134091804668879E-2</v>
      </c>
      <c r="S50" s="2"/>
      <c r="T50" s="7">
        <v>23385.88</v>
      </c>
      <c r="U50" s="2"/>
      <c r="V50" s="6">
        <f t="shared" si="33"/>
        <v>9.7619038723871423E-3</v>
      </c>
      <c r="W50" s="2"/>
      <c r="X50" s="7">
        <f t="shared" si="34"/>
        <v>-1551.9400000000023</v>
      </c>
      <c r="Y50" s="2"/>
      <c r="Z50" s="6">
        <f t="shared" si="35"/>
        <v>-6.6362266461642769E-2</v>
      </c>
    </row>
    <row r="51" spans="1:26" s="25" customFormat="1" outlineLevel="1" collapsed="1" x14ac:dyDescent="0.35">
      <c r="A51" s="26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479.11</v>
      </c>
      <c r="I51" s="1"/>
      <c r="J51" s="5">
        <f t="shared" si="29"/>
        <v>-4.7804014615290984E-2</v>
      </c>
      <c r="K51" s="1"/>
      <c r="L51" s="1">
        <f t="shared" si="30"/>
        <v>-479.11</v>
      </c>
      <c r="M51" s="1"/>
      <c r="N51" s="5">
        <f t="shared" si="31"/>
        <v>-1</v>
      </c>
      <c r="O51" s="12"/>
      <c r="P51" s="1">
        <f>SUM(OSRRefP22_7x_0)</f>
        <v>21.34</v>
      </c>
      <c r="Q51" s="1"/>
      <c r="R51" s="5">
        <f t="shared" si="32"/>
        <v>1.0882209949813635E-5</v>
      </c>
      <c r="S51" s="1"/>
      <c r="T51" s="1">
        <f>SUM(OSRRefT22_7x_0)</f>
        <v>636.29</v>
      </c>
      <c r="U51" s="1"/>
      <c r="V51" s="5">
        <f t="shared" si="33"/>
        <v>2.6560479293322354E-4</v>
      </c>
      <c r="W51" s="1"/>
      <c r="X51" s="1">
        <f t="shared" si="34"/>
        <v>-614.94999999999993</v>
      </c>
      <c r="Y51" s="1"/>
      <c r="Z51" s="5">
        <f t="shared" si="35"/>
        <v>-0.96646183344072667</v>
      </c>
    </row>
    <row r="52" spans="1:26" s="24" customFormat="1" hidden="1" outlineLevel="2" x14ac:dyDescent="0.35">
      <c r="A52" s="27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8"/>
        <v>0</v>
      </c>
      <c r="G52" s="2"/>
      <c r="H52" s="7">
        <v>479.11</v>
      </c>
      <c r="I52" s="2"/>
      <c r="J52" s="6">
        <f t="shared" si="29"/>
        <v>-4.7804014615290984E-2</v>
      </c>
      <c r="K52" s="2"/>
      <c r="L52" s="7">
        <f t="shared" si="30"/>
        <v>-479.11</v>
      </c>
      <c r="M52" s="2"/>
      <c r="N52" s="6">
        <f t="shared" si="31"/>
        <v>-1</v>
      </c>
      <c r="O52" s="11"/>
      <c r="P52" s="7">
        <v>21.34</v>
      </c>
      <c r="Q52" s="2"/>
      <c r="R52" s="6">
        <f t="shared" si="32"/>
        <v>1.0882209949813635E-5</v>
      </c>
      <c r="S52" s="2"/>
      <c r="T52" s="7">
        <v>636.29</v>
      </c>
      <c r="U52" s="2"/>
      <c r="V52" s="6">
        <f t="shared" si="33"/>
        <v>2.6560479293322354E-4</v>
      </c>
      <c r="W52" s="2"/>
      <c r="X52" s="7">
        <f t="shared" si="34"/>
        <v>-614.94999999999993</v>
      </c>
      <c r="Y52" s="2"/>
      <c r="Z52" s="6">
        <f t="shared" si="35"/>
        <v>-0.96646183344072667</v>
      </c>
    </row>
    <row r="53" spans="1:26" s="25" customFormat="1" outlineLevel="1" collapsed="1" x14ac:dyDescent="0.35">
      <c r="A53" s="26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2"/>
      <c r="P53" s="1">
        <f>SUM(OSRRefP22_8x_0)</f>
        <v>0.01</v>
      </c>
      <c r="Q53" s="1"/>
      <c r="R53" s="5">
        <f t="shared" si="32"/>
        <v>5.0994423382444394E-9</v>
      </c>
      <c r="S53" s="1"/>
      <c r="T53" s="1">
        <f>SUM(OSRRefT22_8x_0)</f>
        <v>566.29</v>
      </c>
      <c r="U53" s="1"/>
      <c r="V53" s="5">
        <f t="shared" si="33"/>
        <v>2.3638488454974174E-4</v>
      </c>
      <c r="W53" s="1"/>
      <c r="X53" s="1">
        <f t="shared" si="34"/>
        <v>-566.28</v>
      </c>
      <c r="Y53" s="1"/>
      <c r="Z53" s="5">
        <f t="shared" si="35"/>
        <v>-0.99998234120327045</v>
      </c>
    </row>
    <row r="54" spans="1:26" s="24" customFormat="1" hidden="1" outlineLevel="2" x14ac:dyDescent="0.35">
      <c r="A54" s="27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0.01</v>
      </c>
      <c r="Q54" s="2"/>
      <c r="R54" s="6">
        <f t="shared" si="32"/>
        <v>5.0994423382444394E-9</v>
      </c>
      <c r="S54" s="2"/>
      <c r="T54" s="7">
        <v>566.29</v>
      </c>
      <c r="U54" s="2"/>
      <c r="V54" s="6">
        <f t="shared" si="33"/>
        <v>2.3638488454974174E-4</v>
      </c>
      <c r="W54" s="2"/>
      <c r="X54" s="7">
        <f t="shared" si="34"/>
        <v>-566.28</v>
      </c>
      <c r="Y54" s="2"/>
      <c r="Z54" s="6">
        <f t="shared" si="35"/>
        <v>-0.99998234120327045</v>
      </c>
    </row>
    <row r="55" spans="1:26" s="25" customFormat="1" outlineLevel="1" collapsed="1" x14ac:dyDescent="0.35">
      <c r="A55" s="26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2"/>
      <c r="P55" s="1">
        <f>SUM(OSRRefP22_9x_0)</f>
        <v>1950.43</v>
      </c>
      <c r="Q55" s="1"/>
      <c r="R55" s="5">
        <f t="shared" si="32"/>
        <v>9.9461053197821034E-4</v>
      </c>
      <c r="S55" s="1"/>
      <c r="T55" s="1">
        <f>SUM(OSRRefT22_9x_0)</f>
        <v>1968.51</v>
      </c>
      <c r="U55" s="1"/>
      <c r="V55" s="5">
        <f t="shared" si="33"/>
        <v>8.2170974074239722E-4</v>
      </c>
      <c r="W55" s="1"/>
      <c r="X55" s="1">
        <f t="shared" si="34"/>
        <v>-18.079999999999927</v>
      </c>
      <c r="Y55" s="1"/>
      <c r="Z55" s="5">
        <f t="shared" si="35"/>
        <v>-9.1846117113958924E-3</v>
      </c>
    </row>
    <row r="56" spans="1:26" s="24" customFormat="1" hidden="1" outlineLevel="2" x14ac:dyDescent="0.35">
      <c r="A56" s="27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1950.43</v>
      </c>
      <c r="Q56" s="2"/>
      <c r="R56" s="6">
        <f t="shared" si="32"/>
        <v>9.9461053197821034E-4</v>
      </c>
      <c r="S56" s="2"/>
      <c r="T56" s="7">
        <v>1968.51</v>
      </c>
      <c r="U56" s="2"/>
      <c r="V56" s="6">
        <f t="shared" si="33"/>
        <v>8.2170974074239722E-4</v>
      </c>
      <c r="W56" s="2"/>
      <c r="X56" s="7">
        <f t="shared" si="34"/>
        <v>-18.079999999999927</v>
      </c>
      <c r="Y56" s="2"/>
      <c r="Z56" s="6">
        <f t="shared" si="35"/>
        <v>-9.1846117113958924E-3</v>
      </c>
    </row>
    <row r="57" spans="1:26" s="25" customFormat="1" outlineLevel="1" collapsed="1" x14ac:dyDescent="0.35">
      <c r="A57" s="26"/>
      <c r="B57" s="12" t="str">
        <f>CONCATENATE("     ","Insurance                                         ")</f>
        <v xml:space="preserve">     Insurance                                         </v>
      </c>
      <c r="C57" s="12"/>
      <c r="D57" s="1">
        <f>SUM(OSRRefD22_10x_0)</f>
        <v>5.9</v>
      </c>
      <c r="E57" s="1"/>
      <c r="F57" s="5">
        <f t="shared" si="28"/>
        <v>-1.7695494727042497E-4</v>
      </c>
      <c r="G57" s="1"/>
      <c r="H57" s="1">
        <f>SUM(OSRRefH22_10x_0)</f>
        <v>4.93</v>
      </c>
      <c r="I57" s="1"/>
      <c r="J57" s="5">
        <f t="shared" si="29"/>
        <v>-4.9189912974762482E-4</v>
      </c>
      <c r="K57" s="1"/>
      <c r="L57" s="1">
        <f t="shared" si="30"/>
        <v>0.97000000000000064</v>
      </c>
      <c r="M57" s="1"/>
      <c r="N57" s="5">
        <f t="shared" si="31"/>
        <v>0.19675456389452348</v>
      </c>
      <c r="O57" s="12"/>
      <c r="P57" s="1">
        <f>SUM(OSRRefP22_10x_0)</f>
        <v>70.8</v>
      </c>
      <c r="Q57" s="1"/>
      <c r="R57" s="5">
        <f t="shared" si="32"/>
        <v>3.6104051754770634E-5</v>
      </c>
      <c r="S57" s="1"/>
      <c r="T57" s="1">
        <f>SUM(OSRRefT22_10x_0)</f>
        <v>59.16</v>
      </c>
      <c r="U57" s="1"/>
      <c r="V57" s="5">
        <f t="shared" si="33"/>
        <v>2.4694996856668353E-5</v>
      </c>
      <c r="W57" s="1"/>
      <c r="X57" s="1">
        <f t="shared" si="34"/>
        <v>11.64</v>
      </c>
      <c r="Y57" s="1"/>
      <c r="Z57" s="5">
        <f t="shared" si="35"/>
        <v>0.19675456389452334</v>
      </c>
    </row>
    <row r="58" spans="1:26" s="24" customFormat="1" hidden="1" outlineLevel="2" x14ac:dyDescent="0.35">
      <c r="A58" s="27"/>
      <c r="B58" s="11" t="str">
        <f>CONCATENATE("          ", "6314", " - ", "LIABILITY INSURANCE")</f>
        <v xml:space="preserve">          6314 - LIABILITY INSURANCE</v>
      </c>
      <c r="C58" s="11"/>
      <c r="D58" s="7">
        <v>5.9</v>
      </c>
      <c r="E58" s="2"/>
      <c r="F58" s="6">
        <f t="shared" si="28"/>
        <v>-1.7695494727042497E-4</v>
      </c>
      <c r="G58" s="2"/>
      <c r="H58" s="7">
        <v>4.93</v>
      </c>
      <c r="I58" s="2"/>
      <c r="J58" s="6">
        <f t="shared" si="29"/>
        <v>-4.9189912974762482E-4</v>
      </c>
      <c r="K58" s="2"/>
      <c r="L58" s="7">
        <f t="shared" si="30"/>
        <v>0.97000000000000064</v>
      </c>
      <c r="M58" s="2"/>
      <c r="N58" s="6">
        <f t="shared" si="31"/>
        <v>0.19675456389452348</v>
      </c>
      <c r="O58" s="11"/>
      <c r="P58" s="7">
        <v>70.8</v>
      </c>
      <c r="Q58" s="2"/>
      <c r="R58" s="6">
        <f t="shared" si="32"/>
        <v>3.6104051754770634E-5</v>
      </c>
      <c r="S58" s="2"/>
      <c r="T58" s="7">
        <v>59.16</v>
      </c>
      <c r="U58" s="2"/>
      <c r="V58" s="6">
        <f t="shared" si="33"/>
        <v>2.4694996856668353E-5</v>
      </c>
      <c r="W58" s="2"/>
      <c r="X58" s="7">
        <f t="shared" si="34"/>
        <v>11.64</v>
      </c>
      <c r="Y58" s="2"/>
      <c r="Z58" s="6">
        <f t="shared" si="35"/>
        <v>0.19675456389452334</v>
      </c>
    </row>
    <row r="59" spans="1:26" s="25" customFormat="1" outlineLevel="1" collapsed="1" x14ac:dyDescent="0.35">
      <c r="A59" s="26"/>
      <c r="B59" s="12" t="str">
        <f>CONCATENATE("     ","R/H Commissions                                   ")</f>
        <v xml:space="preserve">     R/H Commissions                                   </v>
      </c>
      <c r="C59" s="12"/>
      <c r="D59" s="1">
        <f>SUM(OSRRefD22_11x_0)</f>
        <v>-2667</v>
      </c>
      <c r="E59" s="1"/>
      <c r="F59" s="5">
        <f t="shared" si="28"/>
        <v>7.998963463902091E-2</v>
      </c>
      <c r="G59" s="1"/>
      <c r="H59" s="1">
        <f>SUM(OSRRefH22_11x_0)</f>
        <v>-801.79</v>
      </c>
      <c r="I59" s="1"/>
      <c r="J59" s="5">
        <f t="shared" si="29"/>
        <v>7.9999960089320102E-2</v>
      </c>
      <c r="K59" s="1"/>
      <c r="L59" s="1">
        <f t="shared" si="30"/>
        <v>-1865.21</v>
      </c>
      <c r="M59" s="1"/>
      <c r="N59" s="5">
        <f t="shared" si="31"/>
        <v>2.3263073872210929</v>
      </c>
      <c r="O59" s="12"/>
      <c r="P59" s="1">
        <f>SUM(OSRRefP22_11x_0)</f>
        <v>153541.5</v>
      </c>
      <c r="Q59" s="1"/>
      <c r="R59" s="5">
        <f t="shared" si="32"/>
        <v>7.8297602577755865E-2</v>
      </c>
      <c r="S59" s="1"/>
      <c r="T59" s="1">
        <f>SUM(OSRRefT22_11x_0)</f>
        <v>189050.59</v>
      </c>
      <c r="U59" s="1"/>
      <c r="V59" s="5">
        <f t="shared" si="33"/>
        <v>7.8914870280616931E-2</v>
      </c>
      <c r="W59" s="1"/>
      <c r="X59" s="1">
        <f t="shared" si="34"/>
        <v>-35509.089999999997</v>
      </c>
      <c r="Y59" s="1"/>
      <c r="Z59" s="5">
        <f t="shared" si="35"/>
        <v>-0.18782850664470285</v>
      </c>
    </row>
    <row r="60" spans="1:26" s="24" customFormat="1" hidden="1" outlineLevel="2" x14ac:dyDescent="0.35">
      <c r="A60" s="27"/>
      <c r="B60" s="11" t="str">
        <f>CONCATENATE("          ", "6387", " - ", "COMMISSION DUE HOUSING")</f>
        <v xml:space="preserve">          6387 - COMMISSION DUE HOUSING</v>
      </c>
      <c r="C60" s="11"/>
      <c r="D60" s="7">
        <v>-2667</v>
      </c>
      <c r="E60" s="2"/>
      <c r="F60" s="6">
        <f t="shared" si="28"/>
        <v>7.998963463902091E-2</v>
      </c>
      <c r="G60" s="2"/>
      <c r="H60" s="7">
        <v>-801.79</v>
      </c>
      <c r="I60" s="2"/>
      <c r="J60" s="6">
        <f t="shared" si="29"/>
        <v>7.9999960089320102E-2</v>
      </c>
      <c r="K60" s="2"/>
      <c r="L60" s="7">
        <f t="shared" si="30"/>
        <v>-1865.21</v>
      </c>
      <c r="M60" s="2"/>
      <c r="N60" s="6">
        <f t="shared" si="31"/>
        <v>2.3263073872210929</v>
      </c>
      <c r="O60" s="11"/>
      <c r="P60" s="7">
        <v>153541.5</v>
      </c>
      <c r="Q60" s="2"/>
      <c r="R60" s="6">
        <f t="shared" si="32"/>
        <v>7.8297602577755865E-2</v>
      </c>
      <c r="S60" s="2"/>
      <c r="T60" s="7">
        <v>189050.59</v>
      </c>
      <c r="U60" s="2"/>
      <c r="V60" s="6">
        <f t="shared" si="33"/>
        <v>7.8914870280616931E-2</v>
      </c>
      <c r="W60" s="2"/>
      <c r="X60" s="7">
        <f t="shared" si="34"/>
        <v>-35509.089999999997</v>
      </c>
      <c r="Y60" s="2"/>
      <c r="Z60" s="6">
        <f t="shared" si="35"/>
        <v>-0.18782850664470285</v>
      </c>
    </row>
    <row r="61" spans="1:26" s="25" customFormat="1" outlineLevel="1" collapsed="1" x14ac:dyDescent="0.35">
      <c r="A61" s="26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SUM(OSRRefD22_12x_0)</f>
        <v>72.33</v>
      </c>
      <c r="E61" s="1"/>
      <c r="F61" s="5">
        <f t="shared" si="28"/>
        <v>-2.1693476840796335E-3</v>
      </c>
      <c r="G61" s="1"/>
      <c r="H61" s="1">
        <f>SUM(OSRRefH22_12x_0)</f>
        <v>67.459999999999994</v>
      </c>
      <c r="I61" s="1"/>
      <c r="J61" s="5">
        <f t="shared" si="29"/>
        <v>-6.7309361648630363E-3</v>
      </c>
      <c r="K61" s="1"/>
      <c r="L61" s="1">
        <f t="shared" si="30"/>
        <v>4.8700000000000045</v>
      </c>
      <c r="M61" s="1"/>
      <c r="N61" s="5">
        <f t="shared" si="31"/>
        <v>7.219092795730811E-2</v>
      </c>
      <c r="O61" s="12"/>
      <c r="P61" s="1">
        <f>SUM(OSRRefP22_12x_0)</f>
        <v>284.49</v>
      </c>
      <c r="Q61" s="1"/>
      <c r="R61" s="5">
        <f t="shared" si="32"/>
        <v>1.4507403508071606E-4</v>
      </c>
      <c r="S61" s="1"/>
      <c r="T61" s="1">
        <f>SUM(OSRRefT22_12x_0)</f>
        <v>3331.42</v>
      </c>
      <c r="U61" s="1"/>
      <c r="V61" s="5">
        <f t="shared" si="33"/>
        <v>1.3906255312414147E-3</v>
      </c>
      <c r="W61" s="1"/>
      <c r="X61" s="1">
        <f t="shared" si="34"/>
        <v>-3046.9300000000003</v>
      </c>
      <c r="Y61" s="1"/>
      <c r="Z61" s="5">
        <f t="shared" si="35"/>
        <v>-0.91460398268606191</v>
      </c>
    </row>
    <row r="62" spans="1:26" s="24" customFormat="1" hidden="1" outlineLevel="2" x14ac:dyDescent="0.35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28"/>
        <v>0</v>
      </c>
      <c r="G62" s="2"/>
      <c r="H62" s="7"/>
      <c r="I62" s="2"/>
      <c r="J62" s="6">
        <f t="shared" si="29"/>
        <v>0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/>
      <c r="Q62" s="2"/>
      <c r="R62" s="6">
        <f t="shared" si="32"/>
        <v>0</v>
      </c>
      <c r="S62" s="2"/>
      <c r="T62" s="7">
        <v>2971.97</v>
      </c>
      <c r="U62" s="2"/>
      <c r="V62" s="6">
        <f t="shared" si="33"/>
        <v>1.2405813016922354E-3</v>
      </c>
      <c r="W62" s="2"/>
      <c r="X62" s="7">
        <f t="shared" si="34"/>
        <v>-2971.97</v>
      </c>
      <c r="Y62" s="2"/>
      <c r="Z62" s="6">
        <f t="shared" si="35"/>
        <v>-1</v>
      </c>
    </row>
    <row r="63" spans="1:26" s="24" customFormat="1" hidden="1" outlineLevel="2" x14ac:dyDescent="0.35">
      <c r="A63" s="27"/>
      <c r="B63" s="11" t="str">
        <f>CONCATENATE("          ", "6373", " - ", "MAINTENANCE CONTRACTS")</f>
        <v xml:space="preserve">          6373 - MAINTENANCE CONTRACTS</v>
      </c>
      <c r="C63" s="11"/>
      <c r="D63" s="7">
        <v>72.33</v>
      </c>
      <c r="E63" s="2"/>
      <c r="F63" s="6">
        <f t="shared" si="28"/>
        <v>-2.1693476840796335E-3</v>
      </c>
      <c r="G63" s="2"/>
      <c r="H63" s="7">
        <v>67.459999999999994</v>
      </c>
      <c r="I63" s="2"/>
      <c r="J63" s="6">
        <f t="shared" si="29"/>
        <v>-6.7309361648630363E-3</v>
      </c>
      <c r="K63" s="2"/>
      <c r="L63" s="7">
        <f t="shared" si="30"/>
        <v>4.8700000000000045</v>
      </c>
      <c r="M63" s="2"/>
      <c r="N63" s="6">
        <f t="shared" si="31"/>
        <v>7.219092795730811E-2</v>
      </c>
      <c r="O63" s="11"/>
      <c r="P63" s="7">
        <v>284.49</v>
      </c>
      <c r="Q63" s="2"/>
      <c r="R63" s="6">
        <f t="shared" si="32"/>
        <v>1.4507403508071606E-4</v>
      </c>
      <c r="S63" s="2"/>
      <c r="T63" s="7">
        <v>269.83999999999997</v>
      </c>
      <c r="U63" s="2"/>
      <c r="V63" s="6">
        <f t="shared" si="33"/>
        <v>1.1263857254569621E-4</v>
      </c>
      <c r="W63" s="2"/>
      <c r="X63" s="7">
        <f t="shared" si="34"/>
        <v>14.650000000000034</v>
      </c>
      <c r="Y63" s="2"/>
      <c r="Z63" s="6">
        <f t="shared" si="35"/>
        <v>5.4291431959679941E-2</v>
      </c>
    </row>
    <row r="64" spans="1:26" s="24" customFormat="1" hidden="1" outlineLevel="2" x14ac:dyDescent="0.3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7"/>
      <c r="E64" s="2"/>
      <c r="F64" s="6">
        <f t="shared" si="28"/>
        <v>0</v>
      </c>
      <c r="G64" s="2"/>
      <c r="H64" s="7"/>
      <c r="I64" s="2"/>
      <c r="J64" s="6">
        <f t="shared" si="29"/>
        <v>0</v>
      </c>
      <c r="K64" s="2"/>
      <c r="L64" s="7">
        <f t="shared" si="30"/>
        <v>0</v>
      </c>
      <c r="M64" s="2"/>
      <c r="N64" s="6">
        <f t="shared" si="31"/>
        <v>0</v>
      </c>
      <c r="O64" s="11"/>
      <c r="P64" s="7">
        <v>0</v>
      </c>
      <c r="Q64" s="2"/>
      <c r="R64" s="6">
        <f t="shared" si="32"/>
        <v>0</v>
      </c>
      <c r="S64" s="2"/>
      <c r="T64" s="7">
        <v>89.61</v>
      </c>
      <c r="U64" s="2"/>
      <c r="V64" s="6">
        <f t="shared" si="33"/>
        <v>3.7405657003482948E-5</v>
      </c>
      <c r="W64" s="2"/>
      <c r="X64" s="7">
        <f t="shared" si="34"/>
        <v>-89.61</v>
      </c>
      <c r="Y64" s="2"/>
      <c r="Z64" s="6">
        <f t="shared" si="35"/>
        <v>-1</v>
      </c>
    </row>
    <row r="65" spans="1:26" s="25" customFormat="1" outlineLevel="1" collapsed="1" x14ac:dyDescent="0.35">
      <c r="A65" s="26"/>
      <c r="B65" s="12" t="str">
        <f>CONCATENATE("     ","Services                                          ")</f>
        <v xml:space="preserve">     Services                                          </v>
      </c>
      <c r="C65" s="12"/>
      <c r="D65" s="1">
        <f>SUM(OSRRefD22_13x_0)</f>
        <v>1051.05</v>
      </c>
      <c r="E65" s="1"/>
      <c r="F65" s="5">
        <f t="shared" ref="F65:F68" si="36">IF(D$12=0,0,D65/D$12)</f>
        <v>-3.152347412348816E-2</v>
      </c>
      <c r="G65" s="1"/>
      <c r="H65" s="1">
        <f>SUM(OSRRefH22_13x_0)</f>
        <v>4036.07</v>
      </c>
      <c r="I65" s="1"/>
      <c r="J65" s="5">
        <f t="shared" ref="J65:J68" si="37">IF(H$12=0,0,H65/H$12)</f>
        <v>-0.40270574454371122</v>
      </c>
      <c r="K65" s="1"/>
      <c r="L65" s="1">
        <f t="shared" ref="L65:L68" si="38">+D65-H65</f>
        <v>-2985.0200000000004</v>
      </c>
      <c r="M65" s="1"/>
      <c r="N65" s="5">
        <f t="shared" ref="N65:N68" si="39">IF(H65=0,0,L65/H65)</f>
        <v>-0.73958578518212026</v>
      </c>
      <c r="O65" s="12"/>
      <c r="P65" s="1">
        <f>SUM(OSRRefP22_13x_0)</f>
        <v>58096.53</v>
      </c>
      <c r="Q65" s="1"/>
      <c r="R65" s="5">
        <f t="shared" ref="R65:R68" si="40">IF(P$12=0,0,P65/P$12)</f>
        <v>2.9625990478708824E-2</v>
      </c>
      <c r="S65" s="1"/>
      <c r="T65" s="1">
        <f>SUM(OSRRefT22_13x_0)</f>
        <v>55723.150000000009</v>
      </c>
      <c r="U65" s="1"/>
      <c r="V65" s="5">
        <f t="shared" ref="V65:V68" si="41">IF(T$12=0,0,T65/T$12)</f>
        <v>2.3260361969128791E-2</v>
      </c>
      <c r="W65" s="1"/>
      <c r="X65" s="1">
        <f t="shared" ref="X65:X68" si="42">+P65-T65</f>
        <v>2373.3799999999901</v>
      </c>
      <c r="Y65" s="1"/>
      <c r="Z65" s="5">
        <f t="shared" ref="Z65:Z68" si="43">IF(T65=0,0,X65/T65)</f>
        <v>4.2592351652768909E-2</v>
      </c>
    </row>
    <row r="66" spans="1:26" s="24" customFormat="1" hidden="1" outlineLevel="2" x14ac:dyDescent="0.35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7">
        <v>741.41</v>
      </c>
      <c r="E66" s="2"/>
      <c r="F66" s="6">
        <f t="shared" si="36"/>
        <v>-2.2236638551824704E-2</v>
      </c>
      <c r="G66" s="2"/>
      <c r="H66" s="7"/>
      <c r="I66" s="2"/>
      <c r="J66" s="6">
        <f t="shared" si="37"/>
        <v>0</v>
      </c>
      <c r="K66" s="2"/>
      <c r="L66" s="7">
        <f t="shared" si="38"/>
        <v>741.41</v>
      </c>
      <c r="M66" s="2"/>
      <c r="N66" s="6">
        <f t="shared" si="39"/>
        <v>0</v>
      </c>
      <c r="O66" s="11"/>
      <c r="P66" s="7">
        <v>8855.32</v>
      </c>
      <c r="Q66" s="2"/>
      <c r="R66" s="6">
        <f t="shared" si="40"/>
        <v>4.5157193726702754E-3</v>
      </c>
      <c r="S66" s="2"/>
      <c r="T66" s="7">
        <v>7516.04</v>
      </c>
      <c r="U66" s="2"/>
      <c r="V66" s="6">
        <f t="shared" si="41"/>
        <v>3.1374000029512103E-3</v>
      </c>
      <c r="W66" s="2"/>
      <c r="X66" s="7">
        <f t="shared" si="42"/>
        <v>1339.2799999999997</v>
      </c>
      <c r="Y66" s="2"/>
      <c r="Z66" s="6">
        <f t="shared" si="43"/>
        <v>0.17818957855466439</v>
      </c>
    </row>
    <row r="67" spans="1:26" s="24" customFormat="1" hidden="1" outlineLevel="2" x14ac:dyDescent="0.35">
      <c r="A67" s="27"/>
      <c r="B67" s="11" t="str">
        <f>CONCATENATE("          ", "6285", " - ", "JANITORIAL SERVICES")</f>
        <v xml:space="preserve">          6285 - JANITORIAL SERVICES</v>
      </c>
      <c r="C67" s="11"/>
      <c r="D67" s="7"/>
      <c r="E67" s="2"/>
      <c r="F67" s="6">
        <f t="shared" si="36"/>
        <v>0</v>
      </c>
      <c r="G67" s="2"/>
      <c r="H67" s="7">
        <v>3639.27</v>
      </c>
      <c r="I67" s="2"/>
      <c r="J67" s="6">
        <f t="shared" si="37"/>
        <v>-0.36311435008451087</v>
      </c>
      <c r="K67" s="2"/>
      <c r="L67" s="7">
        <f t="shared" si="38"/>
        <v>-3639.27</v>
      </c>
      <c r="M67" s="2"/>
      <c r="N67" s="6">
        <f t="shared" si="39"/>
        <v>-1</v>
      </c>
      <c r="O67" s="11"/>
      <c r="P67" s="7">
        <v>35826.720000000001</v>
      </c>
      <c r="Q67" s="2"/>
      <c r="R67" s="6">
        <f t="shared" si="40"/>
        <v>1.8269629280842883E-2</v>
      </c>
      <c r="S67" s="2"/>
      <c r="T67" s="7">
        <v>34911.910000000003</v>
      </c>
      <c r="U67" s="2"/>
      <c r="V67" s="6">
        <f t="shared" si="41"/>
        <v>1.4573183024176616E-2</v>
      </c>
      <c r="W67" s="2"/>
      <c r="X67" s="7">
        <f t="shared" si="42"/>
        <v>914.80999999999767</v>
      </c>
      <c r="Y67" s="2"/>
      <c r="Z67" s="6">
        <f t="shared" si="43"/>
        <v>2.6203378732358028E-2</v>
      </c>
    </row>
    <row r="68" spans="1:26" s="24" customFormat="1" hidden="1" outlineLevel="2" x14ac:dyDescent="0.35">
      <c r="A68" s="27"/>
      <c r="B68" s="11" t="str">
        <f>CONCATENATE("          ", "6286", " - ", "LAUNDRY EXPENSE")</f>
        <v xml:space="preserve">          6286 - LAUNDRY EXPENSE</v>
      </c>
      <c r="C68" s="11"/>
      <c r="D68" s="7">
        <v>309.64</v>
      </c>
      <c r="E68" s="2"/>
      <c r="F68" s="6">
        <f t="shared" si="36"/>
        <v>-9.2868355716634546E-3</v>
      </c>
      <c r="G68" s="2"/>
      <c r="H68" s="7">
        <v>396.8</v>
      </c>
      <c r="I68" s="2"/>
      <c r="J68" s="6">
        <f t="shared" si="37"/>
        <v>-3.9591394459200312E-2</v>
      </c>
      <c r="K68" s="2"/>
      <c r="L68" s="7">
        <f t="shared" si="38"/>
        <v>-87.160000000000025</v>
      </c>
      <c r="M68" s="2"/>
      <c r="N68" s="6">
        <f t="shared" si="39"/>
        <v>-0.21965725806451619</v>
      </c>
      <c r="O68" s="11"/>
      <c r="P68" s="7">
        <v>13414.49</v>
      </c>
      <c r="Q68" s="2"/>
      <c r="R68" s="6">
        <f t="shared" si="40"/>
        <v>6.840641825195665E-3</v>
      </c>
      <c r="S68" s="2"/>
      <c r="T68" s="7">
        <v>13295.2</v>
      </c>
      <c r="U68" s="2"/>
      <c r="V68" s="6">
        <f t="shared" si="41"/>
        <v>5.5497789420009651E-3</v>
      </c>
      <c r="W68" s="2"/>
      <c r="X68" s="7">
        <f t="shared" si="42"/>
        <v>119.28999999999905</v>
      </c>
      <c r="Y68" s="2"/>
      <c r="Z68" s="6">
        <f t="shared" si="43"/>
        <v>8.9724110957337278E-3</v>
      </c>
    </row>
    <row r="69" spans="1:26" s="25" customFormat="1" outlineLevel="1" collapsed="1" x14ac:dyDescent="0.35">
      <c r="A69" s="26"/>
      <c r="B69" s="12" t="str">
        <f>CONCATENATE("     ","Supplies                                          ")</f>
        <v xml:space="preserve">     Supplies                                          </v>
      </c>
      <c r="C69" s="12"/>
      <c r="D69" s="1">
        <f>SUM(OSRRefD22_14x_0)</f>
        <v>0</v>
      </c>
      <c r="E69" s="1"/>
      <c r="F69" s="5">
        <f t="shared" ref="F69:F76" si="44">IF(D$12=0,0,D69/D$12)</f>
        <v>0</v>
      </c>
      <c r="G69" s="1"/>
      <c r="H69" s="1">
        <f>SUM(OSRRefH22_14x_0)</f>
        <v>3276.3700000000003</v>
      </c>
      <c r="I69" s="1"/>
      <c r="J69" s="5">
        <f t="shared" ref="J69:J76" si="45">IF(H$12=0,0,H69/H$12)</f>
        <v>-0.32690538574669897</v>
      </c>
      <c r="K69" s="1"/>
      <c r="L69" s="1">
        <f t="shared" ref="L69:L76" si="46">+D69-H69</f>
        <v>-3276.3700000000003</v>
      </c>
      <c r="M69" s="1"/>
      <c r="N69" s="5">
        <f t="shared" ref="N69:N76" si="47">IF(H69=0,0,L69/H69)</f>
        <v>-1</v>
      </c>
      <c r="O69" s="12"/>
      <c r="P69" s="1">
        <f>SUM(OSRRefP22_14x_0)</f>
        <v>43096.97</v>
      </c>
      <c r="Q69" s="1"/>
      <c r="R69" s="5">
        <f t="shared" ref="R69:R76" si="48">IF(P$12=0,0,P69/P$12)</f>
        <v>2.1977051346805047E-2</v>
      </c>
      <c r="S69" s="1"/>
      <c r="T69" s="1">
        <f>SUM(OSRRefT22_14x_0)</f>
        <v>53966.8</v>
      </c>
      <c r="U69" s="1"/>
      <c r="V69" s="5">
        <f t="shared" ref="V69:V76" si="49">IF(T$12=0,0,T69/T$12)</f>
        <v>2.2527213596424102E-2</v>
      </c>
      <c r="W69" s="1"/>
      <c r="X69" s="1">
        <f t="shared" ref="X69:X76" si="50">+P69-T69</f>
        <v>-10869.830000000002</v>
      </c>
      <c r="Y69" s="1"/>
      <c r="Z69" s="5">
        <f t="shared" ref="Z69:Z76" si="51">IF(T69=0,0,X69/T69)</f>
        <v>-0.2014169822928171</v>
      </c>
    </row>
    <row r="70" spans="1:26" s="24" customFormat="1" hidden="1" outlineLevel="2" x14ac:dyDescent="0.35">
      <c r="A70" s="27"/>
      <c r="B70" s="11" t="str">
        <f>CONCATENATE("          ", "6234", " - ", "EXPENDABLE SUPPLIES &amp; EQUIPMEN")</f>
        <v xml:space="preserve">          6234 - EXPENDABLE SUPPLIES &amp; EQUIPMEN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/>
      <c r="Q70" s="2"/>
      <c r="R70" s="6">
        <f t="shared" si="48"/>
        <v>0</v>
      </c>
      <c r="S70" s="2"/>
      <c r="T70" s="7">
        <v>30.98</v>
      </c>
      <c r="U70" s="2"/>
      <c r="V70" s="6">
        <f t="shared" si="49"/>
        <v>1.2931896596003813E-5</v>
      </c>
      <c r="W70" s="2"/>
      <c r="X70" s="7">
        <f t="shared" si="50"/>
        <v>-30.98</v>
      </c>
      <c r="Y70" s="2"/>
      <c r="Z70" s="6">
        <f t="shared" si="51"/>
        <v>-1</v>
      </c>
    </row>
    <row r="71" spans="1:26" s="24" customFormat="1" hidden="1" outlineLevel="2" x14ac:dyDescent="0.35">
      <c r="A71" s="27"/>
      <c r="B71" s="11" t="str">
        <f>CONCATENATE("          ", "6237", " - ", "JANITORIAL SUPPLIES")</f>
        <v xml:space="preserve">          6237 - JANITORIAL SUPPLIES</v>
      </c>
      <c r="C71" s="11"/>
      <c r="D71" s="7"/>
      <c r="E71" s="2"/>
      <c r="F71" s="6">
        <f t="shared" si="44"/>
        <v>0</v>
      </c>
      <c r="G71" s="2"/>
      <c r="H71" s="7">
        <v>784.84</v>
      </c>
      <c r="I71" s="2"/>
      <c r="J71" s="6">
        <f t="shared" si="45"/>
        <v>-7.8308745028625948E-2</v>
      </c>
      <c r="K71" s="2"/>
      <c r="L71" s="7">
        <f t="shared" si="46"/>
        <v>-784.84</v>
      </c>
      <c r="M71" s="2"/>
      <c r="N71" s="6">
        <f t="shared" si="47"/>
        <v>-1</v>
      </c>
      <c r="O71" s="11"/>
      <c r="P71" s="7">
        <v>12287.44</v>
      </c>
      <c r="Q71" s="2"/>
      <c r="R71" s="6">
        <f t="shared" si="48"/>
        <v>6.2659091764638263E-3</v>
      </c>
      <c r="S71" s="2"/>
      <c r="T71" s="7">
        <v>21230.639999999999</v>
      </c>
      <c r="U71" s="2"/>
      <c r="V71" s="6">
        <f t="shared" si="49"/>
        <v>8.8622479388954928E-3</v>
      </c>
      <c r="W71" s="2"/>
      <c r="X71" s="7">
        <f t="shared" si="50"/>
        <v>-8943.1999999999989</v>
      </c>
      <c r="Y71" s="2"/>
      <c r="Z71" s="6">
        <f t="shared" si="51"/>
        <v>-0.42124024523047815</v>
      </c>
    </row>
    <row r="72" spans="1:26" s="24" customFormat="1" hidden="1" outlineLevel="2" x14ac:dyDescent="0.35">
      <c r="A72" s="27"/>
      <c r="B72" s="11" t="str">
        <f>CONCATENATE("          ", "6239", " - ", "KITCHEN SUPPLIES")</f>
        <v xml:space="preserve">          6239 - KITCHEN SUPPLIES</v>
      </c>
      <c r="C72" s="11"/>
      <c r="D72" s="7"/>
      <c r="E72" s="2"/>
      <c r="F72" s="6">
        <f t="shared" si="44"/>
        <v>0</v>
      </c>
      <c r="G72" s="2"/>
      <c r="H72" s="7">
        <v>277.7</v>
      </c>
      <c r="I72" s="2"/>
      <c r="J72" s="6">
        <f t="shared" si="45"/>
        <v>-2.770798951945546E-2</v>
      </c>
      <c r="K72" s="2"/>
      <c r="L72" s="7">
        <f t="shared" si="46"/>
        <v>-277.7</v>
      </c>
      <c r="M72" s="2"/>
      <c r="N72" s="6">
        <f t="shared" si="47"/>
        <v>-1</v>
      </c>
      <c r="O72" s="11"/>
      <c r="P72" s="7">
        <v>4550.0600000000004</v>
      </c>
      <c r="Q72" s="2"/>
      <c r="R72" s="6">
        <f t="shared" si="48"/>
        <v>2.3202768605552499E-3</v>
      </c>
      <c r="S72" s="2"/>
      <c r="T72" s="7">
        <v>5369.1</v>
      </c>
      <c r="U72" s="2"/>
      <c r="V72" s="6">
        <f t="shared" si="49"/>
        <v>2.2412087157393182E-3</v>
      </c>
      <c r="W72" s="2"/>
      <c r="X72" s="7">
        <f t="shared" si="50"/>
        <v>-819.04</v>
      </c>
      <c r="Y72" s="2"/>
      <c r="Z72" s="6">
        <f t="shared" si="51"/>
        <v>-0.15254698180328172</v>
      </c>
    </row>
    <row r="73" spans="1:26" s="24" customFormat="1" hidden="1" outlineLevel="2" x14ac:dyDescent="0.35">
      <c r="A73" s="27"/>
      <c r="B73" s="11" t="str">
        <f>CONCATENATE("          ", "6241", " - ", "OFFICE EXPENSE")</f>
        <v xml:space="preserve">          6241 - OFFICE EXPENSE</v>
      </c>
      <c r="C73" s="11"/>
      <c r="D73" s="7"/>
      <c r="E73" s="2"/>
      <c r="F73" s="6">
        <f t="shared" si="44"/>
        <v>0</v>
      </c>
      <c r="G73" s="2"/>
      <c r="H73" s="7">
        <v>1560.26</v>
      </c>
      <c r="I73" s="2"/>
      <c r="J73" s="6">
        <f t="shared" si="45"/>
        <v>-0.15567759354564487</v>
      </c>
      <c r="K73" s="2"/>
      <c r="L73" s="7">
        <f t="shared" si="46"/>
        <v>-1560.26</v>
      </c>
      <c r="M73" s="2"/>
      <c r="N73" s="6">
        <f t="shared" si="47"/>
        <v>-1</v>
      </c>
      <c r="O73" s="11"/>
      <c r="P73" s="7">
        <v>18733.82</v>
      </c>
      <c r="Q73" s="2"/>
      <c r="R73" s="6">
        <f t="shared" si="48"/>
        <v>9.5532034865050443E-3</v>
      </c>
      <c r="S73" s="2"/>
      <c r="T73" s="7">
        <v>6227.63</v>
      </c>
      <c r="U73" s="2"/>
      <c r="V73" s="6">
        <f t="shared" si="49"/>
        <v>2.5995825435174702E-3</v>
      </c>
      <c r="W73" s="2"/>
      <c r="X73" s="7">
        <f t="shared" si="50"/>
        <v>12506.189999999999</v>
      </c>
      <c r="Y73" s="2"/>
      <c r="Z73" s="6">
        <f t="shared" si="51"/>
        <v>2.0081780709515495</v>
      </c>
    </row>
    <row r="74" spans="1:26" s="24" customFormat="1" hidden="1" outlineLevel="2" x14ac:dyDescent="0.35">
      <c r="A74" s="27"/>
      <c r="B74" s="11" t="str">
        <f>CONCATENATE("          ", "6243", " - ", "PAPER SUPPLIES")</f>
        <v xml:space="preserve">          6243 - PAPER SUPPLIES</v>
      </c>
      <c r="C74" s="11"/>
      <c r="D74" s="7"/>
      <c r="E74" s="2"/>
      <c r="F74" s="6">
        <f t="shared" si="44"/>
        <v>0</v>
      </c>
      <c r="G74" s="2"/>
      <c r="H74" s="7">
        <v>653.57000000000005</v>
      </c>
      <c r="I74" s="2"/>
      <c r="J74" s="6">
        <f t="shared" si="45"/>
        <v>-6.5211057652972651E-2</v>
      </c>
      <c r="K74" s="2"/>
      <c r="L74" s="7">
        <f t="shared" si="46"/>
        <v>-653.57000000000005</v>
      </c>
      <c r="M74" s="2"/>
      <c r="N74" s="6">
        <f t="shared" si="47"/>
        <v>-1</v>
      </c>
      <c r="O74" s="11"/>
      <c r="P74" s="7">
        <v>14386.16</v>
      </c>
      <c r="Q74" s="2"/>
      <c r="R74" s="6">
        <f t="shared" si="48"/>
        <v>7.3361393388758625E-3</v>
      </c>
      <c r="S74" s="2"/>
      <c r="T74" s="7">
        <v>17208.48</v>
      </c>
      <c r="U74" s="2"/>
      <c r="V74" s="6">
        <f t="shared" si="49"/>
        <v>7.1832887002711331E-3</v>
      </c>
      <c r="W74" s="2"/>
      <c r="X74" s="7">
        <f t="shared" si="50"/>
        <v>-2822.3199999999997</v>
      </c>
      <c r="Y74" s="2"/>
      <c r="Z74" s="6">
        <f t="shared" si="51"/>
        <v>-0.16400751257519547</v>
      </c>
    </row>
    <row r="75" spans="1:26" s="24" customFormat="1" hidden="1" outlineLevel="2" x14ac:dyDescent="0.35">
      <c r="A75" s="27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44"/>
        <v>0</v>
      </c>
      <c r="G75" s="2"/>
      <c r="H75" s="7"/>
      <c r="I75" s="2"/>
      <c r="J75" s="6">
        <f t="shared" si="45"/>
        <v>0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>
        <v>469.44</v>
      </c>
      <c r="Q75" s="2"/>
      <c r="R75" s="6">
        <f t="shared" si="48"/>
        <v>2.3938822112654697E-4</v>
      </c>
      <c r="S75" s="2"/>
      <c r="T75" s="7"/>
      <c r="U75" s="2"/>
      <c r="V75" s="6">
        <f t="shared" si="49"/>
        <v>0</v>
      </c>
      <c r="W75" s="2"/>
      <c r="X75" s="7">
        <f t="shared" si="50"/>
        <v>469.44</v>
      </c>
      <c r="Y75" s="2"/>
      <c r="Z75" s="6">
        <f t="shared" si="51"/>
        <v>0</v>
      </c>
    </row>
    <row r="76" spans="1:26" s="24" customFormat="1" hidden="1" outlineLevel="2" x14ac:dyDescent="0.35">
      <c r="A76" s="27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>
        <v>-7329.95</v>
      </c>
      <c r="Q76" s="2"/>
      <c r="R76" s="6">
        <f t="shared" si="48"/>
        <v>-3.7378657367214828E-3</v>
      </c>
      <c r="S76" s="2"/>
      <c r="T76" s="7">
        <v>3899.97</v>
      </c>
      <c r="U76" s="2"/>
      <c r="V76" s="6">
        <f t="shared" si="49"/>
        <v>1.6279538014046802E-3</v>
      </c>
      <c r="W76" s="2"/>
      <c r="X76" s="7">
        <f t="shared" si="50"/>
        <v>-11229.92</v>
      </c>
      <c r="Y76" s="2"/>
      <c r="Z76" s="6">
        <f t="shared" si="51"/>
        <v>-2.8794888165806407</v>
      </c>
    </row>
    <row r="77" spans="1:26" s="25" customFormat="1" outlineLevel="1" collapsed="1" x14ac:dyDescent="0.35">
      <c r="A77" s="26"/>
      <c r="B77" s="12" t="str">
        <f>CONCATENATE("     ","Telephone/Data Lines                              ")</f>
        <v xml:space="preserve">     Telephone/Data Lines                              </v>
      </c>
      <c r="C77" s="12"/>
      <c r="D77" s="1">
        <f>SUM(OSRRefD22_15x_0)</f>
        <v>-65</v>
      </c>
      <c r="E77" s="1"/>
      <c r="F77" s="5">
        <f t="shared" ref="F77:F83" si="52">IF(D$12=0,0,D77/D$12)</f>
        <v>1.9495036563690884E-3</v>
      </c>
      <c r="G77" s="1"/>
      <c r="H77" s="1">
        <f>SUM(OSRRefH22_15x_0)</f>
        <v>176.15</v>
      </c>
      <c r="I77" s="1"/>
      <c r="J77" s="5">
        <f t="shared" ref="J77:J83" si="53">IF(H$12=0,0,H77/H$12)</f>
        <v>-1.7575665660252357E-2</v>
      </c>
      <c r="K77" s="1"/>
      <c r="L77" s="1">
        <f t="shared" ref="L77:L83" si="54">+D77-H77</f>
        <v>-241.15</v>
      </c>
      <c r="M77" s="1"/>
      <c r="N77" s="5">
        <f t="shared" ref="N77:N83" si="55">IF(H77=0,0,L77/H77)</f>
        <v>-1.3690036900369003</v>
      </c>
      <c r="O77" s="12"/>
      <c r="P77" s="1">
        <f>SUM(OSRRefP22_15x_0)</f>
        <v>1426.3</v>
      </c>
      <c r="Q77" s="1"/>
      <c r="R77" s="5">
        <f t="shared" ref="R77:R83" si="56">IF(P$12=0,0,P77/P$12)</f>
        <v>7.2733346070380446E-4</v>
      </c>
      <c r="S77" s="1"/>
      <c r="T77" s="1">
        <f>SUM(OSRRefT22_15x_0)</f>
        <v>2324.9499999999998</v>
      </c>
      <c r="U77" s="1"/>
      <c r="V77" s="5">
        <f t="shared" ref="V77:V83" si="57">IF(T$12=0,0,T77/T$12)</f>
        <v>9.704975142310866E-4</v>
      </c>
      <c r="W77" s="1"/>
      <c r="X77" s="1">
        <f t="shared" ref="X77:X83" si="58">+P77-T77</f>
        <v>-898.64999999999986</v>
      </c>
      <c r="Y77" s="1"/>
      <c r="Z77" s="5">
        <f t="shared" ref="Z77:Z83" si="59">IF(T77=0,0,X77/T77)</f>
        <v>-0.38652444138583625</v>
      </c>
    </row>
    <row r="78" spans="1:26" s="24" customFormat="1" hidden="1" outlineLevel="2" x14ac:dyDescent="0.35">
      <c r="A78" s="27"/>
      <c r="B78" s="11" t="str">
        <f>CONCATENATE("          ", "6309", " - ", "TELEPHONE")</f>
        <v xml:space="preserve">          6309 - TELEPHONE</v>
      </c>
      <c r="C78" s="11"/>
      <c r="D78" s="7">
        <v>-65</v>
      </c>
      <c r="E78" s="2"/>
      <c r="F78" s="6">
        <f t="shared" si="52"/>
        <v>1.9495036563690884E-3</v>
      </c>
      <c r="G78" s="2"/>
      <c r="H78" s="7">
        <v>176.15</v>
      </c>
      <c r="I78" s="2"/>
      <c r="J78" s="6">
        <f t="shared" si="53"/>
        <v>-1.7575665660252357E-2</v>
      </c>
      <c r="K78" s="2"/>
      <c r="L78" s="7">
        <f t="shared" si="54"/>
        <v>-241.15</v>
      </c>
      <c r="M78" s="2"/>
      <c r="N78" s="6">
        <f t="shared" si="55"/>
        <v>-1.3690036900369003</v>
      </c>
      <c r="O78" s="11"/>
      <c r="P78" s="7">
        <v>1426.3</v>
      </c>
      <c r="Q78" s="2"/>
      <c r="R78" s="6">
        <f t="shared" si="56"/>
        <v>7.2733346070380446E-4</v>
      </c>
      <c r="S78" s="2"/>
      <c r="T78" s="7">
        <v>2324.9499999999998</v>
      </c>
      <c r="U78" s="2"/>
      <c r="V78" s="6">
        <f t="shared" si="57"/>
        <v>9.704975142310866E-4</v>
      </c>
      <c r="W78" s="2"/>
      <c r="X78" s="7">
        <f t="shared" si="58"/>
        <v>-898.64999999999986</v>
      </c>
      <c r="Y78" s="2"/>
      <c r="Z78" s="6">
        <f t="shared" si="59"/>
        <v>-0.38652444138583625</v>
      </c>
    </row>
    <row r="79" spans="1:26" s="25" customFormat="1" outlineLevel="1" collapsed="1" x14ac:dyDescent="0.35">
      <c r="A79" s="26"/>
      <c r="B79" s="12" t="str">
        <f>CONCATENATE("     ","Training                                          ")</f>
        <v xml:space="preserve">     Training                                          </v>
      </c>
      <c r="C79" s="12"/>
      <c r="D79" s="1">
        <f>SUM(OSRRefD22_16x_0)</f>
        <v>0</v>
      </c>
      <c r="E79" s="1"/>
      <c r="F79" s="5">
        <f t="shared" si="52"/>
        <v>0</v>
      </c>
      <c r="G79" s="1"/>
      <c r="H79" s="1">
        <f>SUM(OSRRefH22_16x_0)</f>
        <v>333.34</v>
      </c>
      <c r="I79" s="1"/>
      <c r="J79" s="5">
        <f t="shared" si="53"/>
        <v>-3.3259565093321147E-2</v>
      </c>
      <c r="K79" s="1"/>
      <c r="L79" s="1">
        <f t="shared" si="54"/>
        <v>-333.34</v>
      </c>
      <c r="M79" s="1"/>
      <c r="N79" s="5">
        <f t="shared" si="55"/>
        <v>-1</v>
      </c>
      <c r="O79" s="12"/>
      <c r="P79" s="1">
        <f>SUM(OSRRefP22_16x_0)</f>
        <v>1657.1</v>
      </c>
      <c r="Q79" s="1"/>
      <c r="R79" s="5">
        <f t="shared" si="56"/>
        <v>8.4502858987048606E-4</v>
      </c>
      <c r="S79" s="1"/>
      <c r="T79" s="1">
        <f>SUM(OSRRefT22_16x_0)</f>
        <v>2262.36</v>
      </c>
      <c r="U79" s="1"/>
      <c r="V79" s="5">
        <f t="shared" si="57"/>
        <v>9.4437074186362775E-4</v>
      </c>
      <c r="W79" s="1"/>
      <c r="X79" s="1">
        <f t="shared" si="58"/>
        <v>-605.26000000000022</v>
      </c>
      <c r="Y79" s="1"/>
      <c r="Z79" s="5">
        <f t="shared" si="59"/>
        <v>-0.26753478668293296</v>
      </c>
    </row>
    <row r="80" spans="1:26" s="24" customFormat="1" hidden="1" outlineLevel="2" x14ac:dyDescent="0.35">
      <c r="A80" s="27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52"/>
        <v>0</v>
      </c>
      <c r="G80" s="2"/>
      <c r="H80" s="7">
        <v>333.34</v>
      </c>
      <c r="I80" s="2"/>
      <c r="J80" s="6">
        <f t="shared" si="53"/>
        <v>-3.3259565093321147E-2</v>
      </c>
      <c r="K80" s="2"/>
      <c r="L80" s="7">
        <f t="shared" si="54"/>
        <v>-333.34</v>
      </c>
      <c r="M80" s="2"/>
      <c r="N80" s="6">
        <f t="shared" si="55"/>
        <v>-1</v>
      </c>
      <c r="O80" s="11"/>
      <c r="P80" s="7">
        <v>1657.1</v>
      </c>
      <c r="Q80" s="2"/>
      <c r="R80" s="6">
        <f t="shared" si="56"/>
        <v>8.4502858987048606E-4</v>
      </c>
      <c r="S80" s="2"/>
      <c r="T80" s="7">
        <v>2262.36</v>
      </c>
      <c r="U80" s="2"/>
      <c r="V80" s="6">
        <f t="shared" si="57"/>
        <v>9.4437074186362775E-4</v>
      </c>
      <c r="W80" s="2"/>
      <c r="X80" s="7">
        <f t="shared" si="58"/>
        <v>-605.26000000000022</v>
      </c>
      <c r="Y80" s="2"/>
      <c r="Z80" s="6">
        <f t="shared" si="59"/>
        <v>-0.26753478668293296</v>
      </c>
    </row>
    <row r="81" spans="1:26" s="25" customFormat="1" outlineLevel="1" collapsed="1" x14ac:dyDescent="0.35">
      <c r="A81" s="26"/>
      <c r="B81" s="12" t="str">
        <f>CONCATENATE("     ","Travel                                            ")</f>
        <v xml:space="preserve">     Travel                                            </v>
      </c>
      <c r="C81" s="12"/>
      <c r="D81" s="1">
        <f>SUM(OSRRefD22_17x_0)</f>
        <v>0</v>
      </c>
      <c r="E81" s="1"/>
      <c r="F81" s="5">
        <f t="shared" si="52"/>
        <v>0</v>
      </c>
      <c r="G81" s="1"/>
      <c r="H81" s="1">
        <f>SUM(OSRRefH22_17x_0)</f>
        <v>0</v>
      </c>
      <c r="I81" s="1"/>
      <c r="J81" s="5">
        <f t="shared" si="53"/>
        <v>0</v>
      </c>
      <c r="K81" s="1"/>
      <c r="L81" s="1">
        <f t="shared" si="54"/>
        <v>0</v>
      </c>
      <c r="M81" s="1"/>
      <c r="N81" s="5">
        <f t="shared" si="55"/>
        <v>0</v>
      </c>
      <c r="O81" s="12"/>
      <c r="P81" s="1">
        <f>SUM(OSRRefP22_17x_0)</f>
        <v>79.510000000000005</v>
      </c>
      <c r="Q81" s="1"/>
      <c r="R81" s="5">
        <f t="shared" si="56"/>
        <v>4.0545666031381541E-5</v>
      </c>
      <c r="S81" s="1"/>
      <c r="T81" s="1">
        <f>SUM(OSRRefT22_17x_0)</f>
        <v>250.88</v>
      </c>
      <c r="U81" s="1"/>
      <c r="V81" s="5">
        <f t="shared" si="57"/>
        <v>1.0472415164639886E-4</v>
      </c>
      <c r="W81" s="1"/>
      <c r="X81" s="1">
        <f t="shared" si="58"/>
        <v>-171.37</v>
      </c>
      <c r="Y81" s="1"/>
      <c r="Z81" s="5">
        <f t="shared" si="59"/>
        <v>-0.68307557397959184</v>
      </c>
    </row>
    <row r="82" spans="1:26" s="24" customFormat="1" hidden="1" outlineLevel="2" x14ac:dyDescent="0.35">
      <c r="A82" s="27"/>
      <c r="B82" s="11" t="str">
        <f>CONCATENATE("          ", "6292", " - ", "TRAVEL/CONFERENCE")</f>
        <v xml:space="preserve">          6292 - TRAVEL/CONFERENCE</v>
      </c>
      <c r="C82" s="11"/>
      <c r="D82" s="7"/>
      <c r="E82" s="2"/>
      <c r="F82" s="6">
        <f t="shared" si="52"/>
        <v>0</v>
      </c>
      <c r="G82" s="2"/>
      <c r="H82" s="7"/>
      <c r="I82" s="2"/>
      <c r="J82" s="6">
        <f t="shared" si="53"/>
        <v>0</v>
      </c>
      <c r="K82" s="2"/>
      <c r="L82" s="7">
        <f t="shared" si="54"/>
        <v>0</v>
      </c>
      <c r="M82" s="2"/>
      <c r="N82" s="6">
        <f t="shared" si="55"/>
        <v>0</v>
      </c>
      <c r="O82" s="11"/>
      <c r="P82" s="7">
        <v>79.510000000000005</v>
      </c>
      <c r="Q82" s="2"/>
      <c r="R82" s="6">
        <f t="shared" si="56"/>
        <v>4.0545666031381541E-5</v>
      </c>
      <c r="S82" s="2"/>
      <c r="T82" s="7">
        <v>31</v>
      </c>
      <c r="U82" s="2"/>
      <c r="V82" s="6">
        <f t="shared" si="57"/>
        <v>1.2940245141256237E-5</v>
      </c>
      <c r="W82" s="2"/>
      <c r="X82" s="7">
        <f t="shared" si="58"/>
        <v>48.510000000000005</v>
      </c>
      <c r="Y82" s="2"/>
      <c r="Z82" s="6">
        <f t="shared" si="59"/>
        <v>1.5648387096774194</v>
      </c>
    </row>
    <row r="83" spans="1:26" s="24" customFormat="1" hidden="1" outlineLevel="2" x14ac:dyDescent="0.35">
      <c r="A83" s="27"/>
      <c r="B83" s="11" t="str">
        <f>CONCATENATE("          ", "6294", " - ", "TRAVEL OPERATIONAL")</f>
        <v xml:space="preserve">          6294 - TRAVEL OPERATIONAL</v>
      </c>
      <c r="C83" s="11"/>
      <c r="D83" s="7"/>
      <c r="E83" s="2"/>
      <c r="F83" s="6">
        <f t="shared" si="52"/>
        <v>0</v>
      </c>
      <c r="G83" s="2"/>
      <c r="H83" s="7"/>
      <c r="I83" s="2"/>
      <c r="J83" s="6">
        <f t="shared" si="53"/>
        <v>0</v>
      </c>
      <c r="K83" s="2"/>
      <c r="L83" s="7">
        <f t="shared" si="54"/>
        <v>0</v>
      </c>
      <c r="M83" s="2"/>
      <c r="N83" s="6">
        <f t="shared" si="55"/>
        <v>0</v>
      </c>
      <c r="O83" s="11"/>
      <c r="P83" s="7"/>
      <c r="Q83" s="2"/>
      <c r="R83" s="6">
        <f t="shared" si="56"/>
        <v>0</v>
      </c>
      <c r="S83" s="2"/>
      <c r="T83" s="7">
        <v>219.88</v>
      </c>
      <c r="U83" s="2"/>
      <c r="V83" s="6">
        <f t="shared" si="57"/>
        <v>9.1783906505142623E-5</v>
      </c>
      <c r="W83" s="2"/>
      <c r="X83" s="7">
        <f t="shared" si="58"/>
        <v>-219.88</v>
      </c>
      <c r="Y83" s="2"/>
      <c r="Z83" s="6">
        <f t="shared" si="59"/>
        <v>-1</v>
      </c>
    </row>
    <row r="84" spans="1:26" s="56" customFormat="1" x14ac:dyDescent="0.3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35">
      <c r="A85" s="10"/>
      <c r="B85" s="29" t="s">
        <v>0</v>
      </c>
      <c r="C85" s="10"/>
      <c r="D85" s="4">
        <f>SUM(0)</f>
        <v>0</v>
      </c>
      <c r="E85" s="4"/>
      <c r="F85" s="13">
        <f>IF(D$12=0,0,D85/D$12)</f>
        <v>0</v>
      </c>
      <c r="G85" s="4"/>
      <c r="H85" s="4">
        <f>SUM(0)</f>
        <v>0</v>
      </c>
      <c r="I85" s="4"/>
      <c r="J85" s="13">
        <f>IF(H$12=0,0,H85/H$12)</f>
        <v>0</v>
      </c>
      <c r="K85" s="4"/>
      <c r="L85" s="4">
        <f>+D85-H85</f>
        <v>0</v>
      </c>
      <c r="M85" s="4"/>
      <c r="N85" s="13">
        <f>IF(H85=0,0,L85/H85)</f>
        <v>0</v>
      </c>
      <c r="O85" s="10"/>
      <c r="P85" s="4">
        <f>SUM(0)</f>
        <v>0</v>
      </c>
      <c r="Q85" s="4"/>
      <c r="R85" s="13">
        <f>IF(P$12=0,0,P85/P$12)</f>
        <v>0</v>
      </c>
      <c r="S85" s="4"/>
      <c r="T85" s="4">
        <f>SUM(0)</f>
        <v>0</v>
      </c>
      <c r="U85" s="4"/>
      <c r="V85" s="13">
        <f>IF(T$12=0,0,T85/T$12)</f>
        <v>0</v>
      </c>
      <c r="W85" s="4"/>
      <c r="X85" s="4">
        <f>+P85-T85</f>
        <v>0</v>
      </c>
      <c r="Y85" s="4"/>
      <c r="Z85" s="13">
        <f>IF(T85=0,0,X85/T85)</f>
        <v>0</v>
      </c>
    </row>
    <row r="86" spans="1:26" x14ac:dyDescent="0.3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35">
      <c r="A87" s="10"/>
      <c r="B87" s="28" t="s">
        <v>3</v>
      </c>
      <c r="C87" s="28"/>
      <c r="D87" s="22">
        <f>+D21-D23+D85</f>
        <v>-62469</v>
      </c>
      <c r="E87" s="14"/>
      <c r="F87" s="21">
        <f>IF(D$12=0,0,D87/D$12)</f>
        <v>1.8735929832264706</v>
      </c>
      <c r="G87" s="14"/>
      <c r="H87" s="22">
        <f>+H21-H23+H85</f>
        <v>-63365.849999999991</v>
      </c>
      <c r="I87" s="14"/>
      <c r="J87" s="21">
        <f>IF(H$12=0,0,H87/H$12)</f>
        <v>6.3224353895980787</v>
      </c>
      <c r="K87" s="15"/>
      <c r="L87" s="22">
        <f>+D87-H87</f>
        <v>896.84999999999127</v>
      </c>
      <c r="M87" s="15"/>
      <c r="N87" s="21">
        <f>IF(H87=0,0,L87/H87)</f>
        <v>-1.4153522757131663E-2</v>
      </c>
      <c r="O87" s="29"/>
      <c r="P87" s="22">
        <f>+P21-P23+P85</f>
        <v>295219.22999999975</v>
      </c>
      <c r="Q87" s="14"/>
      <c r="R87" s="21">
        <f>IF(P$12=0,0,P87/P$12)</f>
        <v>0.15054534405259218</v>
      </c>
      <c r="S87" s="14"/>
      <c r="T87" s="22">
        <f>+T21-T23+T85</f>
        <v>609308.20000000042</v>
      </c>
      <c r="U87" s="14"/>
      <c r="V87" s="21">
        <f>IF(T$12=0,0,T87/T$12)</f>
        <v>0.25434185401863191</v>
      </c>
      <c r="W87" s="15"/>
      <c r="X87" s="22">
        <f>+P87-T87</f>
        <v>-314088.97000000067</v>
      </c>
      <c r="Y87" s="15"/>
      <c r="Z87" s="21">
        <f>IF(T87=0,0,X87/T87)</f>
        <v>-0.51548456101526363</v>
      </c>
    </row>
    <row r="88" spans="1:26" x14ac:dyDescent="0.3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5">
      <c r="A89" s="51"/>
      <c r="B89" s="10" t="s">
        <v>13</v>
      </c>
      <c r="C89" s="10"/>
      <c r="D89" s="4">
        <v>60800.25</v>
      </c>
      <c r="E89" s="4"/>
      <c r="F89" s="13">
        <f>IF(D$12=0,0,D89/D$12)</f>
        <v>-1.8235432258946873</v>
      </c>
      <c r="G89" s="4"/>
      <c r="H89" s="4">
        <v>-79469.260000000009</v>
      </c>
      <c r="I89" s="4"/>
      <c r="J89" s="13">
        <f>IF(H$12=0,0,H89/H$12)</f>
        <v>7.9291804940543082</v>
      </c>
      <c r="K89" s="4"/>
      <c r="L89" s="4">
        <f>+D89-H89</f>
        <v>140269.51</v>
      </c>
      <c r="M89" s="4"/>
      <c r="N89" s="13">
        <f>IF(H89=0,0,L89/H89)</f>
        <v>-1.7650788493563423</v>
      </c>
      <c r="O89" s="10"/>
      <c r="P89" s="4">
        <v>296971.20999999996</v>
      </c>
      <c r="Q89" s="4"/>
      <c r="R89" s="13">
        <f>IF(P$12=0,0,P89/P$12)</f>
        <v>0.15143875615136804</v>
      </c>
      <c r="S89" s="4"/>
      <c r="T89" s="4">
        <v>170753.32</v>
      </c>
      <c r="U89" s="4"/>
      <c r="V89" s="13">
        <f>IF(T$12=0,0,T89/T$12)</f>
        <v>7.1277090951076497E-2</v>
      </c>
      <c r="W89" s="4"/>
      <c r="X89" s="4">
        <f>+P89-T89</f>
        <v>126217.88999999996</v>
      </c>
      <c r="Y89" s="4"/>
      <c r="Z89" s="13">
        <f>IF(T89=0,0,X89/T89)</f>
        <v>0.73918264078262108</v>
      </c>
    </row>
    <row r="90" spans="1:26" x14ac:dyDescent="0.3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4">
      <c r="A91" s="10"/>
      <c r="B91" s="28" t="s">
        <v>4</v>
      </c>
      <c r="C91" s="28"/>
      <c r="D91" s="34">
        <f>+D87-D89</f>
        <v>-123269.25</v>
      </c>
      <c r="E91" s="14"/>
      <c r="F91" s="32">
        <f>IF(D$12=0,0,D91/D$12)</f>
        <v>3.6971362091211577</v>
      </c>
      <c r="G91" s="14"/>
      <c r="H91" s="34">
        <f>+H87-H89</f>
        <v>16103.410000000018</v>
      </c>
      <c r="I91" s="14"/>
      <c r="J91" s="32">
        <f>IF(H$12=0,0,H91/H$12)</f>
        <v>-1.6067451044562289</v>
      </c>
      <c r="K91" s="15"/>
      <c r="L91" s="34">
        <f>D91-H91</f>
        <v>-139372.66000000003</v>
      </c>
      <c r="M91" s="15"/>
      <c r="N91" s="32">
        <f>IF(H91=0,0,L91/H91)</f>
        <v>-8.6548538477254127</v>
      </c>
      <c r="O91" s="29"/>
      <c r="P91" s="34">
        <f>+P87-P89</f>
        <v>-1751.9800000002142</v>
      </c>
      <c r="Q91" s="14"/>
      <c r="R91" s="32">
        <f>IF(P$12=0,0,P91/P$12)</f>
        <v>-8.9341209877585859E-4</v>
      </c>
      <c r="S91" s="14"/>
      <c r="T91" s="34">
        <f>+T87-T89</f>
        <v>438554.88000000041</v>
      </c>
      <c r="U91" s="14"/>
      <c r="V91" s="32">
        <f>IF(T$12=0,0,T91/T$12)</f>
        <v>0.1830647630675554</v>
      </c>
      <c r="W91" s="15"/>
      <c r="X91" s="34">
        <f>P91-T91</f>
        <v>-440306.86000000063</v>
      </c>
      <c r="Y91" s="15"/>
      <c r="Z91" s="32">
        <f>IF(T91=0,0,X91/T91)</f>
        <v>-1.0039948934099199</v>
      </c>
    </row>
    <row r="92" spans="1:26" ht="15" thickTop="1" x14ac:dyDescent="0.3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3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4">
      <c r="A94" s="10"/>
      <c r="B94" s="28" t="s">
        <v>5</v>
      </c>
      <c r="C94" s="28"/>
      <c r="D94" s="35">
        <f>SUM(D91:D93)</f>
        <v>-123269.25</v>
      </c>
      <c r="E94" s="14"/>
      <c r="F94" s="33">
        <f>IF(D$12=0,0,D94/D$12)</f>
        <v>3.6971362091211577</v>
      </c>
      <c r="G94" s="14"/>
      <c r="H94" s="35">
        <f>SUM(H91:H93)</f>
        <v>16103.410000000018</v>
      </c>
      <c r="I94" s="14"/>
      <c r="J94" s="33">
        <f>IF(H$12=0,0,H94/H$12)</f>
        <v>-1.6067451044562289</v>
      </c>
      <c r="K94" s="15"/>
      <c r="L94" s="35">
        <f>+D94-H94</f>
        <v>-139372.66000000003</v>
      </c>
      <c r="M94" s="15"/>
      <c r="N94" s="33">
        <f>IF(H94=0,0,L94/H94)</f>
        <v>-8.6548538477254127</v>
      </c>
      <c r="O94" s="29"/>
      <c r="P94" s="35">
        <f>SUM(P91:P93)</f>
        <v>-1751.9800000002142</v>
      </c>
      <c r="Q94" s="14"/>
      <c r="R94" s="33">
        <f>IF(P$12=0,0,P94/P$12)</f>
        <v>-8.9341209877585859E-4</v>
      </c>
      <c r="S94" s="14"/>
      <c r="T94" s="35">
        <f>SUM(T91:T93)</f>
        <v>438554.88000000041</v>
      </c>
      <c r="U94" s="14"/>
      <c r="V94" s="33">
        <f>IF(T$12=0,0,T94/T$12)</f>
        <v>0.1830647630675554</v>
      </c>
      <c r="W94" s="15"/>
      <c r="X94" s="35">
        <f>+P94-T94</f>
        <v>-440306.86000000063</v>
      </c>
      <c r="Y94" s="15"/>
      <c r="Z94" s="33">
        <f>IF(T94=0,0,X94/T94)</f>
        <v>-1.0039948934099199</v>
      </c>
    </row>
    <row r="95" spans="1:26" ht="15" thickTop="1" x14ac:dyDescent="0.35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5">
      <c r="A96" s="9"/>
      <c r="B96" s="52">
        <v>44043.523466087965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5">
      <c r="A97" s="9"/>
      <c r="B97" s="61" t="s">
        <v>313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5">
      <c r="A98" s="9"/>
      <c r="B98" s="54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5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">
        <v>296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62378</v>
      </c>
      <c r="E12" s="4"/>
      <c r="F12" s="13"/>
      <c r="G12" s="4"/>
      <c r="H12" s="4">
        <f>SUM(OSRRefH13x_0)</f>
        <v>28902</v>
      </c>
      <c r="I12" s="4"/>
      <c r="J12" s="13"/>
      <c r="K12" s="4"/>
      <c r="L12" s="4">
        <f t="shared" ref="L12:L13" si="0">+D12-H12</f>
        <v>33476</v>
      </c>
      <c r="M12" s="4"/>
      <c r="N12" s="13">
        <f t="shared" ref="N12:N13" si="1">IF(H12=0,0,L12/H12)</f>
        <v>1.1582589440177151</v>
      </c>
      <c r="O12" s="10"/>
      <c r="P12" s="4">
        <f>SUM(OSRRefP13x_0)</f>
        <v>491678</v>
      </c>
      <c r="Q12" s="4"/>
      <c r="R12" s="13"/>
      <c r="S12" s="4"/>
      <c r="T12" s="4">
        <f>SUM(OSRRefT13x_0)</f>
        <v>488294</v>
      </c>
      <c r="U12" s="4"/>
      <c r="V12" s="13"/>
      <c r="W12" s="4"/>
      <c r="X12" s="4">
        <f t="shared" ref="X12:X13" si="2">+P12-T12</f>
        <v>3384</v>
      </c>
      <c r="Y12" s="4"/>
      <c r="Z12" s="13">
        <f t="shared" ref="Z12:Z13" si="3">IF(T12=0,0,X12/T12)</f>
        <v>6.930251037284914E-3</v>
      </c>
    </row>
    <row r="13" spans="1:26" s="24" customFormat="1" hidden="1" outlineLevel="1" x14ac:dyDescent="0.3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--62378</f>
        <v>62378</v>
      </c>
      <c r="E13" s="2"/>
      <c r="F13" s="19"/>
      <c r="G13" s="2"/>
      <c r="H13" s="2">
        <f>--28902</f>
        <v>28902</v>
      </c>
      <c r="I13" s="2"/>
      <c r="J13" s="19"/>
      <c r="K13" s="2"/>
      <c r="L13" s="2">
        <f t="shared" si="0"/>
        <v>33476</v>
      </c>
      <c r="M13" s="2"/>
      <c r="N13" s="19">
        <f t="shared" si="1"/>
        <v>1.1582589440177151</v>
      </c>
      <c r="O13" s="11"/>
      <c r="P13" s="2">
        <f>--491678</f>
        <v>491678</v>
      </c>
      <c r="Q13" s="2"/>
      <c r="R13" s="19"/>
      <c r="S13" s="2"/>
      <c r="T13" s="2">
        <f>--488294</f>
        <v>488294</v>
      </c>
      <c r="U13" s="2"/>
      <c r="V13" s="19"/>
      <c r="W13" s="2"/>
      <c r="X13" s="2">
        <f t="shared" si="2"/>
        <v>3384</v>
      </c>
      <c r="Y13" s="2"/>
      <c r="Z13" s="19">
        <f t="shared" si="3"/>
        <v>6.930251037284914E-3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5">
      <c r="A15" s="10"/>
      <c r="B15" s="29" t="s">
        <v>8</v>
      </c>
      <c r="C15" s="10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0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8" t="s">
        <v>6</v>
      </c>
      <c r="C17" s="28"/>
      <c r="D17" s="22">
        <f>D12-D15</f>
        <v>62378</v>
      </c>
      <c r="E17" s="14"/>
      <c r="F17" s="21">
        <f>IF(D$12=0,0,D17/D$12)</f>
        <v>1</v>
      </c>
      <c r="G17" s="14"/>
      <c r="H17" s="22">
        <f>H12-H15</f>
        <v>28902</v>
      </c>
      <c r="I17" s="14"/>
      <c r="J17" s="21">
        <f>IF(H$12=0,0,H17/H$12)</f>
        <v>1</v>
      </c>
      <c r="K17" s="15"/>
      <c r="L17" s="22">
        <f>+D17-H17</f>
        <v>33476</v>
      </c>
      <c r="M17" s="15"/>
      <c r="N17" s="21">
        <f>IF(H17=0,0,L17/H17)</f>
        <v>1.1582589440177151</v>
      </c>
      <c r="O17" s="29"/>
      <c r="P17" s="22">
        <f>P12-P15</f>
        <v>491678</v>
      </c>
      <c r="Q17" s="14"/>
      <c r="R17" s="21">
        <f>IF(P$12=0,0,P17/P$12)</f>
        <v>1</v>
      </c>
      <c r="S17" s="14"/>
      <c r="T17" s="22">
        <f>T12-T15</f>
        <v>488294</v>
      </c>
      <c r="U17" s="14"/>
      <c r="V17" s="21">
        <f>IF(T$12=0,0,T17/T$12)</f>
        <v>1</v>
      </c>
      <c r="W17" s="15"/>
      <c r="X17" s="22">
        <f>+P17-T17</f>
        <v>3384</v>
      </c>
      <c r="Y17" s="15"/>
      <c r="Z17" s="21">
        <f>IF(T17=0,0,X17/T17)</f>
        <v>6.930251037284914E-3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9" t="s">
        <v>9</v>
      </c>
      <c r="C19" s="10"/>
      <c r="D19" s="20">
        <f>SUM(OSRRefD22x_0)</f>
        <v>57512.240000000005</v>
      </c>
      <c r="E19" s="20"/>
      <c r="F19" s="36">
        <f t="shared" ref="F19:F28" si="4">IF(D$12=0,0,D19/D$12)</f>
        <v>0.92199557536310883</v>
      </c>
      <c r="G19" s="20"/>
      <c r="H19" s="20">
        <f>SUM(OSRRefH22x_0)</f>
        <v>25442.49</v>
      </c>
      <c r="I19" s="20"/>
      <c r="J19" s="36">
        <f t="shared" ref="J19:J28" si="5">IF(H$12=0,0,H19/H$12)</f>
        <v>0.88030205522109206</v>
      </c>
      <c r="K19" s="4"/>
      <c r="L19" s="20">
        <f t="shared" ref="L19:L28" si="6">+D19-H19</f>
        <v>32069.750000000004</v>
      </c>
      <c r="M19" s="4"/>
      <c r="N19" s="36">
        <f t="shared" ref="N19:N28" si="7">IF(H19=0,0,L19/H19)</f>
        <v>1.2604800080495266</v>
      </c>
      <c r="O19" s="10"/>
      <c r="P19" s="20">
        <f>SUM(OSRRefP22x_0)</f>
        <v>461510.73000000004</v>
      </c>
      <c r="Q19" s="20"/>
      <c r="R19" s="36">
        <f t="shared" ref="R19:R28" si="8">IF(P$12=0,0,P19/P$12)</f>
        <v>0.93864425497988524</v>
      </c>
      <c r="S19" s="20"/>
      <c r="T19" s="20">
        <f>SUM(OSRRefT22x_0)</f>
        <v>468678.22000000009</v>
      </c>
      <c r="U19" s="20"/>
      <c r="V19" s="36">
        <f t="shared" ref="V19:V28" si="9">IF(T$12=0,0,T19/T$12)</f>
        <v>0.95982793153305201</v>
      </c>
      <c r="W19" s="4"/>
      <c r="X19" s="20">
        <f t="shared" ref="X19:X28" si="10">+P19-T19</f>
        <v>-7167.4900000000489</v>
      </c>
      <c r="Y19" s="4"/>
      <c r="Z19" s="36">
        <f t="shared" ref="Z19:Z28" si="11">IF(T19=0,0,X19/T19)</f>
        <v>-1.5292987158652365E-2</v>
      </c>
    </row>
    <row r="20" spans="1:26" s="25" customFormat="1" outlineLevel="1" collapsed="1" x14ac:dyDescent="0.35">
      <c r="A20" s="26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3268.84</v>
      </c>
      <c r="E20" s="1"/>
      <c r="F20" s="5">
        <f t="shared" si="4"/>
        <v>5.2403732085029978E-2</v>
      </c>
      <c r="G20" s="1"/>
      <c r="H20" s="1">
        <f>SUM(OSRRefH22_0x_0)</f>
        <v>3411.7799999999997</v>
      </c>
      <c r="I20" s="1"/>
      <c r="J20" s="5">
        <f t="shared" si="5"/>
        <v>0.11804650197218185</v>
      </c>
      <c r="K20" s="1"/>
      <c r="L20" s="1">
        <f t="shared" si="6"/>
        <v>-142.9399999999996</v>
      </c>
      <c r="M20" s="1"/>
      <c r="N20" s="5">
        <f t="shared" si="7"/>
        <v>-4.1896019086810878E-2</v>
      </c>
      <c r="O20" s="12"/>
      <c r="P20" s="1">
        <f>SUM(OSRRefP22_0x_0)</f>
        <v>52039.48</v>
      </c>
      <c r="Q20" s="1"/>
      <c r="R20" s="5">
        <f t="shared" si="8"/>
        <v>0.10584057045464715</v>
      </c>
      <c r="S20" s="1"/>
      <c r="T20" s="1">
        <f>SUM(OSRRefT22_0x_0)</f>
        <v>48309.96</v>
      </c>
      <c r="U20" s="1"/>
      <c r="V20" s="5">
        <f t="shared" si="9"/>
        <v>9.893621465756286E-2</v>
      </c>
      <c r="W20" s="1"/>
      <c r="X20" s="1">
        <f t="shared" si="10"/>
        <v>3729.5200000000041</v>
      </c>
      <c r="Y20" s="1"/>
      <c r="Z20" s="5">
        <f t="shared" si="11"/>
        <v>7.7199815524583423E-2</v>
      </c>
    </row>
    <row r="21" spans="1:26" s="24" customFormat="1" hidden="1" outlineLevel="2" x14ac:dyDescent="0.35">
      <c r="A21" s="27"/>
      <c r="B21" s="11" t="str">
        <f>CONCATENATE("          ", "6111", " - ", "F.I.C.A.")</f>
        <v xml:space="preserve">          6111 - F.I.C.A.</v>
      </c>
      <c r="C21" s="11"/>
      <c r="D21" s="7">
        <v>975.83</v>
      </c>
      <c r="E21" s="2"/>
      <c r="F21" s="6">
        <f t="shared" si="4"/>
        <v>1.5643816730257463E-2</v>
      </c>
      <c r="G21" s="2"/>
      <c r="H21" s="7">
        <v>1161.52</v>
      </c>
      <c r="I21" s="2"/>
      <c r="J21" s="6">
        <f t="shared" si="5"/>
        <v>4.0188222268355132E-2</v>
      </c>
      <c r="K21" s="2"/>
      <c r="L21" s="7">
        <f t="shared" si="6"/>
        <v>-185.68999999999994</v>
      </c>
      <c r="M21" s="2"/>
      <c r="N21" s="6">
        <f t="shared" si="7"/>
        <v>-0.15986810386390243</v>
      </c>
      <c r="O21" s="11"/>
      <c r="P21" s="7">
        <v>13042.21</v>
      </c>
      <c r="Q21" s="2"/>
      <c r="R21" s="6">
        <f t="shared" si="8"/>
        <v>2.6525917368684381E-2</v>
      </c>
      <c r="S21" s="2"/>
      <c r="T21" s="7">
        <v>11382.14</v>
      </c>
      <c r="U21" s="2"/>
      <c r="V21" s="6">
        <f t="shared" si="9"/>
        <v>2.3310014048913155E-2</v>
      </c>
      <c r="W21" s="2"/>
      <c r="X21" s="7">
        <f t="shared" si="10"/>
        <v>1660.0699999999997</v>
      </c>
      <c r="Y21" s="2"/>
      <c r="Z21" s="6">
        <f t="shared" si="11"/>
        <v>0.14584867169091223</v>
      </c>
    </row>
    <row r="22" spans="1:26" s="24" customFormat="1" hidden="1" outlineLevel="2" x14ac:dyDescent="0.3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78.95</v>
      </c>
      <c r="E22" s="2"/>
      <c r="F22" s="6">
        <f t="shared" si="4"/>
        <v>1.2656705889897079E-3</v>
      </c>
      <c r="G22" s="2"/>
      <c r="H22" s="7">
        <v>43.82</v>
      </c>
      <c r="I22" s="2"/>
      <c r="J22" s="6">
        <f t="shared" si="5"/>
        <v>1.5161580513459276E-3</v>
      </c>
      <c r="K22" s="2"/>
      <c r="L22" s="7">
        <f t="shared" si="6"/>
        <v>35.130000000000003</v>
      </c>
      <c r="M22" s="2"/>
      <c r="N22" s="6">
        <f t="shared" si="7"/>
        <v>0.80168872660885449</v>
      </c>
      <c r="O22" s="11"/>
      <c r="P22" s="7">
        <v>741.24</v>
      </c>
      <c r="Q22" s="2"/>
      <c r="R22" s="6">
        <f t="shared" si="8"/>
        <v>1.5075720288481487E-3</v>
      </c>
      <c r="S22" s="2"/>
      <c r="T22" s="7">
        <v>587.69000000000005</v>
      </c>
      <c r="U22" s="2"/>
      <c r="V22" s="6">
        <f t="shared" si="9"/>
        <v>1.2035576927015284E-3</v>
      </c>
      <c r="W22" s="2"/>
      <c r="X22" s="7">
        <f t="shared" si="10"/>
        <v>153.54999999999995</v>
      </c>
      <c r="Y22" s="2"/>
      <c r="Z22" s="6">
        <f t="shared" si="11"/>
        <v>0.2612772039680783</v>
      </c>
    </row>
    <row r="23" spans="1:26" s="24" customFormat="1" hidden="1" outlineLevel="2" x14ac:dyDescent="0.35">
      <c r="A23" s="27"/>
      <c r="B23" s="11" t="str">
        <f>CONCATENATE("          ", "6113", " - ", "GROUP INSURANCE")</f>
        <v xml:space="preserve">          6113 - GROUP INSURANCE</v>
      </c>
      <c r="C23" s="11"/>
      <c r="D23" s="7">
        <v>1285.8599999999999</v>
      </c>
      <c r="E23" s="2"/>
      <c r="F23" s="6">
        <f t="shared" si="4"/>
        <v>2.0613998525121035E-2</v>
      </c>
      <c r="G23" s="2"/>
      <c r="H23" s="7">
        <v>1243.31</v>
      </c>
      <c r="I23" s="2"/>
      <c r="J23" s="6">
        <f t="shared" si="5"/>
        <v>4.3018130233201855E-2</v>
      </c>
      <c r="K23" s="2"/>
      <c r="L23" s="7">
        <f t="shared" si="6"/>
        <v>42.549999999999955</v>
      </c>
      <c r="M23" s="2"/>
      <c r="N23" s="6">
        <f t="shared" si="7"/>
        <v>3.4223162364977321E-2</v>
      </c>
      <c r="O23" s="11"/>
      <c r="P23" s="7">
        <v>15213.590000000002</v>
      </c>
      <c r="Q23" s="2"/>
      <c r="R23" s="6">
        <f t="shared" si="8"/>
        <v>3.094218167174452E-2</v>
      </c>
      <c r="S23" s="2"/>
      <c r="T23" s="7">
        <v>14785.84</v>
      </c>
      <c r="U23" s="2"/>
      <c r="V23" s="6">
        <f t="shared" si="9"/>
        <v>3.0280609632721271E-2</v>
      </c>
      <c r="W23" s="2"/>
      <c r="X23" s="7">
        <f t="shared" si="10"/>
        <v>427.75000000000182</v>
      </c>
      <c r="Y23" s="2"/>
      <c r="Z23" s="6">
        <f t="shared" si="11"/>
        <v>2.8929705718444255E-2</v>
      </c>
    </row>
    <row r="24" spans="1:26" s="24" customFormat="1" hidden="1" outlineLevel="2" x14ac:dyDescent="0.3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-495.12</v>
      </c>
      <c r="E24" s="2"/>
      <c r="F24" s="6">
        <f t="shared" si="4"/>
        <v>-7.9374138317996733E-3</v>
      </c>
      <c r="G24" s="2"/>
      <c r="H24" s="7">
        <v>36.75</v>
      </c>
      <c r="I24" s="2"/>
      <c r="J24" s="6">
        <f t="shared" si="5"/>
        <v>1.2715383018476231E-3</v>
      </c>
      <c r="K24" s="2"/>
      <c r="L24" s="7">
        <f t="shared" si="6"/>
        <v>-531.87</v>
      </c>
      <c r="M24" s="2"/>
      <c r="N24" s="6">
        <f t="shared" si="7"/>
        <v>-14.47265306122449</v>
      </c>
      <c r="O24" s="11"/>
      <c r="P24" s="7">
        <v>0</v>
      </c>
      <c r="Q24" s="2"/>
      <c r="R24" s="6">
        <f t="shared" si="8"/>
        <v>0</v>
      </c>
      <c r="S24" s="2"/>
      <c r="T24" s="7">
        <v>532.4</v>
      </c>
      <c r="U24" s="2"/>
      <c r="V24" s="6">
        <f t="shared" si="9"/>
        <v>1.0903267293884422E-3</v>
      </c>
      <c r="W24" s="2"/>
      <c r="X24" s="7">
        <f t="shared" si="10"/>
        <v>-532.4</v>
      </c>
      <c r="Y24" s="2"/>
      <c r="Z24" s="6">
        <f t="shared" si="11"/>
        <v>-1</v>
      </c>
    </row>
    <row r="25" spans="1:26" s="24" customFormat="1" hidden="1" outlineLevel="2" x14ac:dyDescent="0.35">
      <c r="A25" s="27"/>
      <c r="B25" s="11" t="str">
        <f>CONCATENATE("          ", "6115", " - ", "P.E.R.S.")</f>
        <v xml:space="preserve">          6115 - P.E.R.S.</v>
      </c>
      <c r="C25" s="11"/>
      <c r="D25" s="7">
        <v>550.21</v>
      </c>
      <c r="E25" s="2"/>
      <c r="F25" s="6">
        <f t="shared" si="4"/>
        <v>8.8205777678027515E-3</v>
      </c>
      <c r="G25" s="2"/>
      <c r="H25" s="7"/>
      <c r="I25" s="2"/>
      <c r="J25" s="6">
        <f t="shared" si="5"/>
        <v>0</v>
      </c>
      <c r="K25" s="2"/>
      <c r="L25" s="7">
        <f t="shared" si="6"/>
        <v>550.21</v>
      </c>
      <c r="M25" s="2"/>
      <c r="N25" s="6">
        <f t="shared" si="7"/>
        <v>0</v>
      </c>
      <c r="O25" s="11"/>
      <c r="P25" s="7">
        <v>8309.2900000000009</v>
      </c>
      <c r="Q25" s="2"/>
      <c r="R25" s="6">
        <f t="shared" si="8"/>
        <v>1.6899861291332946E-2</v>
      </c>
      <c r="S25" s="2"/>
      <c r="T25" s="7">
        <v>7125.23</v>
      </c>
      <c r="U25" s="2"/>
      <c r="V25" s="6">
        <f t="shared" si="9"/>
        <v>1.4592090011345623E-2</v>
      </c>
      <c r="W25" s="2"/>
      <c r="X25" s="7">
        <f t="shared" si="10"/>
        <v>1184.0600000000013</v>
      </c>
      <c r="Y25" s="2"/>
      <c r="Z25" s="6">
        <f t="shared" si="11"/>
        <v>0.16617849529067852</v>
      </c>
    </row>
    <row r="26" spans="1:26" s="24" customFormat="1" hidden="1" outlineLevel="2" x14ac:dyDescent="0.35">
      <c r="A26" s="27"/>
      <c r="B26" s="11" t="str">
        <f>CONCATENATE("          ", "6118", " - ", "VACATION")</f>
        <v xml:space="preserve">          6118 - VACATION</v>
      </c>
      <c r="C26" s="11"/>
      <c r="D26" s="7">
        <v>484.71</v>
      </c>
      <c r="E26" s="2"/>
      <c r="F26" s="6">
        <f t="shared" si="4"/>
        <v>7.7705280707941896E-3</v>
      </c>
      <c r="G26" s="2"/>
      <c r="H26" s="7">
        <v>534.38</v>
      </c>
      <c r="I26" s="2"/>
      <c r="J26" s="6">
        <f t="shared" si="5"/>
        <v>1.8489377897723341E-2</v>
      </c>
      <c r="K26" s="2"/>
      <c r="L26" s="7">
        <f t="shared" si="6"/>
        <v>-49.670000000000016</v>
      </c>
      <c r="M26" s="2"/>
      <c r="N26" s="6">
        <f t="shared" si="7"/>
        <v>-9.2948837905610274E-2</v>
      </c>
      <c r="O26" s="11"/>
      <c r="P26" s="7">
        <v>8433.2199999999993</v>
      </c>
      <c r="Q26" s="2"/>
      <c r="R26" s="6">
        <f t="shared" si="8"/>
        <v>1.7151916498195974E-2</v>
      </c>
      <c r="S26" s="2"/>
      <c r="T26" s="7">
        <v>7543.74</v>
      </c>
      <c r="U26" s="2"/>
      <c r="V26" s="6">
        <f t="shared" si="9"/>
        <v>1.5449176111113386E-2</v>
      </c>
      <c r="W26" s="2"/>
      <c r="X26" s="7">
        <f t="shared" si="10"/>
        <v>889.47999999999956</v>
      </c>
      <c r="Y26" s="2"/>
      <c r="Z26" s="6">
        <f t="shared" si="11"/>
        <v>0.11790968405591916</v>
      </c>
    </row>
    <row r="27" spans="1:26" s="24" customFormat="1" hidden="1" outlineLevel="2" x14ac:dyDescent="0.35">
      <c r="A27" s="27"/>
      <c r="B27" s="11" t="str">
        <f>CONCATENATE("          ", "6119", " - ", "SICK LEAVE")</f>
        <v xml:space="preserve">          6119 - SICK LEAVE</v>
      </c>
      <c r="C27" s="11"/>
      <c r="D27" s="7">
        <v>281.62</v>
      </c>
      <c r="E27" s="2"/>
      <c r="F27" s="6">
        <f t="shared" si="4"/>
        <v>4.514732758344288E-3</v>
      </c>
      <c r="G27" s="2"/>
      <c r="H27" s="7">
        <v>266.83</v>
      </c>
      <c r="I27" s="2"/>
      <c r="J27" s="6">
        <f t="shared" si="5"/>
        <v>9.2322330634558164E-3</v>
      </c>
      <c r="K27" s="2"/>
      <c r="L27" s="7">
        <f t="shared" si="6"/>
        <v>14.79000000000002</v>
      </c>
      <c r="M27" s="2"/>
      <c r="N27" s="6">
        <f t="shared" si="7"/>
        <v>5.5428550013117049E-2</v>
      </c>
      <c r="O27" s="11"/>
      <c r="P27" s="7">
        <v>4824.46</v>
      </c>
      <c r="Q27" s="2"/>
      <c r="R27" s="6">
        <f t="shared" si="8"/>
        <v>9.812234836620715E-3</v>
      </c>
      <c r="S27" s="2"/>
      <c r="T27" s="7">
        <v>4076.74</v>
      </c>
      <c r="U27" s="2"/>
      <c r="V27" s="6">
        <f t="shared" si="9"/>
        <v>8.3489455123347822E-3</v>
      </c>
      <c r="W27" s="2"/>
      <c r="X27" s="7">
        <f t="shared" si="10"/>
        <v>747.72000000000025</v>
      </c>
      <c r="Y27" s="2"/>
      <c r="Z27" s="6">
        <f t="shared" si="11"/>
        <v>0.18341125507145423</v>
      </c>
    </row>
    <row r="28" spans="1:26" s="24" customFormat="1" hidden="1" outlineLevel="2" x14ac:dyDescent="0.35">
      <c r="A28" s="27"/>
      <c r="B28" s="11" t="str">
        <f>CONCATENATE("          ", "6156", " - ", "EMPLOYEE MEALS")</f>
        <v xml:space="preserve">          6156 - EMPLOYEE MEALS</v>
      </c>
      <c r="C28" s="11"/>
      <c r="D28" s="7">
        <v>106.78</v>
      </c>
      <c r="E28" s="2"/>
      <c r="F28" s="6">
        <f t="shared" si="4"/>
        <v>1.7118214755202155E-3</v>
      </c>
      <c r="G28" s="2"/>
      <c r="H28" s="7">
        <v>125.17</v>
      </c>
      <c r="I28" s="2"/>
      <c r="J28" s="6">
        <f t="shared" si="5"/>
        <v>4.3308421562521628E-3</v>
      </c>
      <c r="K28" s="2"/>
      <c r="L28" s="7">
        <f t="shared" si="6"/>
        <v>-18.39</v>
      </c>
      <c r="M28" s="2"/>
      <c r="N28" s="6">
        <f t="shared" si="7"/>
        <v>-0.14692018854358074</v>
      </c>
      <c r="O28" s="11"/>
      <c r="P28" s="7">
        <v>1475.47</v>
      </c>
      <c r="Q28" s="2"/>
      <c r="R28" s="6">
        <f t="shared" si="8"/>
        <v>3.0008867592204655E-3</v>
      </c>
      <c r="S28" s="2"/>
      <c r="T28" s="7">
        <v>2276.1799999999998</v>
      </c>
      <c r="U28" s="2"/>
      <c r="V28" s="6">
        <f t="shared" si="9"/>
        <v>4.6614949190446732E-3</v>
      </c>
      <c r="W28" s="2"/>
      <c r="X28" s="7">
        <f t="shared" si="10"/>
        <v>-800.70999999999981</v>
      </c>
      <c r="Y28" s="2"/>
      <c r="Z28" s="6">
        <f t="shared" si="11"/>
        <v>-0.35177797889446349</v>
      </c>
    </row>
    <row r="29" spans="1:26" s="25" customFormat="1" outlineLevel="1" collapsed="1" x14ac:dyDescent="0.3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12822.880000000001</v>
      </c>
      <c r="E29" s="1"/>
      <c r="F29" s="5">
        <f t="shared" ref="F29:F35" si="12">IF(D$12=0,0,D29/D$12)</f>
        <v>0.20556734746224631</v>
      </c>
      <c r="G29" s="1"/>
      <c r="H29" s="1">
        <f>SUM(OSRRefH22_1x_0)</f>
        <v>14779.919999999998</v>
      </c>
      <c r="I29" s="1"/>
      <c r="J29" s="5">
        <f t="shared" ref="J29:J35" si="13">IF(H$12=0,0,H29/H$12)</f>
        <v>0.51138052729914873</v>
      </c>
      <c r="K29" s="1"/>
      <c r="L29" s="1">
        <f t="shared" ref="L29:L35" si="14">+D29-H29</f>
        <v>-1957.0399999999972</v>
      </c>
      <c r="M29" s="1"/>
      <c r="N29" s="5">
        <f t="shared" ref="N29:N35" si="15">IF(H29=0,0,L29/H29)</f>
        <v>-0.13241208342129035</v>
      </c>
      <c r="O29" s="12"/>
      <c r="P29" s="1">
        <f>SUM(OSRRefP22_1x_0)</f>
        <v>190012.33</v>
      </c>
      <c r="Q29" s="1"/>
      <c r="R29" s="5">
        <f t="shared" ref="R29:R35" si="16">IF(P$12=0,0,P29/P$12)</f>
        <v>0.38645684777435635</v>
      </c>
      <c r="S29" s="1"/>
      <c r="T29" s="1">
        <f>SUM(OSRRefT22_1x_0)</f>
        <v>190968.61000000002</v>
      </c>
      <c r="U29" s="1"/>
      <c r="V29" s="5">
        <f t="shared" ref="V29:V35" si="17">IF(T$12=0,0,T29/T$12)</f>
        <v>0.3910935010465007</v>
      </c>
      <c r="W29" s="1"/>
      <c r="X29" s="1">
        <f t="shared" ref="X29:X35" si="18">+P29-T29</f>
        <v>-956.28000000002794</v>
      </c>
      <c r="Y29" s="1"/>
      <c r="Z29" s="5">
        <f t="shared" ref="Z29:Z35" si="19">IF(T29=0,0,X29/T29)</f>
        <v>-5.0075245350533152E-3</v>
      </c>
    </row>
    <row r="30" spans="1:26" s="24" customFormat="1" hidden="1" outlineLevel="2" x14ac:dyDescent="0.35">
      <c r="A30" s="27"/>
      <c r="B30" s="11" t="str">
        <f>CONCATENATE("          ", "6002", " - ", "STAFF SALARIES")</f>
        <v xml:space="preserve">          6002 - STAFF SALARIES</v>
      </c>
      <c r="C30" s="11"/>
      <c r="D30" s="7">
        <v>6105.68</v>
      </c>
      <c r="E30" s="2"/>
      <c r="F30" s="6">
        <f t="shared" si="12"/>
        <v>9.7881945557728695E-2</v>
      </c>
      <c r="G30" s="2"/>
      <c r="H30" s="7">
        <v>4917.2</v>
      </c>
      <c r="I30" s="2"/>
      <c r="J30" s="6">
        <f t="shared" si="13"/>
        <v>0.1701335547712961</v>
      </c>
      <c r="K30" s="2"/>
      <c r="L30" s="7">
        <f t="shared" si="14"/>
        <v>1188.4800000000005</v>
      </c>
      <c r="M30" s="2"/>
      <c r="N30" s="6">
        <f t="shared" si="15"/>
        <v>0.24169852761734331</v>
      </c>
      <c r="O30" s="11"/>
      <c r="P30" s="7">
        <v>70386.490000000005</v>
      </c>
      <c r="Q30" s="2"/>
      <c r="R30" s="6">
        <f t="shared" si="16"/>
        <v>0.1431556628525173</v>
      </c>
      <c r="S30" s="2"/>
      <c r="T30" s="7">
        <v>67973.010000000009</v>
      </c>
      <c r="U30" s="2"/>
      <c r="V30" s="6">
        <f t="shared" si="17"/>
        <v>0.13920508955670152</v>
      </c>
      <c r="W30" s="2"/>
      <c r="X30" s="7">
        <f t="shared" si="18"/>
        <v>2413.4799999999959</v>
      </c>
      <c r="Y30" s="2"/>
      <c r="Z30" s="6">
        <f t="shared" si="19"/>
        <v>3.5506445867264015E-2</v>
      </c>
    </row>
    <row r="31" spans="1:26" s="24" customFormat="1" hidden="1" outlineLevel="2" x14ac:dyDescent="0.35">
      <c r="A31" s="27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2"/>
        <v>0</v>
      </c>
      <c r="G31" s="2"/>
      <c r="H31" s="7"/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11061</v>
      </c>
      <c r="U31" s="2"/>
      <c r="V31" s="6">
        <f t="shared" si="17"/>
        <v>2.2652336502189254E-2</v>
      </c>
      <c r="W31" s="2"/>
      <c r="X31" s="7">
        <f t="shared" si="18"/>
        <v>-11061</v>
      </c>
      <c r="Y31" s="2"/>
      <c r="Z31" s="6">
        <f t="shared" si="19"/>
        <v>-1</v>
      </c>
    </row>
    <row r="32" spans="1:26" s="24" customFormat="1" hidden="1" outlineLevel="2" x14ac:dyDescent="0.35">
      <c r="A32" s="27"/>
      <c r="B32" s="11" t="str">
        <f>CONCATENATE("          ", "6005", " - ", "TEMPORARY WAGES-HOURLY")</f>
        <v xml:space="preserve">          6005 - TEMPORARY WAGES-HOURLY</v>
      </c>
      <c r="C32" s="11"/>
      <c r="D32" s="7">
        <v>6717.2</v>
      </c>
      <c r="E32" s="2"/>
      <c r="F32" s="6">
        <f t="shared" si="12"/>
        <v>0.10768540190451761</v>
      </c>
      <c r="G32" s="2"/>
      <c r="H32" s="7">
        <v>5692.83</v>
      </c>
      <c r="I32" s="2"/>
      <c r="J32" s="6">
        <f t="shared" si="13"/>
        <v>0.19697010587502595</v>
      </c>
      <c r="K32" s="2"/>
      <c r="L32" s="7">
        <f t="shared" si="14"/>
        <v>1024.3699999999999</v>
      </c>
      <c r="M32" s="2"/>
      <c r="N32" s="6">
        <f t="shared" si="15"/>
        <v>0.17994038114610833</v>
      </c>
      <c r="O32" s="11"/>
      <c r="P32" s="7">
        <v>87917.69</v>
      </c>
      <c r="Q32" s="2"/>
      <c r="R32" s="6">
        <f t="shared" si="16"/>
        <v>0.17881151892091979</v>
      </c>
      <c r="S32" s="2"/>
      <c r="T32" s="7">
        <v>42800.02</v>
      </c>
      <c r="U32" s="2"/>
      <c r="V32" s="6">
        <f t="shared" si="17"/>
        <v>8.7652152187002091E-2</v>
      </c>
      <c r="W32" s="2"/>
      <c r="X32" s="7">
        <f t="shared" si="18"/>
        <v>45117.670000000006</v>
      </c>
      <c r="Y32" s="2"/>
      <c r="Z32" s="6">
        <f t="shared" si="19"/>
        <v>1.0541506756305257</v>
      </c>
    </row>
    <row r="33" spans="1:26" s="24" customFormat="1" hidden="1" outlineLevel="2" x14ac:dyDescent="0.35">
      <c r="A33" s="27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12"/>
        <v>0</v>
      </c>
      <c r="G33" s="2"/>
      <c r="H33" s="7">
        <v>471.75</v>
      </c>
      <c r="I33" s="2"/>
      <c r="J33" s="6">
        <f t="shared" si="13"/>
        <v>1.6322399833921527E-2</v>
      </c>
      <c r="K33" s="2"/>
      <c r="L33" s="7">
        <f t="shared" si="14"/>
        <v>-471.75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10984.32</v>
      </c>
      <c r="U33" s="2"/>
      <c r="V33" s="6">
        <f t="shared" si="17"/>
        <v>2.2495299962727373E-2</v>
      </c>
      <c r="W33" s="2"/>
      <c r="X33" s="7">
        <f t="shared" si="18"/>
        <v>-10984.32</v>
      </c>
      <c r="Y33" s="2"/>
      <c r="Z33" s="6">
        <f t="shared" si="19"/>
        <v>-1</v>
      </c>
    </row>
    <row r="34" spans="1:26" s="24" customFormat="1" hidden="1" outlineLevel="2" x14ac:dyDescent="0.35">
      <c r="A34" s="27"/>
      <c r="B34" s="11" t="str">
        <f>CONCATENATE("          ", "6007", " - ", "STUDENT HOURLY")</f>
        <v xml:space="preserve">          6007 - STUDENT HOURLY</v>
      </c>
      <c r="C34" s="11"/>
      <c r="D34" s="7"/>
      <c r="E34" s="2"/>
      <c r="F34" s="6">
        <f t="shared" si="12"/>
        <v>0</v>
      </c>
      <c r="G34" s="2"/>
      <c r="H34" s="7">
        <v>3698.14</v>
      </c>
      <c r="I34" s="2"/>
      <c r="J34" s="6">
        <f t="shared" si="13"/>
        <v>0.12795446681890527</v>
      </c>
      <c r="K34" s="2"/>
      <c r="L34" s="7">
        <f t="shared" si="14"/>
        <v>-3698.14</v>
      </c>
      <c r="M34" s="2"/>
      <c r="N34" s="6">
        <f t="shared" si="15"/>
        <v>-1</v>
      </c>
      <c r="O34" s="11"/>
      <c r="P34" s="7">
        <v>25787.41</v>
      </c>
      <c r="Q34" s="2"/>
      <c r="R34" s="6">
        <f t="shared" si="16"/>
        <v>5.244776052619804E-2</v>
      </c>
      <c r="S34" s="2"/>
      <c r="T34" s="7">
        <v>54621.72</v>
      </c>
      <c r="U34" s="2"/>
      <c r="V34" s="6">
        <f t="shared" si="17"/>
        <v>0.11186236161001364</v>
      </c>
      <c r="W34" s="2"/>
      <c r="X34" s="7">
        <f t="shared" si="18"/>
        <v>-28834.31</v>
      </c>
      <c r="Y34" s="2"/>
      <c r="Z34" s="6">
        <f t="shared" si="19"/>
        <v>-0.5278909195829059</v>
      </c>
    </row>
    <row r="35" spans="1:26" s="24" customFormat="1" hidden="1" outlineLevel="2" x14ac:dyDescent="0.35">
      <c r="A35" s="27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12"/>
        <v>0</v>
      </c>
      <c r="G35" s="2"/>
      <c r="H35" s="7"/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>
        <v>5920.74</v>
      </c>
      <c r="Q35" s="2"/>
      <c r="R35" s="6">
        <f t="shared" si="16"/>
        <v>1.2041905474721261E-2</v>
      </c>
      <c r="S35" s="2"/>
      <c r="T35" s="7">
        <v>3528.54</v>
      </c>
      <c r="U35" s="2"/>
      <c r="V35" s="6">
        <f t="shared" si="17"/>
        <v>7.2262612278668177E-3</v>
      </c>
      <c r="W35" s="2"/>
      <c r="X35" s="7">
        <f t="shared" si="18"/>
        <v>2392.1999999999998</v>
      </c>
      <c r="Y35" s="2"/>
      <c r="Z35" s="6">
        <f t="shared" si="19"/>
        <v>0.67795745549150632</v>
      </c>
    </row>
    <row r="36" spans="1:26" s="25" customFormat="1" outlineLevel="1" collapsed="1" x14ac:dyDescent="0.3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12</v>
      </c>
      <c r="I36" s="1"/>
      <c r="J36" s="5">
        <f t="shared" ref="J36:J44" si="21">IF(H$12=0,0,H36/H$12)</f>
        <v>4.1519618019514223E-4</v>
      </c>
      <c r="K36" s="1"/>
      <c r="L36" s="1">
        <f t="shared" ref="L36:L44" si="22">+D36-H36</f>
        <v>-12</v>
      </c>
      <c r="M36" s="1"/>
      <c r="N36" s="5">
        <f t="shared" ref="N36:N44" si="23">IF(H36=0,0,L36/H36)</f>
        <v>-1</v>
      </c>
      <c r="O36" s="12"/>
      <c r="P36" s="1">
        <f>SUM(OSRRefP22_2x_0)</f>
        <v>2066.92</v>
      </c>
      <c r="Q36" s="1"/>
      <c r="R36" s="5">
        <f t="shared" ref="R36:R44" si="24">IF(P$12=0,0,P36/P$12)</f>
        <v>4.2038081834045865E-3</v>
      </c>
      <c r="S36" s="1"/>
      <c r="T36" s="1">
        <f>SUM(OSRRefT22_2x_0)</f>
        <v>3183.09</v>
      </c>
      <c r="U36" s="1"/>
      <c r="V36" s="5">
        <f t="shared" ref="V36:V44" si="25">IF(T$12=0,0,T36/T$12)</f>
        <v>6.5187981011439831E-3</v>
      </c>
      <c r="W36" s="1"/>
      <c r="X36" s="1">
        <f t="shared" ref="X36:X44" si="26">+P36-T36</f>
        <v>-1116.17</v>
      </c>
      <c r="Y36" s="1"/>
      <c r="Z36" s="5">
        <f t="shared" ref="Z36:Z44" si="27">IF(T36=0,0,X36/T36)</f>
        <v>-0.35065612345236863</v>
      </c>
    </row>
    <row r="37" spans="1:26" s="24" customFormat="1" hidden="1" outlineLevel="2" x14ac:dyDescent="0.3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>
        <v>12</v>
      </c>
      <c r="I37" s="2"/>
      <c r="J37" s="6">
        <f t="shared" si="21"/>
        <v>4.1519618019514223E-4</v>
      </c>
      <c r="K37" s="2"/>
      <c r="L37" s="7">
        <f t="shared" si="22"/>
        <v>-12</v>
      </c>
      <c r="M37" s="2"/>
      <c r="N37" s="6">
        <f t="shared" si="23"/>
        <v>-1</v>
      </c>
      <c r="O37" s="11"/>
      <c r="P37" s="7">
        <v>2066.92</v>
      </c>
      <c r="Q37" s="2"/>
      <c r="R37" s="6">
        <f t="shared" si="24"/>
        <v>4.2038081834045865E-3</v>
      </c>
      <c r="S37" s="2"/>
      <c r="T37" s="7">
        <v>3183.09</v>
      </c>
      <c r="U37" s="2"/>
      <c r="V37" s="6">
        <f t="shared" si="25"/>
        <v>6.5187981011439831E-3</v>
      </c>
      <c r="W37" s="2"/>
      <c r="X37" s="7">
        <f t="shared" si="26"/>
        <v>-1116.17</v>
      </c>
      <c r="Y37" s="2"/>
      <c r="Z37" s="6">
        <f t="shared" si="27"/>
        <v>-0.35065612345236863</v>
      </c>
    </row>
    <row r="38" spans="1:26" s="25" customFormat="1" outlineLevel="1" collapsed="1" x14ac:dyDescent="0.35">
      <c r="A38" s="26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163.22</v>
      </c>
      <c r="E38" s="1"/>
      <c r="F38" s="5">
        <f t="shared" si="20"/>
        <v>2.6166276571868287E-3</v>
      </c>
      <c r="G38" s="1"/>
      <c r="H38" s="1">
        <f>SUM(OSRRefH22_3x_0)</f>
        <v>239.13</v>
      </c>
      <c r="I38" s="1"/>
      <c r="J38" s="5">
        <f t="shared" si="21"/>
        <v>8.273821880838696E-3</v>
      </c>
      <c r="K38" s="1"/>
      <c r="L38" s="1">
        <f t="shared" si="22"/>
        <v>-75.91</v>
      </c>
      <c r="M38" s="1"/>
      <c r="N38" s="5">
        <f t="shared" si="23"/>
        <v>-0.31744239534980973</v>
      </c>
      <c r="O38" s="12"/>
      <c r="P38" s="1">
        <f>SUM(OSRRefP22_3x_0)</f>
        <v>17997.099999999999</v>
      </c>
      <c r="Q38" s="1"/>
      <c r="R38" s="5">
        <f t="shared" si="24"/>
        <v>3.6603427446418181E-2</v>
      </c>
      <c r="S38" s="1"/>
      <c r="T38" s="1">
        <f>SUM(OSRRefT22_3x_0)</f>
        <v>22577.18</v>
      </c>
      <c r="U38" s="1"/>
      <c r="V38" s="5">
        <f t="shared" si="25"/>
        <v>4.6236857303182097E-2</v>
      </c>
      <c r="W38" s="1"/>
      <c r="X38" s="1">
        <f t="shared" si="26"/>
        <v>-4580.0800000000017</v>
      </c>
      <c r="Y38" s="1"/>
      <c r="Z38" s="5">
        <f t="shared" si="27"/>
        <v>-0.20286324509969808</v>
      </c>
    </row>
    <row r="39" spans="1:26" s="24" customFormat="1" hidden="1" outlineLevel="2" x14ac:dyDescent="0.35">
      <c r="A39" s="27"/>
      <c r="B39" s="11" t="str">
        <f>CONCATENATE("          ", "6381", " - ", "BANK/CREDIT CARD FEES")</f>
        <v xml:space="preserve">          6381 - BANK/CREDIT CARD FEES</v>
      </c>
      <c r="C39" s="11"/>
      <c r="D39" s="7">
        <v>163.22</v>
      </c>
      <c r="E39" s="2"/>
      <c r="F39" s="6">
        <f t="shared" si="20"/>
        <v>2.6166276571868287E-3</v>
      </c>
      <c r="G39" s="2"/>
      <c r="H39" s="7">
        <v>239.13</v>
      </c>
      <c r="I39" s="2"/>
      <c r="J39" s="6">
        <f t="shared" si="21"/>
        <v>8.273821880838696E-3</v>
      </c>
      <c r="K39" s="2"/>
      <c r="L39" s="7">
        <f t="shared" si="22"/>
        <v>-75.91</v>
      </c>
      <c r="M39" s="2"/>
      <c r="N39" s="6">
        <f t="shared" si="23"/>
        <v>-0.31744239534980973</v>
      </c>
      <c r="O39" s="11"/>
      <c r="P39" s="7">
        <v>17997.099999999999</v>
      </c>
      <c r="Q39" s="2"/>
      <c r="R39" s="6">
        <f t="shared" si="24"/>
        <v>3.6603427446418181E-2</v>
      </c>
      <c r="S39" s="2"/>
      <c r="T39" s="7">
        <v>22577.18</v>
      </c>
      <c r="U39" s="2"/>
      <c r="V39" s="6">
        <f t="shared" si="25"/>
        <v>4.6236857303182097E-2</v>
      </c>
      <c r="W39" s="2"/>
      <c r="X39" s="7">
        <f t="shared" si="26"/>
        <v>-4580.0800000000017</v>
      </c>
      <c r="Y39" s="2"/>
      <c r="Z39" s="6">
        <f t="shared" si="27"/>
        <v>-0.20286324509969808</v>
      </c>
    </row>
    <row r="40" spans="1:26" s="25" customFormat="1" outlineLevel="1" collapsed="1" x14ac:dyDescent="0.35">
      <c r="A40" s="26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2"/>
      <c r="P40" s="1">
        <f>SUM(OSRRefP22_4x_0)</f>
        <v>64.239999999999995</v>
      </c>
      <c r="Q40" s="1"/>
      <c r="R40" s="5">
        <f t="shared" si="24"/>
        <v>1.306546154190344E-4</v>
      </c>
      <c r="S40" s="1"/>
      <c r="T40" s="1">
        <f>SUM(OSRRefT22_4x_0)</f>
        <v>92.16</v>
      </c>
      <c r="U40" s="1"/>
      <c r="V40" s="5">
        <f t="shared" si="25"/>
        <v>1.8873875165371682E-4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35">
      <c r="A41" s="27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0"/>
        <v>0</v>
      </c>
      <c r="G41" s="2"/>
      <c r="H41" s="7"/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64.239999999999995</v>
      </c>
      <c r="Q41" s="2"/>
      <c r="R41" s="6">
        <f t="shared" si="24"/>
        <v>1.306546154190344E-4</v>
      </c>
      <c r="S41" s="2"/>
      <c r="T41" s="7">
        <v>92.16</v>
      </c>
      <c r="U41" s="2"/>
      <c r="V41" s="6">
        <f t="shared" si="25"/>
        <v>1.8873875165371682E-4</v>
      </c>
      <c r="W41" s="2"/>
      <c r="X41" s="7">
        <f t="shared" si="26"/>
        <v>-27.92</v>
      </c>
      <c r="Y41" s="2"/>
      <c r="Z41" s="6">
        <f t="shared" si="27"/>
        <v>-0.3029513888888889</v>
      </c>
    </row>
    <row r="42" spans="1:26" s="25" customFormat="1" outlineLevel="1" collapsed="1" x14ac:dyDescent="0.35">
      <c r="A42" s="26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2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102.21000000000001</v>
      </c>
      <c r="U42" s="1"/>
      <c r="V42" s="5">
        <f t="shared" si="25"/>
        <v>2.093206142201215E-4</v>
      </c>
      <c r="W42" s="1"/>
      <c r="X42" s="1">
        <f t="shared" si="26"/>
        <v>-102.21000000000001</v>
      </c>
      <c r="Y42" s="1"/>
      <c r="Z42" s="5">
        <f t="shared" si="27"/>
        <v>-1</v>
      </c>
    </row>
    <row r="43" spans="1:26" s="24" customFormat="1" hidden="1" outlineLevel="2" x14ac:dyDescent="0.35">
      <c r="A43" s="27"/>
      <c r="B43" s="11" t="str">
        <f>CONCATENATE("          ", "6305", " - ", "FREIGHT OUT")</f>
        <v xml:space="preserve">          6305 - FREIGHT OUT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54.57</v>
      </c>
      <c r="U43" s="2"/>
      <c r="V43" s="6">
        <f t="shared" si="25"/>
        <v>1.117564418157913E-4</v>
      </c>
      <c r="W43" s="2"/>
      <c r="X43" s="7">
        <f t="shared" si="26"/>
        <v>-54.57</v>
      </c>
      <c r="Y43" s="2"/>
      <c r="Z43" s="6">
        <f t="shared" si="27"/>
        <v>-1</v>
      </c>
    </row>
    <row r="44" spans="1:26" s="24" customFormat="1" hidden="1" outlineLevel="2" x14ac:dyDescent="0.35">
      <c r="A44" s="27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20"/>
        <v>0</v>
      </c>
      <c r="G44" s="2"/>
      <c r="H44" s="7"/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47.64</v>
      </c>
      <c r="U44" s="2"/>
      <c r="V44" s="6">
        <f t="shared" si="25"/>
        <v>9.7564172404330181E-5</v>
      </c>
      <c r="W44" s="2"/>
      <c r="X44" s="7">
        <f t="shared" si="26"/>
        <v>-47.64</v>
      </c>
      <c r="Y44" s="2"/>
      <c r="Z44" s="6">
        <f t="shared" si="27"/>
        <v>-1</v>
      </c>
    </row>
    <row r="45" spans="1:26" s="25" customFormat="1" outlineLevel="1" collapsed="1" x14ac:dyDescent="0.35">
      <c r="A45" s="26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ref="F45:F56" si="28">IF(D$12=0,0,D45/D$12)</f>
        <v>0</v>
      </c>
      <c r="G45" s="1"/>
      <c r="H45" s="1">
        <f>SUM(OSRRefH22_6x_0)</f>
        <v>0</v>
      </c>
      <c r="I45" s="1"/>
      <c r="J45" s="5">
        <f t="shared" ref="J45:J56" si="29">IF(H$12=0,0,H45/H$12)</f>
        <v>0</v>
      </c>
      <c r="K45" s="1"/>
      <c r="L45" s="1">
        <f t="shared" ref="L45:L56" si="30">+D45-H45</f>
        <v>0</v>
      </c>
      <c r="M45" s="1"/>
      <c r="N45" s="5">
        <f t="shared" ref="N45:N56" si="31">IF(H45=0,0,L45/H45)</f>
        <v>0</v>
      </c>
      <c r="O45" s="12"/>
      <c r="P45" s="1">
        <f>SUM(OSRRefP22_6x_0)</f>
        <v>47.34</v>
      </c>
      <c r="Q45" s="1"/>
      <c r="R45" s="5">
        <f t="shared" ref="R45:R56" si="32">IF(P$12=0,0,P45/P$12)</f>
        <v>9.6282526368883712E-5</v>
      </c>
      <c r="S45" s="1"/>
      <c r="T45" s="1">
        <f>SUM(OSRRefT22_6x_0)</f>
        <v>661</v>
      </c>
      <c r="U45" s="1"/>
      <c r="V45" s="5">
        <f t="shared" ref="V45:V56" si="33">IF(T$12=0,0,T45/T$12)</f>
        <v>1.3536926523774612E-3</v>
      </c>
      <c r="W45" s="1"/>
      <c r="X45" s="1">
        <f t="shared" ref="X45:X56" si="34">+P45-T45</f>
        <v>-613.66</v>
      </c>
      <c r="Y45" s="1"/>
      <c r="Z45" s="5">
        <f t="shared" ref="Z45:Z56" si="35">IF(T45=0,0,X45/T45)</f>
        <v>-0.92838124054462934</v>
      </c>
    </row>
    <row r="46" spans="1:26" s="24" customFormat="1" hidden="1" outlineLevel="2" x14ac:dyDescent="0.35">
      <c r="A46" s="27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47.34</v>
      </c>
      <c r="Q46" s="2"/>
      <c r="R46" s="6">
        <f t="shared" si="32"/>
        <v>9.6282526368883712E-5</v>
      </c>
      <c r="S46" s="2"/>
      <c r="T46" s="7">
        <v>661</v>
      </c>
      <c r="U46" s="2"/>
      <c r="V46" s="6">
        <f t="shared" si="33"/>
        <v>1.3536926523774612E-3</v>
      </c>
      <c r="W46" s="2"/>
      <c r="X46" s="7">
        <f t="shared" si="34"/>
        <v>-613.66</v>
      </c>
      <c r="Y46" s="2"/>
      <c r="Z46" s="6">
        <f t="shared" si="35"/>
        <v>-0.92838124054462934</v>
      </c>
    </row>
    <row r="47" spans="1:26" s="25" customFormat="1" outlineLevel="1" collapsed="1" x14ac:dyDescent="0.35">
      <c r="A47" s="26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SUM(OSRRefD22_7x_0)</f>
        <v>29.01</v>
      </c>
      <c r="E47" s="1"/>
      <c r="F47" s="5">
        <f t="shared" si="28"/>
        <v>4.6506781236974574E-4</v>
      </c>
      <c r="G47" s="1"/>
      <c r="H47" s="1">
        <f>SUM(OSRRefH22_7x_0)</f>
        <v>27.33</v>
      </c>
      <c r="I47" s="1"/>
      <c r="J47" s="5">
        <f t="shared" si="29"/>
        <v>9.4560930039443635E-4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2"/>
      <c r="P47" s="1">
        <f>SUM(OSRRefP22_7x_0)</f>
        <v>348.12</v>
      </c>
      <c r="Q47" s="1"/>
      <c r="R47" s="5">
        <f t="shared" si="32"/>
        <v>7.0802435740464291E-4</v>
      </c>
      <c r="S47" s="1"/>
      <c r="T47" s="1">
        <f>SUM(OSRRefT22_7x_0)</f>
        <v>279.19</v>
      </c>
      <c r="U47" s="1"/>
      <c r="V47" s="5">
        <f t="shared" si="33"/>
        <v>5.7176619004124568E-4</v>
      </c>
      <c r="W47" s="1"/>
      <c r="X47" s="1">
        <f t="shared" si="34"/>
        <v>68.930000000000007</v>
      </c>
      <c r="Y47" s="1"/>
      <c r="Z47" s="5">
        <f t="shared" si="35"/>
        <v>0.24689279701995059</v>
      </c>
    </row>
    <row r="48" spans="1:26" s="24" customFormat="1" hidden="1" outlineLevel="2" x14ac:dyDescent="0.35">
      <c r="A48" s="27"/>
      <c r="B48" s="11" t="str">
        <f>CONCATENATE("          ", "6314", " - ", "LIABILITY INSURANCE")</f>
        <v xml:space="preserve">          6314 - LIABILITY INSURANCE</v>
      </c>
      <c r="C48" s="11"/>
      <c r="D48" s="7">
        <v>29.01</v>
      </c>
      <c r="E48" s="2"/>
      <c r="F48" s="6">
        <f t="shared" si="28"/>
        <v>4.6506781236974574E-4</v>
      </c>
      <c r="G48" s="2"/>
      <c r="H48" s="7">
        <v>27.33</v>
      </c>
      <c r="I48" s="2"/>
      <c r="J48" s="6">
        <f t="shared" si="29"/>
        <v>9.4560930039443635E-4</v>
      </c>
      <c r="K48" s="2"/>
      <c r="L48" s="7">
        <f t="shared" si="30"/>
        <v>1.6800000000000033</v>
      </c>
      <c r="M48" s="2"/>
      <c r="N48" s="6">
        <f t="shared" si="31"/>
        <v>6.1470911086718018E-2</v>
      </c>
      <c r="O48" s="11"/>
      <c r="P48" s="7">
        <v>348.12</v>
      </c>
      <c r="Q48" s="2"/>
      <c r="R48" s="6">
        <f t="shared" si="32"/>
        <v>7.0802435740464291E-4</v>
      </c>
      <c r="S48" s="2"/>
      <c r="T48" s="7">
        <v>279.19</v>
      </c>
      <c r="U48" s="2"/>
      <c r="V48" s="6">
        <f t="shared" si="33"/>
        <v>5.7176619004124568E-4</v>
      </c>
      <c r="W48" s="2"/>
      <c r="X48" s="7">
        <f t="shared" si="34"/>
        <v>68.930000000000007</v>
      </c>
      <c r="Y48" s="2"/>
      <c r="Z48" s="6">
        <f t="shared" si="35"/>
        <v>0.24689279701995059</v>
      </c>
    </row>
    <row r="49" spans="1:26" s="25" customFormat="1" outlineLevel="1" collapsed="1" x14ac:dyDescent="0.35">
      <c r="A49" s="26"/>
      <c r="B49" s="12" t="str">
        <f>CONCATENATE("     ","Professional Services                             ")</f>
        <v xml:space="preserve">     Professional Services                             </v>
      </c>
      <c r="C49" s="12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3.4405501603542127E-3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35">
      <c r="A50" s="27"/>
      <c r="B50" s="11" t="str">
        <f>CONCATENATE("          ", "6336", " - ", "PROFESSIONAL SERVICES")</f>
        <v xml:space="preserve">          6336 - PROFESSIONAL SERVICES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/>
      <c r="Q50" s="2"/>
      <c r="R50" s="6">
        <f t="shared" si="32"/>
        <v>0</v>
      </c>
      <c r="S50" s="2"/>
      <c r="T50" s="7">
        <v>1680</v>
      </c>
      <c r="U50" s="2"/>
      <c r="V50" s="6">
        <f t="shared" si="33"/>
        <v>3.4405501603542127E-3</v>
      </c>
      <c r="W50" s="2"/>
      <c r="X50" s="7">
        <f t="shared" si="34"/>
        <v>-1680</v>
      </c>
      <c r="Y50" s="2"/>
      <c r="Z50" s="6">
        <f t="shared" si="35"/>
        <v>-1</v>
      </c>
    </row>
    <row r="51" spans="1:26" s="25" customFormat="1" outlineLevel="1" collapsed="1" x14ac:dyDescent="0.35">
      <c r="A51" s="26"/>
      <c r="B51" s="12" t="str">
        <f>CONCATENATE("     ","Rent                                              ")</f>
        <v xml:space="preserve">     Rent                                              </v>
      </c>
      <c r="C51" s="12"/>
      <c r="D51" s="1">
        <f>SUM(OSRRefD22_9x_0)</f>
        <v>800</v>
      </c>
      <c r="E51" s="1"/>
      <c r="F51" s="5">
        <f t="shared" si="28"/>
        <v>1.282503446728013E-2</v>
      </c>
      <c r="G51" s="1"/>
      <c r="H51" s="1">
        <f>SUM(OSRRefH22_9x_0)</f>
        <v>800</v>
      </c>
      <c r="I51" s="1"/>
      <c r="J51" s="5">
        <f t="shared" si="29"/>
        <v>2.7679745346342814E-2</v>
      </c>
      <c r="K51" s="1"/>
      <c r="L51" s="1">
        <f t="shared" si="30"/>
        <v>0</v>
      </c>
      <c r="M51" s="1"/>
      <c r="N51" s="5">
        <f t="shared" si="31"/>
        <v>0</v>
      </c>
      <c r="O51" s="12"/>
      <c r="P51" s="1">
        <f>SUM(OSRRefP22_9x_0)</f>
        <v>8000</v>
      </c>
      <c r="Q51" s="1"/>
      <c r="R51" s="5">
        <f t="shared" si="32"/>
        <v>1.6270811384686727E-2</v>
      </c>
      <c r="S51" s="1"/>
      <c r="T51" s="1">
        <f>SUM(OSRRefT22_9x_0)</f>
        <v>8800</v>
      </c>
      <c r="U51" s="1"/>
      <c r="V51" s="5">
        <f t="shared" si="33"/>
        <v>1.8021929411379211E-2</v>
      </c>
      <c r="W51" s="1"/>
      <c r="X51" s="1">
        <f t="shared" si="34"/>
        <v>-800</v>
      </c>
      <c r="Y51" s="1"/>
      <c r="Z51" s="5">
        <f t="shared" si="35"/>
        <v>-9.0909090909090912E-2</v>
      </c>
    </row>
    <row r="52" spans="1:26" s="24" customFormat="1" hidden="1" outlineLevel="2" x14ac:dyDescent="0.35">
      <c r="A52" s="27"/>
      <c r="B52" s="11" t="str">
        <f>CONCATENATE("          ", "6273", " - ", "RENT")</f>
        <v xml:space="preserve">          6273 - RENT</v>
      </c>
      <c r="C52" s="11"/>
      <c r="D52" s="7">
        <v>800</v>
      </c>
      <c r="E52" s="2"/>
      <c r="F52" s="6">
        <f t="shared" si="28"/>
        <v>1.282503446728013E-2</v>
      </c>
      <c r="G52" s="2"/>
      <c r="H52" s="7">
        <v>800</v>
      </c>
      <c r="I52" s="2"/>
      <c r="J52" s="6">
        <f t="shared" si="29"/>
        <v>2.7679745346342814E-2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8000</v>
      </c>
      <c r="Q52" s="2"/>
      <c r="R52" s="6">
        <f t="shared" si="32"/>
        <v>1.6270811384686727E-2</v>
      </c>
      <c r="S52" s="2"/>
      <c r="T52" s="7">
        <v>8800</v>
      </c>
      <c r="U52" s="2"/>
      <c r="V52" s="6">
        <f t="shared" si="33"/>
        <v>1.8021929411379211E-2</v>
      </c>
      <c r="W52" s="2"/>
      <c r="X52" s="7">
        <f t="shared" si="34"/>
        <v>-800</v>
      </c>
      <c r="Y52" s="2"/>
      <c r="Z52" s="6">
        <f t="shared" si="35"/>
        <v>-9.0909090909090912E-2</v>
      </c>
    </row>
    <row r="53" spans="1:26" s="25" customFormat="1" outlineLevel="1" collapsed="1" x14ac:dyDescent="0.35">
      <c r="A53" s="26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SUM(OSRRefD22_10x_0)</f>
        <v>682.35</v>
      </c>
      <c r="E53" s="1"/>
      <c r="F53" s="5">
        <f t="shared" si="28"/>
        <v>1.0938952835935748E-2</v>
      </c>
      <c r="G53" s="1"/>
      <c r="H53" s="1">
        <f>SUM(OSRRefH22_10x_0)</f>
        <v>5544</v>
      </c>
      <c r="I53" s="1"/>
      <c r="J53" s="5">
        <f t="shared" si="29"/>
        <v>0.19182063525015569</v>
      </c>
      <c r="K53" s="1"/>
      <c r="L53" s="1">
        <f t="shared" si="30"/>
        <v>-4861.6499999999996</v>
      </c>
      <c r="M53" s="1"/>
      <c r="N53" s="5">
        <f t="shared" si="31"/>
        <v>-0.87692099567099557</v>
      </c>
      <c r="O53" s="12"/>
      <c r="P53" s="1">
        <f>SUM(OSRRefP22_10x_0)</f>
        <v>119203.11</v>
      </c>
      <c r="Q53" s="1"/>
      <c r="R53" s="5">
        <f t="shared" si="32"/>
        <v>0.24244141490975801</v>
      </c>
      <c r="S53" s="1"/>
      <c r="T53" s="1">
        <f>SUM(OSRRefT22_10x_0)</f>
        <v>121575.56</v>
      </c>
      <c r="U53" s="1"/>
      <c r="V53" s="5">
        <f t="shared" si="33"/>
        <v>0.2489802455078293</v>
      </c>
      <c r="W53" s="1"/>
      <c r="X53" s="1">
        <f t="shared" si="34"/>
        <v>-2372.4499999999971</v>
      </c>
      <c r="Y53" s="1"/>
      <c r="Z53" s="5">
        <f t="shared" si="35"/>
        <v>-1.9514201703039632E-2</v>
      </c>
    </row>
    <row r="54" spans="1:26" s="24" customFormat="1" hidden="1" outlineLevel="2" x14ac:dyDescent="0.3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437.31</v>
      </c>
      <c r="Q54" s="2"/>
      <c r="R54" s="6">
        <f t="shared" si="32"/>
        <v>8.8942356582966901E-4</v>
      </c>
      <c r="S54" s="2"/>
      <c r="T54" s="7"/>
      <c r="U54" s="2"/>
      <c r="V54" s="6">
        <f t="shared" si="33"/>
        <v>0</v>
      </c>
      <c r="W54" s="2"/>
      <c r="X54" s="7">
        <f t="shared" si="34"/>
        <v>437.31</v>
      </c>
      <c r="Y54" s="2"/>
      <c r="Z54" s="6">
        <f t="shared" si="35"/>
        <v>0</v>
      </c>
    </row>
    <row r="55" spans="1:26" s="24" customFormat="1" hidden="1" outlineLevel="2" x14ac:dyDescent="0.35">
      <c r="A55" s="27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117094</v>
      </c>
      <c r="Q55" s="2"/>
      <c r="R55" s="6">
        <f t="shared" si="32"/>
        <v>0.23815179853481344</v>
      </c>
      <c r="S55" s="2"/>
      <c r="T55" s="7">
        <v>115431.56</v>
      </c>
      <c r="U55" s="2"/>
      <c r="V55" s="6">
        <f t="shared" si="33"/>
        <v>0.23639766206424817</v>
      </c>
      <c r="W55" s="2"/>
      <c r="X55" s="7">
        <f t="shared" si="34"/>
        <v>1662.4400000000023</v>
      </c>
      <c r="Y55" s="2"/>
      <c r="Z55" s="6">
        <f t="shared" si="35"/>
        <v>1.4401953850402804E-2</v>
      </c>
    </row>
    <row r="56" spans="1:26" s="24" customFormat="1" hidden="1" outlineLevel="2" x14ac:dyDescent="0.3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682.35</v>
      </c>
      <c r="E56" s="2"/>
      <c r="F56" s="6">
        <f t="shared" si="28"/>
        <v>1.0938952835935748E-2</v>
      </c>
      <c r="G56" s="2"/>
      <c r="H56" s="7">
        <v>5544</v>
      </c>
      <c r="I56" s="2"/>
      <c r="J56" s="6">
        <f t="shared" si="29"/>
        <v>0.19182063525015569</v>
      </c>
      <c r="K56" s="2"/>
      <c r="L56" s="7">
        <f t="shared" si="30"/>
        <v>-4861.6499999999996</v>
      </c>
      <c r="M56" s="2"/>
      <c r="N56" s="6">
        <f t="shared" si="31"/>
        <v>-0.87692099567099557</v>
      </c>
      <c r="O56" s="11"/>
      <c r="P56" s="7">
        <v>1671.8</v>
      </c>
      <c r="Q56" s="2"/>
      <c r="R56" s="6">
        <f t="shared" si="32"/>
        <v>3.4001928091149086E-3</v>
      </c>
      <c r="S56" s="2"/>
      <c r="T56" s="7">
        <v>6144</v>
      </c>
      <c r="U56" s="2"/>
      <c r="V56" s="6">
        <f t="shared" si="33"/>
        <v>1.2582583443581121E-2</v>
      </c>
      <c r="W56" s="2"/>
      <c r="X56" s="7">
        <f t="shared" si="34"/>
        <v>-4472.2</v>
      </c>
      <c r="Y56" s="2"/>
      <c r="Z56" s="6">
        <f t="shared" si="35"/>
        <v>-0.72789713541666667</v>
      </c>
    </row>
    <row r="57" spans="1:26" s="25" customFormat="1" outlineLevel="1" collapsed="1" x14ac:dyDescent="0.35">
      <c r="A57" s="26"/>
      <c r="B57" s="12" t="str">
        <f>CONCATENATE("     ","Subscriptions &amp; Dues                              ")</f>
        <v xml:space="preserve">     Subscriptions &amp; Dues                              </v>
      </c>
      <c r="C57" s="12"/>
      <c r="D57" s="1">
        <f>SUM(OSRRefD22_11x_0)</f>
        <v>0</v>
      </c>
      <c r="E57" s="1"/>
      <c r="F57" s="5">
        <f t="shared" ref="F57:F63" si="36">IF(D$12=0,0,D57/D$12)</f>
        <v>0</v>
      </c>
      <c r="G57" s="1"/>
      <c r="H57" s="1">
        <f>SUM(OSRRefH22_11x_0)</f>
        <v>0</v>
      </c>
      <c r="I57" s="1"/>
      <c r="J57" s="5">
        <f t="shared" ref="J57:J63" si="37">IF(H$12=0,0,H57/H$12)</f>
        <v>0</v>
      </c>
      <c r="K57" s="1"/>
      <c r="L57" s="1">
        <f t="shared" ref="L57:L63" si="38">+D57-H57</f>
        <v>0</v>
      </c>
      <c r="M57" s="1"/>
      <c r="N57" s="5">
        <f t="shared" ref="N57:N63" si="39">IF(H57=0,0,L57/H57)</f>
        <v>0</v>
      </c>
      <c r="O57" s="12"/>
      <c r="P57" s="1">
        <f>SUM(OSRRefP22_11x_0)</f>
        <v>1740</v>
      </c>
      <c r="Q57" s="1"/>
      <c r="R57" s="5">
        <f t="shared" ref="R57:R63" si="40">IF(P$12=0,0,P57/P$12)</f>
        <v>3.5389014761693627E-3</v>
      </c>
      <c r="S57" s="1"/>
      <c r="T57" s="1">
        <f>SUM(OSRRefT22_11x_0)</f>
        <v>915</v>
      </c>
      <c r="U57" s="1"/>
      <c r="V57" s="5">
        <f t="shared" ref="V57:V63" si="41">IF(T$12=0,0,T57/T$12)</f>
        <v>1.8738710694786338E-3</v>
      </c>
      <c r="W57" s="1"/>
      <c r="X57" s="1">
        <f t="shared" ref="X57:X63" si="42">+P57-T57</f>
        <v>825</v>
      </c>
      <c r="Y57" s="1"/>
      <c r="Z57" s="5">
        <f t="shared" ref="Z57:Z63" si="43">IF(T57=0,0,X57/T57)</f>
        <v>0.90163934426229508</v>
      </c>
    </row>
    <row r="58" spans="1:26" s="24" customFormat="1" hidden="1" outlineLevel="2" x14ac:dyDescent="0.35">
      <c r="A58" s="27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1740</v>
      </c>
      <c r="Q58" s="2"/>
      <c r="R58" s="6">
        <f t="shared" si="40"/>
        <v>3.5389014761693627E-3</v>
      </c>
      <c r="S58" s="2"/>
      <c r="T58" s="7">
        <v>915</v>
      </c>
      <c r="U58" s="2"/>
      <c r="V58" s="6">
        <f t="shared" si="41"/>
        <v>1.8738710694786338E-3</v>
      </c>
      <c r="W58" s="2"/>
      <c r="X58" s="7">
        <f t="shared" si="42"/>
        <v>825</v>
      </c>
      <c r="Y58" s="2"/>
      <c r="Z58" s="6">
        <f t="shared" si="43"/>
        <v>0.90163934426229508</v>
      </c>
    </row>
    <row r="59" spans="1:26" s="25" customFormat="1" outlineLevel="1" collapsed="1" x14ac:dyDescent="0.35">
      <c r="A59" s="26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SUM(OSRRefD22_12x_0)</f>
        <v>39762.83</v>
      </c>
      <c r="E59" s="1"/>
      <c r="F59" s="5">
        <f t="shared" si="36"/>
        <v>0.63744958158325049</v>
      </c>
      <c r="G59" s="1"/>
      <c r="H59" s="1">
        <f>SUM(OSRRefH22_12x_0)</f>
        <v>452.33000000000004</v>
      </c>
      <c r="I59" s="1"/>
      <c r="J59" s="5">
        <f t="shared" si="37"/>
        <v>1.5650474015639057E-2</v>
      </c>
      <c r="K59" s="1"/>
      <c r="L59" s="1">
        <f t="shared" si="38"/>
        <v>39310.5</v>
      </c>
      <c r="M59" s="1"/>
      <c r="N59" s="5">
        <f t="shared" si="39"/>
        <v>86.906683173789034</v>
      </c>
      <c r="O59" s="12"/>
      <c r="P59" s="1">
        <f>SUM(OSRRefP22_12x_0)</f>
        <v>64725.189999999995</v>
      </c>
      <c r="Q59" s="1"/>
      <c r="R59" s="5">
        <f t="shared" si="40"/>
        <v>0.13164141979100141</v>
      </c>
      <c r="S59" s="1"/>
      <c r="T59" s="1">
        <f>SUM(OSRRefT22_12x_0)</f>
        <v>60839.12000000001</v>
      </c>
      <c r="U59" s="1"/>
      <c r="V59" s="5">
        <f t="shared" si="41"/>
        <v>0.12459526432845787</v>
      </c>
      <c r="W59" s="1"/>
      <c r="X59" s="1">
        <f t="shared" si="42"/>
        <v>3886.0699999999852</v>
      </c>
      <c r="Y59" s="1"/>
      <c r="Z59" s="5">
        <f t="shared" si="43"/>
        <v>6.3874526784739566E-2</v>
      </c>
    </row>
    <row r="60" spans="1:26" s="24" customFormat="1" hidden="1" outlineLevel="2" x14ac:dyDescent="0.3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413.27</v>
      </c>
      <c r="Q60" s="2"/>
      <c r="R60" s="6">
        <f t="shared" si="40"/>
        <v>8.4052977761868539E-4</v>
      </c>
      <c r="S60" s="2"/>
      <c r="T60" s="7"/>
      <c r="U60" s="2"/>
      <c r="V60" s="6">
        <f t="shared" si="41"/>
        <v>0</v>
      </c>
      <c r="W60" s="2"/>
      <c r="X60" s="7">
        <f t="shared" si="42"/>
        <v>413.27</v>
      </c>
      <c r="Y60" s="2"/>
      <c r="Z60" s="6">
        <f t="shared" si="43"/>
        <v>0</v>
      </c>
    </row>
    <row r="61" spans="1:26" s="24" customFormat="1" hidden="1" outlineLevel="2" x14ac:dyDescent="0.35">
      <c r="A61" s="27"/>
      <c r="B61" s="11" t="str">
        <f>CONCATENATE("          ", "6241", " - ", "OFFICE EXPENSE")</f>
        <v xml:space="preserve">          6241 - OFFICE EXPENSE</v>
      </c>
      <c r="C61" s="11"/>
      <c r="D61" s="7">
        <v>39762.83</v>
      </c>
      <c r="E61" s="2"/>
      <c r="F61" s="6">
        <f t="shared" si="36"/>
        <v>0.63744958158325049</v>
      </c>
      <c r="G61" s="2"/>
      <c r="H61" s="7">
        <v>187.73</v>
      </c>
      <c r="I61" s="2"/>
      <c r="J61" s="6">
        <f t="shared" si="37"/>
        <v>6.4953982423361705E-3</v>
      </c>
      <c r="K61" s="2"/>
      <c r="L61" s="7">
        <f t="shared" si="38"/>
        <v>39575.1</v>
      </c>
      <c r="M61" s="2"/>
      <c r="N61" s="6">
        <f t="shared" si="39"/>
        <v>210.80860810738827</v>
      </c>
      <c r="O61" s="11"/>
      <c r="P61" s="7">
        <v>64108.4</v>
      </c>
      <c r="Q61" s="2"/>
      <c r="R61" s="6">
        <f t="shared" si="40"/>
        <v>0.13038696057175631</v>
      </c>
      <c r="S61" s="2"/>
      <c r="T61" s="7">
        <v>59419.100000000006</v>
      </c>
      <c r="U61" s="2"/>
      <c r="V61" s="6">
        <f t="shared" si="41"/>
        <v>0.12168713930541847</v>
      </c>
      <c r="W61" s="2"/>
      <c r="X61" s="7">
        <f t="shared" si="42"/>
        <v>4689.2999999999956</v>
      </c>
      <c r="Y61" s="2"/>
      <c r="Z61" s="6">
        <f t="shared" si="43"/>
        <v>7.8919068111095503E-2</v>
      </c>
    </row>
    <row r="62" spans="1:26" s="24" customFormat="1" hidden="1" outlineLevel="2" x14ac:dyDescent="0.35">
      <c r="A62" s="27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36"/>
        <v>0</v>
      </c>
      <c r="G62" s="2"/>
      <c r="H62" s="7">
        <v>264.60000000000002</v>
      </c>
      <c r="I62" s="2"/>
      <c r="J62" s="6">
        <f t="shared" si="37"/>
        <v>9.1550757733028856E-3</v>
      </c>
      <c r="K62" s="2"/>
      <c r="L62" s="7">
        <f t="shared" si="38"/>
        <v>-264.60000000000002</v>
      </c>
      <c r="M62" s="2"/>
      <c r="N62" s="6">
        <f t="shared" si="39"/>
        <v>-1</v>
      </c>
      <c r="O62" s="11"/>
      <c r="P62" s="7">
        <v>203.52</v>
      </c>
      <c r="Q62" s="2"/>
      <c r="R62" s="6">
        <f t="shared" si="40"/>
        <v>4.139294416264303E-4</v>
      </c>
      <c r="S62" s="2"/>
      <c r="T62" s="7">
        <v>1364.9</v>
      </c>
      <c r="U62" s="2"/>
      <c r="V62" s="6">
        <f t="shared" si="41"/>
        <v>2.7952422106353961E-3</v>
      </c>
      <c r="W62" s="2"/>
      <c r="X62" s="7">
        <f t="shared" si="42"/>
        <v>-1161.3800000000001</v>
      </c>
      <c r="Y62" s="2"/>
      <c r="Z62" s="6">
        <f t="shared" si="43"/>
        <v>-0.85089017510440323</v>
      </c>
    </row>
    <row r="63" spans="1:26" s="24" customFormat="1" hidden="1" outlineLevel="2" x14ac:dyDescent="0.35">
      <c r="A63" s="27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/>
      <c r="Q63" s="2"/>
      <c r="R63" s="6">
        <f t="shared" si="40"/>
        <v>0</v>
      </c>
      <c r="S63" s="2"/>
      <c r="T63" s="7">
        <v>55.12</v>
      </c>
      <c r="U63" s="2"/>
      <c r="V63" s="6">
        <f t="shared" si="41"/>
        <v>1.128828124040025E-4</v>
      </c>
      <c r="W63" s="2"/>
      <c r="X63" s="7">
        <f t="shared" si="42"/>
        <v>-55.12</v>
      </c>
      <c r="Y63" s="2"/>
      <c r="Z63" s="6">
        <f t="shared" si="43"/>
        <v>-1</v>
      </c>
    </row>
    <row r="64" spans="1:26" s="25" customFormat="1" outlineLevel="1" collapsed="1" x14ac:dyDescent="0.35">
      <c r="A64" s="26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SUM(OSRRefD22_13x_0)</f>
        <v>-16.89</v>
      </c>
      <c r="E64" s="1"/>
      <c r="F64" s="5">
        <f t="shared" ref="F64:F67" si="44">IF(D$12=0,0,D64/D$12)</f>
        <v>-2.7076854019045178E-4</v>
      </c>
      <c r="G64" s="1"/>
      <c r="H64" s="1">
        <f>SUM(OSRRefH22_13x_0)</f>
        <v>176</v>
      </c>
      <c r="I64" s="1"/>
      <c r="J64" s="5">
        <f t="shared" ref="J64:J67" si="45">IF(H$12=0,0,H64/H$12)</f>
        <v>6.089543976195419E-3</v>
      </c>
      <c r="K64" s="1"/>
      <c r="L64" s="1">
        <f t="shared" ref="L64:L67" si="46">+D64-H64</f>
        <v>-192.89</v>
      </c>
      <c r="M64" s="1"/>
      <c r="N64" s="5">
        <f t="shared" ref="N64:N67" si="47">IF(H64=0,0,L64/H64)</f>
        <v>-1.0959659090909091</v>
      </c>
      <c r="O64" s="12"/>
      <c r="P64" s="1">
        <f>SUM(OSRRefP22_13x_0)</f>
        <v>2080.66</v>
      </c>
      <c r="Q64" s="1"/>
      <c r="R64" s="5">
        <f t="shared" ref="R64:R67" si="48">IF(P$12=0,0,P64/P$12)</f>
        <v>4.2317533019577847E-3</v>
      </c>
      <c r="S64" s="1"/>
      <c r="T64" s="1">
        <f>SUM(OSRRefT22_13x_0)</f>
        <v>4103.9399999999996</v>
      </c>
      <c r="U64" s="1"/>
      <c r="V64" s="5">
        <f t="shared" ref="V64:V67" si="49">IF(T$12=0,0,T64/T$12)</f>
        <v>8.4046496577881349E-3</v>
      </c>
      <c r="W64" s="1"/>
      <c r="X64" s="1">
        <f t="shared" ref="X64:X67" si="50">+P64-T64</f>
        <v>-2023.2799999999997</v>
      </c>
      <c r="Y64" s="1"/>
      <c r="Z64" s="5">
        <f t="shared" ref="Z64:Z67" si="51">IF(T64=0,0,X64/T64)</f>
        <v>-0.49300915705395304</v>
      </c>
    </row>
    <row r="65" spans="1:26" s="24" customFormat="1" hidden="1" outlineLevel="2" x14ac:dyDescent="0.35">
      <c r="A65" s="27"/>
      <c r="B65" s="11" t="str">
        <f>CONCATENATE("          ", "6309", " - ", "TELEPHONE")</f>
        <v xml:space="preserve">          6309 - TELEPHONE</v>
      </c>
      <c r="C65" s="11"/>
      <c r="D65" s="7">
        <v>-16.89</v>
      </c>
      <c r="E65" s="2"/>
      <c r="F65" s="6">
        <f t="shared" si="44"/>
        <v>-2.7076854019045178E-4</v>
      </c>
      <c r="G65" s="2"/>
      <c r="H65" s="7">
        <v>176</v>
      </c>
      <c r="I65" s="2"/>
      <c r="J65" s="6">
        <f t="shared" si="45"/>
        <v>6.089543976195419E-3</v>
      </c>
      <c r="K65" s="2"/>
      <c r="L65" s="7">
        <f t="shared" si="46"/>
        <v>-192.89</v>
      </c>
      <c r="M65" s="2"/>
      <c r="N65" s="6">
        <f t="shared" si="47"/>
        <v>-1.0959659090909091</v>
      </c>
      <c r="O65" s="11"/>
      <c r="P65" s="7">
        <v>2080.66</v>
      </c>
      <c r="Q65" s="2"/>
      <c r="R65" s="6">
        <f t="shared" si="48"/>
        <v>4.2317533019577847E-3</v>
      </c>
      <c r="S65" s="2"/>
      <c r="T65" s="7">
        <v>4103.9399999999996</v>
      </c>
      <c r="U65" s="2"/>
      <c r="V65" s="6">
        <f t="shared" si="49"/>
        <v>8.4046496577881349E-3</v>
      </c>
      <c r="W65" s="2"/>
      <c r="X65" s="7">
        <f t="shared" si="50"/>
        <v>-2023.2799999999997</v>
      </c>
      <c r="Y65" s="2"/>
      <c r="Z65" s="6">
        <f t="shared" si="51"/>
        <v>-0.49300915705395304</v>
      </c>
    </row>
    <row r="66" spans="1:26" s="25" customFormat="1" outlineLevel="1" collapsed="1" x14ac:dyDescent="0.35">
      <c r="A66" s="26"/>
      <c r="B66" s="12" t="str">
        <f>CONCATENATE("     ","Training                                          ")</f>
        <v xml:space="preserve">     Training                                          </v>
      </c>
      <c r="C66" s="12"/>
      <c r="D66" s="1">
        <f>SUM(OSRRefD22_14x_0)</f>
        <v>0</v>
      </c>
      <c r="E66" s="1"/>
      <c r="F66" s="5">
        <f t="shared" si="44"/>
        <v>0</v>
      </c>
      <c r="G66" s="1"/>
      <c r="H66" s="1">
        <f>SUM(OSRRefH22_14x_0)</f>
        <v>0</v>
      </c>
      <c r="I66" s="1"/>
      <c r="J66" s="5">
        <f t="shared" si="45"/>
        <v>0</v>
      </c>
      <c r="K66" s="1"/>
      <c r="L66" s="1">
        <f t="shared" si="46"/>
        <v>0</v>
      </c>
      <c r="M66" s="1"/>
      <c r="N66" s="5">
        <f t="shared" si="47"/>
        <v>0</v>
      </c>
      <c r="O66" s="12"/>
      <c r="P66" s="1">
        <f>SUM(OSRRefP22_14x_0)</f>
        <v>3186.24</v>
      </c>
      <c r="Q66" s="1"/>
      <c r="R66" s="5">
        <f t="shared" si="48"/>
        <v>6.4803387582930286E-3</v>
      </c>
      <c r="S66" s="1"/>
      <c r="T66" s="1">
        <f>SUM(OSRRefT22_14x_0)</f>
        <v>4591.2</v>
      </c>
      <c r="U66" s="1"/>
      <c r="V66" s="5">
        <f t="shared" si="49"/>
        <v>9.4025320810822988E-3</v>
      </c>
      <c r="W66" s="1"/>
      <c r="X66" s="1">
        <f t="shared" si="50"/>
        <v>-1404.96</v>
      </c>
      <c r="Y66" s="1"/>
      <c r="Z66" s="5">
        <f t="shared" si="51"/>
        <v>-0.30601150026136958</v>
      </c>
    </row>
    <row r="67" spans="1:26" s="24" customFormat="1" hidden="1" outlineLevel="2" x14ac:dyDescent="0.35">
      <c r="A67" s="27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>
        <v>3186.24</v>
      </c>
      <c r="Q67" s="2"/>
      <c r="R67" s="6">
        <f t="shared" si="48"/>
        <v>6.4803387582930286E-3</v>
      </c>
      <c r="S67" s="2"/>
      <c r="T67" s="7">
        <v>4591.2</v>
      </c>
      <c r="U67" s="2"/>
      <c r="V67" s="6">
        <f t="shared" si="49"/>
        <v>9.4025320810822988E-3</v>
      </c>
      <c r="W67" s="2"/>
      <c r="X67" s="7">
        <f t="shared" si="50"/>
        <v>-1404.96</v>
      </c>
      <c r="Y67" s="2"/>
      <c r="Z67" s="6">
        <f t="shared" si="51"/>
        <v>-0.30601150026136958</v>
      </c>
    </row>
    <row r="68" spans="1:26" s="56" customFormat="1" x14ac:dyDescent="0.3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35">
      <c r="A69" s="10"/>
      <c r="B69" s="29" t="s">
        <v>0</v>
      </c>
      <c r="C69" s="10"/>
      <c r="D69" s="4">
        <f>SUM(OSRRefD25x_0)</f>
        <v>0.04</v>
      </c>
      <c r="E69" s="4"/>
      <c r="F69" s="13">
        <f t="shared" ref="F69:F71" si="52">IF(D$12=0,0,D69/D$12)</f>
        <v>6.4125172336400659E-7</v>
      </c>
      <c r="G69" s="4"/>
      <c r="H69" s="4">
        <f>SUM(OSRRefH25x_0)</f>
        <v>774.91</v>
      </c>
      <c r="I69" s="4"/>
      <c r="J69" s="13">
        <f t="shared" ref="J69:J71" si="53">IF(H$12=0,0,H69/H$12)</f>
        <v>2.6811639332918136E-2</v>
      </c>
      <c r="K69" s="4"/>
      <c r="L69" s="4">
        <f t="shared" ref="L69:L71" si="54">+D69-H69</f>
        <v>-774.87</v>
      </c>
      <c r="M69" s="4"/>
      <c r="N69" s="13">
        <f t="shared" ref="N69:N71" si="55">IF(H69=0,0,L69/H69)</f>
        <v>-0.99994838110232165</v>
      </c>
      <c r="O69" s="10"/>
      <c r="P69" s="4">
        <f>SUM(OSRRefP25x_0)</f>
        <v>20670.75</v>
      </c>
      <c r="Q69" s="4"/>
      <c r="R69" s="13">
        <f t="shared" ref="R69:R71" si="56">IF(P$12=0,0,P69/P$12)</f>
        <v>4.2041234303751646E-2</v>
      </c>
      <c r="S69" s="4"/>
      <c r="T69" s="4">
        <f>SUM(OSRRefT25x_0)</f>
        <v>28167.539999999997</v>
      </c>
      <c r="U69" s="4"/>
      <c r="V69" s="13">
        <f t="shared" ref="V69:V71" si="57">IF(T$12=0,0,T69/T$12)</f>
        <v>5.7685615633204582E-2</v>
      </c>
      <c r="W69" s="4"/>
      <c r="X69" s="4">
        <f t="shared" ref="X69:X71" si="58">+P69-T69</f>
        <v>-7496.7899999999972</v>
      </c>
      <c r="Y69" s="4"/>
      <c r="Z69" s="13">
        <f t="shared" ref="Z69:Z71" si="59">IF(T69=0,0,X69/T69)</f>
        <v>-0.26614997262806755</v>
      </c>
    </row>
    <row r="70" spans="1:26" s="24" customFormat="1" hidden="1" outlineLevel="1" x14ac:dyDescent="0.35">
      <c r="A70" s="44"/>
      <c r="B70" s="11" t="str">
        <f>CONCATENATE("          ", "9150", " - ", "MISC. INCOME")</f>
        <v xml:space="preserve">          9150 - MISC. INCOME</v>
      </c>
      <c r="C70" s="11"/>
      <c r="D70" s="2">
        <f>--0.04</f>
        <v>0.04</v>
      </c>
      <c r="E70" s="2"/>
      <c r="F70" s="19">
        <f t="shared" si="52"/>
        <v>6.4125172336400659E-7</v>
      </c>
      <c r="G70" s="2"/>
      <c r="H70" s="2">
        <f>--774.91</f>
        <v>774.91</v>
      </c>
      <c r="I70" s="2"/>
      <c r="J70" s="19">
        <f t="shared" si="53"/>
        <v>2.6811639332918136E-2</v>
      </c>
      <c r="K70" s="2"/>
      <c r="L70" s="2">
        <f t="shared" si="54"/>
        <v>-774.87</v>
      </c>
      <c r="M70" s="2"/>
      <c r="N70" s="19">
        <f t="shared" si="55"/>
        <v>-0.99994838110232165</v>
      </c>
      <c r="O70" s="11"/>
      <c r="P70" s="2">
        <f>--20670.75</f>
        <v>20670.75</v>
      </c>
      <c r="Q70" s="2"/>
      <c r="R70" s="19">
        <f t="shared" si="56"/>
        <v>4.2041234303751646E-2</v>
      </c>
      <c r="S70" s="2"/>
      <c r="T70" s="2">
        <f>--27997.19</f>
        <v>27997.19</v>
      </c>
      <c r="U70" s="2"/>
      <c r="V70" s="19">
        <f t="shared" si="57"/>
        <v>5.7336747942837711E-2</v>
      </c>
      <c r="W70" s="2"/>
      <c r="X70" s="2">
        <f t="shared" si="58"/>
        <v>-7326.4399999999987</v>
      </c>
      <c r="Y70" s="2"/>
      <c r="Z70" s="19">
        <f t="shared" si="59"/>
        <v>-0.26168483337077753</v>
      </c>
    </row>
    <row r="71" spans="1:26" s="24" customFormat="1" hidden="1" outlineLevel="1" x14ac:dyDescent="0.3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2"/>
        <v>0</v>
      </c>
      <c r="G71" s="2"/>
      <c r="H71" s="2">
        <f>0</f>
        <v>0</v>
      </c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>0</f>
        <v>0</v>
      </c>
      <c r="Q71" s="2"/>
      <c r="R71" s="19">
        <f t="shared" si="56"/>
        <v>0</v>
      </c>
      <c r="S71" s="2"/>
      <c r="T71" s="2">
        <f>--170.35</f>
        <v>170.35</v>
      </c>
      <c r="U71" s="2"/>
      <c r="V71" s="19">
        <f t="shared" si="57"/>
        <v>3.4886769036686913E-4</v>
      </c>
      <c r="W71" s="2"/>
      <c r="X71" s="2">
        <f t="shared" si="58"/>
        <v>-170.35</v>
      </c>
      <c r="Y71" s="2"/>
      <c r="Z71" s="19">
        <f t="shared" si="59"/>
        <v>-1</v>
      </c>
    </row>
    <row r="72" spans="1:26" x14ac:dyDescent="0.3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5">
      <c r="A73" s="10"/>
      <c r="B73" s="28" t="s">
        <v>3</v>
      </c>
      <c r="C73" s="28"/>
      <c r="D73" s="22">
        <f>+D17-D19+D69</f>
        <v>4865.7999999999947</v>
      </c>
      <c r="E73" s="14"/>
      <c r="F73" s="21">
        <f>IF(D$12=0,0,D73/D$12)</f>
        <v>7.8005065888614486E-2</v>
      </c>
      <c r="G73" s="14"/>
      <c r="H73" s="22">
        <f>+H17-H19+H69</f>
        <v>4234.4199999999983</v>
      </c>
      <c r="I73" s="14"/>
      <c r="J73" s="21">
        <f>IF(H$12=0,0,H73/H$12)</f>
        <v>0.1465095841118261</v>
      </c>
      <c r="K73" s="15"/>
      <c r="L73" s="22">
        <f>+D73-H73</f>
        <v>631.37999999999647</v>
      </c>
      <c r="M73" s="15"/>
      <c r="N73" s="21">
        <f>IF(H73=0,0,L73/H73)</f>
        <v>0.14910660728033515</v>
      </c>
      <c r="O73" s="29"/>
      <c r="P73" s="22">
        <f>+P17-P19+P69</f>
        <v>50838.01999999996</v>
      </c>
      <c r="Q73" s="14"/>
      <c r="R73" s="21">
        <f>IF(P$12=0,0,P73/P$12)</f>
        <v>0.10339697932386635</v>
      </c>
      <c r="S73" s="14"/>
      <c r="T73" s="22">
        <f>+T17-T19+T69</f>
        <v>47783.319999999905</v>
      </c>
      <c r="U73" s="14"/>
      <c r="V73" s="21">
        <f>IF(T$12=0,0,T73/T$12)</f>
        <v>9.7857684100152581E-2</v>
      </c>
      <c r="W73" s="15"/>
      <c r="X73" s="22">
        <f>+P73-T73</f>
        <v>3054.7000000000553</v>
      </c>
      <c r="Y73" s="15"/>
      <c r="Z73" s="21">
        <f>IF(T73=0,0,X73/T73)</f>
        <v>6.3928165728125652E-2</v>
      </c>
    </row>
    <row r="74" spans="1:26" x14ac:dyDescent="0.3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5">
      <c r="A75" s="51"/>
      <c r="B75" s="10" t="s">
        <v>13</v>
      </c>
      <c r="C75" s="10"/>
      <c r="D75" s="4">
        <v>23621.15</v>
      </c>
      <c r="E75" s="4"/>
      <c r="F75" s="13">
        <f>IF(D$12=0,0,D75/D$12)</f>
        <v>0.37867757863349261</v>
      </c>
      <c r="G75" s="4"/>
      <c r="H75" s="4">
        <v>-12979.28</v>
      </c>
      <c r="I75" s="4"/>
      <c r="J75" s="13">
        <f>IF(H$12=0,0,H75/H$12)</f>
        <v>-0.44907895647360047</v>
      </c>
      <c r="K75" s="4"/>
      <c r="L75" s="4">
        <f>+D75-H75</f>
        <v>36600.43</v>
      </c>
      <c r="M75" s="4"/>
      <c r="N75" s="13">
        <f>IF(H75=0,0,L75/H75)</f>
        <v>-2.8199121985194862</v>
      </c>
      <c r="O75" s="10"/>
      <c r="P75" s="4">
        <v>74459.100000000006</v>
      </c>
      <c r="Q75" s="4"/>
      <c r="R75" s="13">
        <f>IF(P$12=0,0,P75/P$12)</f>
        <v>0.15143874649669092</v>
      </c>
      <c r="S75" s="4"/>
      <c r="T75" s="4">
        <v>34804.18</v>
      </c>
      <c r="U75" s="4"/>
      <c r="V75" s="13">
        <f>IF(T$12=0,0,T75/T$12)</f>
        <v>7.1277099452379103E-2</v>
      </c>
      <c r="W75" s="4"/>
      <c r="X75" s="4">
        <f>+P75-T75</f>
        <v>39654.920000000006</v>
      </c>
      <c r="Y75" s="4"/>
      <c r="Z75" s="13">
        <f>IF(T75=0,0,X75/T75)</f>
        <v>1.1393723397591899</v>
      </c>
    </row>
    <row r="76" spans="1:26" x14ac:dyDescent="0.3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4">
      <c r="A77" s="10"/>
      <c r="B77" s="28" t="s">
        <v>4</v>
      </c>
      <c r="C77" s="28"/>
      <c r="D77" s="34">
        <f>+D73-D75</f>
        <v>-18755.350000000006</v>
      </c>
      <c r="E77" s="14"/>
      <c r="F77" s="32">
        <f>IF(D$12=0,0,D77/D$12)</f>
        <v>-0.30067251274487811</v>
      </c>
      <c r="G77" s="14"/>
      <c r="H77" s="34">
        <f>+H73-H75</f>
        <v>17213.699999999997</v>
      </c>
      <c r="I77" s="14"/>
      <c r="J77" s="32">
        <f>IF(H$12=0,0,H77/H$12)</f>
        <v>0.59558854058542654</v>
      </c>
      <c r="K77" s="15"/>
      <c r="L77" s="34">
        <f>D77-H77</f>
        <v>-35969.050000000003</v>
      </c>
      <c r="M77" s="15"/>
      <c r="N77" s="32">
        <f>IF(H77=0,0,L77/H77)</f>
        <v>-2.0895594787872454</v>
      </c>
      <c r="O77" s="29"/>
      <c r="P77" s="34">
        <f>+P73-P75</f>
        <v>-23621.080000000045</v>
      </c>
      <c r="Q77" s="14"/>
      <c r="R77" s="32">
        <f>IF(P$12=0,0,P77/P$12)</f>
        <v>-4.804176717282458E-2</v>
      </c>
      <c r="S77" s="14"/>
      <c r="T77" s="34">
        <f>+T73-T75</f>
        <v>12979.139999999905</v>
      </c>
      <c r="U77" s="14"/>
      <c r="V77" s="32">
        <f>IF(T$12=0,0,T77/T$12)</f>
        <v>2.6580584647773482E-2</v>
      </c>
      <c r="W77" s="15"/>
      <c r="X77" s="34">
        <f>P77-T77</f>
        <v>-36600.21999999995</v>
      </c>
      <c r="Y77" s="15"/>
      <c r="Z77" s="32">
        <f>IF(T77=0,0,X77/T77)</f>
        <v>-2.81992643580393</v>
      </c>
    </row>
    <row r="78" spans="1:26" ht="15" thickTop="1" x14ac:dyDescent="0.3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3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4">
      <c r="A80" s="10"/>
      <c r="B80" s="28" t="s">
        <v>5</v>
      </c>
      <c r="C80" s="28"/>
      <c r="D80" s="35">
        <f>SUM(D77:D79)</f>
        <v>-18755.350000000006</v>
      </c>
      <c r="E80" s="14"/>
      <c r="F80" s="33">
        <f>IF(D$12=0,0,D80/D$12)</f>
        <v>-0.30067251274487811</v>
      </c>
      <c r="G80" s="14"/>
      <c r="H80" s="35">
        <f>SUM(H77:H79)</f>
        <v>17213.699999999997</v>
      </c>
      <c r="I80" s="14"/>
      <c r="J80" s="33">
        <f>IF(H$12=0,0,H80/H$12)</f>
        <v>0.59558854058542654</v>
      </c>
      <c r="K80" s="15"/>
      <c r="L80" s="35">
        <f>+D80-H80</f>
        <v>-35969.050000000003</v>
      </c>
      <c r="M80" s="15"/>
      <c r="N80" s="33">
        <f>IF(H80=0,0,L80/H80)</f>
        <v>-2.0895594787872454</v>
      </c>
      <c r="O80" s="29"/>
      <c r="P80" s="35">
        <f>SUM(P77:P79)</f>
        <v>-23621.080000000045</v>
      </c>
      <c r="Q80" s="14"/>
      <c r="R80" s="33">
        <f>IF(P$12=0,0,P80/P$12)</f>
        <v>-4.804176717282458E-2</v>
      </c>
      <c r="S80" s="14"/>
      <c r="T80" s="35">
        <f>SUM(T77:T79)</f>
        <v>12979.139999999905</v>
      </c>
      <c r="U80" s="14"/>
      <c r="V80" s="33">
        <f>IF(T$12=0,0,T80/T$12)</f>
        <v>2.6580584647773482E-2</v>
      </c>
      <c r="W80" s="15"/>
      <c r="X80" s="35">
        <f>+P80-T80</f>
        <v>-36600.21999999995</v>
      </c>
      <c r="Y80" s="15"/>
      <c r="Z80" s="33">
        <f>IF(T80=0,0,X80/T80)</f>
        <v>-2.81992643580393</v>
      </c>
    </row>
    <row r="81" spans="1:24" ht="15" thickTop="1" x14ac:dyDescent="0.3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5">
      <c r="A82" s="9"/>
      <c r="B82" s="52">
        <v>44043.522527349538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5">
      <c r="A83" s="9"/>
      <c r="B83" s="61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3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3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45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9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45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9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9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9" customWidth="1" outlineLevel="1"/>
  </cols>
  <sheetData>
    <row r="2" spans="1:26" x14ac:dyDescent="0.35">
      <c r="D2" s="60" t="s">
        <v>12</v>
      </c>
    </row>
    <row r="3" spans="1:26" x14ac:dyDescent="0.35">
      <c r="D3" s="60" t="s">
        <v>294</v>
      </c>
      <c r="E3" s="18"/>
      <c r="F3" s="46"/>
      <c r="G3" s="18"/>
      <c r="H3" s="18"/>
      <c r="I3" s="18"/>
      <c r="J3" s="38"/>
      <c r="K3" s="18"/>
      <c r="L3" s="18"/>
      <c r="M3" s="18"/>
      <c r="N3" s="46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5">
      <c r="D4" s="60" t="str">
        <f>CONCATENATE("Period ",RIGHT(202012,2),", ",2020)</f>
        <v>Period 12, 2020</v>
      </c>
      <c r="E4" s="18"/>
      <c r="F4" s="46"/>
      <c r="G4" s="18"/>
      <c r="H4" s="18"/>
      <c r="I4" s="18"/>
      <c r="J4" s="38"/>
      <c r="K4" s="18"/>
      <c r="L4" s="18"/>
      <c r="M4" s="18"/>
      <c r="N4" s="46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5">
      <c r="A5" s="23"/>
      <c r="D5" s="63">
        <v>44012</v>
      </c>
      <c r="E5" s="18"/>
      <c r="F5" s="46"/>
      <c r="G5" s="18"/>
      <c r="H5" s="18"/>
      <c r="I5" s="18"/>
      <c r="J5" s="38"/>
      <c r="K5" s="18"/>
      <c r="L5" s="18"/>
      <c r="M5" s="18"/>
      <c r="N5" s="46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5">
      <c r="A6" s="23"/>
      <c r="B6" s="47"/>
      <c r="C6" s="47"/>
      <c r="D6" s="23" t="str">
        <f>CONCATENATE("Department ","501", " - ", "ID Card Services")</f>
        <v>Department 501 - ID Card Services</v>
      </c>
      <c r="E6" s="18"/>
      <c r="F6" s="46"/>
      <c r="G6" s="18"/>
      <c r="H6" s="18"/>
      <c r="I6" s="18"/>
      <c r="J6" s="38"/>
      <c r="K6" s="18"/>
      <c r="L6" s="18"/>
      <c r="M6" s="18"/>
      <c r="N6" s="46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5">
      <c r="B7" s="57"/>
    </row>
    <row r="8" spans="1:26" x14ac:dyDescent="0.35">
      <c r="B8" s="57"/>
    </row>
    <row r="9" spans="1:26" x14ac:dyDescent="0.35">
      <c r="B9" s="9"/>
      <c r="C9" s="9"/>
      <c r="D9" s="16" t="s">
        <v>292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35">
      <c r="A10" s="10"/>
      <c r="B10" s="55"/>
      <c r="C10" s="10"/>
      <c r="D10" s="43" t="s">
        <v>10</v>
      </c>
      <c r="E10" s="31"/>
      <c r="F10" s="30" t="s">
        <v>14</v>
      </c>
      <c r="G10" s="31"/>
      <c r="H10" s="50" t="s">
        <v>306</v>
      </c>
      <c r="I10" s="31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8" t="s">
        <v>10</v>
      </c>
      <c r="Q10" s="31"/>
      <c r="R10" s="30" t="s">
        <v>14</v>
      </c>
      <c r="S10" s="31"/>
      <c r="T10" s="50" t="s">
        <v>306</v>
      </c>
      <c r="U10" s="31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5">
      <c r="A12" s="10"/>
      <c r="B12" s="29" t="s">
        <v>7</v>
      </c>
      <c r="C12" s="10"/>
      <c r="D12" s="4">
        <f>SUM(OSRRefD13x_0)</f>
        <v>62378</v>
      </c>
      <c r="E12" s="4"/>
      <c r="F12" s="13"/>
      <c r="G12" s="4"/>
      <c r="H12" s="4">
        <f>SUM(OSRRefH13x_0)</f>
        <v>28902</v>
      </c>
      <c r="I12" s="4"/>
      <c r="J12" s="13"/>
      <c r="K12" s="4"/>
      <c r="L12" s="4">
        <f t="shared" ref="L12:L13" si="0">+D12-H12</f>
        <v>33476</v>
      </c>
      <c r="M12" s="4"/>
      <c r="N12" s="13">
        <f t="shared" ref="N12:N13" si="1">IF(H12=0,0,L12/H12)</f>
        <v>1.1582589440177151</v>
      </c>
      <c r="O12" s="10"/>
      <c r="P12" s="4">
        <f>SUM(OSRRefP13x_0)</f>
        <v>491678</v>
      </c>
      <c r="Q12" s="4"/>
      <c r="R12" s="13"/>
      <c r="S12" s="4"/>
      <c r="T12" s="4">
        <f>SUM(OSRRefT13x_0)</f>
        <v>488294</v>
      </c>
      <c r="U12" s="4"/>
      <c r="V12" s="13"/>
      <c r="W12" s="4"/>
      <c r="X12" s="4">
        <f t="shared" ref="X12:X13" si="2">+P12-T12</f>
        <v>3384</v>
      </c>
      <c r="Y12" s="4"/>
      <c r="Z12" s="13">
        <f t="shared" ref="Z12:Z13" si="3">IF(T12=0,0,X12/T12)</f>
        <v>6.930251037284914E-3</v>
      </c>
    </row>
    <row r="13" spans="1:26" s="24" customFormat="1" hidden="1" outlineLevel="1" x14ac:dyDescent="0.3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--62378</f>
        <v>62378</v>
      </c>
      <c r="E13" s="2"/>
      <c r="F13" s="19"/>
      <c r="G13" s="2"/>
      <c r="H13" s="2">
        <f>--28902</f>
        <v>28902</v>
      </c>
      <c r="I13" s="2"/>
      <c r="J13" s="19"/>
      <c r="K13" s="2"/>
      <c r="L13" s="2">
        <f t="shared" si="0"/>
        <v>33476</v>
      </c>
      <c r="M13" s="2"/>
      <c r="N13" s="19">
        <f t="shared" si="1"/>
        <v>1.1582589440177151</v>
      </c>
      <c r="O13" s="11"/>
      <c r="P13" s="2">
        <f>--491678</f>
        <v>491678</v>
      </c>
      <c r="Q13" s="2"/>
      <c r="R13" s="19"/>
      <c r="S13" s="2"/>
      <c r="T13" s="2">
        <f>--488294</f>
        <v>488294</v>
      </c>
      <c r="U13" s="2"/>
      <c r="V13" s="19"/>
      <c r="W13" s="2"/>
      <c r="X13" s="2">
        <f t="shared" si="2"/>
        <v>3384</v>
      </c>
      <c r="Y13" s="2"/>
      <c r="Z13" s="19">
        <f t="shared" si="3"/>
        <v>6.930251037284914E-3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5">
      <c r="A15" s="10"/>
      <c r="B15" s="29" t="s">
        <v>8</v>
      </c>
      <c r="C15" s="10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0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8" t="s">
        <v>6</v>
      </c>
      <c r="C17" s="28"/>
      <c r="D17" s="22">
        <f>D12-D15</f>
        <v>62378</v>
      </c>
      <c r="E17" s="14"/>
      <c r="F17" s="21">
        <f>IF(D$12=0,0,D17/D$12)</f>
        <v>1</v>
      </c>
      <c r="G17" s="14"/>
      <c r="H17" s="22">
        <f>H12-H15</f>
        <v>28902</v>
      </c>
      <c r="I17" s="14"/>
      <c r="J17" s="21">
        <f>IF(H$12=0,0,H17/H$12)</f>
        <v>1</v>
      </c>
      <c r="K17" s="15"/>
      <c r="L17" s="22">
        <f>+D17-H17</f>
        <v>33476</v>
      </c>
      <c r="M17" s="15"/>
      <c r="N17" s="21">
        <f>IF(H17=0,0,L17/H17)</f>
        <v>1.1582589440177151</v>
      </c>
      <c r="O17" s="29"/>
      <c r="P17" s="22">
        <f>P12-P15</f>
        <v>491678</v>
      </c>
      <c r="Q17" s="14"/>
      <c r="R17" s="21">
        <f>IF(P$12=0,0,P17/P$12)</f>
        <v>1</v>
      </c>
      <c r="S17" s="14"/>
      <c r="T17" s="22">
        <f>T12-T15</f>
        <v>488294</v>
      </c>
      <c r="U17" s="14"/>
      <c r="V17" s="21">
        <f>IF(T$12=0,0,T17/T$12)</f>
        <v>1</v>
      </c>
      <c r="W17" s="15"/>
      <c r="X17" s="22">
        <f>+P17-T17</f>
        <v>3384</v>
      </c>
      <c r="Y17" s="15"/>
      <c r="Z17" s="21">
        <f>IF(T17=0,0,X17/T17)</f>
        <v>6.930251037284914E-3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9" t="s">
        <v>9</v>
      </c>
      <c r="C19" s="10"/>
      <c r="D19" s="20">
        <f>SUM(OSRRefD22x_0)</f>
        <v>57512.240000000005</v>
      </c>
      <c r="E19" s="20"/>
      <c r="F19" s="36">
        <f t="shared" ref="F19:F28" si="4">IF(D$12=0,0,D19/D$12)</f>
        <v>0.92199557536310883</v>
      </c>
      <c r="G19" s="20"/>
      <c r="H19" s="20">
        <f>SUM(OSRRefH22x_0)</f>
        <v>25442.49</v>
      </c>
      <c r="I19" s="20"/>
      <c r="J19" s="36">
        <f t="shared" ref="J19:J28" si="5">IF(H$12=0,0,H19/H$12)</f>
        <v>0.88030205522109206</v>
      </c>
      <c r="K19" s="4"/>
      <c r="L19" s="20">
        <f t="shared" ref="L19:L28" si="6">+D19-H19</f>
        <v>32069.750000000004</v>
      </c>
      <c r="M19" s="4"/>
      <c r="N19" s="36">
        <f t="shared" ref="N19:N28" si="7">IF(H19=0,0,L19/H19)</f>
        <v>1.2604800080495266</v>
      </c>
      <c r="O19" s="10"/>
      <c r="P19" s="20">
        <f>SUM(OSRRefP22x_0)</f>
        <v>461510.73000000004</v>
      </c>
      <c r="Q19" s="20"/>
      <c r="R19" s="36">
        <f t="shared" ref="R19:R28" si="8">IF(P$12=0,0,P19/P$12)</f>
        <v>0.93864425497988524</v>
      </c>
      <c r="S19" s="20"/>
      <c r="T19" s="20">
        <f>SUM(OSRRefT22x_0)</f>
        <v>468678.22000000009</v>
      </c>
      <c r="U19" s="20"/>
      <c r="V19" s="36">
        <f t="shared" ref="V19:V28" si="9">IF(T$12=0,0,T19/T$12)</f>
        <v>0.95982793153305201</v>
      </c>
      <c r="W19" s="4"/>
      <c r="X19" s="20">
        <f t="shared" ref="X19:X28" si="10">+P19-T19</f>
        <v>-7167.4900000000489</v>
      </c>
      <c r="Y19" s="4"/>
      <c r="Z19" s="36">
        <f t="shared" ref="Z19:Z28" si="11">IF(T19=0,0,X19/T19)</f>
        <v>-1.5292987158652365E-2</v>
      </c>
    </row>
    <row r="20" spans="1:26" s="25" customFormat="1" outlineLevel="1" collapsed="1" x14ac:dyDescent="0.35">
      <c r="A20" s="26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3268.84</v>
      </c>
      <c r="E20" s="1"/>
      <c r="F20" s="5">
        <f t="shared" si="4"/>
        <v>5.2403732085029978E-2</v>
      </c>
      <c r="G20" s="1"/>
      <c r="H20" s="1">
        <f>SUM(OSRRefH22_0x_0)</f>
        <v>3411.7799999999997</v>
      </c>
      <c r="I20" s="1"/>
      <c r="J20" s="5">
        <f t="shared" si="5"/>
        <v>0.11804650197218185</v>
      </c>
      <c r="K20" s="1"/>
      <c r="L20" s="1">
        <f t="shared" si="6"/>
        <v>-142.9399999999996</v>
      </c>
      <c r="M20" s="1"/>
      <c r="N20" s="5">
        <f t="shared" si="7"/>
        <v>-4.1896019086810878E-2</v>
      </c>
      <c r="O20" s="12"/>
      <c r="P20" s="1">
        <f>SUM(OSRRefP22_0x_0)</f>
        <v>52039.48</v>
      </c>
      <c r="Q20" s="1"/>
      <c r="R20" s="5">
        <f t="shared" si="8"/>
        <v>0.10584057045464715</v>
      </c>
      <c r="S20" s="1"/>
      <c r="T20" s="1">
        <f>SUM(OSRRefT22_0x_0)</f>
        <v>48309.96</v>
      </c>
      <c r="U20" s="1"/>
      <c r="V20" s="5">
        <f t="shared" si="9"/>
        <v>9.893621465756286E-2</v>
      </c>
      <c r="W20" s="1"/>
      <c r="X20" s="1">
        <f t="shared" si="10"/>
        <v>3729.5200000000041</v>
      </c>
      <c r="Y20" s="1"/>
      <c r="Z20" s="5">
        <f t="shared" si="11"/>
        <v>7.7199815524583423E-2</v>
      </c>
    </row>
    <row r="21" spans="1:26" s="24" customFormat="1" hidden="1" outlineLevel="2" x14ac:dyDescent="0.35">
      <c r="A21" s="27"/>
      <c r="B21" s="11" t="str">
        <f>CONCATENATE("          ", "6111", " - ", "F.I.C.A.")</f>
        <v xml:space="preserve">          6111 - F.I.C.A.</v>
      </c>
      <c r="C21" s="11"/>
      <c r="D21" s="7">
        <v>975.83</v>
      </c>
      <c r="E21" s="2"/>
      <c r="F21" s="6">
        <f t="shared" si="4"/>
        <v>1.5643816730257463E-2</v>
      </c>
      <c r="G21" s="2"/>
      <c r="H21" s="7">
        <v>1161.52</v>
      </c>
      <c r="I21" s="2"/>
      <c r="J21" s="6">
        <f t="shared" si="5"/>
        <v>4.0188222268355132E-2</v>
      </c>
      <c r="K21" s="2"/>
      <c r="L21" s="7">
        <f t="shared" si="6"/>
        <v>-185.68999999999994</v>
      </c>
      <c r="M21" s="2"/>
      <c r="N21" s="6">
        <f t="shared" si="7"/>
        <v>-0.15986810386390243</v>
      </c>
      <c r="O21" s="11"/>
      <c r="P21" s="7">
        <v>13042.21</v>
      </c>
      <c r="Q21" s="2"/>
      <c r="R21" s="6">
        <f t="shared" si="8"/>
        <v>2.6525917368684381E-2</v>
      </c>
      <c r="S21" s="2"/>
      <c r="T21" s="7">
        <v>11382.14</v>
      </c>
      <c r="U21" s="2"/>
      <c r="V21" s="6">
        <f t="shared" si="9"/>
        <v>2.3310014048913155E-2</v>
      </c>
      <c r="W21" s="2"/>
      <c r="X21" s="7">
        <f t="shared" si="10"/>
        <v>1660.0699999999997</v>
      </c>
      <c r="Y21" s="2"/>
      <c r="Z21" s="6">
        <f t="shared" si="11"/>
        <v>0.14584867169091223</v>
      </c>
    </row>
    <row r="22" spans="1:26" s="24" customFormat="1" hidden="1" outlineLevel="2" x14ac:dyDescent="0.3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78.95</v>
      </c>
      <c r="E22" s="2"/>
      <c r="F22" s="6">
        <f t="shared" si="4"/>
        <v>1.2656705889897079E-3</v>
      </c>
      <c r="G22" s="2"/>
      <c r="H22" s="7">
        <v>43.82</v>
      </c>
      <c r="I22" s="2"/>
      <c r="J22" s="6">
        <f t="shared" si="5"/>
        <v>1.5161580513459276E-3</v>
      </c>
      <c r="K22" s="2"/>
      <c r="L22" s="7">
        <f t="shared" si="6"/>
        <v>35.130000000000003</v>
      </c>
      <c r="M22" s="2"/>
      <c r="N22" s="6">
        <f t="shared" si="7"/>
        <v>0.80168872660885449</v>
      </c>
      <c r="O22" s="11"/>
      <c r="P22" s="7">
        <v>741.24</v>
      </c>
      <c r="Q22" s="2"/>
      <c r="R22" s="6">
        <f t="shared" si="8"/>
        <v>1.5075720288481487E-3</v>
      </c>
      <c r="S22" s="2"/>
      <c r="T22" s="7">
        <v>587.69000000000005</v>
      </c>
      <c r="U22" s="2"/>
      <c r="V22" s="6">
        <f t="shared" si="9"/>
        <v>1.2035576927015284E-3</v>
      </c>
      <c r="W22" s="2"/>
      <c r="X22" s="7">
        <f t="shared" si="10"/>
        <v>153.54999999999995</v>
      </c>
      <c r="Y22" s="2"/>
      <c r="Z22" s="6">
        <f t="shared" si="11"/>
        <v>0.2612772039680783</v>
      </c>
    </row>
    <row r="23" spans="1:26" s="24" customFormat="1" hidden="1" outlineLevel="2" x14ac:dyDescent="0.35">
      <c r="A23" s="27"/>
      <c r="B23" s="11" t="str">
        <f>CONCATENATE("          ", "6113", " - ", "GROUP INSURANCE")</f>
        <v xml:space="preserve">          6113 - GROUP INSURANCE</v>
      </c>
      <c r="C23" s="11"/>
      <c r="D23" s="7">
        <v>1285.8599999999999</v>
      </c>
      <c r="E23" s="2"/>
      <c r="F23" s="6">
        <f t="shared" si="4"/>
        <v>2.0613998525121035E-2</v>
      </c>
      <c r="G23" s="2"/>
      <c r="H23" s="7">
        <v>1243.31</v>
      </c>
      <c r="I23" s="2"/>
      <c r="J23" s="6">
        <f t="shared" si="5"/>
        <v>4.3018130233201855E-2</v>
      </c>
      <c r="K23" s="2"/>
      <c r="L23" s="7">
        <f t="shared" si="6"/>
        <v>42.549999999999955</v>
      </c>
      <c r="M23" s="2"/>
      <c r="N23" s="6">
        <f t="shared" si="7"/>
        <v>3.4223162364977321E-2</v>
      </c>
      <c r="O23" s="11"/>
      <c r="P23" s="7">
        <v>15213.590000000002</v>
      </c>
      <c r="Q23" s="2"/>
      <c r="R23" s="6">
        <f t="shared" si="8"/>
        <v>3.094218167174452E-2</v>
      </c>
      <c r="S23" s="2"/>
      <c r="T23" s="7">
        <v>14785.84</v>
      </c>
      <c r="U23" s="2"/>
      <c r="V23" s="6">
        <f t="shared" si="9"/>
        <v>3.0280609632721271E-2</v>
      </c>
      <c r="W23" s="2"/>
      <c r="X23" s="7">
        <f t="shared" si="10"/>
        <v>427.75000000000182</v>
      </c>
      <c r="Y23" s="2"/>
      <c r="Z23" s="6">
        <f t="shared" si="11"/>
        <v>2.8929705718444255E-2</v>
      </c>
    </row>
    <row r="24" spans="1:26" s="24" customFormat="1" hidden="1" outlineLevel="2" x14ac:dyDescent="0.3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-495.12</v>
      </c>
      <c r="E24" s="2"/>
      <c r="F24" s="6">
        <f t="shared" si="4"/>
        <v>-7.9374138317996733E-3</v>
      </c>
      <c r="G24" s="2"/>
      <c r="H24" s="7">
        <v>36.75</v>
      </c>
      <c r="I24" s="2"/>
      <c r="J24" s="6">
        <f t="shared" si="5"/>
        <v>1.2715383018476231E-3</v>
      </c>
      <c r="K24" s="2"/>
      <c r="L24" s="7">
        <f t="shared" si="6"/>
        <v>-531.87</v>
      </c>
      <c r="M24" s="2"/>
      <c r="N24" s="6">
        <f t="shared" si="7"/>
        <v>-14.47265306122449</v>
      </c>
      <c r="O24" s="11"/>
      <c r="P24" s="7">
        <v>0</v>
      </c>
      <c r="Q24" s="2"/>
      <c r="R24" s="6">
        <f t="shared" si="8"/>
        <v>0</v>
      </c>
      <c r="S24" s="2"/>
      <c r="T24" s="7">
        <v>532.4</v>
      </c>
      <c r="U24" s="2"/>
      <c r="V24" s="6">
        <f t="shared" si="9"/>
        <v>1.0903267293884422E-3</v>
      </c>
      <c r="W24" s="2"/>
      <c r="X24" s="7">
        <f t="shared" si="10"/>
        <v>-532.4</v>
      </c>
      <c r="Y24" s="2"/>
      <c r="Z24" s="6">
        <f t="shared" si="11"/>
        <v>-1</v>
      </c>
    </row>
    <row r="25" spans="1:26" s="24" customFormat="1" hidden="1" outlineLevel="2" x14ac:dyDescent="0.35">
      <c r="A25" s="27"/>
      <c r="B25" s="11" t="str">
        <f>CONCATENATE("          ", "6115", " - ", "P.E.R.S.")</f>
        <v xml:space="preserve">          6115 - P.E.R.S.</v>
      </c>
      <c r="C25" s="11"/>
      <c r="D25" s="7">
        <v>550.21</v>
      </c>
      <c r="E25" s="2"/>
      <c r="F25" s="6">
        <f t="shared" si="4"/>
        <v>8.8205777678027515E-3</v>
      </c>
      <c r="G25" s="2"/>
      <c r="H25" s="7"/>
      <c r="I25" s="2"/>
      <c r="J25" s="6">
        <f t="shared" si="5"/>
        <v>0</v>
      </c>
      <c r="K25" s="2"/>
      <c r="L25" s="7">
        <f t="shared" si="6"/>
        <v>550.21</v>
      </c>
      <c r="M25" s="2"/>
      <c r="N25" s="6">
        <f t="shared" si="7"/>
        <v>0</v>
      </c>
      <c r="O25" s="11"/>
      <c r="P25" s="7">
        <v>8309.2900000000009</v>
      </c>
      <c r="Q25" s="2"/>
      <c r="R25" s="6">
        <f t="shared" si="8"/>
        <v>1.6899861291332946E-2</v>
      </c>
      <c r="S25" s="2"/>
      <c r="T25" s="7">
        <v>7125.23</v>
      </c>
      <c r="U25" s="2"/>
      <c r="V25" s="6">
        <f t="shared" si="9"/>
        <v>1.4592090011345623E-2</v>
      </c>
      <c r="W25" s="2"/>
      <c r="X25" s="7">
        <f t="shared" si="10"/>
        <v>1184.0600000000013</v>
      </c>
      <c r="Y25" s="2"/>
      <c r="Z25" s="6">
        <f t="shared" si="11"/>
        <v>0.16617849529067852</v>
      </c>
    </row>
    <row r="26" spans="1:26" s="24" customFormat="1" hidden="1" outlineLevel="2" x14ac:dyDescent="0.35">
      <c r="A26" s="27"/>
      <c r="B26" s="11" t="str">
        <f>CONCATENATE("          ", "6118", " - ", "VACATION")</f>
        <v xml:space="preserve">          6118 - VACATION</v>
      </c>
      <c r="C26" s="11"/>
      <c r="D26" s="7">
        <v>484.71</v>
      </c>
      <c r="E26" s="2"/>
      <c r="F26" s="6">
        <f t="shared" si="4"/>
        <v>7.7705280707941896E-3</v>
      </c>
      <c r="G26" s="2"/>
      <c r="H26" s="7">
        <v>534.38</v>
      </c>
      <c r="I26" s="2"/>
      <c r="J26" s="6">
        <f t="shared" si="5"/>
        <v>1.8489377897723341E-2</v>
      </c>
      <c r="K26" s="2"/>
      <c r="L26" s="7">
        <f t="shared" si="6"/>
        <v>-49.670000000000016</v>
      </c>
      <c r="M26" s="2"/>
      <c r="N26" s="6">
        <f t="shared" si="7"/>
        <v>-9.2948837905610274E-2</v>
      </c>
      <c r="O26" s="11"/>
      <c r="P26" s="7">
        <v>8433.2199999999993</v>
      </c>
      <c r="Q26" s="2"/>
      <c r="R26" s="6">
        <f t="shared" si="8"/>
        <v>1.7151916498195974E-2</v>
      </c>
      <c r="S26" s="2"/>
      <c r="T26" s="7">
        <v>7543.74</v>
      </c>
      <c r="U26" s="2"/>
      <c r="V26" s="6">
        <f t="shared" si="9"/>
        <v>1.5449176111113386E-2</v>
      </c>
      <c r="W26" s="2"/>
      <c r="X26" s="7">
        <f t="shared" si="10"/>
        <v>889.47999999999956</v>
      </c>
      <c r="Y26" s="2"/>
      <c r="Z26" s="6">
        <f t="shared" si="11"/>
        <v>0.11790968405591916</v>
      </c>
    </row>
    <row r="27" spans="1:26" s="24" customFormat="1" hidden="1" outlineLevel="2" x14ac:dyDescent="0.35">
      <c r="A27" s="27"/>
      <c r="B27" s="11" t="str">
        <f>CONCATENATE("          ", "6119", " - ", "SICK LEAVE")</f>
        <v xml:space="preserve">          6119 - SICK LEAVE</v>
      </c>
      <c r="C27" s="11"/>
      <c r="D27" s="7">
        <v>281.62</v>
      </c>
      <c r="E27" s="2"/>
      <c r="F27" s="6">
        <f t="shared" si="4"/>
        <v>4.514732758344288E-3</v>
      </c>
      <c r="G27" s="2"/>
      <c r="H27" s="7">
        <v>266.83</v>
      </c>
      <c r="I27" s="2"/>
      <c r="J27" s="6">
        <f t="shared" si="5"/>
        <v>9.2322330634558164E-3</v>
      </c>
      <c r="K27" s="2"/>
      <c r="L27" s="7">
        <f t="shared" si="6"/>
        <v>14.79000000000002</v>
      </c>
      <c r="M27" s="2"/>
      <c r="N27" s="6">
        <f t="shared" si="7"/>
        <v>5.5428550013117049E-2</v>
      </c>
      <c r="O27" s="11"/>
      <c r="P27" s="7">
        <v>4824.46</v>
      </c>
      <c r="Q27" s="2"/>
      <c r="R27" s="6">
        <f t="shared" si="8"/>
        <v>9.812234836620715E-3</v>
      </c>
      <c r="S27" s="2"/>
      <c r="T27" s="7">
        <v>4076.74</v>
      </c>
      <c r="U27" s="2"/>
      <c r="V27" s="6">
        <f t="shared" si="9"/>
        <v>8.3489455123347822E-3</v>
      </c>
      <c r="W27" s="2"/>
      <c r="X27" s="7">
        <f t="shared" si="10"/>
        <v>747.72000000000025</v>
      </c>
      <c r="Y27" s="2"/>
      <c r="Z27" s="6">
        <f t="shared" si="11"/>
        <v>0.18341125507145423</v>
      </c>
    </row>
    <row r="28" spans="1:26" s="24" customFormat="1" hidden="1" outlineLevel="2" x14ac:dyDescent="0.35">
      <c r="A28" s="27"/>
      <c r="B28" s="11" t="str">
        <f>CONCATENATE("          ", "6156", " - ", "EMPLOYEE MEALS")</f>
        <v xml:space="preserve">          6156 - EMPLOYEE MEALS</v>
      </c>
      <c r="C28" s="11"/>
      <c r="D28" s="7">
        <v>106.78</v>
      </c>
      <c r="E28" s="2"/>
      <c r="F28" s="6">
        <f t="shared" si="4"/>
        <v>1.7118214755202155E-3</v>
      </c>
      <c r="G28" s="2"/>
      <c r="H28" s="7">
        <v>125.17</v>
      </c>
      <c r="I28" s="2"/>
      <c r="J28" s="6">
        <f t="shared" si="5"/>
        <v>4.3308421562521628E-3</v>
      </c>
      <c r="K28" s="2"/>
      <c r="L28" s="7">
        <f t="shared" si="6"/>
        <v>-18.39</v>
      </c>
      <c r="M28" s="2"/>
      <c r="N28" s="6">
        <f t="shared" si="7"/>
        <v>-0.14692018854358074</v>
      </c>
      <c r="O28" s="11"/>
      <c r="P28" s="7">
        <v>1475.47</v>
      </c>
      <c r="Q28" s="2"/>
      <c r="R28" s="6">
        <f t="shared" si="8"/>
        <v>3.0008867592204655E-3</v>
      </c>
      <c r="S28" s="2"/>
      <c r="T28" s="7">
        <v>2276.1799999999998</v>
      </c>
      <c r="U28" s="2"/>
      <c r="V28" s="6">
        <f t="shared" si="9"/>
        <v>4.6614949190446732E-3</v>
      </c>
      <c r="W28" s="2"/>
      <c r="X28" s="7">
        <f t="shared" si="10"/>
        <v>-800.70999999999981</v>
      </c>
      <c r="Y28" s="2"/>
      <c r="Z28" s="6">
        <f t="shared" si="11"/>
        <v>-0.35177797889446349</v>
      </c>
    </row>
    <row r="29" spans="1:26" s="25" customFormat="1" outlineLevel="1" collapsed="1" x14ac:dyDescent="0.3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12822.880000000001</v>
      </c>
      <c r="E29" s="1"/>
      <c r="F29" s="5">
        <f t="shared" ref="F29:F35" si="12">IF(D$12=0,0,D29/D$12)</f>
        <v>0.20556734746224631</v>
      </c>
      <c r="G29" s="1"/>
      <c r="H29" s="1">
        <f>SUM(OSRRefH22_1x_0)</f>
        <v>14779.919999999998</v>
      </c>
      <c r="I29" s="1"/>
      <c r="J29" s="5">
        <f t="shared" ref="J29:J35" si="13">IF(H$12=0,0,H29/H$12)</f>
        <v>0.51138052729914873</v>
      </c>
      <c r="K29" s="1"/>
      <c r="L29" s="1">
        <f t="shared" ref="L29:L35" si="14">+D29-H29</f>
        <v>-1957.0399999999972</v>
      </c>
      <c r="M29" s="1"/>
      <c r="N29" s="5">
        <f t="shared" ref="N29:N35" si="15">IF(H29=0,0,L29/H29)</f>
        <v>-0.13241208342129035</v>
      </c>
      <c r="O29" s="12"/>
      <c r="P29" s="1">
        <f>SUM(OSRRefP22_1x_0)</f>
        <v>190012.33</v>
      </c>
      <c r="Q29" s="1"/>
      <c r="R29" s="5">
        <f t="shared" ref="R29:R35" si="16">IF(P$12=0,0,P29/P$12)</f>
        <v>0.38645684777435635</v>
      </c>
      <c r="S29" s="1"/>
      <c r="T29" s="1">
        <f>SUM(OSRRefT22_1x_0)</f>
        <v>190968.61000000002</v>
      </c>
      <c r="U29" s="1"/>
      <c r="V29" s="5">
        <f t="shared" ref="V29:V35" si="17">IF(T$12=0,0,T29/T$12)</f>
        <v>0.3910935010465007</v>
      </c>
      <c r="W29" s="1"/>
      <c r="X29" s="1">
        <f t="shared" ref="X29:X35" si="18">+P29-T29</f>
        <v>-956.28000000002794</v>
      </c>
      <c r="Y29" s="1"/>
      <c r="Z29" s="5">
        <f t="shared" ref="Z29:Z35" si="19">IF(T29=0,0,X29/T29)</f>
        <v>-5.0075245350533152E-3</v>
      </c>
    </row>
    <row r="30" spans="1:26" s="24" customFormat="1" hidden="1" outlineLevel="2" x14ac:dyDescent="0.35">
      <c r="A30" s="27"/>
      <c r="B30" s="11" t="str">
        <f>CONCATENATE("          ", "6002", " - ", "STAFF SALARIES")</f>
        <v xml:space="preserve">          6002 - STAFF SALARIES</v>
      </c>
      <c r="C30" s="11"/>
      <c r="D30" s="7">
        <v>6105.68</v>
      </c>
      <c r="E30" s="2"/>
      <c r="F30" s="6">
        <f t="shared" si="12"/>
        <v>9.7881945557728695E-2</v>
      </c>
      <c r="G30" s="2"/>
      <c r="H30" s="7">
        <v>4917.2</v>
      </c>
      <c r="I30" s="2"/>
      <c r="J30" s="6">
        <f t="shared" si="13"/>
        <v>0.1701335547712961</v>
      </c>
      <c r="K30" s="2"/>
      <c r="L30" s="7">
        <f t="shared" si="14"/>
        <v>1188.4800000000005</v>
      </c>
      <c r="M30" s="2"/>
      <c r="N30" s="6">
        <f t="shared" si="15"/>
        <v>0.24169852761734331</v>
      </c>
      <c r="O30" s="11"/>
      <c r="P30" s="7">
        <v>70386.490000000005</v>
      </c>
      <c r="Q30" s="2"/>
      <c r="R30" s="6">
        <f t="shared" si="16"/>
        <v>0.1431556628525173</v>
      </c>
      <c r="S30" s="2"/>
      <c r="T30" s="7">
        <v>67973.010000000009</v>
      </c>
      <c r="U30" s="2"/>
      <c r="V30" s="6">
        <f t="shared" si="17"/>
        <v>0.13920508955670152</v>
      </c>
      <c r="W30" s="2"/>
      <c r="X30" s="7">
        <f t="shared" si="18"/>
        <v>2413.4799999999959</v>
      </c>
      <c r="Y30" s="2"/>
      <c r="Z30" s="6">
        <f t="shared" si="19"/>
        <v>3.5506445867264015E-2</v>
      </c>
    </row>
    <row r="31" spans="1:26" s="24" customFormat="1" hidden="1" outlineLevel="2" x14ac:dyDescent="0.35">
      <c r="A31" s="27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2"/>
        <v>0</v>
      </c>
      <c r="G31" s="2"/>
      <c r="H31" s="7"/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11061</v>
      </c>
      <c r="U31" s="2"/>
      <c r="V31" s="6">
        <f t="shared" si="17"/>
        <v>2.2652336502189254E-2</v>
      </c>
      <c r="W31" s="2"/>
      <c r="X31" s="7">
        <f t="shared" si="18"/>
        <v>-11061</v>
      </c>
      <c r="Y31" s="2"/>
      <c r="Z31" s="6">
        <f t="shared" si="19"/>
        <v>-1</v>
      </c>
    </row>
    <row r="32" spans="1:26" s="24" customFormat="1" hidden="1" outlineLevel="2" x14ac:dyDescent="0.35">
      <c r="A32" s="27"/>
      <c r="B32" s="11" t="str">
        <f>CONCATENATE("          ", "6005", " - ", "TEMPORARY WAGES-HOURLY")</f>
        <v xml:space="preserve">          6005 - TEMPORARY WAGES-HOURLY</v>
      </c>
      <c r="C32" s="11"/>
      <c r="D32" s="7">
        <v>6717.2</v>
      </c>
      <c r="E32" s="2"/>
      <c r="F32" s="6">
        <f t="shared" si="12"/>
        <v>0.10768540190451761</v>
      </c>
      <c r="G32" s="2"/>
      <c r="H32" s="7">
        <v>5692.83</v>
      </c>
      <c r="I32" s="2"/>
      <c r="J32" s="6">
        <f t="shared" si="13"/>
        <v>0.19697010587502595</v>
      </c>
      <c r="K32" s="2"/>
      <c r="L32" s="7">
        <f t="shared" si="14"/>
        <v>1024.3699999999999</v>
      </c>
      <c r="M32" s="2"/>
      <c r="N32" s="6">
        <f t="shared" si="15"/>
        <v>0.17994038114610833</v>
      </c>
      <c r="O32" s="11"/>
      <c r="P32" s="7">
        <v>87917.69</v>
      </c>
      <c r="Q32" s="2"/>
      <c r="R32" s="6">
        <f t="shared" si="16"/>
        <v>0.17881151892091979</v>
      </c>
      <c r="S32" s="2"/>
      <c r="T32" s="7">
        <v>42800.02</v>
      </c>
      <c r="U32" s="2"/>
      <c r="V32" s="6">
        <f t="shared" si="17"/>
        <v>8.7652152187002091E-2</v>
      </c>
      <c r="W32" s="2"/>
      <c r="X32" s="7">
        <f t="shared" si="18"/>
        <v>45117.670000000006</v>
      </c>
      <c r="Y32" s="2"/>
      <c r="Z32" s="6">
        <f t="shared" si="19"/>
        <v>1.0541506756305257</v>
      </c>
    </row>
    <row r="33" spans="1:26" s="24" customFormat="1" hidden="1" outlineLevel="2" x14ac:dyDescent="0.35">
      <c r="A33" s="27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12"/>
        <v>0</v>
      </c>
      <c r="G33" s="2"/>
      <c r="H33" s="7">
        <v>471.75</v>
      </c>
      <c r="I33" s="2"/>
      <c r="J33" s="6">
        <f t="shared" si="13"/>
        <v>1.6322399833921527E-2</v>
      </c>
      <c r="K33" s="2"/>
      <c r="L33" s="7">
        <f t="shared" si="14"/>
        <v>-471.75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10984.32</v>
      </c>
      <c r="U33" s="2"/>
      <c r="V33" s="6">
        <f t="shared" si="17"/>
        <v>2.2495299962727373E-2</v>
      </c>
      <c r="W33" s="2"/>
      <c r="X33" s="7">
        <f t="shared" si="18"/>
        <v>-10984.32</v>
      </c>
      <c r="Y33" s="2"/>
      <c r="Z33" s="6">
        <f t="shared" si="19"/>
        <v>-1</v>
      </c>
    </row>
    <row r="34" spans="1:26" s="24" customFormat="1" hidden="1" outlineLevel="2" x14ac:dyDescent="0.35">
      <c r="A34" s="27"/>
      <c r="B34" s="11" t="str">
        <f>CONCATENATE("          ", "6007", " - ", "STUDENT HOURLY")</f>
        <v xml:space="preserve">          6007 - STUDENT HOURLY</v>
      </c>
      <c r="C34" s="11"/>
      <c r="D34" s="7"/>
      <c r="E34" s="2"/>
      <c r="F34" s="6">
        <f t="shared" si="12"/>
        <v>0</v>
      </c>
      <c r="G34" s="2"/>
      <c r="H34" s="7">
        <v>3698.14</v>
      </c>
      <c r="I34" s="2"/>
      <c r="J34" s="6">
        <f t="shared" si="13"/>
        <v>0.12795446681890527</v>
      </c>
      <c r="K34" s="2"/>
      <c r="L34" s="7">
        <f t="shared" si="14"/>
        <v>-3698.14</v>
      </c>
      <c r="M34" s="2"/>
      <c r="N34" s="6">
        <f t="shared" si="15"/>
        <v>-1</v>
      </c>
      <c r="O34" s="11"/>
      <c r="P34" s="7">
        <v>25787.41</v>
      </c>
      <c r="Q34" s="2"/>
      <c r="R34" s="6">
        <f t="shared" si="16"/>
        <v>5.244776052619804E-2</v>
      </c>
      <c r="S34" s="2"/>
      <c r="T34" s="7">
        <v>54621.72</v>
      </c>
      <c r="U34" s="2"/>
      <c r="V34" s="6">
        <f t="shared" si="17"/>
        <v>0.11186236161001364</v>
      </c>
      <c r="W34" s="2"/>
      <c r="X34" s="7">
        <f t="shared" si="18"/>
        <v>-28834.31</v>
      </c>
      <c r="Y34" s="2"/>
      <c r="Z34" s="6">
        <f t="shared" si="19"/>
        <v>-0.5278909195829059</v>
      </c>
    </row>
    <row r="35" spans="1:26" s="24" customFormat="1" hidden="1" outlineLevel="2" x14ac:dyDescent="0.35">
      <c r="A35" s="27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12"/>
        <v>0</v>
      </c>
      <c r="G35" s="2"/>
      <c r="H35" s="7"/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>
        <v>5920.74</v>
      </c>
      <c r="Q35" s="2"/>
      <c r="R35" s="6">
        <f t="shared" si="16"/>
        <v>1.2041905474721261E-2</v>
      </c>
      <c r="S35" s="2"/>
      <c r="T35" s="7">
        <v>3528.54</v>
      </c>
      <c r="U35" s="2"/>
      <c r="V35" s="6">
        <f t="shared" si="17"/>
        <v>7.2262612278668177E-3</v>
      </c>
      <c r="W35" s="2"/>
      <c r="X35" s="7">
        <f t="shared" si="18"/>
        <v>2392.1999999999998</v>
      </c>
      <c r="Y35" s="2"/>
      <c r="Z35" s="6">
        <f t="shared" si="19"/>
        <v>0.67795745549150632</v>
      </c>
    </row>
    <row r="36" spans="1:26" s="25" customFormat="1" outlineLevel="1" collapsed="1" x14ac:dyDescent="0.3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12</v>
      </c>
      <c r="I36" s="1"/>
      <c r="J36" s="5">
        <f t="shared" ref="J36:J44" si="21">IF(H$12=0,0,H36/H$12)</f>
        <v>4.1519618019514223E-4</v>
      </c>
      <c r="K36" s="1"/>
      <c r="L36" s="1">
        <f t="shared" ref="L36:L44" si="22">+D36-H36</f>
        <v>-12</v>
      </c>
      <c r="M36" s="1"/>
      <c r="N36" s="5">
        <f t="shared" ref="N36:N44" si="23">IF(H36=0,0,L36/H36)</f>
        <v>-1</v>
      </c>
      <c r="O36" s="12"/>
      <c r="P36" s="1">
        <f>SUM(OSRRefP22_2x_0)</f>
        <v>2066.92</v>
      </c>
      <c r="Q36" s="1"/>
      <c r="R36" s="5">
        <f t="shared" ref="R36:R44" si="24">IF(P$12=0,0,P36/P$12)</f>
        <v>4.2038081834045865E-3</v>
      </c>
      <c r="S36" s="1"/>
      <c r="T36" s="1">
        <f>SUM(OSRRefT22_2x_0)</f>
        <v>3183.09</v>
      </c>
      <c r="U36" s="1"/>
      <c r="V36" s="5">
        <f t="shared" ref="V36:V44" si="25">IF(T$12=0,0,T36/T$12)</f>
        <v>6.5187981011439831E-3</v>
      </c>
      <c r="W36" s="1"/>
      <c r="X36" s="1">
        <f t="shared" ref="X36:X44" si="26">+P36-T36</f>
        <v>-1116.17</v>
      </c>
      <c r="Y36" s="1"/>
      <c r="Z36" s="5">
        <f t="shared" ref="Z36:Z44" si="27">IF(T36=0,0,X36/T36)</f>
        <v>-0.35065612345236863</v>
      </c>
    </row>
    <row r="37" spans="1:26" s="24" customFormat="1" hidden="1" outlineLevel="2" x14ac:dyDescent="0.3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>
        <v>12</v>
      </c>
      <c r="I37" s="2"/>
      <c r="J37" s="6">
        <f t="shared" si="21"/>
        <v>4.1519618019514223E-4</v>
      </c>
      <c r="K37" s="2"/>
      <c r="L37" s="7">
        <f t="shared" si="22"/>
        <v>-12</v>
      </c>
      <c r="M37" s="2"/>
      <c r="N37" s="6">
        <f t="shared" si="23"/>
        <v>-1</v>
      </c>
      <c r="O37" s="11"/>
      <c r="P37" s="7">
        <v>2066.92</v>
      </c>
      <c r="Q37" s="2"/>
      <c r="R37" s="6">
        <f t="shared" si="24"/>
        <v>4.2038081834045865E-3</v>
      </c>
      <c r="S37" s="2"/>
      <c r="T37" s="7">
        <v>3183.09</v>
      </c>
      <c r="U37" s="2"/>
      <c r="V37" s="6">
        <f t="shared" si="25"/>
        <v>6.5187981011439831E-3</v>
      </c>
      <c r="W37" s="2"/>
      <c r="X37" s="7">
        <f t="shared" si="26"/>
        <v>-1116.17</v>
      </c>
      <c r="Y37" s="2"/>
      <c r="Z37" s="6">
        <f t="shared" si="27"/>
        <v>-0.35065612345236863</v>
      </c>
    </row>
    <row r="38" spans="1:26" s="25" customFormat="1" outlineLevel="1" collapsed="1" x14ac:dyDescent="0.35">
      <c r="A38" s="26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163.22</v>
      </c>
      <c r="E38" s="1"/>
      <c r="F38" s="5">
        <f t="shared" si="20"/>
        <v>2.6166276571868287E-3</v>
      </c>
      <c r="G38" s="1"/>
      <c r="H38" s="1">
        <f>SUM(OSRRefH22_3x_0)</f>
        <v>239.13</v>
      </c>
      <c r="I38" s="1"/>
      <c r="J38" s="5">
        <f t="shared" si="21"/>
        <v>8.273821880838696E-3</v>
      </c>
      <c r="K38" s="1"/>
      <c r="L38" s="1">
        <f t="shared" si="22"/>
        <v>-75.91</v>
      </c>
      <c r="M38" s="1"/>
      <c r="N38" s="5">
        <f t="shared" si="23"/>
        <v>-0.31744239534980973</v>
      </c>
      <c r="O38" s="12"/>
      <c r="P38" s="1">
        <f>SUM(OSRRefP22_3x_0)</f>
        <v>17997.099999999999</v>
      </c>
      <c r="Q38" s="1"/>
      <c r="R38" s="5">
        <f t="shared" si="24"/>
        <v>3.6603427446418181E-2</v>
      </c>
      <c r="S38" s="1"/>
      <c r="T38" s="1">
        <f>SUM(OSRRefT22_3x_0)</f>
        <v>22577.18</v>
      </c>
      <c r="U38" s="1"/>
      <c r="V38" s="5">
        <f t="shared" si="25"/>
        <v>4.6236857303182097E-2</v>
      </c>
      <c r="W38" s="1"/>
      <c r="X38" s="1">
        <f t="shared" si="26"/>
        <v>-4580.0800000000017</v>
      </c>
      <c r="Y38" s="1"/>
      <c r="Z38" s="5">
        <f t="shared" si="27"/>
        <v>-0.20286324509969808</v>
      </c>
    </row>
    <row r="39" spans="1:26" s="24" customFormat="1" hidden="1" outlineLevel="2" x14ac:dyDescent="0.35">
      <c r="A39" s="27"/>
      <c r="B39" s="11" t="str">
        <f>CONCATENATE("          ", "6381", " - ", "BANK/CREDIT CARD FEES")</f>
        <v xml:space="preserve">          6381 - BANK/CREDIT CARD FEES</v>
      </c>
      <c r="C39" s="11"/>
      <c r="D39" s="7">
        <v>163.22</v>
      </c>
      <c r="E39" s="2"/>
      <c r="F39" s="6">
        <f t="shared" si="20"/>
        <v>2.6166276571868287E-3</v>
      </c>
      <c r="G39" s="2"/>
      <c r="H39" s="7">
        <v>239.13</v>
      </c>
      <c r="I39" s="2"/>
      <c r="J39" s="6">
        <f t="shared" si="21"/>
        <v>8.273821880838696E-3</v>
      </c>
      <c r="K39" s="2"/>
      <c r="L39" s="7">
        <f t="shared" si="22"/>
        <v>-75.91</v>
      </c>
      <c r="M39" s="2"/>
      <c r="N39" s="6">
        <f t="shared" si="23"/>
        <v>-0.31744239534980973</v>
      </c>
      <c r="O39" s="11"/>
      <c r="P39" s="7">
        <v>17997.099999999999</v>
      </c>
      <c r="Q39" s="2"/>
      <c r="R39" s="6">
        <f t="shared" si="24"/>
        <v>3.6603427446418181E-2</v>
      </c>
      <c r="S39" s="2"/>
      <c r="T39" s="7">
        <v>22577.18</v>
      </c>
      <c r="U39" s="2"/>
      <c r="V39" s="6">
        <f t="shared" si="25"/>
        <v>4.6236857303182097E-2</v>
      </c>
      <c r="W39" s="2"/>
      <c r="X39" s="7">
        <f t="shared" si="26"/>
        <v>-4580.0800000000017</v>
      </c>
      <c r="Y39" s="2"/>
      <c r="Z39" s="6">
        <f t="shared" si="27"/>
        <v>-0.20286324509969808</v>
      </c>
    </row>
    <row r="40" spans="1:26" s="25" customFormat="1" outlineLevel="1" collapsed="1" x14ac:dyDescent="0.35">
      <c r="A40" s="26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2"/>
      <c r="P40" s="1">
        <f>SUM(OSRRefP22_4x_0)</f>
        <v>64.239999999999995</v>
      </c>
      <c r="Q40" s="1"/>
      <c r="R40" s="5">
        <f t="shared" si="24"/>
        <v>1.306546154190344E-4</v>
      </c>
      <c r="S40" s="1"/>
      <c r="T40" s="1">
        <f>SUM(OSRRefT22_4x_0)</f>
        <v>92.16</v>
      </c>
      <c r="U40" s="1"/>
      <c r="V40" s="5">
        <f t="shared" si="25"/>
        <v>1.8873875165371682E-4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35">
      <c r="A41" s="27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0"/>
        <v>0</v>
      </c>
      <c r="G41" s="2"/>
      <c r="H41" s="7"/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64.239999999999995</v>
      </c>
      <c r="Q41" s="2"/>
      <c r="R41" s="6">
        <f t="shared" si="24"/>
        <v>1.306546154190344E-4</v>
      </c>
      <c r="S41" s="2"/>
      <c r="T41" s="7">
        <v>92.16</v>
      </c>
      <c r="U41" s="2"/>
      <c r="V41" s="6">
        <f t="shared" si="25"/>
        <v>1.8873875165371682E-4</v>
      </c>
      <c r="W41" s="2"/>
      <c r="X41" s="7">
        <f t="shared" si="26"/>
        <v>-27.92</v>
      </c>
      <c r="Y41" s="2"/>
      <c r="Z41" s="6">
        <f t="shared" si="27"/>
        <v>-0.3029513888888889</v>
      </c>
    </row>
    <row r="42" spans="1:26" s="25" customFormat="1" outlineLevel="1" collapsed="1" x14ac:dyDescent="0.35">
      <c r="A42" s="26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2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102.21000000000001</v>
      </c>
      <c r="U42" s="1"/>
      <c r="V42" s="5">
        <f t="shared" si="25"/>
        <v>2.093206142201215E-4</v>
      </c>
      <c r="W42" s="1"/>
      <c r="X42" s="1">
        <f t="shared" si="26"/>
        <v>-102.21000000000001</v>
      </c>
      <c r="Y42" s="1"/>
      <c r="Z42" s="5">
        <f t="shared" si="27"/>
        <v>-1</v>
      </c>
    </row>
    <row r="43" spans="1:26" s="24" customFormat="1" hidden="1" outlineLevel="2" x14ac:dyDescent="0.35">
      <c r="A43" s="27"/>
      <c r="B43" s="11" t="str">
        <f>CONCATENATE("          ", "6305", " - ", "FREIGHT OUT")</f>
        <v xml:space="preserve">          6305 - FREIGHT OUT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54.57</v>
      </c>
      <c r="U43" s="2"/>
      <c r="V43" s="6">
        <f t="shared" si="25"/>
        <v>1.117564418157913E-4</v>
      </c>
      <c r="W43" s="2"/>
      <c r="X43" s="7">
        <f t="shared" si="26"/>
        <v>-54.57</v>
      </c>
      <c r="Y43" s="2"/>
      <c r="Z43" s="6">
        <f t="shared" si="27"/>
        <v>-1</v>
      </c>
    </row>
    <row r="44" spans="1:26" s="24" customFormat="1" hidden="1" outlineLevel="2" x14ac:dyDescent="0.35">
      <c r="A44" s="27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20"/>
        <v>0</v>
      </c>
      <c r="G44" s="2"/>
      <c r="H44" s="7"/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47.64</v>
      </c>
      <c r="U44" s="2"/>
      <c r="V44" s="6">
        <f t="shared" si="25"/>
        <v>9.7564172404330181E-5</v>
      </c>
      <c r="W44" s="2"/>
      <c r="X44" s="7">
        <f t="shared" si="26"/>
        <v>-47.64</v>
      </c>
      <c r="Y44" s="2"/>
      <c r="Z44" s="6">
        <f t="shared" si="27"/>
        <v>-1</v>
      </c>
    </row>
    <row r="45" spans="1:26" s="25" customFormat="1" outlineLevel="1" collapsed="1" x14ac:dyDescent="0.35">
      <c r="A45" s="26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ref="F45:F56" si="28">IF(D$12=0,0,D45/D$12)</f>
        <v>0</v>
      </c>
      <c r="G45" s="1"/>
      <c r="H45" s="1">
        <f>SUM(OSRRefH22_6x_0)</f>
        <v>0</v>
      </c>
      <c r="I45" s="1"/>
      <c r="J45" s="5">
        <f t="shared" ref="J45:J56" si="29">IF(H$12=0,0,H45/H$12)</f>
        <v>0</v>
      </c>
      <c r="K45" s="1"/>
      <c r="L45" s="1">
        <f t="shared" ref="L45:L56" si="30">+D45-H45</f>
        <v>0</v>
      </c>
      <c r="M45" s="1"/>
      <c r="N45" s="5">
        <f t="shared" ref="N45:N56" si="31">IF(H45=0,0,L45/H45)</f>
        <v>0</v>
      </c>
      <c r="O45" s="12"/>
      <c r="P45" s="1">
        <f>SUM(OSRRefP22_6x_0)</f>
        <v>47.34</v>
      </c>
      <c r="Q45" s="1"/>
      <c r="R45" s="5">
        <f t="shared" ref="R45:R56" si="32">IF(P$12=0,0,P45/P$12)</f>
        <v>9.6282526368883712E-5</v>
      </c>
      <c r="S45" s="1"/>
      <c r="T45" s="1">
        <f>SUM(OSRRefT22_6x_0)</f>
        <v>661</v>
      </c>
      <c r="U45" s="1"/>
      <c r="V45" s="5">
        <f t="shared" ref="V45:V56" si="33">IF(T$12=0,0,T45/T$12)</f>
        <v>1.3536926523774612E-3</v>
      </c>
      <c r="W45" s="1"/>
      <c r="X45" s="1">
        <f t="shared" ref="X45:X56" si="34">+P45-T45</f>
        <v>-613.66</v>
      </c>
      <c r="Y45" s="1"/>
      <c r="Z45" s="5">
        <f t="shared" ref="Z45:Z56" si="35">IF(T45=0,0,X45/T45)</f>
        <v>-0.92838124054462934</v>
      </c>
    </row>
    <row r="46" spans="1:26" s="24" customFormat="1" hidden="1" outlineLevel="2" x14ac:dyDescent="0.35">
      <c r="A46" s="27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47.34</v>
      </c>
      <c r="Q46" s="2"/>
      <c r="R46" s="6">
        <f t="shared" si="32"/>
        <v>9.6282526368883712E-5</v>
      </c>
      <c r="S46" s="2"/>
      <c r="T46" s="7">
        <v>661</v>
      </c>
      <c r="U46" s="2"/>
      <c r="V46" s="6">
        <f t="shared" si="33"/>
        <v>1.3536926523774612E-3</v>
      </c>
      <c r="W46" s="2"/>
      <c r="X46" s="7">
        <f t="shared" si="34"/>
        <v>-613.66</v>
      </c>
      <c r="Y46" s="2"/>
      <c r="Z46" s="6">
        <f t="shared" si="35"/>
        <v>-0.92838124054462934</v>
      </c>
    </row>
    <row r="47" spans="1:26" s="25" customFormat="1" outlineLevel="1" collapsed="1" x14ac:dyDescent="0.35">
      <c r="A47" s="26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SUM(OSRRefD22_7x_0)</f>
        <v>29.01</v>
      </c>
      <c r="E47" s="1"/>
      <c r="F47" s="5">
        <f t="shared" si="28"/>
        <v>4.6506781236974574E-4</v>
      </c>
      <c r="G47" s="1"/>
      <c r="H47" s="1">
        <f>SUM(OSRRefH22_7x_0)</f>
        <v>27.33</v>
      </c>
      <c r="I47" s="1"/>
      <c r="J47" s="5">
        <f t="shared" si="29"/>
        <v>9.4560930039443635E-4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2"/>
      <c r="P47" s="1">
        <f>SUM(OSRRefP22_7x_0)</f>
        <v>348.12</v>
      </c>
      <c r="Q47" s="1"/>
      <c r="R47" s="5">
        <f t="shared" si="32"/>
        <v>7.0802435740464291E-4</v>
      </c>
      <c r="S47" s="1"/>
      <c r="T47" s="1">
        <f>SUM(OSRRefT22_7x_0)</f>
        <v>279.19</v>
      </c>
      <c r="U47" s="1"/>
      <c r="V47" s="5">
        <f t="shared" si="33"/>
        <v>5.7176619004124568E-4</v>
      </c>
      <c r="W47" s="1"/>
      <c r="X47" s="1">
        <f t="shared" si="34"/>
        <v>68.930000000000007</v>
      </c>
      <c r="Y47" s="1"/>
      <c r="Z47" s="5">
        <f t="shared" si="35"/>
        <v>0.24689279701995059</v>
      </c>
    </row>
    <row r="48" spans="1:26" s="24" customFormat="1" hidden="1" outlineLevel="2" x14ac:dyDescent="0.35">
      <c r="A48" s="27"/>
      <c r="B48" s="11" t="str">
        <f>CONCATENATE("          ", "6314", " - ", "LIABILITY INSURANCE")</f>
        <v xml:space="preserve">          6314 - LIABILITY INSURANCE</v>
      </c>
      <c r="C48" s="11"/>
      <c r="D48" s="7">
        <v>29.01</v>
      </c>
      <c r="E48" s="2"/>
      <c r="F48" s="6">
        <f t="shared" si="28"/>
        <v>4.6506781236974574E-4</v>
      </c>
      <c r="G48" s="2"/>
      <c r="H48" s="7">
        <v>27.33</v>
      </c>
      <c r="I48" s="2"/>
      <c r="J48" s="6">
        <f t="shared" si="29"/>
        <v>9.4560930039443635E-4</v>
      </c>
      <c r="K48" s="2"/>
      <c r="L48" s="7">
        <f t="shared" si="30"/>
        <v>1.6800000000000033</v>
      </c>
      <c r="M48" s="2"/>
      <c r="N48" s="6">
        <f t="shared" si="31"/>
        <v>6.1470911086718018E-2</v>
      </c>
      <c r="O48" s="11"/>
      <c r="P48" s="7">
        <v>348.12</v>
      </c>
      <c r="Q48" s="2"/>
      <c r="R48" s="6">
        <f t="shared" si="32"/>
        <v>7.0802435740464291E-4</v>
      </c>
      <c r="S48" s="2"/>
      <c r="T48" s="7">
        <v>279.19</v>
      </c>
      <c r="U48" s="2"/>
      <c r="V48" s="6">
        <f t="shared" si="33"/>
        <v>5.7176619004124568E-4</v>
      </c>
      <c r="W48" s="2"/>
      <c r="X48" s="7">
        <f t="shared" si="34"/>
        <v>68.930000000000007</v>
      </c>
      <c r="Y48" s="2"/>
      <c r="Z48" s="6">
        <f t="shared" si="35"/>
        <v>0.24689279701995059</v>
      </c>
    </row>
    <row r="49" spans="1:26" s="25" customFormat="1" outlineLevel="1" collapsed="1" x14ac:dyDescent="0.35">
      <c r="A49" s="26"/>
      <c r="B49" s="12" t="str">
        <f>CONCATENATE("     ","Professional Services                             ")</f>
        <v xml:space="preserve">     Professional Services                             </v>
      </c>
      <c r="C49" s="12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3.4405501603542127E-3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35">
      <c r="A50" s="27"/>
      <c r="B50" s="11" t="str">
        <f>CONCATENATE("          ", "6336", " - ", "PROFESSIONAL SERVICES")</f>
        <v xml:space="preserve">          6336 - PROFESSIONAL SERVICES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/>
      <c r="Q50" s="2"/>
      <c r="R50" s="6">
        <f t="shared" si="32"/>
        <v>0</v>
      </c>
      <c r="S50" s="2"/>
      <c r="T50" s="7">
        <v>1680</v>
      </c>
      <c r="U50" s="2"/>
      <c r="V50" s="6">
        <f t="shared" si="33"/>
        <v>3.4405501603542127E-3</v>
      </c>
      <c r="W50" s="2"/>
      <c r="X50" s="7">
        <f t="shared" si="34"/>
        <v>-1680</v>
      </c>
      <c r="Y50" s="2"/>
      <c r="Z50" s="6">
        <f t="shared" si="35"/>
        <v>-1</v>
      </c>
    </row>
    <row r="51" spans="1:26" s="25" customFormat="1" outlineLevel="1" collapsed="1" x14ac:dyDescent="0.35">
      <c r="A51" s="26"/>
      <c r="B51" s="12" t="str">
        <f>CONCATENATE("     ","Rent                                              ")</f>
        <v xml:space="preserve">     Rent                                              </v>
      </c>
      <c r="C51" s="12"/>
      <c r="D51" s="1">
        <f>SUM(OSRRefD22_9x_0)</f>
        <v>800</v>
      </c>
      <c r="E51" s="1"/>
      <c r="F51" s="5">
        <f t="shared" si="28"/>
        <v>1.282503446728013E-2</v>
      </c>
      <c r="G51" s="1"/>
      <c r="H51" s="1">
        <f>SUM(OSRRefH22_9x_0)</f>
        <v>800</v>
      </c>
      <c r="I51" s="1"/>
      <c r="J51" s="5">
        <f t="shared" si="29"/>
        <v>2.7679745346342814E-2</v>
      </c>
      <c r="K51" s="1"/>
      <c r="L51" s="1">
        <f t="shared" si="30"/>
        <v>0</v>
      </c>
      <c r="M51" s="1"/>
      <c r="N51" s="5">
        <f t="shared" si="31"/>
        <v>0</v>
      </c>
      <c r="O51" s="12"/>
      <c r="P51" s="1">
        <f>SUM(OSRRefP22_9x_0)</f>
        <v>8000</v>
      </c>
      <c r="Q51" s="1"/>
      <c r="R51" s="5">
        <f t="shared" si="32"/>
        <v>1.6270811384686727E-2</v>
      </c>
      <c r="S51" s="1"/>
      <c r="T51" s="1">
        <f>SUM(OSRRefT22_9x_0)</f>
        <v>8800</v>
      </c>
      <c r="U51" s="1"/>
      <c r="V51" s="5">
        <f t="shared" si="33"/>
        <v>1.8021929411379211E-2</v>
      </c>
      <c r="W51" s="1"/>
      <c r="X51" s="1">
        <f t="shared" si="34"/>
        <v>-800</v>
      </c>
      <c r="Y51" s="1"/>
      <c r="Z51" s="5">
        <f t="shared" si="35"/>
        <v>-9.0909090909090912E-2</v>
      </c>
    </row>
    <row r="52" spans="1:26" s="24" customFormat="1" hidden="1" outlineLevel="2" x14ac:dyDescent="0.35">
      <c r="A52" s="27"/>
      <c r="B52" s="11" t="str">
        <f>CONCATENATE("          ", "6273", " - ", "RENT")</f>
        <v xml:space="preserve">          6273 - RENT</v>
      </c>
      <c r="C52" s="11"/>
      <c r="D52" s="7">
        <v>800</v>
      </c>
      <c r="E52" s="2"/>
      <c r="F52" s="6">
        <f t="shared" si="28"/>
        <v>1.282503446728013E-2</v>
      </c>
      <c r="G52" s="2"/>
      <c r="H52" s="7">
        <v>800</v>
      </c>
      <c r="I52" s="2"/>
      <c r="J52" s="6">
        <f t="shared" si="29"/>
        <v>2.7679745346342814E-2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8000</v>
      </c>
      <c r="Q52" s="2"/>
      <c r="R52" s="6">
        <f t="shared" si="32"/>
        <v>1.6270811384686727E-2</v>
      </c>
      <c r="S52" s="2"/>
      <c r="T52" s="7">
        <v>8800</v>
      </c>
      <c r="U52" s="2"/>
      <c r="V52" s="6">
        <f t="shared" si="33"/>
        <v>1.8021929411379211E-2</v>
      </c>
      <c r="W52" s="2"/>
      <c r="X52" s="7">
        <f t="shared" si="34"/>
        <v>-800</v>
      </c>
      <c r="Y52" s="2"/>
      <c r="Z52" s="6">
        <f t="shared" si="35"/>
        <v>-9.0909090909090912E-2</v>
      </c>
    </row>
    <row r="53" spans="1:26" s="25" customFormat="1" outlineLevel="1" collapsed="1" x14ac:dyDescent="0.35">
      <c r="A53" s="26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SUM(OSRRefD22_10x_0)</f>
        <v>682.35</v>
      </c>
      <c r="E53" s="1"/>
      <c r="F53" s="5">
        <f t="shared" si="28"/>
        <v>1.0938952835935748E-2</v>
      </c>
      <c r="G53" s="1"/>
      <c r="H53" s="1">
        <f>SUM(OSRRefH22_10x_0)</f>
        <v>5544</v>
      </c>
      <c r="I53" s="1"/>
      <c r="J53" s="5">
        <f t="shared" si="29"/>
        <v>0.19182063525015569</v>
      </c>
      <c r="K53" s="1"/>
      <c r="L53" s="1">
        <f t="shared" si="30"/>
        <v>-4861.6499999999996</v>
      </c>
      <c r="M53" s="1"/>
      <c r="N53" s="5">
        <f t="shared" si="31"/>
        <v>-0.87692099567099557</v>
      </c>
      <c r="O53" s="12"/>
      <c r="P53" s="1">
        <f>SUM(OSRRefP22_10x_0)</f>
        <v>119203.11</v>
      </c>
      <c r="Q53" s="1"/>
      <c r="R53" s="5">
        <f t="shared" si="32"/>
        <v>0.24244141490975801</v>
      </c>
      <c r="S53" s="1"/>
      <c r="T53" s="1">
        <f>SUM(OSRRefT22_10x_0)</f>
        <v>121575.56</v>
      </c>
      <c r="U53" s="1"/>
      <c r="V53" s="5">
        <f t="shared" si="33"/>
        <v>0.2489802455078293</v>
      </c>
      <c r="W53" s="1"/>
      <c r="X53" s="1">
        <f t="shared" si="34"/>
        <v>-2372.4499999999971</v>
      </c>
      <c r="Y53" s="1"/>
      <c r="Z53" s="5">
        <f t="shared" si="35"/>
        <v>-1.9514201703039632E-2</v>
      </c>
    </row>
    <row r="54" spans="1:26" s="24" customFormat="1" hidden="1" outlineLevel="2" x14ac:dyDescent="0.3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437.31</v>
      </c>
      <c r="Q54" s="2"/>
      <c r="R54" s="6">
        <f t="shared" si="32"/>
        <v>8.8942356582966901E-4</v>
      </c>
      <c r="S54" s="2"/>
      <c r="T54" s="7"/>
      <c r="U54" s="2"/>
      <c r="V54" s="6">
        <f t="shared" si="33"/>
        <v>0</v>
      </c>
      <c r="W54" s="2"/>
      <c r="X54" s="7">
        <f t="shared" si="34"/>
        <v>437.31</v>
      </c>
      <c r="Y54" s="2"/>
      <c r="Z54" s="6">
        <f t="shared" si="35"/>
        <v>0</v>
      </c>
    </row>
    <row r="55" spans="1:26" s="24" customFormat="1" hidden="1" outlineLevel="2" x14ac:dyDescent="0.35">
      <c r="A55" s="27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117094</v>
      </c>
      <c r="Q55" s="2"/>
      <c r="R55" s="6">
        <f t="shared" si="32"/>
        <v>0.23815179853481344</v>
      </c>
      <c r="S55" s="2"/>
      <c r="T55" s="7">
        <v>115431.56</v>
      </c>
      <c r="U55" s="2"/>
      <c r="V55" s="6">
        <f t="shared" si="33"/>
        <v>0.23639766206424817</v>
      </c>
      <c r="W55" s="2"/>
      <c r="X55" s="7">
        <f t="shared" si="34"/>
        <v>1662.4400000000023</v>
      </c>
      <c r="Y55" s="2"/>
      <c r="Z55" s="6">
        <f t="shared" si="35"/>
        <v>1.4401953850402804E-2</v>
      </c>
    </row>
    <row r="56" spans="1:26" s="24" customFormat="1" hidden="1" outlineLevel="2" x14ac:dyDescent="0.3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682.35</v>
      </c>
      <c r="E56" s="2"/>
      <c r="F56" s="6">
        <f t="shared" si="28"/>
        <v>1.0938952835935748E-2</v>
      </c>
      <c r="G56" s="2"/>
      <c r="H56" s="7">
        <v>5544</v>
      </c>
      <c r="I56" s="2"/>
      <c r="J56" s="6">
        <f t="shared" si="29"/>
        <v>0.19182063525015569</v>
      </c>
      <c r="K56" s="2"/>
      <c r="L56" s="7">
        <f t="shared" si="30"/>
        <v>-4861.6499999999996</v>
      </c>
      <c r="M56" s="2"/>
      <c r="N56" s="6">
        <f t="shared" si="31"/>
        <v>-0.87692099567099557</v>
      </c>
      <c r="O56" s="11"/>
      <c r="P56" s="7">
        <v>1671.8</v>
      </c>
      <c r="Q56" s="2"/>
      <c r="R56" s="6">
        <f t="shared" si="32"/>
        <v>3.4001928091149086E-3</v>
      </c>
      <c r="S56" s="2"/>
      <c r="T56" s="7">
        <v>6144</v>
      </c>
      <c r="U56" s="2"/>
      <c r="V56" s="6">
        <f t="shared" si="33"/>
        <v>1.2582583443581121E-2</v>
      </c>
      <c r="W56" s="2"/>
      <c r="X56" s="7">
        <f t="shared" si="34"/>
        <v>-4472.2</v>
      </c>
      <c r="Y56" s="2"/>
      <c r="Z56" s="6">
        <f t="shared" si="35"/>
        <v>-0.72789713541666667</v>
      </c>
    </row>
    <row r="57" spans="1:26" s="25" customFormat="1" outlineLevel="1" collapsed="1" x14ac:dyDescent="0.35">
      <c r="A57" s="26"/>
      <c r="B57" s="12" t="str">
        <f>CONCATENATE("     ","Subscriptions &amp; Dues                              ")</f>
        <v xml:space="preserve">     Subscriptions &amp; Dues                              </v>
      </c>
      <c r="C57" s="12"/>
      <c r="D57" s="1">
        <f>SUM(OSRRefD22_11x_0)</f>
        <v>0</v>
      </c>
      <c r="E57" s="1"/>
      <c r="F57" s="5">
        <f t="shared" ref="F57:F63" si="36">IF(D$12=0,0,D57/D$12)</f>
        <v>0</v>
      </c>
      <c r="G57" s="1"/>
      <c r="H57" s="1">
        <f>SUM(OSRRefH22_11x_0)</f>
        <v>0</v>
      </c>
      <c r="I57" s="1"/>
      <c r="J57" s="5">
        <f t="shared" ref="J57:J63" si="37">IF(H$12=0,0,H57/H$12)</f>
        <v>0</v>
      </c>
      <c r="K57" s="1"/>
      <c r="L57" s="1">
        <f t="shared" ref="L57:L63" si="38">+D57-H57</f>
        <v>0</v>
      </c>
      <c r="M57" s="1"/>
      <c r="N57" s="5">
        <f t="shared" ref="N57:N63" si="39">IF(H57=0,0,L57/H57)</f>
        <v>0</v>
      </c>
      <c r="O57" s="12"/>
      <c r="P57" s="1">
        <f>SUM(OSRRefP22_11x_0)</f>
        <v>1740</v>
      </c>
      <c r="Q57" s="1"/>
      <c r="R57" s="5">
        <f t="shared" ref="R57:R63" si="40">IF(P$12=0,0,P57/P$12)</f>
        <v>3.5389014761693627E-3</v>
      </c>
      <c r="S57" s="1"/>
      <c r="T57" s="1">
        <f>SUM(OSRRefT22_11x_0)</f>
        <v>915</v>
      </c>
      <c r="U57" s="1"/>
      <c r="V57" s="5">
        <f t="shared" ref="V57:V63" si="41">IF(T$12=0,0,T57/T$12)</f>
        <v>1.8738710694786338E-3</v>
      </c>
      <c r="W57" s="1"/>
      <c r="X57" s="1">
        <f t="shared" ref="X57:X63" si="42">+P57-T57</f>
        <v>825</v>
      </c>
      <c r="Y57" s="1"/>
      <c r="Z57" s="5">
        <f t="shared" ref="Z57:Z63" si="43">IF(T57=0,0,X57/T57)</f>
        <v>0.90163934426229508</v>
      </c>
    </row>
    <row r="58" spans="1:26" s="24" customFormat="1" hidden="1" outlineLevel="2" x14ac:dyDescent="0.35">
      <c r="A58" s="27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1740</v>
      </c>
      <c r="Q58" s="2"/>
      <c r="R58" s="6">
        <f t="shared" si="40"/>
        <v>3.5389014761693627E-3</v>
      </c>
      <c r="S58" s="2"/>
      <c r="T58" s="7">
        <v>915</v>
      </c>
      <c r="U58" s="2"/>
      <c r="V58" s="6">
        <f t="shared" si="41"/>
        <v>1.8738710694786338E-3</v>
      </c>
      <c r="W58" s="2"/>
      <c r="X58" s="7">
        <f t="shared" si="42"/>
        <v>825</v>
      </c>
      <c r="Y58" s="2"/>
      <c r="Z58" s="6">
        <f t="shared" si="43"/>
        <v>0.90163934426229508</v>
      </c>
    </row>
    <row r="59" spans="1:26" s="25" customFormat="1" outlineLevel="1" collapsed="1" x14ac:dyDescent="0.35">
      <c r="A59" s="26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SUM(OSRRefD22_12x_0)</f>
        <v>39762.83</v>
      </c>
      <c r="E59" s="1"/>
      <c r="F59" s="5">
        <f t="shared" si="36"/>
        <v>0.63744958158325049</v>
      </c>
      <c r="G59" s="1"/>
      <c r="H59" s="1">
        <f>SUM(OSRRefH22_12x_0)</f>
        <v>452.33000000000004</v>
      </c>
      <c r="I59" s="1"/>
      <c r="J59" s="5">
        <f t="shared" si="37"/>
        <v>1.5650474015639057E-2</v>
      </c>
      <c r="K59" s="1"/>
      <c r="L59" s="1">
        <f t="shared" si="38"/>
        <v>39310.5</v>
      </c>
      <c r="M59" s="1"/>
      <c r="N59" s="5">
        <f t="shared" si="39"/>
        <v>86.906683173789034</v>
      </c>
      <c r="O59" s="12"/>
      <c r="P59" s="1">
        <f>SUM(OSRRefP22_12x_0)</f>
        <v>64725.189999999995</v>
      </c>
      <c r="Q59" s="1"/>
      <c r="R59" s="5">
        <f t="shared" si="40"/>
        <v>0.13164141979100141</v>
      </c>
      <c r="S59" s="1"/>
      <c r="T59" s="1">
        <f>SUM(OSRRefT22_12x_0)</f>
        <v>60839.12000000001</v>
      </c>
      <c r="U59" s="1"/>
      <c r="V59" s="5">
        <f t="shared" si="41"/>
        <v>0.12459526432845787</v>
      </c>
      <c r="W59" s="1"/>
      <c r="X59" s="1">
        <f t="shared" si="42"/>
        <v>3886.0699999999852</v>
      </c>
      <c r="Y59" s="1"/>
      <c r="Z59" s="5">
        <f t="shared" si="43"/>
        <v>6.3874526784739566E-2</v>
      </c>
    </row>
    <row r="60" spans="1:26" s="24" customFormat="1" hidden="1" outlineLevel="2" x14ac:dyDescent="0.3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413.27</v>
      </c>
      <c r="Q60" s="2"/>
      <c r="R60" s="6">
        <f t="shared" si="40"/>
        <v>8.4052977761868539E-4</v>
      </c>
      <c r="S60" s="2"/>
      <c r="T60" s="7"/>
      <c r="U60" s="2"/>
      <c r="V60" s="6">
        <f t="shared" si="41"/>
        <v>0</v>
      </c>
      <c r="W60" s="2"/>
      <c r="X60" s="7">
        <f t="shared" si="42"/>
        <v>413.27</v>
      </c>
      <c r="Y60" s="2"/>
      <c r="Z60" s="6">
        <f t="shared" si="43"/>
        <v>0</v>
      </c>
    </row>
    <row r="61" spans="1:26" s="24" customFormat="1" hidden="1" outlineLevel="2" x14ac:dyDescent="0.35">
      <c r="A61" s="27"/>
      <c r="B61" s="11" t="str">
        <f>CONCATENATE("          ", "6241", " - ", "OFFICE EXPENSE")</f>
        <v xml:space="preserve">          6241 - OFFICE EXPENSE</v>
      </c>
      <c r="C61" s="11"/>
      <c r="D61" s="7">
        <v>39762.83</v>
      </c>
      <c r="E61" s="2"/>
      <c r="F61" s="6">
        <f t="shared" si="36"/>
        <v>0.63744958158325049</v>
      </c>
      <c r="G61" s="2"/>
      <c r="H61" s="7">
        <v>187.73</v>
      </c>
      <c r="I61" s="2"/>
      <c r="J61" s="6">
        <f t="shared" si="37"/>
        <v>6.4953982423361705E-3</v>
      </c>
      <c r="K61" s="2"/>
      <c r="L61" s="7">
        <f t="shared" si="38"/>
        <v>39575.1</v>
      </c>
      <c r="M61" s="2"/>
      <c r="N61" s="6">
        <f t="shared" si="39"/>
        <v>210.80860810738827</v>
      </c>
      <c r="O61" s="11"/>
      <c r="P61" s="7">
        <v>64108.4</v>
      </c>
      <c r="Q61" s="2"/>
      <c r="R61" s="6">
        <f t="shared" si="40"/>
        <v>0.13038696057175631</v>
      </c>
      <c r="S61" s="2"/>
      <c r="T61" s="7">
        <v>59419.100000000006</v>
      </c>
      <c r="U61" s="2"/>
      <c r="V61" s="6">
        <f t="shared" si="41"/>
        <v>0.12168713930541847</v>
      </c>
      <c r="W61" s="2"/>
      <c r="X61" s="7">
        <f t="shared" si="42"/>
        <v>4689.2999999999956</v>
      </c>
      <c r="Y61" s="2"/>
      <c r="Z61" s="6">
        <f t="shared" si="43"/>
        <v>7.8919068111095503E-2</v>
      </c>
    </row>
    <row r="62" spans="1:26" s="24" customFormat="1" hidden="1" outlineLevel="2" x14ac:dyDescent="0.35">
      <c r="A62" s="27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36"/>
        <v>0</v>
      </c>
      <c r="G62" s="2"/>
      <c r="H62" s="7">
        <v>264.60000000000002</v>
      </c>
      <c r="I62" s="2"/>
      <c r="J62" s="6">
        <f t="shared" si="37"/>
        <v>9.1550757733028856E-3</v>
      </c>
      <c r="K62" s="2"/>
      <c r="L62" s="7">
        <f t="shared" si="38"/>
        <v>-264.60000000000002</v>
      </c>
      <c r="M62" s="2"/>
      <c r="N62" s="6">
        <f t="shared" si="39"/>
        <v>-1</v>
      </c>
      <c r="O62" s="11"/>
      <c r="P62" s="7">
        <v>203.52</v>
      </c>
      <c r="Q62" s="2"/>
      <c r="R62" s="6">
        <f t="shared" si="40"/>
        <v>4.139294416264303E-4</v>
      </c>
      <c r="S62" s="2"/>
      <c r="T62" s="7">
        <v>1364.9</v>
      </c>
      <c r="U62" s="2"/>
      <c r="V62" s="6">
        <f t="shared" si="41"/>
        <v>2.7952422106353961E-3</v>
      </c>
      <c r="W62" s="2"/>
      <c r="X62" s="7">
        <f t="shared" si="42"/>
        <v>-1161.3800000000001</v>
      </c>
      <c r="Y62" s="2"/>
      <c r="Z62" s="6">
        <f t="shared" si="43"/>
        <v>-0.85089017510440323</v>
      </c>
    </row>
    <row r="63" spans="1:26" s="24" customFormat="1" hidden="1" outlineLevel="2" x14ac:dyDescent="0.35">
      <c r="A63" s="27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/>
      <c r="Q63" s="2"/>
      <c r="R63" s="6">
        <f t="shared" si="40"/>
        <v>0</v>
      </c>
      <c r="S63" s="2"/>
      <c r="T63" s="7">
        <v>55.12</v>
      </c>
      <c r="U63" s="2"/>
      <c r="V63" s="6">
        <f t="shared" si="41"/>
        <v>1.128828124040025E-4</v>
      </c>
      <c r="W63" s="2"/>
      <c r="X63" s="7">
        <f t="shared" si="42"/>
        <v>-55.12</v>
      </c>
      <c r="Y63" s="2"/>
      <c r="Z63" s="6">
        <f t="shared" si="43"/>
        <v>-1</v>
      </c>
    </row>
    <row r="64" spans="1:26" s="25" customFormat="1" outlineLevel="1" collapsed="1" x14ac:dyDescent="0.35">
      <c r="A64" s="26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SUM(OSRRefD22_13x_0)</f>
        <v>-16.89</v>
      </c>
      <c r="E64" s="1"/>
      <c r="F64" s="5">
        <f t="shared" ref="F64:F67" si="44">IF(D$12=0,0,D64/D$12)</f>
        <v>-2.7076854019045178E-4</v>
      </c>
      <c r="G64" s="1"/>
      <c r="H64" s="1">
        <f>SUM(OSRRefH22_13x_0)</f>
        <v>176</v>
      </c>
      <c r="I64" s="1"/>
      <c r="J64" s="5">
        <f t="shared" ref="J64:J67" si="45">IF(H$12=0,0,H64/H$12)</f>
        <v>6.089543976195419E-3</v>
      </c>
      <c r="K64" s="1"/>
      <c r="L64" s="1">
        <f t="shared" ref="L64:L67" si="46">+D64-H64</f>
        <v>-192.89</v>
      </c>
      <c r="M64" s="1"/>
      <c r="N64" s="5">
        <f t="shared" ref="N64:N67" si="47">IF(H64=0,0,L64/H64)</f>
        <v>-1.0959659090909091</v>
      </c>
      <c r="O64" s="12"/>
      <c r="P64" s="1">
        <f>SUM(OSRRefP22_13x_0)</f>
        <v>2080.66</v>
      </c>
      <c r="Q64" s="1"/>
      <c r="R64" s="5">
        <f t="shared" ref="R64:R67" si="48">IF(P$12=0,0,P64/P$12)</f>
        <v>4.2317533019577847E-3</v>
      </c>
      <c r="S64" s="1"/>
      <c r="T64" s="1">
        <f>SUM(OSRRefT22_13x_0)</f>
        <v>4103.9399999999996</v>
      </c>
      <c r="U64" s="1"/>
      <c r="V64" s="5">
        <f t="shared" ref="V64:V67" si="49">IF(T$12=0,0,T64/T$12)</f>
        <v>8.4046496577881349E-3</v>
      </c>
      <c r="W64" s="1"/>
      <c r="X64" s="1">
        <f t="shared" ref="X64:X67" si="50">+P64-T64</f>
        <v>-2023.2799999999997</v>
      </c>
      <c r="Y64" s="1"/>
      <c r="Z64" s="5">
        <f t="shared" ref="Z64:Z67" si="51">IF(T64=0,0,X64/T64)</f>
        <v>-0.49300915705395304</v>
      </c>
    </row>
    <row r="65" spans="1:26" s="24" customFormat="1" hidden="1" outlineLevel="2" x14ac:dyDescent="0.35">
      <c r="A65" s="27"/>
      <c r="B65" s="11" t="str">
        <f>CONCATENATE("          ", "6309", " - ", "TELEPHONE")</f>
        <v xml:space="preserve">          6309 - TELEPHONE</v>
      </c>
      <c r="C65" s="11"/>
      <c r="D65" s="7">
        <v>-16.89</v>
      </c>
      <c r="E65" s="2"/>
      <c r="F65" s="6">
        <f t="shared" si="44"/>
        <v>-2.7076854019045178E-4</v>
      </c>
      <c r="G65" s="2"/>
      <c r="H65" s="7">
        <v>176</v>
      </c>
      <c r="I65" s="2"/>
      <c r="J65" s="6">
        <f t="shared" si="45"/>
        <v>6.089543976195419E-3</v>
      </c>
      <c r="K65" s="2"/>
      <c r="L65" s="7">
        <f t="shared" si="46"/>
        <v>-192.89</v>
      </c>
      <c r="M65" s="2"/>
      <c r="N65" s="6">
        <f t="shared" si="47"/>
        <v>-1.0959659090909091</v>
      </c>
      <c r="O65" s="11"/>
      <c r="P65" s="7">
        <v>2080.66</v>
      </c>
      <c r="Q65" s="2"/>
      <c r="R65" s="6">
        <f t="shared" si="48"/>
        <v>4.2317533019577847E-3</v>
      </c>
      <c r="S65" s="2"/>
      <c r="T65" s="7">
        <v>4103.9399999999996</v>
      </c>
      <c r="U65" s="2"/>
      <c r="V65" s="6">
        <f t="shared" si="49"/>
        <v>8.4046496577881349E-3</v>
      </c>
      <c r="W65" s="2"/>
      <c r="X65" s="7">
        <f t="shared" si="50"/>
        <v>-2023.2799999999997</v>
      </c>
      <c r="Y65" s="2"/>
      <c r="Z65" s="6">
        <f t="shared" si="51"/>
        <v>-0.49300915705395304</v>
      </c>
    </row>
    <row r="66" spans="1:26" s="25" customFormat="1" outlineLevel="1" collapsed="1" x14ac:dyDescent="0.35">
      <c r="A66" s="26"/>
      <c r="B66" s="12" t="str">
        <f>CONCATENATE("     ","Training                                          ")</f>
        <v xml:space="preserve">     Training                                          </v>
      </c>
      <c r="C66" s="12"/>
      <c r="D66" s="1">
        <f>SUM(OSRRefD22_14x_0)</f>
        <v>0</v>
      </c>
      <c r="E66" s="1"/>
      <c r="F66" s="5">
        <f t="shared" si="44"/>
        <v>0</v>
      </c>
      <c r="G66" s="1"/>
      <c r="H66" s="1">
        <f>SUM(OSRRefH22_14x_0)</f>
        <v>0</v>
      </c>
      <c r="I66" s="1"/>
      <c r="J66" s="5">
        <f t="shared" si="45"/>
        <v>0</v>
      </c>
      <c r="K66" s="1"/>
      <c r="L66" s="1">
        <f t="shared" si="46"/>
        <v>0</v>
      </c>
      <c r="M66" s="1"/>
      <c r="N66" s="5">
        <f t="shared" si="47"/>
        <v>0</v>
      </c>
      <c r="O66" s="12"/>
      <c r="P66" s="1">
        <f>SUM(OSRRefP22_14x_0)</f>
        <v>3186.24</v>
      </c>
      <c r="Q66" s="1"/>
      <c r="R66" s="5">
        <f t="shared" si="48"/>
        <v>6.4803387582930286E-3</v>
      </c>
      <c r="S66" s="1"/>
      <c r="T66" s="1">
        <f>SUM(OSRRefT22_14x_0)</f>
        <v>4591.2</v>
      </c>
      <c r="U66" s="1"/>
      <c r="V66" s="5">
        <f t="shared" si="49"/>
        <v>9.4025320810822988E-3</v>
      </c>
      <c r="W66" s="1"/>
      <c r="X66" s="1">
        <f t="shared" si="50"/>
        <v>-1404.96</v>
      </c>
      <c r="Y66" s="1"/>
      <c r="Z66" s="5">
        <f t="shared" si="51"/>
        <v>-0.30601150026136958</v>
      </c>
    </row>
    <row r="67" spans="1:26" s="24" customFormat="1" hidden="1" outlineLevel="2" x14ac:dyDescent="0.35">
      <c r="A67" s="27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>
        <v>3186.24</v>
      </c>
      <c r="Q67" s="2"/>
      <c r="R67" s="6">
        <f t="shared" si="48"/>
        <v>6.4803387582930286E-3</v>
      </c>
      <c r="S67" s="2"/>
      <c r="T67" s="7">
        <v>4591.2</v>
      </c>
      <c r="U67" s="2"/>
      <c r="V67" s="6">
        <f t="shared" si="49"/>
        <v>9.4025320810822988E-3</v>
      </c>
      <c r="W67" s="2"/>
      <c r="X67" s="7">
        <f t="shared" si="50"/>
        <v>-1404.96</v>
      </c>
      <c r="Y67" s="2"/>
      <c r="Z67" s="6">
        <f t="shared" si="51"/>
        <v>-0.30601150026136958</v>
      </c>
    </row>
    <row r="68" spans="1:26" s="56" customFormat="1" x14ac:dyDescent="0.3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35">
      <c r="A69" s="10"/>
      <c r="B69" s="29" t="s">
        <v>0</v>
      </c>
      <c r="C69" s="10"/>
      <c r="D69" s="4">
        <f>SUM(OSRRefD25x_0)</f>
        <v>0.04</v>
      </c>
      <c r="E69" s="4"/>
      <c r="F69" s="13">
        <f t="shared" ref="F69:F71" si="52">IF(D$12=0,0,D69/D$12)</f>
        <v>6.4125172336400659E-7</v>
      </c>
      <c r="G69" s="4"/>
      <c r="H69" s="4">
        <f>SUM(OSRRefH25x_0)</f>
        <v>774.91</v>
      </c>
      <c r="I69" s="4"/>
      <c r="J69" s="13">
        <f t="shared" ref="J69:J71" si="53">IF(H$12=0,0,H69/H$12)</f>
        <v>2.6811639332918136E-2</v>
      </c>
      <c r="K69" s="4"/>
      <c r="L69" s="4">
        <f t="shared" ref="L69:L71" si="54">+D69-H69</f>
        <v>-774.87</v>
      </c>
      <c r="M69" s="4"/>
      <c r="N69" s="13">
        <f t="shared" ref="N69:N71" si="55">IF(H69=0,0,L69/H69)</f>
        <v>-0.99994838110232165</v>
      </c>
      <c r="O69" s="10"/>
      <c r="P69" s="4">
        <f>SUM(OSRRefP25x_0)</f>
        <v>20670.75</v>
      </c>
      <c r="Q69" s="4"/>
      <c r="R69" s="13">
        <f t="shared" ref="R69:R71" si="56">IF(P$12=0,0,P69/P$12)</f>
        <v>4.2041234303751646E-2</v>
      </c>
      <c r="S69" s="4"/>
      <c r="T69" s="4">
        <f>SUM(OSRRefT25x_0)</f>
        <v>28167.539999999997</v>
      </c>
      <c r="U69" s="4"/>
      <c r="V69" s="13">
        <f t="shared" ref="V69:V71" si="57">IF(T$12=0,0,T69/T$12)</f>
        <v>5.7685615633204582E-2</v>
      </c>
      <c r="W69" s="4"/>
      <c r="X69" s="4">
        <f t="shared" ref="X69:X71" si="58">+P69-T69</f>
        <v>-7496.7899999999972</v>
      </c>
      <c r="Y69" s="4"/>
      <c r="Z69" s="13">
        <f t="shared" ref="Z69:Z71" si="59">IF(T69=0,0,X69/T69)</f>
        <v>-0.26614997262806755</v>
      </c>
    </row>
    <row r="70" spans="1:26" s="24" customFormat="1" hidden="1" outlineLevel="1" x14ac:dyDescent="0.35">
      <c r="A70" s="44"/>
      <c r="B70" s="11" t="str">
        <f>CONCATENATE("          ", "9150", " - ", "MISC. INCOME")</f>
        <v xml:space="preserve">          9150 - MISC. INCOME</v>
      </c>
      <c r="C70" s="11"/>
      <c r="D70" s="2">
        <f>--0.04</f>
        <v>0.04</v>
      </c>
      <c r="E70" s="2"/>
      <c r="F70" s="19">
        <f t="shared" si="52"/>
        <v>6.4125172336400659E-7</v>
      </c>
      <c r="G70" s="2"/>
      <c r="H70" s="2">
        <f>--774.91</f>
        <v>774.91</v>
      </c>
      <c r="I70" s="2"/>
      <c r="J70" s="19">
        <f t="shared" si="53"/>
        <v>2.6811639332918136E-2</v>
      </c>
      <c r="K70" s="2"/>
      <c r="L70" s="2">
        <f t="shared" si="54"/>
        <v>-774.87</v>
      </c>
      <c r="M70" s="2"/>
      <c r="N70" s="19">
        <f t="shared" si="55"/>
        <v>-0.99994838110232165</v>
      </c>
      <c r="O70" s="11"/>
      <c r="P70" s="2">
        <f>--20670.75</f>
        <v>20670.75</v>
      </c>
      <c r="Q70" s="2"/>
      <c r="R70" s="19">
        <f t="shared" si="56"/>
        <v>4.2041234303751646E-2</v>
      </c>
      <c r="S70" s="2"/>
      <c r="T70" s="2">
        <f>--27997.19</f>
        <v>27997.19</v>
      </c>
      <c r="U70" s="2"/>
      <c r="V70" s="19">
        <f t="shared" si="57"/>
        <v>5.7336747942837711E-2</v>
      </c>
      <c r="W70" s="2"/>
      <c r="X70" s="2">
        <f t="shared" si="58"/>
        <v>-7326.4399999999987</v>
      </c>
      <c r="Y70" s="2"/>
      <c r="Z70" s="19">
        <f t="shared" si="59"/>
        <v>-0.26168483337077753</v>
      </c>
    </row>
    <row r="71" spans="1:26" s="24" customFormat="1" hidden="1" outlineLevel="1" x14ac:dyDescent="0.3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2"/>
        <v>0</v>
      </c>
      <c r="G71" s="2"/>
      <c r="H71" s="2">
        <f>0</f>
        <v>0</v>
      </c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>0</f>
        <v>0</v>
      </c>
      <c r="Q71" s="2"/>
      <c r="R71" s="19">
        <f t="shared" si="56"/>
        <v>0</v>
      </c>
      <c r="S71" s="2"/>
      <c r="T71" s="2">
        <f>--170.35</f>
        <v>170.35</v>
      </c>
      <c r="U71" s="2"/>
      <c r="V71" s="19">
        <f t="shared" si="57"/>
        <v>3.4886769036686913E-4</v>
      </c>
      <c r="W71" s="2"/>
      <c r="X71" s="2">
        <f t="shared" si="58"/>
        <v>-170.35</v>
      </c>
      <c r="Y71" s="2"/>
      <c r="Z71" s="19">
        <f t="shared" si="59"/>
        <v>-1</v>
      </c>
    </row>
    <row r="72" spans="1:26" x14ac:dyDescent="0.3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5">
      <c r="A73" s="10"/>
      <c r="B73" s="28" t="s">
        <v>3</v>
      </c>
      <c r="C73" s="28"/>
      <c r="D73" s="22">
        <f>+D17-D19+D69</f>
        <v>4865.7999999999947</v>
      </c>
      <c r="E73" s="14"/>
      <c r="F73" s="21">
        <f>IF(D$12=0,0,D73/D$12)</f>
        <v>7.8005065888614486E-2</v>
      </c>
      <c r="G73" s="14"/>
      <c r="H73" s="22">
        <f>+H17-H19+H69</f>
        <v>4234.4199999999983</v>
      </c>
      <c r="I73" s="14"/>
      <c r="J73" s="21">
        <f>IF(H$12=0,0,H73/H$12)</f>
        <v>0.1465095841118261</v>
      </c>
      <c r="K73" s="15"/>
      <c r="L73" s="22">
        <f>+D73-H73</f>
        <v>631.37999999999647</v>
      </c>
      <c r="M73" s="15"/>
      <c r="N73" s="21">
        <f>IF(H73=0,0,L73/H73)</f>
        <v>0.14910660728033515</v>
      </c>
      <c r="O73" s="29"/>
      <c r="P73" s="22">
        <f>+P17-P19+P69</f>
        <v>50838.01999999996</v>
      </c>
      <c r="Q73" s="14"/>
      <c r="R73" s="21">
        <f>IF(P$12=0,0,P73/P$12)</f>
        <v>0.10339697932386635</v>
      </c>
      <c r="S73" s="14"/>
      <c r="T73" s="22">
        <f>+T17-T19+T69</f>
        <v>47783.319999999905</v>
      </c>
      <c r="U73" s="14"/>
      <c r="V73" s="21">
        <f>IF(T$12=0,0,T73/T$12)</f>
        <v>9.7857684100152581E-2</v>
      </c>
      <c r="W73" s="15"/>
      <c r="X73" s="22">
        <f>+P73-T73</f>
        <v>3054.7000000000553</v>
      </c>
      <c r="Y73" s="15"/>
      <c r="Z73" s="21">
        <f>IF(T73=0,0,X73/T73)</f>
        <v>6.3928165728125652E-2</v>
      </c>
    </row>
    <row r="74" spans="1:26" x14ac:dyDescent="0.3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5">
      <c r="A75" s="51"/>
      <c r="B75" s="10" t="s">
        <v>13</v>
      </c>
      <c r="C75" s="10"/>
      <c r="D75" s="4">
        <v>23621.15</v>
      </c>
      <c r="E75" s="4"/>
      <c r="F75" s="13">
        <f>IF(D$12=0,0,D75/D$12)</f>
        <v>0.37867757863349261</v>
      </c>
      <c r="G75" s="4"/>
      <c r="H75" s="4">
        <v>-12979.28</v>
      </c>
      <c r="I75" s="4"/>
      <c r="J75" s="13">
        <f>IF(H$12=0,0,H75/H$12)</f>
        <v>-0.44907895647360047</v>
      </c>
      <c r="K75" s="4"/>
      <c r="L75" s="4">
        <f>+D75-H75</f>
        <v>36600.43</v>
      </c>
      <c r="M75" s="4"/>
      <c r="N75" s="13">
        <f>IF(H75=0,0,L75/H75)</f>
        <v>-2.8199121985194862</v>
      </c>
      <c r="O75" s="10"/>
      <c r="P75" s="4">
        <v>74459.100000000006</v>
      </c>
      <c r="Q75" s="4"/>
      <c r="R75" s="13">
        <f>IF(P$12=0,0,P75/P$12)</f>
        <v>0.15143874649669092</v>
      </c>
      <c r="S75" s="4"/>
      <c r="T75" s="4">
        <v>34804.18</v>
      </c>
      <c r="U75" s="4"/>
      <c r="V75" s="13">
        <f>IF(T$12=0,0,T75/T$12)</f>
        <v>7.1277099452379103E-2</v>
      </c>
      <c r="W75" s="4"/>
      <c r="X75" s="4">
        <f>+P75-T75</f>
        <v>39654.920000000006</v>
      </c>
      <c r="Y75" s="4"/>
      <c r="Z75" s="13">
        <f>IF(T75=0,0,X75/T75)</f>
        <v>1.1393723397591899</v>
      </c>
    </row>
    <row r="76" spans="1:26" x14ac:dyDescent="0.3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4">
      <c r="A77" s="10"/>
      <c r="B77" s="28" t="s">
        <v>4</v>
      </c>
      <c r="C77" s="28"/>
      <c r="D77" s="34">
        <f>+D73-D75</f>
        <v>-18755.350000000006</v>
      </c>
      <c r="E77" s="14"/>
      <c r="F77" s="32">
        <f>IF(D$12=0,0,D77/D$12)</f>
        <v>-0.30067251274487811</v>
      </c>
      <c r="G77" s="14"/>
      <c r="H77" s="34">
        <f>+H73-H75</f>
        <v>17213.699999999997</v>
      </c>
      <c r="I77" s="14"/>
      <c r="J77" s="32">
        <f>IF(H$12=0,0,H77/H$12)</f>
        <v>0.59558854058542654</v>
      </c>
      <c r="K77" s="15"/>
      <c r="L77" s="34">
        <f>D77-H77</f>
        <v>-35969.050000000003</v>
      </c>
      <c r="M77" s="15"/>
      <c r="N77" s="32">
        <f>IF(H77=0,0,L77/H77)</f>
        <v>-2.0895594787872454</v>
      </c>
      <c r="O77" s="29"/>
      <c r="P77" s="34">
        <f>+P73-P75</f>
        <v>-23621.080000000045</v>
      </c>
      <c r="Q77" s="14"/>
      <c r="R77" s="32">
        <f>IF(P$12=0,0,P77/P$12)</f>
        <v>-4.804176717282458E-2</v>
      </c>
      <c r="S77" s="14"/>
      <c r="T77" s="34">
        <f>+T73-T75</f>
        <v>12979.139999999905</v>
      </c>
      <c r="U77" s="14"/>
      <c r="V77" s="32">
        <f>IF(T$12=0,0,T77/T$12)</f>
        <v>2.6580584647773482E-2</v>
      </c>
      <c r="W77" s="15"/>
      <c r="X77" s="34">
        <f>P77-T77</f>
        <v>-36600.21999999995</v>
      </c>
      <c r="Y77" s="15"/>
      <c r="Z77" s="32">
        <f>IF(T77=0,0,X77/T77)</f>
        <v>-2.81992643580393</v>
      </c>
    </row>
    <row r="78" spans="1:26" ht="15" thickTop="1" x14ac:dyDescent="0.3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3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4">
      <c r="A80" s="10"/>
      <c r="B80" s="28" t="s">
        <v>5</v>
      </c>
      <c r="C80" s="28"/>
      <c r="D80" s="35">
        <f>SUM(D77:D79)</f>
        <v>-18755.350000000006</v>
      </c>
      <c r="E80" s="14"/>
      <c r="F80" s="33">
        <f>IF(D$12=0,0,D80/D$12)</f>
        <v>-0.30067251274487811</v>
      </c>
      <c r="G80" s="14"/>
      <c r="H80" s="35">
        <f>SUM(H77:H79)</f>
        <v>17213.699999999997</v>
      </c>
      <c r="I80" s="14"/>
      <c r="J80" s="33">
        <f>IF(H$12=0,0,H80/H$12)</f>
        <v>0.59558854058542654</v>
      </c>
      <c r="K80" s="15"/>
      <c r="L80" s="35">
        <f>+D80-H80</f>
        <v>-35969.050000000003</v>
      </c>
      <c r="M80" s="15"/>
      <c r="N80" s="33">
        <f>IF(H80=0,0,L80/H80)</f>
        <v>-2.0895594787872454</v>
      </c>
      <c r="O80" s="29"/>
      <c r="P80" s="35">
        <f>SUM(P77:P79)</f>
        <v>-23621.080000000045</v>
      </c>
      <c r="Q80" s="14"/>
      <c r="R80" s="33">
        <f>IF(P$12=0,0,P80/P$12)</f>
        <v>-4.804176717282458E-2</v>
      </c>
      <c r="S80" s="14"/>
      <c r="T80" s="35">
        <f>SUM(T77:T79)</f>
        <v>12979.139999999905</v>
      </c>
      <c r="U80" s="14"/>
      <c r="V80" s="33">
        <f>IF(T$12=0,0,T80/T$12)</f>
        <v>2.6580584647773482E-2</v>
      </c>
      <c r="W80" s="15"/>
      <c r="X80" s="35">
        <f>+P80-T80</f>
        <v>-36600.21999999995</v>
      </c>
      <c r="Y80" s="15"/>
      <c r="Z80" s="33">
        <f>IF(T80=0,0,X80/T80)</f>
        <v>-2.81992643580393</v>
      </c>
    </row>
    <row r="81" spans="1:24" ht="15" thickTop="1" x14ac:dyDescent="0.3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5">
      <c r="A82" s="9"/>
      <c r="B82" s="52">
        <v>44043.523496759262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5">
      <c r="A83" s="9"/>
      <c r="B83" s="61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3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3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4652</vt:i4>
      </vt:variant>
    </vt:vector>
  </HeadingPairs>
  <TitlesOfParts>
    <vt:vector size="4754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207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'445'!OSRRefD16x_0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'314'!OSRRefD22_10x_0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'314'!OSRRefD22_11x_0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'317'!OSRRefD22_13x_0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'413'!OSRRefD22_13x_0</vt:lpstr>
      <vt:lpstr>'414'!OSRRefD22_13x_0</vt:lpstr>
      <vt:lpstr>'415'!OSRRefD22_13x_0</vt:lpstr>
      <vt:lpstr>'418'!OSRRefD22_13x_0</vt:lpstr>
      <vt:lpstr>'424'!OSRRefD22_13x_0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'307'!OSRRefD22_14x_0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'317'!OSRRefD22_14x_0</vt:lpstr>
      <vt:lpstr>'322'!OSRRefD22_14x_0</vt:lpstr>
      <vt:lpstr>'325'!OSRRefD22_14x_0</vt:lpstr>
      <vt:lpstr>'326'!OSRRefD22_14x_0</vt:lpstr>
      <vt:lpstr>'330'!OSRRefD22_14x_0</vt:lpstr>
      <vt:lpstr>'331'!OSRRefD22_14x_0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'Div 6'!OSRRefD22_14x_0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'317'!OSRRefD22_15x_0</vt:lpstr>
      <vt:lpstr>'322'!OSRRefD22_15x_0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'Div 6'!OSRRefD22_15x_0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'322'!OSRRefD22_16x_0</vt:lpstr>
      <vt:lpstr>'325'!OSRRefD22_16x_0</vt:lpstr>
      <vt:lpstr>'326'!OSRRefD22_16x_0</vt:lpstr>
      <vt:lpstr>'330'!OSRRefD22_16x_0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'322'!OSRRefD22_17x_0</vt:lpstr>
      <vt:lpstr>'325'!OSRRefD22_17x_0</vt:lpstr>
      <vt:lpstr>'326'!OSRRefD22_17x_0</vt:lpstr>
      <vt:lpstr>'330'!OSRRefD22_17x_0</vt:lpstr>
      <vt:lpstr>'331'!OSRRefD22_17x_0</vt:lpstr>
      <vt:lpstr>'405'!OSRRefD22_17x_0</vt:lpstr>
      <vt:lpstr>'411'!OSRRefD22_17x_0</vt:lpstr>
      <vt:lpstr>'415'!OSRRefD22_17x_0</vt:lpstr>
      <vt:lpstr>'418'!OSRRefD22_17x_0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'405'!OSRRefD22_18x_0</vt:lpstr>
      <vt:lpstr>'411'!OSRRefD22_18x_0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'301'!OSRRefD22_23x_0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'301'!OSRRefD22_24x_0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'455'!OSRRefD22_2x_0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'435'!OSRRefD22_9x_0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'445'!OSRRefH16x_0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'314'!OSRRefH22_10x_0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'314'!OSRRefH22_11x_0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'317'!OSRRefH22_13x_0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'413'!OSRRefH22_13x_0</vt:lpstr>
      <vt:lpstr>'414'!OSRRefH22_13x_0</vt:lpstr>
      <vt:lpstr>'415'!OSRRefH22_13x_0</vt:lpstr>
      <vt:lpstr>'418'!OSRRefH22_13x_0</vt:lpstr>
      <vt:lpstr>'424'!OSRRefH22_13x_0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'307'!OSRRefH22_14x_0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'317'!OSRRefH22_14x_0</vt:lpstr>
      <vt:lpstr>'322'!OSRRefH22_14x_0</vt:lpstr>
      <vt:lpstr>'325'!OSRRefH22_14x_0</vt:lpstr>
      <vt:lpstr>'326'!OSRRefH22_14x_0</vt:lpstr>
      <vt:lpstr>'330'!OSRRefH22_14x_0</vt:lpstr>
      <vt:lpstr>'331'!OSRRefH22_14x_0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'Div 6'!OSRRefH22_14x_0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'317'!OSRRefH22_15x_0</vt:lpstr>
      <vt:lpstr>'322'!OSRRefH22_15x_0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'Div 6'!OSRRefH22_15x_0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'322'!OSRRefH22_16x_0</vt:lpstr>
      <vt:lpstr>'325'!OSRRefH22_16x_0</vt:lpstr>
      <vt:lpstr>'326'!OSRRefH22_16x_0</vt:lpstr>
      <vt:lpstr>'330'!OSRRefH22_16x_0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'322'!OSRRefH22_17x_0</vt:lpstr>
      <vt:lpstr>'325'!OSRRefH22_17x_0</vt:lpstr>
      <vt:lpstr>'326'!OSRRefH22_17x_0</vt:lpstr>
      <vt:lpstr>'330'!OSRRefH22_17x_0</vt:lpstr>
      <vt:lpstr>'331'!OSRRefH22_17x_0</vt:lpstr>
      <vt:lpstr>'405'!OSRRefH22_17x_0</vt:lpstr>
      <vt:lpstr>'411'!OSRRefH22_17x_0</vt:lpstr>
      <vt:lpstr>'415'!OSRRefH22_17x_0</vt:lpstr>
      <vt:lpstr>'418'!OSRRefH22_17x_0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'405'!OSRRefH22_18x_0</vt:lpstr>
      <vt:lpstr>'411'!OSRRefH22_18x_0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'301'!OSRRefH22_23x_0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'301'!OSRRefH22_24x_0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'455'!OSRRefH22_2x_0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'435'!OSRRefH22_9x_0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'445'!OSRRefP16x_0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'314'!OSRRefP22_10x_0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'314'!OSRRefP22_11x_0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'317'!OSRRefP22_13x_0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'413'!OSRRefP22_13x_0</vt:lpstr>
      <vt:lpstr>'414'!OSRRefP22_13x_0</vt:lpstr>
      <vt:lpstr>'415'!OSRRefP22_13x_0</vt:lpstr>
      <vt:lpstr>'418'!OSRRefP22_13x_0</vt:lpstr>
      <vt:lpstr>'424'!OSRRefP22_13x_0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'307'!OSRRefP22_14x_0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'317'!OSRRefP22_14x_0</vt:lpstr>
      <vt:lpstr>'322'!OSRRefP22_14x_0</vt:lpstr>
      <vt:lpstr>'325'!OSRRefP22_14x_0</vt:lpstr>
      <vt:lpstr>'326'!OSRRefP22_14x_0</vt:lpstr>
      <vt:lpstr>'330'!OSRRefP22_14x_0</vt:lpstr>
      <vt:lpstr>'331'!OSRRefP22_14x_0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'Div 6'!OSRRefP22_14x_0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'317'!OSRRefP22_15x_0</vt:lpstr>
      <vt:lpstr>'322'!OSRRefP22_15x_0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'Div 6'!OSRRefP22_15x_0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'322'!OSRRefP22_16x_0</vt:lpstr>
      <vt:lpstr>'325'!OSRRefP22_16x_0</vt:lpstr>
      <vt:lpstr>'326'!OSRRefP22_16x_0</vt:lpstr>
      <vt:lpstr>'330'!OSRRefP22_16x_0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'322'!OSRRefP22_17x_0</vt:lpstr>
      <vt:lpstr>'325'!OSRRefP22_17x_0</vt:lpstr>
      <vt:lpstr>'326'!OSRRefP22_17x_0</vt:lpstr>
      <vt:lpstr>'330'!OSRRefP22_17x_0</vt:lpstr>
      <vt:lpstr>'331'!OSRRefP22_17x_0</vt:lpstr>
      <vt:lpstr>'405'!OSRRefP22_17x_0</vt:lpstr>
      <vt:lpstr>'411'!OSRRefP22_17x_0</vt:lpstr>
      <vt:lpstr>'415'!OSRRefP22_17x_0</vt:lpstr>
      <vt:lpstr>'418'!OSRRefP22_17x_0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'405'!OSRRefP22_18x_0</vt:lpstr>
      <vt:lpstr>'411'!OSRRefP22_18x_0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'301'!OSRRefP22_23x_0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'301'!OSRRefP22_24x_0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'455'!OSRRefP22_2x_0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'435'!OSRRefP22_9x_0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'445'!OSRRefT16x_0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'314'!OSRRefT22_10x_0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'314'!OSRRefT22_11x_0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'317'!OSRRefT22_13x_0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'413'!OSRRefT22_13x_0</vt:lpstr>
      <vt:lpstr>'414'!OSRRefT22_13x_0</vt:lpstr>
      <vt:lpstr>'415'!OSRRefT22_13x_0</vt:lpstr>
      <vt:lpstr>'418'!OSRRefT22_13x_0</vt:lpstr>
      <vt:lpstr>'424'!OSRRefT22_13x_0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'307'!OSRRefT22_14x_0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'317'!OSRRefT22_14x_0</vt:lpstr>
      <vt:lpstr>'322'!OSRRefT22_14x_0</vt:lpstr>
      <vt:lpstr>'325'!OSRRefT22_14x_0</vt:lpstr>
      <vt:lpstr>'326'!OSRRefT22_14x_0</vt:lpstr>
      <vt:lpstr>'330'!OSRRefT22_14x_0</vt:lpstr>
      <vt:lpstr>'331'!OSRRefT22_14x_0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'Div 6'!OSRRefT22_14x_0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'317'!OSRRefT22_15x_0</vt:lpstr>
      <vt:lpstr>'322'!OSRRefT22_15x_0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'Div 6'!OSRRefT22_15x_0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'322'!OSRRefT22_16x_0</vt:lpstr>
      <vt:lpstr>'325'!OSRRefT22_16x_0</vt:lpstr>
      <vt:lpstr>'326'!OSRRefT22_16x_0</vt:lpstr>
      <vt:lpstr>'330'!OSRRefT22_16x_0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'322'!OSRRefT22_17x_0</vt:lpstr>
      <vt:lpstr>'325'!OSRRefT22_17x_0</vt:lpstr>
      <vt:lpstr>'326'!OSRRefT22_17x_0</vt:lpstr>
      <vt:lpstr>'330'!OSRRefT22_17x_0</vt:lpstr>
      <vt:lpstr>'331'!OSRRefT22_17x_0</vt:lpstr>
      <vt:lpstr>'405'!OSRRefT22_17x_0</vt:lpstr>
      <vt:lpstr>'411'!OSRRefT22_17x_0</vt:lpstr>
      <vt:lpstr>'415'!OSRRefT22_17x_0</vt:lpstr>
      <vt:lpstr>'418'!OSRRefT22_17x_0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'405'!OSRRefT22_18x_0</vt:lpstr>
      <vt:lpstr>'411'!OSRRefT22_18x_0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'301'!OSRRefT22_23x_0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'301'!OSRRefT22_24x_0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'455'!OSRRefT22_2x_0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'435'!OSRRefT22_9x_0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'207'!Print_Area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'207'!Print_Titles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Dewit</cp:lastModifiedBy>
  <dcterms:modified xsi:type="dcterms:W3CDTF">2020-08-11T21:24:44Z</dcterms:modified>
</cp:coreProperties>
</file>